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150" yWindow="240" windowWidth="19320" windowHeight="11700" tabRatio="725" activeTab="1"/>
  </bookViews>
  <sheets>
    <sheet name="Итоговая" sheetId="3" r:id="rId1"/>
    <sheet name="Интерактивная карта" sheetId="34" r:id="rId2"/>
    <sheet name="Информация ТП" sheetId="31" r:id="rId3"/>
    <sheet name="Зона БЭс" sheetId="4" state="hidden" r:id="rId4"/>
    <sheet name="Зона ВЭс" sheetId="5" state="hidden" r:id="rId5"/>
    <sheet name="Зона КиЭс  " sheetId="6" state="hidden" r:id="rId6"/>
    <sheet name="Зона РжЭс" sheetId="8" state="hidden" r:id="rId7"/>
    <sheet name="Зона НЭс" sheetId="7" state="hidden" r:id="rId8"/>
    <sheet name="Зона ТвЭС" sheetId="10" state="hidden" r:id="rId9"/>
    <sheet name="Зона ТоЭс" sheetId="9" state="hidden" r:id="rId10"/>
  </sheets>
  <definedNames>
    <definedName name="_xlnm._FilterDatabase" localSheetId="7" hidden="1">'Зона НЭс'!$A$7:$M$155</definedName>
    <definedName name="_xlnm._FilterDatabase" localSheetId="6" hidden="1">'Зона РжЭс'!$A$7:$M$286</definedName>
    <definedName name="_xlnm._FilterDatabase" localSheetId="1" hidden="1">'Интерактивная карта'!$A$5:$T$321</definedName>
    <definedName name="_xlnm._FilterDatabase" localSheetId="2" hidden="1">'Информация ТП'!$A$2:$F$10588</definedName>
    <definedName name="_xlnm._FilterDatabase" localSheetId="0" hidden="1">Итоговая!$A$8:$AX$466</definedName>
    <definedName name="Таблица">Итоговая!$A$9:$AX$436</definedName>
  </definedNames>
  <calcPr calcId="145621" refMode="R1C1"/>
</workbook>
</file>

<file path=xl/calcChain.xml><?xml version="1.0" encoding="utf-8"?>
<calcChain xmlns="http://schemas.openxmlformats.org/spreadsheetml/2006/main">
  <c r="G4324" i="31" l="1"/>
  <c r="G4121" i="31"/>
  <c r="G5735" i="31" l="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K163" i="4" l="1"/>
  <c r="J162" i="4"/>
  <c r="K104" i="7"/>
  <c r="K103" i="7"/>
  <c r="K173" i="9"/>
  <c r="K302" i="9"/>
  <c r="K301" i="9"/>
  <c r="J172" i="9"/>
  <c r="K569" i="10"/>
  <c r="J568" i="10"/>
  <c r="K829" i="10"/>
  <c r="J828" i="10"/>
  <c r="K914" i="10"/>
  <c r="K913" i="10"/>
  <c r="K644" i="10"/>
  <c r="J643" i="10"/>
  <c r="K80" i="8"/>
  <c r="K81" i="8"/>
  <c r="K79" i="8"/>
  <c r="K110" i="9" l="1"/>
  <c r="J109" i="9"/>
  <c r="K163" i="9"/>
  <c r="K145" i="8"/>
  <c r="J144" i="8"/>
  <c r="K285" i="8"/>
  <c r="K286" i="8"/>
  <c r="J374" i="6"/>
  <c r="K278" i="6"/>
  <c r="J277" i="6"/>
  <c r="K95" i="6"/>
  <c r="J94" i="6"/>
  <c r="K50" i="6"/>
  <c r="K49" i="6"/>
  <c r="K137" i="10"/>
  <c r="L136" i="10"/>
  <c r="J827" i="10"/>
  <c r="J774" i="10"/>
  <c r="J685" i="10"/>
  <c r="K684" i="10"/>
  <c r="K407" i="10"/>
  <c r="K406" i="10"/>
  <c r="J912" i="10"/>
  <c r="K911" i="10"/>
  <c r="K204" i="10" l="1"/>
  <c r="R71" i="4"/>
  <c r="R81" i="8"/>
  <c r="R338" i="6"/>
  <c r="R341" i="6"/>
  <c r="R187" i="9"/>
  <c r="R173" i="6"/>
  <c r="R88" i="8"/>
  <c r="S389" i="10"/>
  <c r="S391" i="10"/>
  <c r="S1053" i="10"/>
  <c r="S1005" i="10"/>
  <c r="S601" i="10"/>
  <c r="S582" i="10"/>
  <c r="R145" i="5"/>
  <c r="S189" i="10"/>
  <c r="S188" i="10"/>
  <c r="K192" i="10"/>
  <c r="S26" i="10"/>
  <c r="S18" i="10"/>
  <c r="R271" i="6"/>
  <c r="J283" i="8"/>
  <c r="J282" i="8"/>
  <c r="J281" i="8"/>
  <c r="J280" i="8"/>
  <c r="K278" i="8"/>
  <c r="K277" i="8"/>
  <c r="K276" i="8"/>
  <c r="J275" i="8"/>
  <c r="K274" i="8"/>
  <c r="K272" i="8"/>
  <c r="S623" i="10"/>
  <c r="S625" i="10"/>
  <c r="S628" i="10"/>
  <c r="R646" i="10"/>
  <c r="S658" i="10"/>
  <c r="S660" i="10"/>
  <c r="S662" i="10"/>
  <c r="S672" i="10"/>
  <c r="J873" i="10" l="1"/>
  <c r="J978" i="10"/>
  <c r="J987" i="10"/>
  <c r="J832" i="10"/>
  <c r="J852" i="10"/>
  <c r="J855" i="10"/>
  <c r="J180" i="4"/>
  <c r="J210" i="8"/>
  <c r="K213" i="8" s="1"/>
  <c r="J212" i="8"/>
  <c r="J82" i="4"/>
  <c r="J251" i="6"/>
  <c r="J256" i="6"/>
  <c r="J73" i="4"/>
  <c r="J64" i="7"/>
  <c r="J236" i="6"/>
  <c r="J272" i="5"/>
  <c r="J402" i="10"/>
  <c r="J404" i="10"/>
  <c r="J151" i="7"/>
  <c r="J154" i="7"/>
  <c r="J252" i="9"/>
  <c r="J603" i="10"/>
  <c r="J210" i="5"/>
  <c r="J17" i="9"/>
  <c r="J9" i="9"/>
  <c r="J223" i="6"/>
  <c r="J171" i="8"/>
  <c r="J518" i="10"/>
  <c r="J249" i="10"/>
  <c r="J103" i="4"/>
  <c r="J254" i="8"/>
  <c r="J261" i="8"/>
  <c r="J101" i="7"/>
  <c r="K247" i="5"/>
  <c r="J245" i="5"/>
  <c r="J219" i="6"/>
  <c r="K220" i="6" s="1"/>
  <c r="J199" i="5"/>
  <c r="J168" i="4"/>
  <c r="J261" i="10"/>
  <c r="J66" i="9"/>
  <c r="K69" i="9" s="1"/>
  <c r="J68" i="9"/>
  <c r="K62" i="7"/>
  <c r="J61" i="7"/>
  <c r="J151" i="9"/>
  <c r="J786" i="10"/>
  <c r="J284" i="9"/>
  <c r="J50" i="9"/>
  <c r="J53" i="9"/>
  <c r="J161" i="9"/>
  <c r="J180" i="9"/>
  <c r="J182" i="9"/>
  <c r="J424" i="10"/>
  <c r="K427" i="10" s="1"/>
  <c r="J426" i="10"/>
  <c r="J43" i="8"/>
  <c r="K46" i="8" s="1"/>
  <c r="J45" i="8"/>
  <c r="J216" i="6"/>
  <c r="J502" i="10"/>
  <c r="J505" i="10"/>
  <c r="J493" i="10"/>
  <c r="K496" i="10" s="1"/>
  <c r="J495" i="10"/>
  <c r="J384" i="6"/>
  <c r="J98" i="10"/>
  <c r="J63" i="8"/>
  <c r="J72" i="8"/>
  <c r="J77" i="8"/>
  <c r="J160" i="4"/>
  <c r="J203" i="8"/>
  <c r="J1110" i="10"/>
  <c r="J1114" i="10"/>
  <c r="J367" i="6"/>
  <c r="J372" i="6"/>
  <c r="J921" i="10"/>
  <c r="J22" i="9"/>
  <c r="K23" i="9" s="1"/>
  <c r="J349" i="6"/>
  <c r="K350" i="6" s="1"/>
  <c r="J182" i="5"/>
  <c r="J38" i="5"/>
  <c r="J52" i="7"/>
  <c r="K53" i="7" s="1"/>
  <c r="J201" i="9"/>
  <c r="J159" i="8"/>
  <c r="J165" i="8"/>
  <c r="J205" i="6"/>
  <c r="J211" i="6"/>
  <c r="J101" i="10"/>
  <c r="K102" i="10" s="1"/>
  <c r="K26" i="9"/>
  <c r="J25" i="9"/>
  <c r="J225" i="9"/>
  <c r="J233" i="9"/>
  <c r="J83" i="8"/>
  <c r="K84" i="8" s="1"/>
  <c r="J296" i="9"/>
  <c r="J299" i="9"/>
  <c r="J229" i="8"/>
  <c r="J226" i="8"/>
  <c r="J39" i="9"/>
  <c r="J187" i="6"/>
  <c r="J189" i="6"/>
  <c r="J180" i="6"/>
  <c r="J170" i="6"/>
  <c r="J310" i="9"/>
  <c r="J158" i="5"/>
  <c r="J79" i="9"/>
  <c r="J115" i="4"/>
  <c r="J43" i="7"/>
  <c r="K44" i="7" s="1"/>
  <c r="J154" i="4"/>
  <c r="K159" i="5"/>
  <c r="J155" i="5"/>
  <c r="K156" i="5" s="1"/>
  <c r="J825" i="10"/>
  <c r="J18" i="6"/>
  <c r="J772" i="10"/>
  <c r="K604" i="10"/>
  <c r="J600" i="10"/>
  <c r="J1070" i="10"/>
  <c r="J147" i="10"/>
  <c r="J150" i="5"/>
  <c r="K151" i="5" s="1"/>
  <c r="J353" i="10"/>
  <c r="J96" i="4"/>
  <c r="J174" i="8"/>
  <c r="K37" i="9"/>
  <c r="K40" i="9"/>
  <c r="J33" i="9"/>
  <c r="K34" i="9" s="1"/>
  <c r="J145" i="4"/>
  <c r="K148" i="5"/>
  <c r="J147" i="5"/>
  <c r="K45" i="4"/>
  <c r="J44" i="4"/>
  <c r="J335" i="6"/>
  <c r="K175" i="8"/>
  <c r="J180" i="8"/>
  <c r="J1088" i="10"/>
  <c r="J37" i="10"/>
  <c r="J125" i="4"/>
  <c r="K126" i="4" s="1"/>
  <c r="J90" i="4"/>
  <c r="J194" i="10"/>
  <c r="K195" i="10" s="1"/>
  <c r="J140" i="5"/>
  <c r="J273" i="9"/>
  <c r="J202" i="4"/>
  <c r="J763" i="10"/>
  <c r="J760" i="10"/>
  <c r="J21" i="10"/>
  <c r="J25" i="10"/>
  <c r="J170" i="9"/>
  <c r="J23" i="5"/>
  <c r="J119" i="5"/>
  <c r="K120" i="5" s="1"/>
  <c r="K37" i="7"/>
  <c r="J36" i="7"/>
  <c r="J33" i="8"/>
  <c r="J36" i="8"/>
  <c r="J109" i="8"/>
  <c r="K91" i="4"/>
  <c r="K74" i="4"/>
  <c r="K83" i="4"/>
  <c r="J87" i="4"/>
  <c r="K88" i="4" s="1"/>
  <c r="J150" i="10"/>
  <c r="K151" i="10" s="1"/>
  <c r="J111" i="4"/>
  <c r="K112" i="4" s="1"/>
  <c r="K466" i="10"/>
  <c r="K472" i="10"/>
  <c r="J743" i="10"/>
  <c r="K19" i="8"/>
  <c r="J18" i="8"/>
  <c r="J130" i="6"/>
  <c r="J127" i="6"/>
  <c r="J456" i="10"/>
  <c r="J459" i="10"/>
  <c r="J103" i="6"/>
  <c r="K106" i="6" s="1"/>
  <c r="J105" i="6"/>
  <c r="K87" i="7"/>
  <c r="J86" i="7"/>
  <c r="J728" i="10"/>
  <c r="J108" i="4"/>
  <c r="K109" i="4" s="1"/>
  <c r="J142" i="8"/>
  <c r="J89" i="10"/>
  <c r="J32" i="4"/>
  <c r="J270" i="6"/>
  <c r="J904" i="10"/>
  <c r="J909" i="10"/>
  <c r="J261" i="6"/>
  <c r="J135" i="7"/>
  <c r="J28" i="7"/>
  <c r="J103" i="5"/>
  <c r="K104" i="5" s="1"/>
  <c r="K138" i="9"/>
  <c r="J137" i="9"/>
  <c r="J100" i="5"/>
  <c r="K14" i="5"/>
  <c r="J13" i="5"/>
  <c r="J700" i="10"/>
  <c r="J709" i="10"/>
  <c r="J191" i="4"/>
  <c r="J185" i="10"/>
  <c r="K566" i="10"/>
  <c r="J23" i="4"/>
  <c r="K24" i="4"/>
  <c r="J93" i="5"/>
  <c r="K94" i="5" s="1"/>
  <c r="J486" i="10"/>
  <c r="J490" i="10"/>
  <c r="J312" i="6"/>
  <c r="K315" i="6" s="1"/>
  <c r="J314" i="6"/>
  <c r="J90" i="5"/>
  <c r="K91" i="5" s="1"/>
  <c r="J441" i="10"/>
  <c r="J443" i="10"/>
  <c r="J372" i="10"/>
  <c r="J85" i="9"/>
  <c r="J235" i="5"/>
  <c r="J85" i="5"/>
  <c r="J79" i="7"/>
  <c r="J59" i="9"/>
  <c r="J186" i="4"/>
  <c r="K187" i="4" s="1"/>
  <c r="J306" i="6"/>
  <c r="J92" i="6"/>
  <c r="J275" i="6"/>
  <c r="J79" i="5"/>
  <c r="K134" i="9"/>
  <c r="J107" i="9"/>
  <c r="K230" i="5"/>
  <c r="J229" i="5"/>
  <c r="J70" i="5"/>
  <c r="J296" i="6"/>
  <c r="J12" i="7"/>
  <c r="J73" i="7"/>
  <c r="K65" i="7"/>
  <c r="K74" i="7"/>
  <c r="K80" i="7"/>
  <c r="J9" i="7"/>
  <c r="K10" i="7"/>
  <c r="K13" i="7"/>
  <c r="J66" i="8"/>
  <c r="K67" i="8" s="1"/>
  <c r="J120" i="4"/>
  <c r="K121" i="4" s="1"/>
  <c r="J12" i="4"/>
  <c r="K13" i="4" s="1"/>
  <c r="J10" i="5"/>
  <c r="J73" i="6"/>
  <c r="J126" i="7"/>
  <c r="K127" i="7" s="1"/>
  <c r="K555" i="10"/>
  <c r="J510" i="10"/>
  <c r="K513" i="10" s="1"/>
  <c r="J512" i="10"/>
  <c r="J134" i="10"/>
  <c r="J11" i="8"/>
  <c r="K12" i="8" s="1"/>
  <c r="R50" i="6"/>
  <c r="J47" i="6"/>
  <c r="J62" i="5"/>
  <c r="J114" i="9"/>
  <c r="J52" i="5"/>
  <c r="K53" i="5" s="1"/>
  <c r="K113" i="7"/>
  <c r="J112" i="7"/>
  <c r="J119" i="10"/>
  <c r="K10" i="4"/>
  <c r="J9" i="4"/>
  <c r="J49" i="5"/>
  <c r="K190" i="6" l="1"/>
  <c r="J641" i="10"/>
  <c r="J655" i="10"/>
  <c r="J579" i="10"/>
  <c r="J47" i="10"/>
  <c r="K48" i="10" s="1"/>
  <c r="J84" i="10"/>
  <c r="J682" i="10"/>
  <c r="J671" i="10"/>
  <c r="J68" i="10"/>
  <c r="J104" i="10" l="1"/>
  <c r="K105" i="10" s="1"/>
  <c r="J610" i="10"/>
  <c r="J620" i="10"/>
  <c r="J161" i="10"/>
  <c r="J76" i="10"/>
  <c r="J208" i="10"/>
  <c r="K209" i="10" s="1"/>
  <c r="K366" i="6" l="1"/>
  <c r="K293" i="6"/>
  <c r="K292" i="6"/>
  <c r="K204" i="6"/>
  <c r="K203" i="6"/>
  <c r="K177" i="6"/>
  <c r="R170" i="5"/>
  <c r="K50" i="5"/>
  <c r="K187" i="5" l="1"/>
  <c r="K165" i="5"/>
  <c r="K212" i="4"/>
  <c r="R203" i="4"/>
  <c r="K62" i="4"/>
  <c r="K38" i="4"/>
  <c r="G9762" i="31" l="1"/>
  <c r="G6790" i="31"/>
  <c r="G3893" i="31"/>
  <c r="G2402" i="31"/>
  <c r="G2401" i="31"/>
  <c r="G2658" i="31"/>
  <c r="G2385" i="31"/>
  <c r="J255" i="6" l="1"/>
  <c r="J235" i="6"/>
  <c r="R168" i="8"/>
  <c r="K112" i="5"/>
  <c r="K129" i="6"/>
  <c r="J91" i="6"/>
  <c r="J46" i="6"/>
  <c r="J371" i="6"/>
  <c r="K370" i="6"/>
  <c r="K369" i="6"/>
  <c r="K210" i="6"/>
  <c r="J209" i="6"/>
  <c r="J208" i="6"/>
  <c r="K207" i="6"/>
  <c r="J108" i="8"/>
  <c r="K110" i="8" s="1"/>
  <c r="K260" i="8"/>
  <c r="J259" i="8"/>
  <c r="J258" i="8"/>
  <c r="J228" i="8"/>
  <c r="K141" i="8"/>
  <c r="K140" i="8"/>
  <c r="K139" i="8"/>
  <c r="K138" i="8"/>
  <c r="J137" i="8"/>
  <c r="J160" i="9"/>
  <c r="K164" i="9" s="1"/>
  <c r="J30" i="9"/>
  <c r="K31" i="9" s="1"/>
  <c r="K228" i="9"/>
  <c r="J169" i="9"/>
  <c r="J58" i="9"/>
  <c r="K60" i="9" s="1"/>
  <c r="K133" i="9"/>
  <c r="K132" i="9"/>
  <c r="K131" i="9"/>
  <c r="J130" i="9"/>
  <c r="K129" i="9"/>
  <c r="J129" i="9"/>
  <c r="J128" i="9"/>
  <c r="J277" i="5"/>
  <c r="K251" i="9"/>
  <c r="J251" i="9"/>
  <c r="J250" i="9"/>
  <c r="J249" i="9"/>
  <c r="J248" i="9"/>
  <c r="K272" i="9"/>
  <c r="J272" i="9"/>
  <c r="K274" i="9" s="1"/>
  <c r="K298" i="9"/>
  <c r="J200" i="9"/>
  <c r="K232" i="9"/>
  <c r="K231" i="9"/>
  <c r="K230" i="9"/>
  <c r="K229" i="9"/>
  <c r="J202" i="5"/>
  <c r="J84" i="5"/>
  <c r="J271" i="5"/>
  <c r="K270" i="5"/>
  <c r="J269" i="5"/>
  <c r="J144" i="4"/>
  <c r="J143" i="4"/>
  <c r="J142" i="4"/>
  <c r="J207" i="4"/>
  <c r="J114" i="4"/>
  <c r="K116" i="4" s="1"/>
  <c r="J95" i="4"/>
  <c r="K97" i="4" s="1"/>
  <c r="K458" i="10"/>
  <c r="J762" i="10"/>
  <c r="K908" i="10"/>
  <c r="K907" i="10"/>
  <c r="J907" i="10"/>
  <c r="K640" i="10"/>
  <c r="K639" i="10"/>
  <c r="K638" i="10"/>
  <c r="J75" i="10"/>
  <c r="J854" i="10"/>
  <c r="K260" i="10"/>
  <c r="J260" i="10"/>
  <c r="K782" i="10"/>
  <c r="J785" i="10"/>
  <c r="J784" i="10"/>
  <c r="J783" i="10"/>
  <c r="J95" i="10"/>
  <c r="J824" i="10"/>
  <c r="J823" i="10"/>
  <c r="J822" i="10"/>
  <c r="J821" i="10"/>
  <c r="K821" i="10"/>
  <c r="K820" i="10"/>
  <c r="J819" i="10"/>
  <c r="K818" i="10"/>
  <c r="J818" i="10"/>
  <c r="J599" i="10"/>
  <c r="J598" i="10"/>
  <c r="K598" i="10"/>
  <c r="J597" i="10"/>
  <c r="J36" i="10"/>
  <c r="J24" i="10" l="1"/>
  <c r="J654" i="10"/>
  <c r="K1034" i="10"/>
  <c r="J1034" i="10"/>
  <c r="K708" i="10" l="1"/>
  <c r="J707" i="10"/>
  <c r="J706" i="10"/>
  <c r="J705" i="10"/>
  <c r="K704" i="10"/>
  <c r="J703" i="10"/>
  <c r="K702" i="10"/>
  <c r="K471" i="10"/>
  <c r="K470" i="10"/>
  <c r="K283" i="10"/>
  <c r="K565" i="10"/>
  <c r="K564" i="10"/>
  <c r="K563" i="10"/>
  <c r="J562" i="10"/>
  <c r="J561" i="10"/>
  <c r="K560" i="10"/>
  <c r="J160" i="10"/>
  <c r="J578" i="10"/>
  <c r="K580" i="10" s="1"/>
  <c r="K386" i="10"/>
  <c r="J386" i="10"/>
  <c r="J385" i="10"/>
  <c r="J352" i="10"/>
  <c r="J351" i="10"/>
  <c r="K350" i="10"/>
  <c r="K349" i="10"/>
  <c r="J348" i="10"/>
  <c r="S9" i="10"/>
  <c r="J14" i="10"/>
  <c r="S357" i="10"/>
  <c r="K371" i="10"/>
  <c r="K370" i="10"/>
  <c r="K369" i="10"/>
  <c r="J369" i="10"/>
  <c r="J986" i="10"/>
  <c r="L985" i="10"/>
  <c r="K985" i="10"/>
  <c r="K984" i="10"/>
  <c r="J984" i="10"/>
  <c r="J983" i="10"/>
  <c r="L982" i="10"/>
  <c r="J981" i="10"/>
  <c r="J980" i="10"/>
  <c r="K935" i="10"/>
  <c r="J935" i="10"/>
  <c r="K936" i="10" s="1"/>
  <c r="K742" i="10" l="1"/>
  <c r="K619" i="10"/>
  <c r="K621" i="10" s="1"/>
  <c r="J97" i="10"/>
  <c r="K609" i="10"/>
  <c r="K608" i="10"/>
  <c r="K1099" i="10"/>
  <c r="J1099" i="10"/>
  <c r="L133" i="10"/>
  <c r="L132" i="10"/>
  <c r="K1100" i="10" l="1"/>
  <c r="K611" i="10"/>
  <c r="R95" i="10"/>
  <c r="S99" i="10" s="1"/>
  <c r="J96" i="10"/>
  <c r="K99" i="10" s="1"/>
  <c r="J489" i="10"/>
  <c r="G4" i="31" l="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6" i="31"/>
  <c r="G3417" i="31"/>
  <c r="G3418" i="31"/>
  <c r="G3419" i="31"/>
  <c r="G3421" i="31"/>
  <c r="G3422" i="31"/>
  <c r="G3423" i="31"/>
  <c r="G3424" i="31"/>
  <c r="G3425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2" i="31"/>
  <c r="G3563" i="31"/>
  <c r="G3564" i="31"/>
  <c r="G3565" i="31"/>
  <c r="G3566" i="31"/>
  <c r="G3567" i="31"/>
  <c r="G3568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9" i="31"/>
  <c r="G3600" i="31"/>
  <c r="G3601" i="31"/>
  <c r="G3602" i="31"/>
  <c r="G3603" i="31"/>
  <c r="G3605" i="31"/>
  <c r="G3606" i="31"/>
  <c r="G3607" i="31"/>
  <c r="G3608" i="31"/>
  <c r="G3609" i="31"/>
  <c r="G3610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G6695" i="31"/>
  <c r="G6696" i="31"/>
  <c r="G6697" i="31"/>
  <c r="G6698" i="31"/>
  <c r="G6699" i="31"/>
  <c r="G6700" i="31"/>
  <c r="G6701" i="31"/>
  <c r="G6702" i="31"/>
  <c r="G6703" i="31"/>
  <c r="G6704" i="31"/>
  <c r="G6705" i="31"/>
  <c r="G6706" i="31"/>
  <c r="G6707" i="31"/>
  <c r="G6708" i="31"/>
  <c r="G6709" i="31"/>
  <c r="G6710" i="31"/>
  <c r="G6711" i="31"/>
  <c r="G6712" i="31"/>
  <c r="G6713" i="31"/>
  <c r="G6714" i="31"/>
  <c r="G6715" i="31"/>
  <c r="G6716" i="31"/>
  <c r="G6717" i="31"/>
  <c r="G6718" i="31"/>
  <c r="G6719" i="31"/>
  <c r="G6720" i="31"/>
  <c r="G6721" i="31"/>
  <c r="G6722" i="31"/>
  <c r="G6723" i="31"/>
  <c r="G6724" i="31"/>
  <c r="G6725" i="31"/>
  <c r="G6726" i="31"/>
  <c r="G6727" i="31"/>
  <c r="G6728" i="31"/>
  <c r="G6729" i="31"/>
  <c r="G6730" i="31"/>
  <c r="G6731" i="31"/>
  <c r="G6732" i="31"/>
  <c r="G6733" i="31"/>
  <c r="G6734" i="31"/>
  <c r="G6735" i="31"/>
  <c r="G6736" i="31"/>
  <c r="G6737" i="31"/>
  <c r="G6738" i="31"/>
  <c r="G6739" i="31"/>
  <c r="G6740" i="31"/>
  <c r="G6741" i="31"/>
  <c r="G6742" i="31"/>
  <c r="G6743" i="31"/>
  <c r="G6744" i="31"/>
  <c r="G6745" i="31"/>
  <c r="G6746" i="31"/>
  <c r="G6747" i="31"/>
  <c r="G6748" i="31"/>
  <c r="G6749" i="31"/>
  <c r="G6750" i="31"/>
  <c r="G6751" i="31"/>
  <c r="G6752" i="31"/>
  <c r="G6753" i="31"/>
  <c r="G6754" i="31"/>
  <c r="G6755" i="31"/>
  <c r="G6756" i="31"/>
  <c r="G6757" i="31"/>
  <c r="G6758" i="31"/>
  <c r="G6759" i="31"/>
  <c r="G6760" i="31"/>
  <c r="G6761" i="31"/>
  <c r="G6762" i="31"/>
  <c r="G6763" i="31"/>
  <c r="G6764" i="31"/>
  <c r="G6765" i="31"/>
  <c r="G6766" i="31"/>
  <c r="G6767" i="31"/>
  <c r="G6768" i="31"/>
  <c r="G6769" i="31"/>
  <c r="G6770" i="31"/>
  <c r="G6771" i="31"/>
  <c r="G6772" i="31"/>
  <c r="G6773" i="31"/>
  <c r="G6774" i="31"/>
  <c r="G6775" i="31"/>
  <c r="G6776" i="31"/>
  <c r="G6777" i="31"/>
  <c r="G6778" i="31"/>
  <c r="G6779" i="31"/>
  <c r="G6780" i="31"/>
  <c r="G6781" i="31"/>
  <c r="G6782" i="31"/>
  <c r="G6783" i="31"/>
  <c r="G6784" i="31"/>
  <c r="G6785" i="31"/>
  <c r="G6786" i="31"/>
  <c r="G6787" i="31"/>
  <c r="G6788" i="31"/>
  <c r="G6789" i="31"/>
  <c r="G6791" i="31"/>
  <c r="G6792" i="31"/>
  <c r="G6793" i="31"/>
  <c r="G6794" i="31"/>
  <c r="G6795" i="31"/>
  <c r="G6796" i="31"/>
  <c r="G6797" i="31"/>
  <c r="G6798" i="31"/>
  <c r="G6799" i="31"/>
  <c r="G6800" i="31"/>
  <c r="G6801" i="31"/>
  <c r="G6802" i="31"/>
  <c r="G6803" i="31"/>
  <c r="G6804" i="31"/>
  <c r="G6805" i="31"/>
  <c r="G6806" i="31"/>
  <c r="G6807" i="31"/>
  <c r="G6808" i="31"/>
  <c r="G6809" i="31"/>
  <c r="G6810" i="31"/>
  <c r="G6811" i="31"/>
  <c r="G6812" i="31"/>
  <c r="G6813" i="31"/>
  <c r="G6814" i="31"/>
  <c r="G6815" i="31"/>
  <c r="G6816" i="31"/>
  <c r="G6817" i="31"/>
  <c r="G6818" i="31"/>
  <c r="G6819" i="31"/>
  <c r="G6820" i="31"/>
  <c r="G6821" i="31"/>
  <c r="G6822" i="31"/>
  <c r="G6823" i="31"/>
  <c r="G6824" i="31"/>
  <c r="G6825" i="31"/>
  <c r="G6826" i="31"/>
  <c r="G6827" i="31"/>
  <c r="G6828" i="31"/>
  <c r="G6829" i="31"/>
  <c r="G6830" i="31"/>
  <c r="G6831" i="31"/>
  <c r="G6832" i="31"/>
  <c r="G6833" i="31"/>
  <c r="G6834" i="31"/>
  <c r="G6835" i="31"/>
  <c r="G6836" i="31"/>
  <c r="G6837" i="31"/>
  <c r="G6838" i="31"/>
  <c r="G6839" i="31"/>
  <c r="G6840" i="31"/>
  <c r="G6841" i="31"/>
  <c r="G6842" i="31"/>
  <c r="G6843" i="31"/>
  <c r="G6844" i="31"/>
  <c r="G6845" i="31"/>
  <c r="G6846" i="31"/>
  <c r="G6847" i="31"/>
  <c r="G6848" i="31"/>
  <c r="G6849" i="31"/>
  <c r="G6850" i="31"/>
  <c r="G6851" i="31"/>
  <c r="G6852" i="31"/>
  <c r="G6853" i="31"/>
  <c r="G6854" i="31"/>
  <c r="G6855" i="31"/>
  <c r="G6856" i="31"/>
  <c r="G6857" i="31"/>
  <c r="G6858" i="31"/>
  <c r="G6859" i="31"/>
  <c r="G6860" i="31"/>
  <c r="G6861" i="31"/>
  <c r="G6862" i="31"/>
  <c r="G6863" i="31"/>
  <c r="G6864" i="31"/>
  <c r="G6865" i="31"/>
  <c r="G6866" i="31"/>
  <c r="G6867" i="31"/>
  <c r="G6868" i="31"/>
  <c r="G6869" i="31"/>
  <c r="G6870" i="31"/>
  <c r="G6871" i="31"/>
  <c r="G6872" i="31"/>
  <c r="G6873" i="31"/>
  <c r="G6874" i="31"/>
  <c r="G6875" i="31"/>
  <c r="G6876" i="31"/>
  <c r="G6877" i="31"/>
  <c r="G6878" i="31"/>
  <c r="G6879" i="31"/>
  <c r="G6880" i="31"/>
  <c r="G6881" i="31"/>
  <c r="G6882" i="31"/>
  <c r="G6883" i="31"/>
  <c r="G6884" i="31"/>
  <c r="G6885" i="31"/>
  <c r="G6886" i="31"/>
  <c r="G6887" i="31"/>
  <c r="G6888" i="31"/>
  <c r="G6889" i="31"/>
  <c r="G6890" i="31"/>
  <c r="G6891" i="31"/>
  <c r="G6892" i="31"/>
  <c r="G6893" i="31"/>
  <c r="G6894" i="31"/>
  <c r="G6895" i="31"/>
  <c r="G6896" i="31"/>
  <c r="G6897" i="31"/>
  <c r="G6898" i="31"/>
  <c r="G6899" i="31"/>
  <c r="G6900" i="31"/>
  <c r="G6901" i="31"/>
  <c r="G6902" i="31"/>
  <c r="G6903" i="31"/>
  <c r="G6904" i="31"/>
  <c r="G6905" i="31"/>
  <c r="G6906" i="31"/>
  <c r="G6907" i="31"/>
  <c r="G6908" i="31"/>
  <c r="G6909" i="31"/>
  <c r="G6910" i="31"/>
  <c r="G6911" i="31"/>
  <c r="G6912" i="31"/>
  <c r="G6913" i="31"/>
  <c r="G6914" i="31"/>
  <c r="G6915" i="31"/>
  <c r="G6916" i="31"/>
  <c r="G6917" i="31"/>
  <c r="G6918" i="31"/>
  <c r="G6919" i="31"/>
  <c r="G6920" i="31"/>
  <c r="G6921" i="31"/>
  <c r="G6922" i="31"/>
  <c r="G6923" i="31"/>
  <c r="G6924" i="31"/>
  <c r="G6925" i="31"/>
  <c r="G6926" i="31"/>
  <c r="G6927" i="31"/>
  <c r="G6928" i="31"/>
  <c r="G6929" i="31"/>
  <c r="G6930" i="31"/>
  <c r="G6931" i="31"/>
  <c r="G6932" i="31"/>
  <c r="G6933" i="31"/>
  <c r="G6934" i="31"/>
  <c r="G6935" i="31"/>
  <c r="G6936" i="31"/>
  <c r="G6937" i="31"/>
  <c r="G6938" i="31"/>
  <c r="G6939" i="31"/>
  <c r="G6940" i="31"/>
  <c r="G6941" i="31"/>
  <c r="G6942" i="31"/>
  <c r="G6943" i="31"/>
  <c r="G6944" i="31"/>
  <c r="G6945" i="31"/>
  <c r="G6946" i="31"/>
  <c r="G6947" i="31"/>
  <c r="G6948" i="31"/>
  <c r="G6949" i="31"/>
  <c r="G6950" i="31"/>
  <c r="G6951" i="31"/>
  <c r="G6952" i="31"/>
  <c r="G6953" i="31"/>
  <c r="G6954" i="31"/>
  <c r="G6955" i="31"/>
  <c r="G6956" i="31"/>
  <c r="G6957" i="31"/>
  <c r="G6958" i="31"/>
  <c r="G6959" i="31"/>
  <c r="G6960" i="31"/>
  <c r="G6961" i="31"/>
  <c r="G6962" i="31"/>
  <c r="G6963" i="31"/>
  <c r="G6964" i="31"/>
  <c r="G6965" i="31"/>
  <c r="G6966" i="31"/>
  <c r="G6967" i="31"/>
  <c r="G6968" i="31"/>
  <c r="G6969" i="31"/>
  <c r="G6970" i="31"/>
  <c r="G6971" i="31"/>
  <c r="G6972" i="31"/>
  <c r="G6973" i="31"/>
  <c r="G6974" i="31"/>
  <c r="G6975" i="31"/>
  <c r="G6976" i="31"/>
  <c r="G6977" i="31"/>
  <c r="G6978" i="31"/>
  <c r="G6979" i="31"/>
  <c r="G6980" i="31"/>
  <c r="G6981" i="31"/>
  <c r="G6982" i="31"/>
  <c r="G6983" i="31"/>
  <c r="G6984" i="31"/>
  <c r="G6985" i="31"/>
  <c r="G6986" i="31"/>
  <c r="G6987" i="31"/>
  <c r="G6988" i="31"/>
  <c r="G6989" i="31"/>
  <c r="G6990" i="31"/>
  <c r="G6991" i="31"/>
  <c r="G6992" i="31"/>
  <c r="G6993" i="31"/>
  <c r="G6994" i="31"/>
  <c r="G6995" i="31"/>
  <c r="G6996" i="31"/>
  <c r="G6997" i="31"/>
  <c r="G6998" i="31"/>
  <c r="G6999" i="31"/>
  <c r="G7000" i="31"/>
  <c r="G7001" i="31"/>
  <c r="G7002" i="31"/>
  <c r="G7003" i="31"/>
  <c r="G7004" i="31"/>
  <c r="G7005" i="31"/>
  <c r="G7006" i="31"/>
  <c r="G7007" i="31"/>
  <c r="G7008" i="31"/>
  <c r="G7009" i="31"/>
  <c r="G7010" i="31"/>
  <c r="G7011" i="31"/>
  <c r="G7012" i="31"/>
  <c r="G7013" i="31"/>
  <c r="G7014" i="31"/>
  <c r="G7015" i="31"/>
  <c r="G7016" i="31"/>
  <c r="G7017" i="31"/>
  <c r="G7018" i="31"/>
  <c r="G7019" i="31"/>
  <c r="G7020" i="31"/>
  <c r="G7021" i="31"/>
  <c r="G7022" i="31"/>
  <c r="G7023" i="31"/>
  <c r="G7024" i="31"/>
  <c r="G7025" i="31"/>
  <c r="G7026" i="31"/>
  <c r="G7027" i="31"/>
  <c r="G7028" i="31"/>
  <c r="G7029" i="31"/>
  <c r="G7030" i="31"/>
  <c r="G7031" i="31"/>
  <c r="G7032" i="31"/>
  <c r="G7033" i="31"/>
  <c r="G7034" i="31"/>
  <c r="G7035" i="31"/>
  <c r="G7036" i="31"/>
  <c r="G7037" i="31"/>
  <c r="G7038" i="31"/>
  <c r="G7039" i="31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G7344" i="31"/>
  <c r="G7345" i="31"/>
  <c r="G7346" i="31"/>
  <c r="G7347" i="31"/>
  <c r="G7348" i="31"/>
  <c r="G7349" i="31"/>
  <c r="G7350" i="31"/>
  <c r="G7351" i="31"/>
  <c r="G7352" i="31"/>
  <c r="G7353" i="31"/>
  <c r="G7354" i="31"/>
  <c r="G7355" i="31"/>
  <c r="G7356" i="31"/>
  <c r="G7357" i="31"/>
  <c r="G7358" i="31"/>
  <c r="G7359" i="31"/>
  <c r="G7360" i="31"/>
  <c r="G7361" i="31"/>
  <c r="G7362" i="31"/>
  <c r="G7363" i="31"/>
  <c r="G7364" i="31"/>
  <c r="G7365" i="31"/>
  <c r="G7366" i="31"/>
  <c r="G7367" i="31"/>
  <c r="G7368" i="31"/>
  <c r="G7369" i="31"/>
  <c r="G7370" i="31"/>
  <c r="G7371" i="31"/>
  <c r="G7372" i="31"/>
  <c r="G7373" i="31"/>
  <c r="G7374" i="31"/>
  <c r="G7375" i="31"/>
  <c r="G7376" i="31"/>
  <c r="G7377" i="31"/>
  <c r="G7378" i="31"/>
  <c r="G7379" i="31"/>
  <c r="G7380" i="31"/>
  <c r="G7381" i="31"/>
  <c r="G7382" i="31"/>
  <c r="G7383" i="31"/>
  <c r="G7384" i="31"/>
  <c r="G7385" i="31"/>
  <c r="G7386" i="31"/>
  <c r="G7387" i="31"/>
  <c r="G7388" i="31"/>
  <c r="G7389" i="31"/>
  <c r="G7390" i="31"/>
  <c r="G7391" i="31"/>
  <c r="G7392" i="31"/>
  <c r="G7393" i="31"/>
  <c r="G7394" i="31"/>
  <c r="G7395" i="31"/>
  <c r="G7396" i="31"/>
  <c r="G7397" i="31"/>
  <c r="G7398" i="31"/>
  <c r="G7399" i="31"/>
  <c r="G7400" i="31"/>
  <c r="G7401" i="31"/>
  <c r="G7402" i="31"/>
  <c r="G7403" i="31"/>
  <c r="G7404" i="31"/>
  <c r="G7405" i="31"/>
  <c r="G7406" i="31"/>
  <c r="G7407" i="31"/>
  <c r="G7408" i="31"/>
  <c r="G7409" i="31"/>
  <c r="G7410" i="31"/>
  <c r="G7411" i="31"/>
  <c r="G7412" i="31"/>
  <c r="G7413" i="31"/>
  <c r="G7414" i="31"/>
  <c r="G7415" i="31"/>
  <c r="G7416" i="31"/>
  <c r="G7417" i="31"/>
  <c r="G7418" i="31"/>
  <c r="G7419" i="31"/>
  <c r="G7420" i="31"/>
  <c r="G7421" i="31"/>
  <c r="G7422" i="31"/>
  <c r="G7423" i="31"/>
  <c r="G7424" i="31"/>
  <c r="G7425" i="31"/>
  <c r="G7426" i="31"/>
  <c r="G7427" i="31"/>
  <c r="G7428" i="31"/>
  <c r="G7429" i="31"/>
  <c r="G7430" i="31"/>
  <c r="G7431" i="31"/>
  <c r="G7432" i="31"/>
  <c r="G7433" i="31"/>
  <c r="G7434" i="31"/>
  <c r="G7435" i="31"/>
  <c r="G7436" i="31"/>
  <c r="G7437" i="31"/>
  <c r="G7438" i="31"/>
  <c r="G7439" i="31"/>
  <c r="G7440" i="31"/>
  <c r="G7441" i="31"/>
  <c r="G7442" i="31"/>
  <c r="G7443" i="31"/>
  <c r="G7444" i="31"/>
  <c r="G7445" i="31"/>
  <c r="G7446" i="31"/>
  <c r="G7447" i="31"/>
  <c r="G7448" i="31"/>
  <c r="G7449" i="31"/>
  <c r="G7450" i="31"/>
  <c r="G7451" i="31"/>
  <c r="G7452" i="31"/>
  <c r="G7453" i="31"/>
  <c r="G7454" i="31"/>
  <c r="G7455" i="31"/>
  <c r="G7456" i="31"/>
  <c r="G7457" i="31"/>
  <c r="G7458" i="31"/>
  <c r="G7459" i="31"/>
  <c r="G7460" i="31"/>
  <c r="G7461" i="31"/>
  <c r="G7462" i="31"/>
  <c r="G7463" i="31"/>
  <c r="G7464" i="31"/>
  <c r="G7465" i="31"/>
  <c r="G7466" i="31"/>
  <c r="G7467" i="31"/>
  <c r="G7468" i="31"/>
  <c r="G7469" i="31"/>
  <c r="G7470" i="31"/>
  <c r="G7471" i="31"/>
  <c r="G7472" i="31"/>
  <c r="G7473" i="31"/>
  <c r="G7474" i="31"/>
  <c r="G7475" i="31"/>
  <c r="G7476" i="31"/>
  <c r="G7477" i="31"/>
  <c r="G7478" i="31"/>
  <c r="G7479" i="31"/>
  <c r="G7480" i="31"/>
  <c r="G7481" i="31"/>
  <c r="G7482" i="31"/>
  <c r="G7483" i="31"/>
  <c r="G7484" i="31"/>
  <c r="G7485" i="31"/>
  <c r="G7486" i="31"/>
  <c r="G7487" i="31"/>
  <c r="G7488" i="31"/>
  <c r="G7489" i="31"/>
  <c r="G7490" i="31"/>
  <c r="G7491" i="31"/>
  <c r="G7492" i="31"/>
  <c r="G7493" i="31"/>
  <c r="G7494" i="31"/>
  <c r="G7495" i="31"/>
  <c r="G7496" i="31"/>
  <c r="G7497" i="31"/>
  <c r="G7498" i="31"/>
  <c r="G7499" i="31"/>
  <c r="G7500" i="31"/>
  <c r="G7501" i="31"/>
  <c r="G7502" i="31"/>
  <c r="G7503" i="31"/>
  <c r="G7504" i="31"/>
  <c r="G7505" i="31"/>
  <c r="G7506" i="31"/>
  <c r="G7507" i="31"/>
  <c r="G7508" i="31"/>
  <c r="G7509" i="31"/>
  <c r="G7510" i="31"/>
  <c r="G7511" i="31"/>
  <c r="G7512" i="31"/>
  <c r="G7513" i="31"/>
  <c r="G7514" i="31"/>
  <c r="G7515" i="31"/>
  <c r="G7516" i="31"/>
  <c r="G7517" i="31"/>
  <c r="G7518" i="31"/>
  <c r="G7519" i="31"/>
  <c r="G7520" i="31"/>
  <c r="G7521" i="31"/>
  <c r="G7522" i="31"/>
  <c r="G7523" i="31"/>
  <c r="G7524" i="31"/>
  <c r="G7525" i="31"/>
  <c r="G7526" i="31"/>
  <c r="G7527" i="31"/>
  <c r="G7528" i="31"/>
  <c r="G7529" i="31"/>
  <c r="G7530" i="31"/>
  <c r="G7531" i="31"/>
  <c r="G7532" i="31"/>
  <c r="G7533" i="31"/>
  <c r="G7534" i="31"/>
  <c r="G7535" i="31"/>
  <c r="G7536" i="31"/>
  <c r="G7537" i="31"/>
  <c r="G7538" i="31"/>
  <c r="G7539" i="31"/>
  <c r="G7540" i="31"/>
  <c r="G7541" i="31"/>
  <c r="G7542" i="31"/>
  <c r="G7543" i="31"/>
  <c r="G7544" i="31"/>
  <c r="G7545" i="31"/>
  <c r="G7546" i="31"/>
  <c r="G7547" i="31"/>
  <c r="G7548" i="31"/>
  <c r="G7549" i="31"/>
  <c r="G7550" i="31"/>
  <c r="G7551" i="31"/>
  <c r="G7552" i="31"/>
  <c r="G7553" i="31"/>
  <c r="G7554" i="31"/>
  <c r="G7555" i="31"/>
  <c r="G7556" i="31"/>
  <c r="G7557" i="31"/>
  <c r="G7558" i="31"/>
  <c r="G7559" i="31"/>
  <c r="G7560" i="31"/>
  <c r="G7561" i="31"/>
  <c r="G7562" i="31"/>
  <c r="G7563" i="31"/>
  <c r="G7564" i="31"/>
  <c r="G7565" i="31"/>
  <c r="G7566" i="31"/>
  <c r="G7567" i="31"/>
  <c r="G7568" i="31"/>
  <c r="G7569" i="31"/>
  <c r="G7570" i="31"/>
  <c r="G7571" i="31"/>
  <c r="G7572" i="31"/>
  <c r="G7573" i="31"/>
  <c r="G7574" i="31"/>
  <c r="G7575" i="31"/>
  <c r="G7576" i="31"/>
  <c r="G7577" i="31"/>
  <c r="G7578" i="31"/>
  <c r="G7579" i="31"/>
  <c r="G7580" i="31"/>
  <c r="G7581" i="31"/>
  <c r="G7582" i="31"/>
  <c r="G7583" i="31"/>
  <c r="G7584" i="31"/>
  <c r="G7585" i="31"/>
  <c r="G7586" i="31"/>
  <c r="G7587" i="31"/>
  <c r="G7588" i="31"/>
  <c r="G7589" i="31"/>
  <c r="G7590" i="31"/>
  <c r="G7591" i="31"/>
  <c r="G7592" i="31"/>
  <c r="G7593" i="31"/>
  <c r="G7594" i="31"/>
  <c r="G7595" i="31"/>
  <c r="G7596" i="31"/>
  <c r="G7597" i="31"/>
  <c r="G7598" i="31"/>
  <c r="G7599" i="31"/>
  <c r="G7600" i="31"/>
  <c r="G7601" i="31"/>
  <c r="G7602" i="31"/>
  <c r="G7603" i="31"/>
  <c r="G7604" i="31"/>
  <c r="G7605" i="31"/>
  <c r="G7606" i="31"/>
  <c r="G7607" i="31"/>
  <c r="G7608" i="31"/>
  <c r="G7609" i="31"/>
  <c r="G7610" i="31"/>
  <c r="G7611" i="31"/>
  <c r="G7612" i="31"/>
  <c r="G7613" i="31"/>
  <c r="G7614" i="31"/>
  <c r="G7615" i="31"/>
  <c r="G7616" i="31"/>
  <c r="G7617" i="31"/>
  <c r="G7618" i="31"/>
  <c r="G7619" i="31"/>
  <c r="G7620" i="31"/>
  <c r="G7621" i="31"/>
  <c r="G7622" i="31"/>
  <c r="G7623" i="31"/>
  <c r="G7624" i="31"/>
  <c r="G7625" i="31"/>
  <c r="G7626" i="31"/>
  <c r="G7627" i="31"/>
  <c r="G7628" i="31"/>
  <c r="G7629" i="31"/>
  <c r="G7630" i="31"/>
  <c r="G7631" i="31"/>
  <c r="G7632" i="31"/>
  <c r="G7633" i="31"/>
  <c r="G7634" i="31"/>
  <c r="G7635" i="31"/>
  <c r="G7636" i="31"/>
  <c r="G7637" i="31"/>
  <c r="G7638" i="31"/>
  <c r="G7639" i="31"/>
  <c r="G7640" i="31"/>
  <c r="G7641" i="31"/>
  <c r="G7642" i="31"/>
  <c r="G7643" i="31"/>
  <c r="G7644" i="31"/>
  <c r="G7645" i="31"/>
  <c r="G7646" i="31"/>
  <c r="G7647" i="31"/>
  <c r="G7648" i="31"/>
  <c r="G7649" i="31"/>
  <c r="G7650" i="31"/>
  <c r="G7651" i="31"/>
  <c r="G7652" i="31"/>
  <c r="G7653" i="31"/>
  <c r="G7654" i="31"/>
  <c r="G7655" i="31"/>
  <c r="G7656" i="31"/>
  <c r="G7657" i="31"/>
  <c r="G7658" i="31"/>
  <c r="G7659" i="31"/>
  <c r="G7660" i="31"/>
  <c r="G7661" i="31"/>
  <c r="G7662" i="31"/>
  <c r="G7663" i="31"/>
  <c r="G7664" i="31"/>
  <c r="G7665" i="31"/>
  <c r="G7666" i="31"/>
  <c r="G7667" i="31"/>
  <c r="G7668" i="31"/>
  <c r="G7669" i="31"/>
  <c r="G7670" i="31"/>
  <c r="G7671" i="31"/>
  <c r="G7672" i="31"/>
  <c r="G7673" i="31"/>
  <c r="G7674" i="31"/>
  <c r="G7675" i="31"/>
  <c r="G7676" i="31"/>
  <c r="G7677" i="31"/>
  <c r="G7678" i="31"/>
  <c r="G7679" i="31"/>
  <c r="G7680" i="31"/>
  <c r="G7681" i="31"/>
  <c r="G7682" i="31"/>
  <c r="G7683" i="31"/>
  <c r="G7684" i="31"/>
  <c r="G7685" i="31"/>
  <c r="G7686" i="31"/>
  <c r="G7687" i="31"/>
  <c r="G7688" i="31"/>
  <c r="G7689" i="31"/>
  <c r="G7690" i="31"/>
  <c r="G7691" i="31"/>
  <c r="G7692" i="31"/>
  <c r="G7693" i="31"/>
  <c r="G7694" i="31"/>
  <c r="G7695" i="31"/>
  <c r="G7696" i="31"/>
  <c r="G7697" i="31"/>
  <c r="G7698" i="31"/>
  <c r="G7699" i="31"/>
  <c r="G7700" i="31"/>
  <c r="G7701" i="31"/>
  <c r="G7702" i="31"/>
  <c r="G7703" i="31"/>
  <c r="G7704" i="31"/>
  <c r="G7705" i="31"/>
  <c r="G7706" i="31"/>
  <c r="G7707" i="31"/>
  <c r="G7708" i="31"/>
  <c r="G7709" i="31"/>
  <c r="G7710" i="31"/>
  <c r="G7711" i="31"/>
  <c r="G7712" i="31"/>
  <c r="G7713" i="31"/>
  <c r="G7714" i="31"/>
  <c r="G7715" i="31"/>
  <c r="G7716" i="31"/>
  <c r="G7717" i="31"/>
  <c r="G7718" i="31"/>
  <c r="G7719" i="31"/>
  <c r="G7720" i="31"/>
  <c r="G7721" i="31"/>
  <c r="G7722" i="31"/>
  <c r="G7723" i="31"/>
  <c r="G7724" i="31"/>
  <c r="G7725" i="31"/>
  <c r="G7726" i="31"/>
  <c r="G7727" i="31"/>
  <c r="G7728" i="31"/>
  <c r="G7729" i="31"/>
  <c r="G7730" i="31"/>
  <c r="G7731" i="31"/>
  <c r="G7732" i="31"/>
  <c r="G7733" i="31"/>
  <c r="G7734" i="31"/>
  <c r="G7735" i="31"/>
  <c r="G7736" i="31"/>
  <c r="G7737" i="31"/>
  <c r="G7738" i="31"/>
  <c r="G7739" i="31"/>
  <c r="G7740" i="31"/>
  <c r="G7741" i="31"/>
  <c r="G7742" i="31"/>
  <c r="G7743" i="31"/>
  <c r="G7744" i="31"/>
  <c r="G7745" i="31"/>
  <c r="G7746" i="31"/>
  <c r="G7747" i="31"/>
  <c r="G7748" i="31"/>
  <c r="G7749" i="31"/>
  <c r="G7750" i="31"/>
  <c r="G7751" i="31"/>
  <c r="G7752" i="31"/>
  <c r="G7753" i="31"/>
  <c r="G7754" i="31"/>
  <c r="G7755" i="31"/>
  <c r="G7756" i="31"/>
  <c r="G7757" i="31"/>
  <c r="G7758" i="31"/>
  <c r="G7759" i="31"/>
  <c r="G7760" i="31"/>
  <c r="G7761" i="31"/>
  <c r="G7762" i="31"/>
  <c r="G7763" i="31"/>
  <c r="G7764" i="31"/>
  <c r="G7765" i="31"/>
  <c r="G7766" i="31"/>
  <c r="G7767" i="31"/>
  <c r="G7768" i="31"/>
  <c r="G7769" i="31"/>
  <c r="G7770" i="31"/>
  <c r="G7771" i="31"/>
  <c r="G7772" i="31"/>
  <c r="G7773" i="31"/>
  <c r="G7774" i="31"/>
  <c r="G7775" i="31"/>
  <c r="G7776" i="31"/>
  <c r="G7777" i="31"/>
  <c r="G7778" i="31"/>
  <c r="G7779" i="31"/>
  <c r="G7780" i="31"/>
  <c r="G7781" i="31"/>
  <c r="G7782" i="31"/>
  <c r="G7783" i="31"/>
  <c r="G7784" i="31"/>
  <c r="G7785" i="31"/>
  <c r="G7786" i="31"/>
  <c r="G7787" i="31"/>
  <c r="G7788" i="31"/>
  <c r="G7789" i="31"/>
  <c r="G7790" i="31"/>
  <c r="G7791" i="31"/>
  <c r="G7792" i="31"/>
  <c r="G7793" i="31"/>
  <c r="G7794" i="31"/>
  <c r="G7795" i="31"/>
  <c r="G7796" i="31"/>
  <c r="G7797" i="31"/>
  <c r="G7798" i="31"/>
  <c r="G7799" i="31"/>
  <c r="G7800" i="31"/>
  <c r="G7801" i="31"/>
  <c r="G7802" i="31"/>
  <c r="G7803" i="31"/>
  <c r="G7804" i="31"/>
  <c r="G7805" i="31"/>
  <c r="G7806" i="31"/>
  <c r="G7807" i="31"/>
  <c r="G7808" i="31"/>
  <c r="G7809" i="31"/>
  <c r="G7810" i="31"/>
  <c r="G7811" i="31"/>
  <c r="G7812" i="31"/>
  <c r="G7813" i="31"/>
  <c r="G7814" i="31"/>
  <c r="G7815" i="31"/>
  <c r="G7816" i="31"/>
  <c r="G7817" i="31"/>
  <c r="G7818" i="31"/>
  <c r="G7819" i="31"/>
  <c r="G7820" i="31"/>
  <c r="G7821" i="31"/>
  <c r="G7822" i="31"/>
  <c r="G7823" i="31"/>
  <c r="G7824" i="31"/>
  <c r="G7825" i="31"/>
  <c r="G7826" i="31"/>
  <c r="G7827" i="31"/>
  <c r="G7828" i="31"/>
  <c r="G7829" i="31"/>
  <c r="G7830" i="31"/>
  <c r="G7831" i="31"/>
  <c r="G7832" i="31"/>
  <c r="G7833" i="31"/>
  <c r="G7834" i="31"/>
  <c r="G7835" i="31"/>
  <c r="G7836" i="31"/>
  <c r="G7837" i="31"/>
  <c r="G7838" i="31"/>
  <c r="G7839" i="31"/>
  <c r="G7840" i="31"/>
  <c r="G7841" i="31"/>
  <c r="G7842" i="31"/>
  <c r="G7843" i="31"/>
  <c r="G7844" i="31"/>
  <c r="G7845" i="31"/>
  <c r="G7846" i="31"/>
  <c r="G7847" i="31"/>
  <c r="G7848" i="31"/>
  <c r="G7849" i="31"/>
  <c r="G7850" i="31"/>
  <c r="G7851" i="31"/>
  <c r="G7852" i="31"/>
  <c r="G7853" i="31"/>
  <c r="G7854" i="31"/>
  <c r="G7855" i="31"/>
  <c r="G7856" i="31"/>
  <c r="G7857" i="31"/>
  <c r="G7858" i="31"/>
  <c r="G7859" i="31"/>
  <c r="G7860" i="31"/>
  <c r="G7861" i="31"/>
  <c r="G7862" i="31"/>
  <c r="G7863" i="31"/>
  <c r="G7864" i="31"/>
  <c r="G7865" i="31"/>
  <c r="G7866" i="31"/>
  <c r="G7867" i="31"/>
  <c r="G7868" i="31"/>
  <c r="G7869" i="31"/>
  <c r="G7870" i="31"/>
  <c r="G7871" i="31"/>
  <c r="G7872" i="31"/>
  <c r="G7873" i="31"/>
  <c r="G7874" i="31"/>
  <c r="G7875" i="31"/>
  <c r="G7876" i="31"/>
  <c r="G7877" i="31"/>
  <c r="G7878" i="31"/>
  <c r="G7879" i="31"/>
  <c r="G7880" i="31"/>
  <c r="G7881" i="31"/>
  <c r="G7882" i="31"/>
  <c r="G7883" i="31"/>
  <c r="G7884" i="31"/>
  <c r="G7885" i="31"/>
  <c r="G7886" i="31"/>
  <c r="G7887" i="31"/>
  <c r="G7888" i="31"/>
  <c r="G7889" i="31"/>
  <c r="G7890" i="31"/>
  <c r="G7891" i="31"/>
  <c r="G7892" i="31"/>
  <c r="G7893" i="31"/>
  <c r="G7894" i="31"/>
  <c r="G7895" i="31"/>
  <c r="G7896" i="31"/>
  <c r="G7897" i="31"/>
  <c r="G7898" i="31"/>
  <c r="G7899" i="31"/>
  <c r="G7900" i="31"/>
  <c r="G7901" i="31"/>
  <c r="G7902" i="31"/>
  <c r="G7903" i="31"/>
  <c r="G7904" i="31"/>
  <c r="G7905" i="31"/>
  <c r="G7906" i="31"/>
  <c r="G7907" i="31"/>
  <c r="G7908" i="31"/>
  <c r="G7909" i="31"/>
  <c r="G7910" i="31"/>
  <c r="G7911" i="31"/>
  <c r="G7912" i="31"/>
  <c r="G7913" i="31"/>
  <c r="G7914" i="31"/>
  <c r="G7915" i="31"/>
  <c r="G7916" i="31"/>
  <c r="G7917" i="31"/>
  <c r="G7918" i="31"/>
  <c r="G7919" i="31"/>
  <c r="G7920" i="31"/>
  <c r="G7921" i="31"/>
  <c r="G7922" i="31"/>
  <c r="G7923" i="31"/>
  <c r="G7924" i="31"/>
  <c r="G7925" i="31"/>
  <c r="G7926" i="31"/>
  <c r="G7927" i="31"/>
  <c r="G7928" i="31"/>
  <c r="G7929" i="31"/>
  <c r="G7930" i="31"/>
  <c r="G7931" i="31"/>
  <c r="G7932" i="31"/>
  <c r="G7933" i="31"/>
  <c r="G7934" i="31"/>
  <c r="G7935" i="31"/>
  <c r="G7936" i="31"/>
  <c r="G7937" i="31"/>
  <c r="G7938" i="31"/>
  <c r="G7939" i="31"/>
  <c r="G7940" i="31"/>
  <c r="G7941" i="31"/>
  <c r="G7942" i="31"/>
  <c r="G7943" i="31"/>
  <c r="G7944" i="31"/>
  <c r="G7945" i="31"/>
  <c r="G7946" i="31"/>
  <c r="G7947" i="31"/>
  <c r="G7948" i="31"/>
  <c r="G7949" i="31"/>
  <c r="G7950" i="31"/>
  <c r="G7951" i="31"/>
  <c r="G7952" i="31"/>
  <c r="G7953" i="31"/>
  <c r="G7954" i="31"/>
  <c r="G7955" i="31"/>
  <c r="G7956" i="31"/>
  <c r="G7957" i="31"/>
  <c r="G7958" i="31"/>
  <c r="G7959" i="31"/>
  <c r="G7960" i="31"/>
  <c r="G7961" i="31"/>
  <c r="G7962" i="31"/>
  <c r="G7963" i="31"/>
  <c r="G7964" i="31"/>
  <c r="G7965" i="31"/>
  <c r="G7966" i="31"/>
  <c r="G7967" i="31"/>
  <c r="G7968" i="31"/>
  <c r="G7969" i="31"/>
  <c r="G7970" i="31"/>
  <c r="G7971" i="31"/>
  <c r="G7972" i="31"/>
  <c r="G7973" i="31"/>
  <c r="G7974" i="31"/>
  <c r="G7975" i="31"/>
  <c r="G7976" i="31"/>
  <c r="G7977" i="31"/>
  <c r="G7978" i="31"/>
  <c r="G7979" i="31"/>
  <c r="G7980" i="31"/>
  <c r="G7981" i="31"/>
  <c r="G7982" i="31"/>
  <c r="G7983" i="31"/>
  <c r="G7984" i="31"/>
  <c r="G7985" i="31"/>
  <c r="G7986" i="31"/>
  <c r="G7987" i="31"/>
  <c r="G7988" i="31"/>
  <c r="G7989" i="31"/>
  <c r="G7990" i="31"/>
  <c r="G7991" i="31"/>
  <c r="G7992" i="31"/>
  <c r="G7993" i="31"/>
  <c r="G7994" i="31"/>
  <c r="G7995" i="31"/>
  <c r="G7996" i="31"/>
  <c r="G7997" i="31"/>
  <c r="G7998" i="31"/>
  <c r="G7999" i="31"/>
  <c r="G8000" i="31"/>
  <c r="G8001" i="31"/>
  <c r="G8002" i="31"/>
  <c r="G8003" i="31"/>
  <c r="G8004" i="31"/>
  <c r="G8005" i="31"/>
  <c r="G8006" i="31"/>
  <c r="G8007" i="31"/>
  <c r="G8008" i="31"/>
  <c r="G8009" i="31"/>
  <c r="G8010" i="31"/>
  <c r="G8011" i="31"/>
  <c r="G8012" i="31"/>
  <c r="G8013" i="31"/>
  <c r="G8014" i="31"/>
  <c r="G8015" i="31"/>
  <c r="G8016" i="31"/>
  <c r="G8017" i="31"/>
  <c r="G8018" i="31"/>
  <c r="G8019" i="31"/>
  <c r="G8020" i="31"/>
  <c r="G8021" i="31"/>
  <c r="G8022" i="31"/>
  <c r="G8023" i="31"/>
  <c r="G8024" i="31"/>
  <c r="G8025" i="31"/>
  <c r="G8026" i="31"/>
  <c r="G8027" i="31"/>
  <c r="G8028" i="31"/>
  <c r="G8029" i="31"/>
  <c r="G8030" i="31"/>
  <c r="G8031" i="31"/>
  <c r="G8032" i="31"/>
  <c r="G8033" i="31"/>
  <c r="G8034" i="31"/>
  <c r="G8035" i="31"/>
  <c r="G8036" i="31"/>
  <c r="G8037" i="31"/>
  <c r="G8038" i="31"/>
  <c r="G8039" i="31"/>
  <c r="G8040" i="31"/>
  <c r="G8041" i="31"/>
  <c r="G8042" i="31"/>
  <c r="G8043" i="31"/>
  <c r="G8044" i="31"/>
  <c r="G8045" i="31"/>
  <c r="G8046" i="31"/>
  <c r="G8047" i="31"/>
  <c r="G8048" i="31"/>
  <c r="G8049" i="31"/>
  <c r="G8050" i="31"/>
  <c r="G8051" i="31"/>
  <c r="G8052" i="31"/>
  <c r="G8053" i="31"/>
  <c r="G8054" i="31"/>
  <c r="G8055" i="31"/>
  <c r="G8056" i="31"/>
  <c r="G8057" i="31"/>
  <c r="G8058" i="31"/>
  <c r="G8059" i="31"/>
  <c r="G8060" i="31"/>
  <c r="G8061" i="31"/>
  <c r="G8062" i="31"/>
  <c r="G8063" i="31"/>
  <c r="G8064" i="31"/>
  <c r="G8065" i="31"/>
  <c r="G8066" i="31"/>
  <c r="G8067" i="31"/>
  <c r="G8068" i="31"/>
  <c r="G8069" i="31"/>
  <c r="G8070" i="31"/>
  <c r="G8071" i="31"/>
  <c r="G8072" i="31"/>
  <c r="G8073" i="31"/>
  <c r="G8074" i="31"/>
  <c r="G8075" i="31"/>
  <c r="G8076" i="31"/>
  <c r="G8077" i="31"/>
  <c r="G8078" i="31"/>
  <c r="G8079" i="31"/>
  <c r="G8080" i="31"/>
  <c r="G8081" i="31"/>
  <c r="G8082" i="31"/>
  <c r="G8083" i="31"/>
  <c r="G8084" i="31"/>
  <c r="G8085" i="31"/>
  <c r="G8086" i="31"/>
  <c r="G8087" i="31"/>
  <c r="G8088" i="31"/>
  <c r="G8089" i="31"/>
  <c r="G8090" i="31"/>
  <c r="G8091" i="31"/>
  <c r="G8092" i="31"/>
  <c r="G8093" i="31"/>
  <c r="G8094" i="31"/>
  <c r="G8095" i="31"/>
  <c r="G8096" i="31"/>
  <c r="G8097" i="31"/>
  <c r="G8098" i="31"/>
  <c r="G8099" i="31"/>
  <c r="G8100" i="31"/>
  <c r="G8101" i="31"/>
  <c r="G8102" i="31"/>
  <c r="G8103" i="31"/>
  <c r="G8104" i="31"/>
  <c r="G8105" i="31"/>
  <c r="G8106" i="31"/>
  <c r="G8107" i="31"/>
  <c r="G8108" i="31"/>
  <c r="G8109" i="31"/>
  <c r="G8110" i="31"/>
  <c r="G8111" i="31"/>
  <c r="G8112" i="31"/>
  <c r="G8113" i="31"/>
  <c r="G8114" i="31"/>
  <c r="G8115" i="31"/>
  <c r="G8116" i="31"/>
  <c r="G8117" i="31"/>
  <c r="G8118" i="31"/>
  <c r="G8119" i="31"/>
  <c r="G8120" i="31"/>
  <c r="G8121" i="31"/>
  <c r="G8122" i="31"/>
  <c r="G8123" i="31"/>
  <c r="G8124" i="31"/>
  <c r="G8125" i="31"/>
  <c r="G8126" i="31"/>
  <c r="G8127" i="31"/>
  <c r="G8128" i="31"/>
  <c r="G8129" i="31"/>
  <c r="G8130" i="31"/>
  <c r="G8131" i="31"/>
  <c r="G8132" i="31"/>
  <c r="G8133" i="31"/>
  <c r="G8134" i="31"/>
  <c r="G8135" i="31"/>
  <c r="G8136" i="31"/>
  <c r="G8137" i="31"/>
  <c r="G8138" i="31"/>
  <c r="G8139" i="31"/>
  <c r="G8140" i="31"/>
  <c r="G8141" i="31"/>
  <c r="G8142" i="31"/>
  <c r="G8143" i="31"/>
  <c r="G8144" i="31"/>
  <c r="G8145" i="31"/>
  <c r="G8146" i="31"/>
  <c r="G8147" i="31"/>
  <c r="G8148" i="31"/>
  <c r="G8149" i="31"/>
  <c r="G8150" i="31"/>
  <c r="G8151" i="31"/>
  <c r="G8152" i="31"/>
  <c r="G8153" i="31"/>
  <c r="G8154" i="31"/>
  <c r="G8155" i="31"/>
  <c r="G8156" i="31"/>
  <c r="G8157" i="31"/>
  <c r="G8158" i="31"/>
  <c r="G8159" i="31"/>
  <c r="G8160" i="31"/>
  <c r="G8161" i="31"/>
  <c r="G8162" i="31"/>
  <c r="G8163" i="31"/>
  <c r="G8164" i="31"/>
  <c r="G8165" i="31"/>
  <c r="G8166" i="31"/>
  <c r="G8167" i="31"/>
  <c r="G8168" i="31"/>
  <c r="G8169" i="31"/>
  <c r="G8170" i="31"/>
  <c r="G8171" i="31"/>
  <c r="G8172" i="31"/>
  <c r="G8173" i="31"/>
  <c r="G8174" i="31"/>
  <c r="G8175" i="31"/>
  <c r="G8176" i="31"/>
  <c r="G8177" i="31"/>
  <c r="G8178" i="31"/>
  <c r="G8179" i="31"/>
  <c r="G8180" i="31"/>
  <c r="G8181" i="31"/>
  <c r="G8182" i="31"/>
  <c r="G8183" i="31"/>
  <c r="G8184" i="31"/>
  <c r="G8185" i="31"/>
  <c r="G8186" i="31"/>
  <c r="G8187" i="31"/>
  <c r="G8188" i="31"/>
  <c r="G8189" i="31"/>
  <c r="G8190" i="31"/>
  <c r="G8191" i="31"/>
  <c r="G8192" i="31"/>
  <c r="G8193" i="31"/>
  <c r="G8194" i="31"/>
  <c r="G8195" i="31"/>
  <c r="G8196" i="31"/>
  <c r="G8197" i="31"/>
  <c r="G8198" i="31"/>
  <c r="G8199" i="31"/>
  <c r="G8200" i="31"/>
  <c r="G8201" i="31"/>
  <c r="G8202" i="31"/>
  <c r="G8203" i="31"/>
  <c r="G8204" i="31"/>
  <c r="G8205" i="31"/>
  <c r="G8206" i="31"/>
  <c r="G8207" i="31"/>
  <c r="G8208" i="31"/>
  <c r="G8209" i="31"/>
  <c r="G8210" i="31"/>
  <c r="G8211" i="31"/>
  <c r="G8212" i="31"/>
  <c r="G8213" i="31"/>
  <c r="G8214" i="31"/>
  <c r="G8215" i="31"/>
  <c r="G8216" i="31"/>
  <c r="G8217" i="31"/>
  <c r="G8218" i="31"/>
  <c r="G8219" i="31"/>
  <c r="G8220" i="31"/>
  <c r="G8221" i="31"/>
  <c r="G8222" i="31"/>
  <c r="G8223" i="31"/>
  <c r="G8224" i="31"/>
  <c r="G8225" i="31"/>
  <c r="G8226" i="31"/>
  <c r="G8227" i="31"/>
  <c r="G8228" i="31"/>
  <c r="G8229" i="31"/>
  <c r="G8230" i="31"/>
  <c r="G8231" i="31"/>
  <c r="G8232" i="31"/>
  <c r="G8233" i="31"/>
  <c r="G8234" i="31"/>
  <c r="G8235" i="31"/>
  <c r="G8236" i="31"/>
  <c r="G8237" i="31"/>
  <c r="G8238" i="31"/>
  <c r="G8239" i="31"/>
  <c r="G8240" i="31"/>
  <c r="G8241" i="31"/>
  <c r="G8242" i="31"/>
  <c r="G8243" i="31"/>
  <c r="G8244" i="31"/>
  <c r="G8245" i="31"/>
  <c r="G8246" i="31"/>
  <c r="G8247" i="31"/>
  <c r="G8248" i="31"/>
  <c r="G8249" i="31"/>
  <c r="G8250" i="31"/>
  <c r="G8251" i="31"/>
  <c r="G8252" i="31"/>
  <c r="G8253" i="31"/>
  <c r="G8254" i="31"/>
  <c r="G8255" i="31"/>
  <c r="G8256" i="31"/>
  <c r="G8257" i="31"/>
  <c r="G8258" i="31"/>
  <c r="G8259" i="31"/>
  <c r="G8260" i="31"/>
  <c r="G8261" i="31"/>
  <c r="G8262" i="31"/>
  <c r="G8263" i="31"/>
  <c r="G8264" i="31"/>
  <c r="G8265" i="31"/>
  <c r="G8266" i="31"/>
  <c r="G8267" i="31"/>
  <c r="G8268" i="31"/>
  <c r="G8269" i="31"/>
  <c r="G8270" i="31"/>
  <c r="G8271" i="31"/>
  <c r="G8272" i="31"/>
  <c r="G8273" i="31"/>
  <c r="G8274" i="31"/>
  <c r="G8275" i="31"/>
  <c r="G8276" i="31"/>
  <c r="G8277" i="31"/>
  <c r="G8278" i="31"/>
  <c r="G8279" i="31"/>
  <c r="G8280" i="31"/>
  <c r="G8281" i="31"/>
  <c r="G8282" i="31"/>
  <c r="G8283" i="31"/>
  <c r="G8284" i="31"/>
  <c r="G8285" i="31"/>
  <c r="G8286" i="31"/>
  <c r="G8287" i="31"/>
  <c r="G8288" i="31"/>
  <c r="G8289" i="31"/>
  <c r="G8290" i="31"/>
  <c r="G8291" i="31"/>
  <c r="G8292" i="31"/>
  <c r="G8293" i="31"/>
  <c r="G8294" i="31"/>
  <c r="G8295" i="31"/>
  <c r="G8296" i="31"/>
  <c r="G8297" i="31"/>
  <c r="G8298" i="31"/>
  <c r="G8299" i="31"/>
  <c r="G8300" i="31"/>
  <c r="G8301" i="31"/>
  <c r="G8302" i="31"/>
  <c r="G8303" i="31"/>
  <c r="G8304" i="31"/>
  <c r="G8305" i="31"/>
  <c r="G8306" i="31"/>
  <c r="G8307" i="31"/>
  <c r="G8308" i="31"/>
  <c r="G8309" i="31"/>
  <c r="G8310" i="31"/>
  <c r="G8311" i="31"/>
  <c r="G8312" i="31"/>
  <c r="G8313" i="31"/>
  <c r="G8314" i="31"/>
  <c r="G8315" i="31"/>
  <c r="G8316" i="31"/>
  <c r="G8317" i="31"/>
  <c r="G8318" i="31"/>
  <c r="G8319" i="31"/>
  <c r="G8320" i="31"/>
  <c r="G8321" i="31"/>
  <c r="G8322" i="31"/>
  <c r="G8323" i="31"/>
  <c r="G8324" i="31"/>
  <c r="G8325" i="31"/>
  <c r="G8326" i="31"/>
  <c r="G8327" i="31"/>
  <c r="G8328" i="31"/>
  <c r="G8329" i="31"/>
  <c r="G8330" i="31"/>
  <c r="G8331" i="31"/>
  <c r="G8332" i="31"/>
  <c r="G8333" i="31"/>
  <c r="G8334" i="31"/>
  <c r="G8335" i="31"/>
  <c r="G8336" i="31"/>
  <c r="G8337" i="31"/>
  <c r="G8338" i="31"/>
  <c r="G8339" i="31"/>
  <c r="G8340" i="31"/>
  <c r="G8341" i="31"/>
  <c r="G8342" i="31"/>
  <c r="G8343" i="31"/>
  <c r="G8344" i="31"/>
  <c r="G8345" i="31"/>
  <c r="G8346" i="31"/>
  <c r="G8347" i="31"/>
  <c r="G8348" i="31"/>
  <c r="G8349" i="31"/>
  <c r="G8350" i="31"/>
  <c r="G8351" i="31"/>
  <c r="G8352" i="31"/>
  <c r="G8353" i="31"/>
  <c r="G8354" i="31"/>
  <c r="G8355" i="31"/>
  <c r="G8356" i="31"/>
  <c r="G8357" i="31"/>
  <c r="G8358" i="31"/>
  <c r="G8359" i="31"/>
  <c r="G8360" i="31"/>
  <c r="G8361" i="31"/>
  <c r="G8362" i="31"/>
  <c r="G8363" i="31"/>
  <c r="G8364" i="31"/>
  <c r="G8365" i="31"/>
  <c r="G8366" i="31"/>
  <c r="G8367" i="31"/>
  <c r="G8368" i="31"/>
  <c r="G8369" i="31"/>
  <c r="G8370" i="31"/>
  <c r="G8371" i="31"/>
  <c r="G8372" i="31"/>
  <c r="G8373" i="31"/>
  <c r="G8374" i="31"/>
  <c r="G8375" i="31"/>
  <c r="G8376" i="31"/>
  <c r="G8377" i="31"/>
  <c r="G8378" i="31"/>
  <c r="G8379" i="31"/>
  <c r="G8380" i="31"/>
  <c r="G8381" i="31"/>
  <c r="G8382" i="31"/>
  <c r="G8383" i="31"/>
  <c r="G8384" i="31"/>
  <c r="G8385" i="31"/>
  <c r="G8386" i="31"/>
  <c r="G8387" i="31"/>
  <c r="G8388" i="31"/>
  <c r="G8389" i="31"/>
  <c r="G8390" i="31"/>
  <c r="G8391" i="31"/>
  <c r="G8392" i="31"/>
  <c r="G8393" i="31"/>
  <c r="G8394" i="31"/>
  <c r="G8395" i="31"/>
  <c r="G8396" i="31"/>
  <c r="G8397" i="31"/>
  <c r="G8398" i="31"/>
  <c r="G8399" i="31"/>
  <c r="G8400" i="31"/>
  <c r="G8401" i="31"/>
  <c r="G8402" i="31"/>
  <c r="G8403" i="31"/>
  <c r="G8404" i="31"/>
  <c r="G8405" i="31"/>
  <c r="G8406" i="31"/>
  <c r="G8407" i="31"/>
  <c r="G8408" i="31"/>
  <c r="G8409" i="31"/>
  <c r="G8410" i="31"/>
  <c r="G8411" i="31"/>
  <c r="G8412" i="31"/>
  <c r="G8413" i="31"/>
  <c r="G8414" i="31"/>
  <c r="G8415" i="31"/>
  <c r="G8416" i="31"/>
  <c r="G8417" i="31"/>
  <c r="G8418" i="31"/>
  <c r="G8419" i="31"/>
  <c r="G8420" i="31"/>
  <c r="G8421" i="31"/>
  <c r="G8422" i="31"/>
  <c r="G8423" i="31"/>
  <c r="G8424" i="31"/>
  <c r="G8425" i="31"/>
  <c r="G8426" i="31"/>
  <c r="G8427" i="31"/>
  <c r="G8428" i="31"/>
  <c r="G8429" i="31"/>
  <c r="G8430" i="31"/>
  <c r="G8431" i="31"/>
  <c r="G8432" i="31"/>
  <c r="G8433" i="31"/>
  <c r="G8434" i="31"/>
  <c r="G8435" i="31"/>
  <c r="G8436" i="31"/>
  <c r="G8437" i="31"/>
  <c r="G8438" i="31"/>
  <c r="G8439" i="31"/>
  <c r="G8440" i="31"/>
  <c r="G8441" i="31"/>
  <c r="G8442" i="31"/>
  <c r="G8443" i="31"/>
  <c r="G8444" i="31"/>
  <c r="G8445" i="31"/>
  <c r="G8446" i="31"/>
  <c r="G8447" i="31"/>
  <c r="G8448" i="31"/>
  <c r="G8449" i="31"/>
  <c r="G8450" i="31"/>
  <c r="G8451" i="31"/>
  <c r="G8452" i="31"/>
  <c r="G8453" i="31"/>
  <c r="G8454" i="31"/>
  <c r="G8455" i="31"/>
  <c r="G8456" i="31"/>
  <c r="G8457" i="31"/>
  <c r="G8458" i="31"/>
  <c r="G8459" i="31"/>
  <c r="G8460" i="31"/>
  <c r="G8461" i="31"/>
  <c r="G8462" i="31"/>
  <c r="G8463" i="31"/>
  <c r="G8464" i="31"/>
  <c r="G8465" i="31"/>
  <c r="G8466" i="31"/>
  <c r="G8467" i="31"/>
  <c r="G8468" i="31"/>
  <c r="G8469" i="31"/>
  <c r="G8470" i="31"/>
  <c r="G8471" i="31"/>
  <c r="G8472" i="31"/>
  <c r="G8473" i="31"/>
  <c r="G8474" i="31"/>
  <c r="G8475" i="31"/>
  <c r="G8476" i="31"/>
  <c r="G8477" i="31"/>
  <c r="G8478" i="31"/>
  <c r="G8479" i="31"/>
  <c r="G8480" i="31"/>
  <c r="G8481" i="31"/>
  <c r="G8482" i="31"/>
  <c r="G8483" i="31"/>
  <c r="G8484" i="31"/>
  <c r="G8485" i="31"/>
  <c r="G8486" i="31"/>
  <c r="G8487" i="31"/>
  <c r="G8488" i="31"/>
  <c r="G8489" i="31"/>
  <c r="G8490" i="31"/>
  <c r="G8491" i="31"/>
  <c r="G8492" i="31"/>
  <c r="G8493" i="31"/>
  <c r="G8494" i="31"/>
  <c r="G8495" i="31"/>
  <c r="G8496" i="31"/>
  <c r="G8497" i="31"/>
  <c r="G8498" i="31"/>
  <c r="G8499" i="31"/>
  <c r="G8500" i="31"/>
  <c r="G8501" i="31"/>
  <c r="G8502" i="31"/>
  <c r="G8503" i="31"/>
  <c r="G8504" i="31"/>
  <c r="G8505" i="31"/>
  <c r="G8506" i="31"/>
  <c r="G8507" i="31"/>
  <c r="G8508" i="31"/>
  <c r="G8509" i="31"/>
  <c r="G8510" i="31"/>
  <c r="G8511" i="31"/>
  <c r="G8512" i="31"/>
  <c r="G8513" i="31"/>
  <c r="G8514" i="31"/>
  <c r="G8515" i="31"/>
  <c r="G8516" i="31"/>
  <c r="G8517" i="31"/>
  <c r="G8518" i="31"/>
  <c r="G8519" i="31"/>
  <c r="G8520" i="31"/>
  <c r="G8521" i="31"/>
  <c r="G8522" i="31"/>
  <c r="G8523" i="31"/>
  <c r="G8524" i="31"/>
  <c r="G8525" i="31"/>
  <c r="G8526" i="31"/>
  <c r="G8527" i="31"/>
  <c r="G8528" i="31"/>
  <c r="G8529" i="31"/>
  <c r="G8530" i="31"/>
  <c r="G8531" i="31"/>
  <c r="G8532" i="31"/>
  <c r="G8533" i="31"/>
  <c r="G8534" i="31"/>
  <c r="G8535" i="31"/>
  <c r="G8536" i="31"/>
  <c r="G8537" i="31"/>
  <c r="G8538" i="31"/>
  <c r="G8539" i="31"/>
  <c r="G8540" i="31"/>
  <c r="G8541" i="31"/>
  <c r="G8542" i="31"/>
  <c r="G8543" i="31"/>
  <c r="G8544" i="31"/>
  <c r="G8545" i="31"/>
  <c r="G8546" i="31"/>
  <c r="G8547" i="31"/>
  <c r="G8548" i="31"/>
  <c r="G8549" i="31"/>
  <c r="G8550" i="31"/>
  <c r="G8551" i="31"/>
  <c r="G8552" i="31"/>
  <c r="G8553" i="31"/>
  <c r="G8554" i="31"/>
  <c r="G8555" i="31"/>
  <c r="G8556" i="31"/>
  <c r="G8557" i="31"/>
  <c r="G8558" i="31"/>
  <c r="G8559" i="31"/>
  <c r="G8560" i="31"/>
  <c r="G8561" i="31"/>
  <c r="G8562" i="31"/>
  <c r="G8563" i="31"/>
  <c r="G8564" i="31"/>
  <c r="G8565" i="31"/>
  <c r="G8566" i="31"/>
  <c r="G8567" i="31"/>
  <c r="G8568" i="31"/>
  <c r="G8569" i="31"/>
  <c r="G8570" i="31"/>
  <c r="G8571" i="31"/>
  <c r="G8572" i="31"/>
  <c r="G8573" i="31"/>
  <c r="G8574" i="31"/>
  <c r="G8575" i="31"/>
  <c r="G8576" i="31"/>
  <c r="G8577" i="31"/>
  <c r="G8578" i="31"/>
  <c r="G8579" i="31"/>
  <c r="G8580" i="31"/>
  <c r="G8581" i="31"/>
  <c r="G8582" i="31"/>
  <c r="G8583" i="31"/>
  <c r="G8584" i="31"/>
  <c r="G8585" i="31"/>
  <c r="G8586" i="31"/>
  <c r="G8587" i="31"/>
  <c r="G8588" i="31"/>
  <c r="G8589" i="31"/>
  <c r="G8590" i="31"/>
  <c r="G8591" i="31"/>
  <c r="G8592" i="31"/>
  <c r="G8593" i="31"/>
  <c r="G8594" i="31"/>
  <c r="G8595" i="31"/>
  <c r="G8596" i="31"/>
  <c r="G8597" i="31"/>
  <c r="G8598" i="31"/>
  <c r="G8599" i="31"/>
  <c r="G8600" i="31"/>
  <c r="G8601" i="31"/>
  <c r="G8602" i="31"/>
  <c r="G8603" i="31"/>
  <c r="G8604" i="31"/>
  <c r="G8605" i="31"/>
  <c r="G8606" i="31"/>
  <c r="G8607" i="31"/>
  <c r="G8608" i="31"/>
  <c r="G8609" i="31"/>
  <c r="G8610" i="31"/>
  <c r="G8611" i="31"/>
  <c r="G8612" i="31"/>
  <c r="G8613" i="31"/>
  <c r="G8614" i="31"/>
  <c r="G8615" i="31"/>
  <c r="G8616" i="31"/>
  <c r="G8617" i="31"/>
  <c r="G8618" i="31"/>
  <c r="G8619" i="31"/>
  <c r="G8620" i="31"/>
  <c r="G8621" i="31"/>
  <c r="G8622" i="31"/>
  <c r="G8623" i="31"/>
  <c r="G8624" i="31"/>
  <c r="G8625" i="31"/>
  <c r="G8626" i="31"/>
  <c r="G8627" i="31"/>
  <c r="G8628" i="31"/>
  <c r="G8629" i="31"/>
  <c r="G8630" i="31"/>
  <c r="G8631" i="31"/>
  <c r="G8632" i="31"/>
  <c r="G8633" i="31"/>
  <c r="G8634" i="31"/>
  <c r="G8635" i="31"/>
  <c r="G8636" i="31"/>
  <c r="G8637" i="31"/>
  <c r="G8638" i="31"/>
  <c r="G8639" i="31"/>
  <c r="G8640" i="31"/>
  <c r="G8641" i="31"/>
  <c r="G8642" i="31"/>
  <c r="G8643" i="31"/>
  <c r="G8644" i="31"/>
  <c r="G8645" i="31"/>
  <c r="G8646" i="31"/>
  <c r="G8647" i="31"/>
  <c r="G8648" i="31"/>
  <c r="G8649" i="31"/>
  <c r="G8650" i="31"/>
  <c r="G8651" i="31"/>
  <c r="G8652" i="31"/>
  <c r="G8653" i="31"/>
  <c r="G8654" i="31"/>
  <c r="G8655" i="31"/>
  <c r="G8656" i="31"/>
  <c r="G8657" i="31"/>
  <c r="G8658" i="31"/>
  <c r="G8659" i="31"/>
  <c r="G8660" i="31"/>
  <c r="G8661" i="31"/>
  <c r="G8662" i="31"/>
  <c r="G8663" i="31"/>
  <c r="G8664" i="31"/>
  <c r="G8665" i="31"/>
  <c r="G8666" i="31"/>
  <c r="G8667" i="31"/>
  <c r="G8668" i="31"/>
  <c r="G8669" i="31"/>
  <c r="G8670" i="31"/>
  <c r="G8671" i="31"/>
  <c r="G8672" i="31"/>
  <c r="G8673" i="31"/>
  <c r="G8674" i="31"/>
  <c r="G8675" i="31"/>
  <c r="G8676" i="31"/>
  <c r="G8677" i="31"/>
  <c r="G8678" i="31"/>
  <c r="G8679" i="31"/>
  <c r="G8680" i="31"/>
  <c r="G8681" i="31"/>
  <c r="G8682" i="31"/>
  <c r="G8683" i="31"/>
  <c r="G8684" i="31"/>
  <c r="G8685" i="31"/>
  <c r="G8686" i="31"/>
  <c r="G8687" i="31"/>
  <c r="G8688" i="31"/>
  <c r="G8689" i="31"/>
  <c r="G8690" i="31"/>
  <c r="G8691" i="31"/>
  <c r="G8692" i="31"/>
  <c r="G8693" i="31"/>
  <c r="G8694" i="31"/>
  <c r="G8695" i="31"/>
  <c r="G8696" i="31"/>
  <c r="G8697" i="31"/>
  <c r="G8698" i="31"/>
  <c r="G8699" i="31"/>
  <c r="G8700" i="31"/>
  <c r="G8701" i="31"/>
  <c r="G8702" i="31"/>
  <c r="G8703" i="31"/>
  <c r="G8704" i="31"/>
  <c r="G8705" i="31"/>
  <c r="G8706" i="31"/>
  <c r="G8707" i="31"/>
  <c r="G8708" i="31"/>
  <c r="G8709" i="31"/>
  <c r="G8710" i="31"/>
  <c r="G8711" i="31"/>
  <c r="G8712" i="31"/>
  <c r="G8713" i="31"/>
  <c r="G8714" i="31"/>
  <c r="G8715" i="31"/>
  <c r="G8716" i="31"/>
  <c r="G8717" i="31"/>
  <c r="G8718" i="31"/>
  <c r="G8719" i="31"/>
  <c r="G8720" i="31"/>
  <c r="G8721" i="31"/>
  <c r="G8722" i="31"/>
  <c r="G8723" i="31"/>
  <c r="G8724" i="31"/>
  <c r="G8725" i="31"/>
  <c r="G8726" i="31"/>
  <c r="G8727" i="31"/>
  <c r="G8728" i="31"/>
  <c r="G8729" i="31"/>
  <c r="G8730" i="31"/>
  <c r="G8731" i="31"/>
  <c r="G8732" i="31"/>
  <c r="G8733" i="31"/>
  <c r="G8734" i="31"/>
  <c r="G8735" i="31"/>
  <c r="G8736" i="31"/>
  <c r="G8737" i="31"/>
  <c r="G8738" i="31"/>
  <c r="G8739" i="31"/>
  <c r="G8740" i="31"/>
  <c r="G8741" i="31"/>
  <c r="G8742" i="31"/>
  <c r="G8743" i="31"/>
  <c r="G8744" i="31"/>
  <c r="G8745" i="31"/>
  <c r="G8746" i="31"/>
  <c r="G8747" i="31"/>
  <c r="G8748" i="31"/>
  <c r="G8749" i="31"/>
  <c r="G8750" i="31"/>
  <c r="G8751" i="31"/>
  <c r="G8752" i="31"/>
  <c r="G8753" i="31"/>
  <c r="G8754" i="31"/>
  <c r="G8755" i="31"/>
  <c r="G8756" i="31"/>
  <c r="G8757" i="31"/>
  <c r="G8758" i="31"/>
  <c r="G8759" i="31"/>
  <c r="G8760" i="31"/>
  <c r="G8761" i="31"/>
  <c r="G8762" i="31"/>
  <c r="G8763" i="31"/>
  <c r="G8764" i="31"/>
  <c r="G8765" i="31"/>
  <c r="G8766" i="31"/>
  <c r="G8767" i="31"/>
  <c r="G8768" i="31"/>
  <c r="G8769" i="31"/>
  <c r="G8770" i="31"/>
  <c r="G8771" i="31"/>
  <c r="G8772" i="31"/>
  <c r="G8773" i="31"/>
  <c r="G8774" i="31"/>
  <c r="G8775" i="31"/>
  <c r="G8776" i="31"/>
  <c r="G8777" i="31"/>
  <c r="G8778" i="31"/>
  <c r="G8779" i="31"/>
  <c r="G8780" i="31"/>
  <c r="G8781" i="31"/>
  <c r="G8782" i="31"/>
  <c r="G8783" i="31"/>
  <c r="G8784" i="31"/>
  <c r="G8785" i="31"/>
  <c r="G8786" i="31"/>
  <c r="G8787" i="31"/>
  <c r="G8788" i="31"/>
  <c r="G8789" i="31"/>
  <c r="G8790" i="31"/>
  <c r="G8791" i="31"/>
  <c r="G8792" i="31"/>
  <c r="G8793" i="31"/>
  <c r="G8794" i="31"/>
  <c r="G8795" i="31"/>
  <c r="G8796" i="31"/>
  <c r="G8797" i="31"/>
  <c r="G8798" i="31"/>
  <c r="G8799" i="31"/>
  <c r="G8800" i="31"/>
  <c r="G8801" i="31"/>
  <c r="G8802" i="31"/>
  <c r="G8803" i="31"/>
  <c r="G8804" i="31"/>
  <c r="G8805" i="31"/>
  <c r="G8806" i="31"/>
  <c r="G8807" i="31"/>
  <c r="G8808" i="31"/>
  <c r="G8809" i="31"/>
  <c r="G8810" i="31"/>
  <c r="G8811" i="31"/>
  <c r="G8812" i="31"/>
  <c r="G8813" i="31"/>
  <c r="G8814" i="31"/>
  <c r="G8815" i="31"/>
  <c r="G8816" i="31"/>
  <c r="G8817" i="31"/>
  <c r="G8818" i="31"/>
  <c r="G8819" i="31"/>
  <c r="G8820" i="31"/>
  <c r="G8821" i="31"/>
  <c r="G8822" i="31"/>
  <c r="G8823" i="31"/>
  <c r="G8824" i="31"/>
  <c r="G8825" i="31"/>
  <c r="G8826" i="31"/>
  <c r="G8827" i="31"/>
  <c r="G8828" i="31"/>
  <c r="G8829" i="31"/>
  <c r="G8830" i="31"/>
  <c r="G8831" i="31"/>
  <c r="G8832" i="31"/>
  <c r="G8833" i="31"/>
  <c r="G8834" i="31"/>
  <c r="G8835" i="31"/>
  <c r="G8836" i="31"/>
  <c r="G8837" i="31"/>
  <c r="G8838" i="31"/>
  <c r="G8839" i="31"/>
  <c r="G8840" i="31"/>
  <c r="G8841" i="31"/>
  <c r="G8842" i="31"/>
  <c r="G8843" i="31"/>
  <c r="G8844" i="31"/>
  <c r="G8845" i="31"/>
  <c r="G8846" i="31"/>
  <c r="G8847" i="31"/>
  <c r="G8848" i="31"/>
  <c r="G8849" i="31"/>
  <c r="G8850" i="31"/>
  <c r="G8851" i="31"/>
  <c r="G8852" i="31"/>
  <c r="G8853" i="31"/>
  <c r="G8854" i="31"/>
  <c r="G8855" i="31"/>
  <c r="G8856" i="31"/>
  <c r="G8857" i="31"/>
  <c r="G8858" i="31"/>
  <c r="G8859" i="31"/>
  <c r="G8860" i="31"/>
  <c r="G8861" i="31"/>
  <c r="G8862" i="31"/>
  <c r="G8863" i="31"/>
  <c r="G8864" i="31"/>
  <c r="G8865" i="31"/>
  <c r="G8866" i="31"/>
  <c r="G8867" i="31"/>
  <c r="G8868" i="31"/>
  <c r="G8869" i="31"/>
  <c r="G8870" i="31"/>
  <c r="G8871" i="31"/>
  <c r="G8872" i="31"/>
  <c r="G8873" i="31"/>
  <c r="G8874" i="31"/>
  <c r="G8875" i="31"/>
  <c r="G8876" i="31"/>
  <c r="G8877" i="31"/>
  <c r="G8878" i="31"/>
  <c r="G8879" i="31"/>
  <c r="G8880" i="31"/>
  <c r="G8881" i="31"/>
  <c r="G8882" i="31"/>
  <c r="G8883" i="31"/>
  <c r="G8884" i="31"/>
  <c r="G8885" i="31"/>
  <c r="G8886" i="31"/>
  <c r="G8887" i="31"/>
  <c r="G8888" i="31"/>
  <c r="G8889" i="31"/>
  <c r="G8890" i="31"/>
  <c r="G8891" i="31"/>
  <c r="G8892" i="31"/>
  <c r="G8893" i="31"/>
  <c r="G8894" i="31"/>
  <c r="G8895" i="31"/>
  <c r="G8896" i="31"/>
  <c r="G8897" i="31"/>
  <c r="G8898" i="31"/>
  <c r="G8899" i="31"/>
  <c r="G8900" i="31"/>
  <c r="G8901" i="31"/>
  <c r="G8902" i="31"/>
  <c r="G8903" i="31"/>
  <c r="G8904" i="31"/>
  <c r="G8905" i="31"/>
  <c r="G8906" i="31"/>
  <c r="G8907" i="31"/>
  <c r="G8908" i="31"/>
  <c r="G8909" i="31"/>
  <c r="G8910" i="31"/>
  <c r="G8911" i="31"/>
  <c r="G8912" i="31"/>
  <c r="G8913" i="31"/>
  <c r="G8914" i="31"/>
  <c r="G8915" i="31"/>
  <c r="G8916" i="31"/>
  <c r="G8917" i="31"/>
  <c r="G8918" i="31"/>
  <c r="G8919" i="31"/>
  <c r="G8920" i="31"/>
  <c r="G8921" i="31"/>
  <c r="G8922" i="31"/>
  <c r="G8923" i="31"/>
  <c r="G8924" i="31"/>
  <c r="G8925" i="31"/>
  <c r="G8926" i="31"/>
  <c r="G8927" i="31"/>
  <c r="G8928" i="31"/>
  <c r="G8929" i="31"/>
  <c r="G8930" i="31"/>
  <c r="G8931" i="31"/>
  <c r="G8932" i="31"/>
  <c r="G8933" i="31"/>
  <c r="G8934" i="31"/>
  <c r="G8935" i="31"/>
  <c r="G8936" i="31"/>
  <c r="G8937" i="31"/>
  <c r="G8938" i="31"/>
  <c r="G8939" i="31"/>
  <c r="G8940" i="31"/>
  <c r="G8941" i="31"/>
  <c r="G8942" i="31"/>
  <c r="G8943" i="31"/>
  <c r="G8944" i="31"/>
  <c r="G8945" i="31"/>
  <c r="G8946" i="31"/>
  <c r="G8947" i="31"/>
  <c r="G8948" i="31"/>
  <c r="G8949" i="31"/>
  <c r="G8950" i="31"/>
  <c r="G8951" i="31"/>
  <c r="G8952" i="31"/>
  <c r="G8953" i="31"/>
  <c r="G8954" i="31"/>
  <c r="G8955" i="31"/>
  <c r="G8956" i="31"/>
  <c r="G8957" i="31"/>
  <c r="G8958" i="31"/>
  <c r="G8959" i="31"/>
  <c r="G8960" i="31"/>
  <c r="G8961" i="31"/>
  <c r="G8962" i="31"/>
  <c r="G8963" i="31"/>
  <c r="G8964" i="31"/>
  <c r="G8965" i="31"/>
  <c r="G8966" i="31"/>
  <c r="G8967" i="31"/>
  <c r="G8968" i="31"/>
  <c r="G8969" i="31"/>
  <c r="G8970" i="31"/>
  <c r="G8971" i="31"/>
  <c r="G8972" i="31"/>
  <c r="G8973" i="31"/>
  <c r="G8974" i="31"/>
  <c r="G8975" i="31"/>
  <c r="G8976" i="31"/>
  <c r="G8977" i="31"/>
  <c r="G8978" i="31"/>
  <c r="G8979" i="31"/>
  <c r="G8980" i="31"/>
  <c r="G8981" i="31"/>
  <c r="G8982" i="31"/>
  <c r="G8983" i="31"/>
  <c r="G8984" i="31"/>
  <c r="G8985" i="31"/>
  <c r="G8986" i="31"/>
  <c r="G8987" i="31"/>
  <c r="G8988" i="31"/>
  <c r="G8989" i="31"/>
  <c r="G8990" i="31"/>
  <c r="G8991" i="31"/>
  <c r="G8992" i="31"/>
  <c r="G8993" i="31"/>
  <c r="G8994" i="31"/>
  <c r="G8995" i="31"/>
  <c r="G8996" i="31"/>
  <c r="G8997" i="31"/>
  <c r="G8998" i="31"/>
  <c r="G8999" i="31"/>
  <c r="G9000" i="31"/>
  <c r="G9001" i="31"/>
  <c r="G9002" i="31"/>
  <c r="G9003" i="31"/>
  <c r="G9004" i="31"/>
  <c r="G9005" i="31"/>
  <c r="G9006" i="31"/>
  <c r="G9007" i="31"/>
  <c r="G9008" i="31"/>
  <c r="G9009" i="31"/>
  <c r="G9010" i="31"/>
  <c r="G9011" i="31"/>
  <c r="G9012" i="31"/>
  <c r="G9013" i="31"/>
  <c r="G9014" i="31"/>
  <c r="G9015" i="31"/>
  <c r="G9016" i="31"/>
  <c r="G9017" i="31"/>
  <c r="G9018" i="31"/>
  <c r="G9019" i="31"/>
  <c r="G9020" i="31"/>
  <c r="G9021" i="31"/>
  <c r="G9022" i="31"/>
  <c r="G9023" i="31"/>
  <c r="G9024" i="31"/>
  <c r="G9025" i="31"/>
  <c r="G9026" i="31"/>
  <c r="G9027" i="31"/>
  <c r="G9028" i="31"/>
  <c r="G9029" i="31"/>
  <c r="G9030" i="31"/>
  <c r="G9031" i="31"/>
  <c r="G9032" i="31"/>
  <c r="G9033" i="31"/>
  <c r="G9034" i="31"/>
  <c r="G9035" i="31"/>
  <c r="G9036" i="31"/>
  <c r="G9037" i="31"/>
  <c r="G9038" i="31"/>
  <c r="G9039" i="31"/>
  <c r="G9040" i="31"/>
  <c r="G9041" i="31"/>
  <c r="G9042" i="31"/>
  <c r="G9043" i="31"/>
  <c r="G9044" i="31"/>
  <c r="G9045" i="31"/>
  <c r="G9046" i="31"/>
  <c r="G9047" i="31"/>
  <c r="G9048" i="31"/>
  <c r="G9049" i="31"/>
  <c r="G9050" i="31"/>
  <c r="G9051" i="31"/>
  <c r="G9052" i="31"/>
  <c r="G9053" i="31"/>
  <c r="G9054" i="31"/>
  <c r="G9055" i="31"/>
  <c r="G9056" i="31"/>
  <c r="G9057" i="31"/>
  <c r="G9058" i="31"/>
  <c r="G9059" i="31"/>
  <c r="G9060" i="31"/>
  <c r="G9061" i="31"/>
  <c r="G9062" i="31"/>
  <c r="G9063" i="31"/>
  <c r="G9064" i="31"/>
  <c r="G9065" i="31"/>
  <c r="G9066" i="31"/>
  <c r="G9067" i="31"/>
  <c r="G9068" i="31"/>
  <c r="G9069" i="31"/>
  <c r="G9070" i="31"/>
  <c r="G9071" i="31"/>
  <c r="G9072" i="31"/>
  <c r="G9073" i="31"/>
  <c r="G9074" i="31"/>
  <c r="G9075" i="31"/>
  <c r="G9076" i="31"/>
  <c r="G9077" i="31"/>
  <c r="G9078" i="31"/>
  <c r="G9079" i="31"/>
  <c r="G9080" i="31"/>
  <c r="G9081" i="31"/>
  <c r="G9082" i="31"/>
  <c r="G9083" i="31"/>
  <c r="G9084" i="31"/>
  <c r="G9085" i="31"/>
  <c r="G9086" i="31"/>
  <c r="G9087" i="31"/>
  <c r="G9088" i="31"/>
  <c r="G9089" i="31"/>
  <c r="G9090" i="31"/>
  <c r="G9091" i="31"/>
  <c r="G9092" i="31"/>
  <c r="G9093" i="31"/>
  <c r="G9094" i="31"/>
  <c r="G9095" i="31"/>
  <c r="G9096" i="31"/>
  <c r="G9097" i="31"/>
  <c r="G9098" i="31"/>
  <c r="G9099" i="31"/>
  <c r="G9100" i="31"/>
  <c r="G9101" i="31"/>
  <c r="G9102" i="31"/>
  <c r="G9103" i="31"/>
  <c r="G9104" i="31"/>
  <c r="G9105" i="31"/>
  <c r="G9106" i="31"/>
  <c r="G9107" i="31"/>
  <c r="G9108" i="31"/>
  <c r="G9109" i="31"/>
  <c r="G9110" i="31"/>
  <c r="G9111" i="31"/>
  <c r="G9112" i="31"/>
  <c r="G9113" i="31"/>
  <c r="G9114" i="31"/>
  <c r="G9115" i="31"/>
  <c r="G9116" i="31"/>
  <c r="G9117" i="31"/>
  <c r="G9118" i="31"/>
  <c r="G9119" i="31"/>
  <c r="G9120" i="31"/>
  <c r="G9121" i="31"/>
  <c r="G9122" i="31"/>
  <c r="G9123" i="31"/>
  <c r="G9124" i="31"/>
  <c r="G9125" i="31"/>
  <c r="G9126" i="31"/>
  <c r="G9127" i="31"/>
  <c r="G9128" i="31"/>
  <c r="G9129" i="31"/>
  <c r="G9130" i="31"/>
  <c r="G9131" i="31"/>
  <c r="G9132" i="31"/>
  <c r="G9133" i="31"/>
  <c r="G9134" i="31"/>
  <c r="G9135" i="31"/>
  <c r="G9136" i="31"/>
  <c r="G9137" i="31"/>
  <c r="G9138" i="31"/>
  <c r="G9139" i="31"/>
  <c r="G9140" i="31"/>
  <c r="G9141" i="31"/>
  <c r="G9142" i="31"/>
  <c r="G9143" i="31"/>
  <c r="G9144" i="31"/>
  <c r="G9145" i="31"/>
  <c r="G9146" i="31"/>
  <c r="G9147" i="31"/>
  <c r="G9148" i="31"/>
  <c r="G9149" i="31"/>
  <c r="G9150" i="31"/>
  <c r="G9151" i="31"/>
  <c r="G9152" i="31"/>
  <c r="G9153" i="31"/>
  <c r="G9154" i="31"/>
  <c r="G9155" i="31"/>
  <c r="G9156" i="31"/>
  <c r="G9157" i="31"/>
  <c r="G9158" i="31"/>
  <c r="G9159" i="31"/>
  <c r="G9160" i="31"/>
  <c r="G9161" i="31"/>
  <c r="G9162" i="31"/>
  <c r="G9163" i="31"/>
  <c r="G9164" i="31"/>
  <c r="G9165" i="31"/>
  <c r="G9166" i="31"/>
  <c r="G9167" i="31"/>
  <c r="G9168" i="31"/>
  <c r="G9169" i="31"/>
  <c r="G9170" i="31"/>
  <c r="G9171" i="31"/>
  <c r="G9172" i="31"/>
  <c r="G9173" i="31"/>
  <c r="G9174" i="31"/>
  <c r="G9175" i="31"/>
  <c r="G9176" i="31"/>
  <c r="G9177" i="31"/>
  <c r="G9178" i="31"/>
  <c r="G9179" i="31"/>
  <c r="G9180" i="31"/>
  <c r="G9181" i="31"/>
  <c r="G9182" i="31"/>
  <c r="G9183" i="31"/>
  <c r="G9184" i="31"/>
  <c r="G9185" i="31"/>
  <c r="G9186" i="31"/>
  <c r="G9187" i="31"/>
  <c r="G9188" i="31"/>
  <c r="G9189" i="31"/>
  <c r="G9190" i="31"/>
  <c r="G9191" i="31"/>
  <c r="G9192" i="31"/>
  <c r="G9193" i="31"/>
  <c r="G9194" i="31"/>
  <c r="G9195" i="31"/>
  <c r="G9196" i="31"/>
  <c r="G9197" i="31"/>
  <c r="G9198" i="31"/>
  <c r="G9199" i="31"/>
  <c r="G9200" i="31"/>
  <c r="G9201" i="31"/>
  <c r="G9202" i="31"/>
  <c r="G9203" i="31"/>
  <c r="G9204" i="31"/>
  <c r="G9205" i="31"/>
  <c r="G9206" i="31"/>
  <c r="G9207" i="31"/>
  <c r="G9208" i="31"/>
  <c r="G9209" i="31"/>
  <c r="G9210" i="31"/>
  <c r="G9211" i="31"/>
  <c r="G9212" i="31"/>
  <c r="G9213" i="31"/>
  <c r="G9214" i="31"/>
  <c r="G9215" i="31"/>
  <c r="G9216" i="31"/>
  <c r="G9217" i="31"/>
  <c r="G9218" i="31"/>
  <c r="G9219" i="31"/>
  <c r="G9220" i="31"/>
  <c r="G9221" i="31"/>
  <c r="G9222" i="31"/>
  <c r="G9223" i="31"/>
  <c r="G9224" i="31"/>
  <c r="G9225" i="31"/>
  <c r="G9226" i="31"/>
  <c r="G9227" i="31"/>
  <c r="G9228" i="31"/>
  <c r="G9229" i="31"/>
  <c r="G9230" i="31"/>
  <c r="G9231" i="31"/>
  <c r="G9232" i="31"/>
  <c r="G9233" i="31"/>
  <c r="G9234" i="31"/>
  <c r="G9235" i="31"/>
  <c r="G9236" i="31"/>
  <c r="G9237" i="31"/>
  <c r="G9238" i="31"/>
  <c r="G9239" i="31"/>
  <c r="G9240" i="31"/>
  <c r="G9241" i="31"/>
  <c r="G9242" i="31"/>
  <c r="G9243" i="31"/>
  <c r="G9244" i="31"/>
  <c r="G9245" i="31"/>
  <c r="G9246" i="31"/>
  <c r="G9247" i="31"/>
  <c r="G9248" i="31"/>
  <c r="G9249" i="31"/>
  <c r="G9250" i="31"/>
  <c r="G9251" i="31"/>
  <c r="G9252" i="31"/>
  <c r="G9253" i="31"/>
  <c r="G9254" i="31"/>
  <c r="G9255" i="31"/>
  <c r="G9256" i="31"/>
  <c r="G9257" i="31"/>
  <c r="G9258" i="31"/>
  <c r="G9259" i="31"/>
  <c r="G9260" i="31"/>
  <c r="G9261" i="31"/>
  <c r="G9262" i="31"/>
  <c r="G9263" i="31"/>
  <c r="G9264" i="31"/>
  <c r="G9265" i="31"/>
  <c r="G9266" i="31"/>
  <c r="G9267" i="31"/>
  <c r="G9268" i="31"/>
  <c r="G9269" i="31"/>
  <c r="G9270" i="31"/>
  <c r="G9271" i="31"/>
  <c r="G9272" i="31"/>
  <c r="G9273" i="31"/>
  <c r="G9274" i="31"/>
  <c r="G9275" i="31"/>
  <c r="G9276" i="31"/>
  <c r="G9277" i="31"/>
  <c r="G9278" i="31"/>
  <c r="G9279" i="31"/>
  <c r="G9280" i="31"/>
  <c r="G9281" i="31"/>
  <c r="G9282" i="31"/>
  <c r="G9283" i="31"/>
  <c r="G9284" i="31"/>
  <c r="G9285" i="31"/>
  <c r="G9286" i="31"/>
  <c r="G9287" i="31"/>
  <c r="G9288" i="31"/>
  <c r="G9289" i="31"/>
  <c r="G9290" i="31"/>
  <c r="G9291" i="31"/>
  <c r="G9292" i="31"/>
  <c r="G9293" i="31"/>
  <c r="G9294" i="31"/>
  <c r="G9295" i="31"/>
  <c r="G9296" i="31"/>
  <c r="G9297" i="31"/>
  <c r="G9298" i="31"/>
  <c r="G9299" i="31"/>
  <c r="G9300" i="31"/>
  <c r="G9301" i="31"/>
  <c r="G9302" i="31"/>
  <c r="G9303" i="31"/>
  <c r="G9304" i="31"/>
  <c r="G9305" i="31"/>
  <c r="G9306" i="31"/>
  <c r="G9307" i="31"/>
  <c r="G9308" i="31"/>
  <c r="G9309" i="31"/>
  <c r="G9310" i="31"/>
  <c r="G9311" i="31"/>
  <c r="G9312" i="31"/>
  <c r="G9313" i="31"/>
  <c r="G9314" i="31"/>
  <c r="G9315" i="31"/>
  <c r="G9316" i="31"/>
  <c r="G9317" i="31"/>
  <c r="G9318" i="31"/>
  <c r="G9319" i="31"/>
  <c r="G9320" i="31"/>
  <c r="G9321" i="31"/>
  <c r="G9322" i="31"/>
  <c r="G9323" i="31"/>
  <c r="G9324" i="31"/>
  <c r="G9325" i="31"/>
  <c r="G9326" i="31"/>
  <c r="G9327" i="31"/>
  <c r="G9328" i="31"/>
  <c r="G9329" i="31"/>
  <c r="G9330" i="31"/>
  <c r="G9331" i="31"/>
  <c r="G9332" i="31"/>
  <c r="G9333" i="31"/>
  <c r="G9334" i="31"/>
  <c r="G9335" i="31"/>
  <c r="G9336" i="31"/>
  <c r="G9337" i="31"/>
  <c r="G9338" i="31"/>
  <c r="G9339" i="31"/>
  <c r="G9340" i="31"/>
  <c r="G9341" i="31"/>
  <c r="G9342" i="31"/>
  <c r="G9343" i="31"/>
  <c r="G9344" i="31"/>
  <c r="G9345" i="31"/>
  <c r="G9346" i="31"/>
  <c r="G9347" i="31"/>
  <c r="G9348" i="31"/>
  <c r="G9349" i="31"/>
  <c r="G9350" i="31"/>
  <c r="G9351" i="31"/>
  <c r="G9352" i="31"/>
  <c r="G9353" i="31"/>
  <c r="G9354" i="31"/>
  <c r="G9355" i="31"/>
  <c r="G9356" i="31"/>
  <c r="G9357" i="31"/>
  <c r="G9358" i="31"/>
  <c r="G9359" i="31"/>
  <c r="G9360" i="31"/>
  <c r="G9361" i="31"/>
  <c r="G9362" i="31"/>
  <c r="G9363" i="31"/>
  <c r="G9364" i="31"/>
  <c r="G9365" i="31"/>
  <c r="G9366" i="31"/>
  <c r="G9367" i="31"/>
  <c r="G9368" i="31"/>
  <c r="G9369" i="31"/>
  <c r="G9370" i="31"/>
  <c r="G9371" i="31"/>
  <c r="G9372" i="31"/>
  <c r="G9373" i="31"/>
  <c r="G9374" i="31"/>
  <c r="G9375" i="31"/>
  <c r="G9376" i="31"/>
  <c r="G9377" i="31"/>
  <c r="G9378" i="31"/>
  <c r="G9379" i="31"/>
  <c r="G9380" i="31"/>
  <c r="G9381" i="31"/>
  <c r="G9382" i="31"/>
  <c r="G9383" i="31"/>
  <c r="G9384" i="31"/>
  <c r="G9385" i="31"/>
  <c r="G9386" i="31"/>
  <c r="G9387" i="31"/>
  <c r="G9388" i="31"/>
  <c r="G9389" i="31"/>
  <c r="G9390" i="31"/>
  <c r="G9391" i="31"/>
  <c r="G9392" i="31"/>
  <c r="G9393" i="31"/>
  <c r="G9394" i="31"/>
  <c r="G9395" i="31"/>
  <c r="G9396" i="31"/>
  <c r="G9397" i="31"/>
  <c r="G9398" i="31"/>
  <c r="G9399" i="31"/>
  <c r="G9400" i="31"/>
  <c r="G9401" i="31"/>
  <c r="G9402" i="31"/>
  <c r="G9403" i="31"/>
  <c r="G9404" i="31"/>
  <c r="G9405" i="31"/>
  <c r="G9406" i="31"/>
  <c r="G9407" i="31"/>
  <c r="G9408" i="31"/>
  <c r="G9409" i="31"/>
  <c r="G9410" i="31"/>
  <c r="G9411" i="31"/>
  <c r="G9412" i="31"/>
  <c r="G9413" i="31"/>
  <c r="G9414" i="31"/>
  <c r="G9415" i="31"/>
  <c r="G9416" i="31"/>
  <c r="G9417" i="31"/>
  <c r="G9418" i="31"/>
  <c r="G9419" i="31"/>
  <c r="G9420" i="31"/>
  <c r="G9421" i="31"/>
  <c r="G9422" i="31"/>
  <c r="G9423" i="31"/>
  <c r="G9424" i="31"/>
  <c r="G9425" i="31"/>
  <c r="G9426" i="31"/>
  <c r="G9427" i="31"/>
  <c r="G9428" i="31"/>
  <c r="G9429" i="31"/>
  <c r="G9430" i="31"/>
  <c r="G9431" i="31"/>
  <c r="G9432" i="31"/>
  <c r="G9433" i="31"/>
  <c r="G9434" i="31"/>
  <c r="G9435" i="31"/>
  <c r="G9436" i="31"/>
  <c r="G9437" i="31"/>
  <c r="G9438" i="31"/>
  <c r="G9439" i="31"/>
  <c r="G9440" i="31"/>
  <c r="G9441" i="31"/>
  <c r="G9442" i="31"/>
  <c r="G9443" i="31"/>
  <c r="G9444" i="31"/>
  <c r="G9445" i="31"/>
  <c r="G9446" i="31"/>
  <c r="G9447" i="31"/>
  <c r="G9448" i="31"/>
  <c r="G9449" i="31"/>
  <c r="G9450" i="31"/>
  <c r="G9451" i="31"/>
  <c r="G9452" i="31"/>
  <c r="G9453" i="31"/>
  <c r="G9454" i="31"/>
  <c r="G9455" i="31"/>
  <c r="G9456" i="31"/>
  <c r="G9457" i="31"/>
  <c r="G9458" i="31"/>
  <c r="G9459" i="31"/>
  <c r="G9460" i="31"/>
  <c r="G9461" i="31"/>
  <c r="G9462" i="31"/>
  <c r="G9463" i="31"/>
  <c r="G9464" i="31"/>
  <c r="G9465" i="31"/>
  <c r="G9466" i="31"/>
  <c r="G9467" i="31"/>
  <c r="G9468" i="31"/>
  <c r="G9469" i="31"/>
  <c r="G9470" i="31"/>
  <c r="G9471" i="31"/>
  <c r="G9472" i="31"/>
  <c r="G9473" i="31"/>
  <c r="G9474" i="31"/>
  <c r="G9475" i="31"/>
  <c r="G9476" i="31"/>
  <c r="G9477" i="31"/>
  <c r="G9478" i="31"/>
  <c r="G9479" i="31"/>
  <c r="G9480" i="31"/>
  <c r="G9481" i="31"/>
  <c r="G9482" i="31"/>
  <c r="G9483" i="31"/>
  <c r="G9484" i="31"/>
  <c r="G9485" i="31"/>
  <c r="G9486" i="31"/>
  <c r="G9487" i="31"/>
  <c r="G9488" i="31"/>
  <c r="G9489" i="31"/>
  <c r="G9490" i="31"/>
  <c r="G9491" i="31"/>
  <c r="G9492" i="31"/>
  <c r="G9493" i="31"/>
  <c r="G9494" i="31"/>
  <c r="G9495" i="31"/>
  <c r="G9496" i="31"/>
  <c r="G9497" i="31"/>
  <c r="G9498" i="31"/>
  <c r="G9499" i="31"/>
  <c r="G9500" i="31"/>
  <c r="G9501" i="31"/>
  <c r="G9502" i="31"/>
  <c r="G9503" i="31"/>
  <c r="G9504" i="31"/>
  <c r="G9505" i="31"/>
  <c r="G9506" i="31"/>
  <c r="G9507" i="31"/>
  <c r="G9508" i="31"/>
  <c r="G9509" i="31"/>
  <c r="G9510" i="31"/>
  <c r="G9511" i="31"/>
  <c r="G9512" i="31"/>
  <c r="G9513" i="31"/>
  <c r="G9514" i="31"/>
  <c r="G9515" i="31"/>
  <c r="G9516" i="31"/>
  <c r="G9517" i="31"/>
  <c r="G9518" i="31"/>
  <c r="G9519" i="31"/>
  <c r="G9520" i="31"/>
  <c r="G9521" i="31"/>
  <c r="G9522" i="31"/>
  <c r="G9523" i="31"/>
  <c r="G9524" i="31"/>
  <c r="G9525" i="31"/>
  <c r="G9526" i="31"/>
  <c r="G9527" i="31"/>
  <c r="G9528" i="31"/>
  <c r="G9529" i="31"/>
  <c r="G9530" i="31"/>
  <c r="G9531" i="31"/>
  <c r="G9532" i="31"/>
  <c r="G9533" i="31"/>
  <c r="G9534" i="31"/>
  <c r="G9535" i="31"/>
  <c r="G9536" i="31"/>
  <c r="G9537" i="31"/>
  <c r="G9538" i="31"/>
  <c r="G9539" i="31"/>
  <c r="G9540" i="31"/>
  <c r="G9541" i="31"/>
  <c r="G9542" i="31"/>
  <c r="G9543" i="31"/>
  <c r="G9544" i="31"/>
  <c r="G9545" i="31"/>
  <c r="G9546" i="31"/>
  <c r="G9547" i="31"/>
  <c r="G9548" i="31"/>
  <c r="G9549" i="31"/>
  <c r="G9550" i="31"/>
  <c r="G9551" i="31"/>
  <c r="G9552" i="31"/>
  <c r="G9553" i="31"/>
  <c r="G9554" i="31"/>
  <c r="G9555" i="31"/>
  <c r="G9556" i="31"/>
  <c r="G9557" i="31"/>
  <c r="G9558" i="31"/>
  <c r="G9559" i="31"/>
  <c r="G9560" i="31"/>
  <c r="G9561" i="31"/>
  <c r="G9562" i="31"/>
  <c r="G9563" i="31"/>
  <c r="G9564" i="31"/>
  <c r="G9565" i="31"/>
  <c r="G9566" i="31"/>
  <c r="G9567" i="31"/>
  <c r="G9568" i="31"/>
  <c r="G9569" i="31"/>
  <c r="G9570" i="31"/>
  <c r="G9571" i="31"/>
  <c r="G9572" i="31"/>
  <c r="G9573" i="31"/>
  <c r="G9574" i="31"/>
  <c r="G9575" i="31"/>
  <c r="G9576" i="31"/>
  <c r="G9577" i="31"/>
  <c r="G9578" i="31"/>
  <c r="G9579" i="31"/>
  <c r="G9580" i="31"/>
  <c r="G9581" i="31"/>
  <c r="G9582" i="31"/>
  <c r="G9583" i="31"/>
  <c r="G9584" i="31"/>
  <c r="G9585" i="31"/>
  <c r="G9586" i="31"/>
  <c r="G9587" i="31"/>
  <c r="G9588" i="31"/>
  <c r="G9589" i="31"/>
  <c r="G9590" i="31"/>
  <c r="G9591" i="31"/>
  <c r="G9592" i="31"/>
  <c r="G9593" i="31"/>
  <c r="G9594" i="31"/>
  <c r="G9595" i="31"/>
  <c r="G9596" i="31"/>
  <c r="G9597" i="31"/>
  <c r="G9598" i="31"/>
  <c r="G9599" i="31"/>
  <c r="G9600" i="31"/>
  <c r="G9601" i="31"/>
  <c r="G9602" i="31"/>
  <c r="G9603" i="31"/>
  <c r="G9604" i="31"/>
  <c r="G9605" i="31"/>
  <c r="G9606" i="31"/>
  <c r="G9607" i="31"/>
  <c r="G9608" i="31"/>
  <c r="G9609" i="31"/>
  <c r="G9610" i="31"/>
  <c r="G9611" i="31"/>
  <c r="G9612" i="31"/>
  <c r="G9613" i="31"/>
  <c r="G9614" i="31"/>
  <c r="G9615" i="31"/>
  <c r="G9616" i="31"/>
  <c r="G9617" i="31"/>
  <c r="G9618" i="31"/>
  <c r="G9619" i="31"/>
  <c r="G9620" i="31"/>
  <c r="G9621" i="31"/>
  <c r="G9622" i="31"/>
  <c r="G9623" i="31"/>
  <c r="G9624" i="31"/>
  <c r="G9625" i="31"/>
  <c r="G9626" i="31"/>
  <c r="G9627" i="31"/>
  <c r="G9628" i="31"/>
  <c r="G9629" i="31"/>
  <c r="G9630" i="31"/>
  <c r="G9631" i="31"/>
  <c r="G9632" i="31"/>
  <c r="G9633" i="31"/>
  <c r="G9634" i="31"/>
  <c r="G9635" i="31"/>
  <c r="G9636" i="31"/>
  <c r="G9637" i="31"/>
  <c r="G9638" i="31"/>
  <c r="G9639" i="31"/>
  <c r="G9640" i="31"/>
  <c r="G9641" i="31"/>
  <c r="G9642" i="31"/>
  <c r="G9643" i="31"/>
  <c r="G9644" i="31"/>
  <c r="G9645" i="31"/>
  <c r="G9646" i="31"/>
  <c r="G9647" i="31"/>
  <c r="G9648" i="31"/>
  <c r="G9649" i="31"/>
  <c r="G9650" i="31"/>
  <c r="G9651" i="31"/>
  <c r="G9652" i="31"/>
  <c r="G9653" i="31"/>
  <c r="G9654" i="31"/>
  <c r="G9655" i="31"/>
  <c r="G9656" i="31"/>
  <c r="G9657" i="31"/>
  <c r="G9658" i="31"/>
  <c r="G9659" i="31"/>
  <c r="G9660" i="31"/>
  <c r="G9661" i="31"/>
  <c r="G9662" i="31"/>
  <c r="G9663" i="31"/>
  <c r="G9664" i="31"/>
  <c r="G9665" i="31"/>
  <c r="G9666" i="31"/>
  <c r="G9667" i="31"/>
  <c r="G9668" i="31"/>
  <c r="G9669" i="31"/>
  <c r="G9670" i="31"/>
  <c r="G9671" i="31"/>
  <c r="G9672" i="31"/>
  <c r="G9673" i="31"/>
  <c r="G9674" i="31"/>
  <c r="G9675" i="31"/>
  <c r="G9676" i="31"/>
  <c r="G9677" i="31"/>
  <c r="G9678" i="31"/>
  <c r="G9679" i="31"/>
  <c r="G9680" i="31"/>
  <c r="G9681" i="31"/>
  <c r="G9682" i="31"/>
  <c r="G9683" i="31"/>
  <c r="G9684" i="31"/>
  <c r="G9685" i="31"/>
  <c r="G9686" i="31"/>
  <c r="G9687" i="31"/>
  <c r="G9688" i="31"/>
  <c r="G9689" i="31"/>
  <c r="G9690" i="31"/>
  <c r="G9691" i="31"/>
  <c r="G9692" i="31"/>
  <c r="G9693" i="31"/>
  <c r="G9694" i="31"/>
  <c r="G9695" i="31"/>
  <c r="G9696" i="31"/>
  <c r="G9697" i="31"/>
  <c r="G9698" i="31"/>
  <c r="G9699" i="31"/>
  <c r="G9700" i="31"/>
  <c r="G9701" i="31"/>
  <c r="G9702" i="31"/>
  <c r="G9703" i="31"/>
  <c r="G9704" i="31"/>
  <c r="G9705" i="31"/>
  <c r="G9706" i="31"/>
  <c r="G9707" i="31"/>
  <c r="G9708" i="31"/>
  <c r="G9709" i="31"/>
  <c r="G9710" i="31"/>
  <c r="G9711" i="31"/>
  <c r="G9712" i="31"/>
  <c r="G9713" i="31"/>
  <c r="G9714" i="31"/>
  <c r="G9715" i="31"/>
  <c r="G9716" i="31"/>
  <c r="G9717" i="31"/>
  <c r="G9718" i="31"/>
  <c r="G9719" i="31"/>
  <c r="G9720" i="31"/>
  <c r="G9721" i="31"/>
  <c r="G9722" i="31"/>
  <c r="G9723" i="31"/>
  <c r="G9724" i="31"/>
  <c r="G9725" i="31"/>
  <c r="G9726" i="31"/>
  <c r="G9727" i="31"/>
  <c r="G9728" i="31"/>
  <c r="G9729" i="31"/>
  <c r="G9730" i="31"/>
  <c r="G9731" i="31"/>
  <c r="G9732" i="31"/>
  <c r="G9733" i="31"/>
  <c r="G9734" i="31"/>
  <c r="G9735" i="31"/>
  <c r="G9736" i="31"/>
  <c r="G9737" i="31"/>
  <c r="G9738" i="31"/>
  <c r="G9739" i="31"/>
  <c r="G9740" i="31"/>
  <c r="G9741" i="31"/>
  <c r="G9742" i="31"/>
  <c r="G9743" i="31"/>
  <c r="G9744" i="31"/>
  <c r="G9745" i="31"/>
  <c r="G9746" i="31"/>
  <c r="G9747" i="31"/>
  <c r="G9748" i="31"/>
  <c r="G9749" i="31"/>
  <c r="G9750" i="31"/>
  <c r="G9751" i="31"/>
  <c r="G9752" i="31"/>
  <c r="G9753" i="31"/>
  <c r="G9754" i="31"/>
  <c r="G9755" i="31"/>
  <c r="G9756" i="31"/>
  <c r="G9757" i="31"/>
  <c r="G9758" i="31"/>
  <c r="G9759" i="31"/>
  <c r="G9760" i="31"/>
  <c r="G9761" i="31"/>
  <c r="G9763" i="31"/>
  <c r="G9764" i="31"/>
  <c r="G9765" i="31"/>
  <c r="G9766" i="31"/>
  <c r="G9767" i="31"/>
  <c r="G9768" i="31"/>
  <c r="G9769" i="31"/>
  <c r="G9770" i="31"/>
  <c r="G9771" i="31"/>
  <c r="G9772" i="31"/>
  <c r="G9773" i="31"/>
  <c r="G9774" i="31"/>
  <c r="G9775" i="31"/>
  <c r="G9776" i="31"/>
  <c r="G9777" i="31"/>
  <c r="G9778" i="31"/>
  <c r="G9779" i="31"/>
  <c r="G9780" i="31"/>
  <c r="G9781" i="31"/>
  <c r="G9782" i="31"/>
  <c r="G9783" i="31"/>
  <c r="G9784" i="31"/>
  <c r="G9785" i="31"/>
  <c r="G9786" i="31"/>
  <c r="G9787" i="31"/>
  <c r="G9788" i="31"/>
  <c r="G9789" i="31"/>
  <c r="G9790" i="31"/>
  <c r="G9791" i="31"/>
  <c r="G9792" i="31"/>
  <c r="G9793" i="31"/>
  <c r="G9794" i="31"/>
  <c r="G9795" i="31"/>
  <c r="G9796" i="31"/>
  <c r="G9797" i="31"/>
  <c r="G9798" i="31"/>
  <c r="G9799" i="31"/>
  <c r="G9800" i="31"/>
  <c r="G9801" i="31"/>
  <c r="G9802" i="31"/>
  <c r="G9803" i="31"/>
  <c r="G9804" i="31"/>
  <c r="G9805" i="31"/>
  <c r="G9806" i="31"/>
  <c r="G9807" i="31"/>
  <c r="G9808" i="31"/>
  <c r="G9809" i="31"/>
  <c r="G9810" i="31"/>
  <c r="G9811" i="31"/>
  <c r="G9812" i="31"/>
  <c r="G9813" i="31"/>
  <c r="G9814" i="31"/>
  <c r="G9815" i="31"/>
  <c r="G9816" i="31"/>
  <c r="G9817" i="31"/>
  <c r="G9818" i="31"/>
  <c r="G9819" i="31"/>
  <c r="G9820" i="31"/>
  <c r="G9821" i="31"/>
  <c r="G9822" i="31"/>
  <c r="G9823" i="31"/>
  <c r="G9824" i="31"/>
  <c r="G9825" i="31"/>
  <c r="G9826" i="31"/>
  <c r="G9827" i="31"/>
  <c r="G9828" i="31"/>
  <c r="G9829" i="31"/>
  <c r="G9830" i="31"/>
  <c r="G9831" i="31"/>
  <c r="G9832" i="31"/>
  <c r="G9833" i="31"/>
  <c r="G9834" i="31"/>
  <c r="G9835" i="31"/>
  <c r="G9836" i="31"/>
  <c r="G9837" i="31"/>
  <c r="G9838" i="31"/>
  <c r="G9839" i="31"/>
  <c r="G9840" i="31"/>
  <c r="G9841" i="31"/>
  <c r="G9842" i="31"/>
  <c r="G9843" i="31"/>
  <c r="G9844" i="31"/>
  <c r="G9845" i="31"/>
  <c r="G9846" i="31"/>
  <c r="G9847" i="31"/>
  <c r="G9848" i="31"/>
  <c r="G9849" i="31"/>
  <c r="G9850" i="31"/>
  <c r="G9851" i="31"/>
  <c r="G9852" i="31"/>
  <c r="G9853" i="31"/>
  <c r="G9854" i="31"/>
  <c r="G9855" i="31"/>
  <c r="G9856" i="31"/>
  <c r="G9857" i="31"/>
  <c r="G9858" i="31"/>
  <c r="G9859" i="31"/>
  <c r="G9860" i="31"/>
  <c r="G9861" i="31"/>
  <c r="G9862" i="31"/>
  <c r="G9863" i="31"/>
  <c r="G9864" i="31"/>
  <c r="G9865" i="31"/>
  <c r="G9866" i="31"/>
  <c r="G9867" i="31"/>
  <c r="G9868" i="31"/>
  <c r="G9869" i="31"/>
  <c r="G9870" i="31"/>
  <c r="G9871" i="31"/>
  <c r="G9872" i="31"/>
  <c r="G9873" i="31"/>
  <c r="G9874" i="31"/>
  <c r="G9875" i="31"/>
  <c r="G9876" i="31"/>
  <c r="G9877" i="31"/>
  <c r="G9878" i="31"/>
  <c r="G9879" i="31"/>
  <c r="G9880" i="31"/>
  <c r="G9881" i="31"/>
  <c r="G9882" i="31"/>
  <c r="G9883" i="31"/>
  <c r="G9884" i="31"/>
  <c r="G9885" i="31"/>
  <c r="G9886" i="31"/>
  <c r="G9887" i="31"/>
  <c r="G9888" i="31"/>
  <c r="G9889" i="31"/>
  <c r="G9890" i="31"/>
  <c r="G9891" i="31"/>
  <c r="G9892" i="31"/>
  <c r="G9893" i="31"/>
  <c r="G9894" i="31"/>
  <c r="G9895" i="31"/>
  <c r="G9896" i="31"/>
  <c r="G9897" i="31"/>
  <c r="G9898" i="31"/>
  <c r="G9899" i="31"/>
  <c r="G9900" i="31"/>
  <c r="G9901" i="31"/>
  <c r="G9902" i="31"/>
  <c r="G9903" i="31"/>
  <c r="G9904" i="31"/>
  <c r="G9905" i="31"/>
  <c r="G9906" i="31"/>
  <c r="G9907" i="31"/>
  <c r="G9908" i="31"/>
  <c r="G9909" i="31"/>
  <c r="G9910" i="31"/>
  <c r="G9911" i="31"/>
  <c r="G9912" i="31"/>
  <c r="G9913" i="31"/>
  <c r="G9914" i="31"/>
  <c r="G9915" i="31"/>
  <c r="G9916" i="31"/>
  <c r="G9917" i="31"/>
  <c r="G9918" i="31"/>
  <c r="G9919" i="31"/>
  <c r="G9920" i="31"/>
  <c r="G9921" i="31"/>
  <c r="G9922" i="31"/>
  <c r="G9923" i="31"/>
  <c r="G9924" i="31"/>
  <c r="G9925" i="31"/>
  <c r="G9926" i="31"/>
  <c r="G9927" i="31"/>
  <c r="G9928" i="31"/>
  <c r="G9929" i="31"/>
  <c r="G9930" i="31"/>
  <c r="G9931" i="31"/>
  <c r="G9932" i="31"/>
  <c r="G9933" i="31"/>
  <c r="G9934" i="31"/>
  <c r="G9935" i="31"/>
  <c r="G9936" i="31"/>
  <c r="G9937" i="31"/>
  <c r="G9938" i="31"/>
  <c r="G9939" i="31"/>
  <c r="G9940" i="31"/>
  <c r="G9941" i="31"/>
  <c r="G9942" i="31"/>
  <c r="G9943" i="31"/>
  <c r="G9944" i="31"/>
  <c r="G9945" i="31"/>
  <c r="G9946" i="31"/>
  <c r="G9947" i="31"/>
  <c r="G9948" i="31"/>
  <c r="G9949" i="31"/>
  <c r="G9950" i="31"/>
  <c r="G9951" i="31"/>
  <c r="G9952" i="31"/>
  <c r="G9953" i="31"/>
  <c r="G9954" i="31"/>
  <c r="G9955" i="31"/>
  <c r="G9956" i="31"/>
  <c r="G9957" i="31"/>
  <c r="G9958" i="31"/>
  <c r="G9959" i="31"/>
  <c r="G9960" i="31"/>
  <c r="G9961" i="31"/>
  <c r="G9962" i="31"/>
  <c r="G9963" i="31"/>
  <c r="G9964" i="31"/>
  <c r="G9965" i="31"/>
  <c r="G9966" i="31"/>
  <c r="G9967" i="31"/>
  <c r="G9968" i="31"/>
  <c r="G9969" i="31"/>
  <c r="G9970" i="31"/>
  <c r="G9971" i="31"/>
  <c r="G9972" i="31"/>
  <c r="G9973" i="31"/>
  <c r="G9974" i="31"/>
  <c r="G9975" i="31"/>
  <c r="G9976" i="31"/>
  <c r="G9977" i="31"/>
  <c r="G9978" i="31"/>
  <c r="G9979" i="31"/>
  <c r="G9980" i="31"/>
  <c r="G9981" i="31"/>
  <c r="G9982" i="31"/>
  <c r="G9983" i="31"/>
  <c r="G9984" i="31"/>
  <c r="G9986" i="31"/>
  <c r="G9987" i="31"/>
  <c r="G9988" i="31"/>
  <c r="G9989" i="31"/>
  <c r="G9990" i="31"/>
  <c r="G9991" i="31"/>
  <c r="G9992" i="31"/>
  <c r="G9993" i="31"/>
  <c r="G9994" i="31"/>
  <c r="G9995" i="31"/>
  <c r="G9996" i="31"/>
  <c r="G9997" i="31"/>
  <c r="G9998" i="31"/>
  <c r="G9999" i="31"/>
  <c r="G10000" i="31"/>
  <c r="G10001" i="31"/>
  <c r="G10002" i="31"/>
  <c r="G10003" i="31"/>
  <c r="G10004" i="31"/>
  <c r="G10005" i="31"/>
  <c r="G10006" i="31"/>
  <c r="G10007" i="31"/>
  <c r="G10008" i="31"/>
  <c r="G10009" i="31"/>
  <c r="G10010" i="31"/>
  <c r="G10011" i="31"/>
  <c r="G10012" i="31"/>
  <c r="G10013" i="31"/>
  <c r="G10014" i="31"/>
  <c r="G10015" i="31"/>
  <c r="G10016" i="31"/>
  <c r="G10017" i="31"/>
  <c r="G10018" i="31"/>
  <c r="G10019" i="31"/>
  <c r="G10020" i="31"/>
  <c r="G10021" i="31"/>
  <c r="G10022" i="31"/>
  <c r="G10023" i="31"/>
  <c r="G10024" i="31"/>
  <c r="G10025" i="31"/>
  <c r="G10026" i="31"/>
  <c r="G10027" i="31"/>
  <c r="G10028" i="31"/>
  <c r="G10029" i="31"/>
  <c r="G10030" i="31"/>
  <c r="G10031" i="31"/>
  <c r="G10032" i="31"/>
  <c r="G10033" i="31"/>
  <c r="G10034" i="31"/>
  <c r="G10035" i="31"/>
  <c r="G10036" i="31"/>
  <c r="G10037" i="31"/>
  <c r="G10038" i="31"/>
  <c r="G10039" i="31"/>
  <c r="G10040" i="31"/>
  <c r="G10041" i="31"/>
  <c r="G10042" i="31"/>
  <c r="G10043" i="31"/>
  <c r="G10044" i="31"/>
  <c r="G10045" i="31"/>
  <c r="G10046" i="31"/>
  <c r="G10047" i="31"/>
  <c r="G10048" i="31"/>
  <c r="G10049" i="31"/>
  <c r="G10050" i="31"/>
  <c r="G10051" i="31"/>
  <c r="G10052" i="31"/>
  <c r="G10053" i="31"/>
  <c r="G10054" i="31"/>
  <c r="G10055" i="31"/>
  <c r="G10056" i="31"/>
  <c r="G10057" i="31"/>
  <c r="G10058" i="31"/>
  <c r="G10059" i="31"/>
  <c r="G10060" i="31"/>
  <c r="G10061" i="31"/>
  <c r="G10062" i="31"/>
  <c r="G10063" i="31"/>
  <c r="G10064" i="31"/>
  <c r="G10065" i="31"/>
  <c r="G10066" i="31"/>
  <c r="G10067" i="31"/>
  <c r="G10068" i="31"/>
  <c r="G10069" i="31"/>
  <c r="G10070" i="31"/>
  <c r="G10071" i="31"/>
  <c r="G10072" i="31"/>
  <c r="G10073" i="31"/>
  <c r="G10074" i="31"/>
  <c r="G10075" i="31"/>
  <c r="G10076" i="31"/>
  <c r="G10077" i="31"/>
  <c r="G10078" i="31"/>
  <c r="G10079" i="31"/>
  <c r="G10080" i="31"/>
  <c r="G10081" i="31"/>
  <c r="G10082" i="31"/>
  <c r="G10083" i="31"/>
  <c r="G10084" i="31"/>
  <c r="G10085" i="31"/>
  <c r="G10086" i="31"/>
  <c r="G10087" i="31"/>
  <c r="G10088" i="31"/>
  <c r="G10089" i="31"/>
  <c r="G10090" i="31"/>
  <c r="G10091" i="31"/>
  <c r="G10092" i="31"/>
  <c r="G10093" i="31"/>
  <c r="G10094" i="31"/>
  <c r="G10095" i="31"/>
  <c r="G10096" i="31"/>
  <c r="G10097" i="31"/>
  <c r="G10098" i="31"/>
  <c r="G10099" i="31"/>
  <c r="G10100" i="31"/>
  <c r="G10101" i="31"/>
  <c r="G10102" i="31"/>
  <c r="G10103" i="31"/>
  <c r="G10104" i="31"/>
  <c r="G10105" i="31"/>
  <c r="G10106" i="31"/>
  <c r="G10107" i="31"/>
  <c r="G10108" i="31"/>
  <c r="G10109" i="31"/>
  <c r="G10110" i="31"/>
  <c r="G10111" i="31"/>
  <c r="G10112" i="31"/>
  <c r="G10113" i="31"/>
  <c r="G10114" i="31"/>
  <c r="G10115" i="31"/>
  <c r="G10116" i="31"/>
  <c r="G10117" i="31"/>
  <c r="G10118" i="31"/>
  <c r="G10119" i="31"/>
  <c r="G10120" i="31"/>
  <c r="G10121" i="31"/>
  <c r="G10122" i="31"/>
  <c r="G10123" i="31"/>
  <c r="G10124" i="31"/>
  <c r="G10125" i="31"/>
  <c r="G10126" i="31"/>
  <c r="G10127" i="31"/>
  <c r="G10128" i="31"/>
  <c r="G10129" i="31"/>
  <c r="G10130" i="31"/>
  <c r="G10131" i="31"/>
  <c r="G10132" i="31"/>
  <c r="G10133" i="31"/>
  <c r="G10134" i="31"/>
  <c r="G10135" i="31"/>
  <c r="G10136" i="31"/>
  <c r="G10137" i="31"/>
  <c r="G10138" i="31"/>
  <c r="G10139" i="31"/>
  <c r="G10140" i="31"/>
  <c r="G10141" i="31"/>
  <c r="G10142" i="31"/>
  <c r="G10143" i="31"/>
  <c r="G10144" i="31"/>
  <c r="G10145" i="31"/>
  <c r="G10146" i="31"/>
  <c r="G10147" i="31"/>
  <c r="G10148" i="31"/>
  <c r="G10149" i="31"/>
  <c r="G10150" i="31"/>
  <c r="G10151" i="31"/>
  <c r="G10152" i="31"/>
  <c r="G10153" i="31"/>
  <c r="G10154" i="31"/>
  <c r="G10155" i="31"/>
  <c r="G10156" i="31"/>
  <c r="G10157" i="31"/>
  <c r="G10158" i="31"/>
  <c r="G10159" i="31"/>
  <c r="G10160" i="31"/>
  <c r="G10161" i="31"/>
  <c r="G10162" i="31"/>
  <c r="G10163" i="31"/>
  <c r="G10164" i="31"/>
  <c r="G10165" i="31"/>
  <c r="G10166" i="31"/>
  <c r="G10167" i="31"/>
  <c r="G10168" i="31"/>
  <c r="G10169" i="31"/>
  <c r="G10170" i="31"/>
  <c r="G10171" i="31"/>
  <c r="G10172" i="31"/>
  <c r="G10173" i="31"/>
  <c r="G10174" i="31"/>
  <c r="G10175" i="31"/>
  <c r="G10176" i="31"/>
  <c r="G10177" i="31"/>
  <c r="G10178" i="31"/>
  <c r="G10179" i="31"/>
  <c r="G10180" i="31"/>
  <c r="G10181" i="31"/>
  <c r="G10182" i="31"/>
  <c r="G10183" i="31"/>
  <c r="G10184" i="31"/>
  <c r="G10185" i="31"/>
  <c r="G10186" i="31"/>
  <c r="G10187" i="31"/>
  <c r="G10188" i="31"/>
  <c r="G10189" i="31"/>
  <c r="G10190" i="31"/>
  <c r="G10191" i="31"/>
  <c r="G10192" i="31"/>
  <c r="G10193" i="31"/>
  <c r="G10194" i="31"/>
  <c r="G10195" i="31"/>
  <c r="G10196" i="31"/>
  <c r="G10197" i="31"/>
  <c r="G10198" i="31"/>
  <c r="G10199" i="31"/>
  <c r="G10200" i="31"/>
  <c r="G10201" i="31"/>
  <c r="G10202" i="31"/>
  <c r="G10203" i="31"/>
  <c r="G10204" i="31"/>
  <c r="G10205" i="31"/>
  <c r="G10206" i="31"/>
  <c r="G10207" i="31"/>
  <c r="G10208" i="31"/>
  <c r="G10209" i="31"/>
  <c r="G10210" i="31"/>
  <c r="G10211" i="31"/>
  <c r="G10212" i="31"/>
  <c r="G10213" i="31"/>
  <c r="G10214" i="31"/>
  <c r="G10215" i="31"/>
  <c r="G10216" i="31"/>
  <c r="G10217" i="31"/>
  <c r="G10218" i="31"/>
  <c r="G10219" i="31"/>
  <c r="G10220" i="31"/>
  <c r="G10221" i="31"/>
  <c r="G10222" i="31"/>
  <c r="G10223" i="31"/>
  <c r="G10224" i="31"/>
  <c r="G10225" i="31"/>
  <c r="G10226" i="31"/>
  <c r="G10227" i="31"/>
  <c r="G10228" i="31"/>
  <c r="G10229" i="31"/>
  <c r="G10230" i="31"/>
  <c r="G10231" i="31"/>
  <c r="G10232" i="31"/>
  <c r="G10233" i="31"/>
  <c r="G10234" i="31"/>
  <c r="G10235" i="31"/>
  <c r="G10236" i="31"/>
  <c r="G10237" i="31"/>
  <c r="G10238" i="31"/>
  <c r="G10239" i="31"/>
  <c r="G10240" i="31"/>
  <c r="G10241" i="31"/>
  <c r="G10242" i="31"/>
  <c r="G10243" i="31"/>
  <c r="G10244" i="31"/>
  <c r="G10245" i="31"/>
  <c r="G10246" i="31"/>
  <c r="G10247" i="31"/>
  <c r="G10248" i="31"/>
  <c r="G10249" i="31"/>
  <c r="G10250" i="31"/>
  <c r="G10251" i="31"/>
  <c r="G10252" i="31"/>
  <c r="G10253" i="31"/>
  <c r="G10254" i="31"/>
  <c r="G10255" i="31"/>
  <c r="G10256" i="31"/>
  <c r="G10257" i="31"/>
  <c r="G10258" i="31"/>
  <c r="G10259" i="31"/>
  <c r="G10260" i="31"/>
  <c r="G10261" i="31"/>
  <c r="G10262" i="31"/>
  <c r="G10263" i="31"/>
  <c r="G10264" i="31"/>
  <c r="G10265" i="31"/>
  <c r="G10266" i="31"/>
  <c r="G10267" i="31"/>
  <c r="G10268" i="31"/>
  <c r="G10269" i="31"/>
  <c r="G10270" i="31"/>
  <c r="G10271" i="31"/>
  <c r="G10272" i="31"/>
  <c r="G10273" i="31"/>
  <c r="G10274" i="31"/>
  <c r="G10275" i="31"/>
  <c r="G10276" i="31"/>
  <c r="G10277" i="31"/>
  <c r="G10278" i="31"/>
  <c r="G10279" i="31"/>
  <c r="G10280" i="31"/>
  <c r="G10281" i="31"/>
  <c r="G10282" i="31"/>
  <c r="G10283" i="31"/>
  <c r="G10284" i="31"/>
  <c r="G10285" i="31"/>
  <c r="G10286" i="31"/>
  <c r="G10287" i="31"/>
  <c r="G10288" i="31"/>
  <c r="G10289" i="31"/>
  <c r="G10290" i="31"/>
  <c r="G10291" i="31"/>
  <c r="G10292" i="31"/>
  <c r="G10293" i="31"/>
  <c r="G10294" i="31"/>
  <c r="G10295" i="31"/>
  <c r="G10296" i="31"/>
  <c r="G10297" i="31"/>
  <c r="G10298" i="31"/>
  <c r="G10299" i="31"/>
  <c r="G10300" i="31"/>
  <c r="G10301" i="31"/>
  <c r="G10302" i="31"/>
  <c r="G10303" i="31"/>
  <c r="G10304" i="31"/>
  <c r="G10305" i="31"/>
  <c r="G10306" i="31"/>
  <c r="G10307" i="31"/>
  <c r="G10308" i="31"/>
  <c r="G10309" i="31"/>
  <c r="G10310" i="31"/>
  <c r="G10311" i="31"/>
  <c r="G10312" i="31"/>
  <c r="G10313" i="31"/>
  <c r="G10314" i="31"/>
  <c r="G10315" i="31"/>
  <c r="G10316" i="31"/>
  <c r="G10317" i="31"/>
  <c r="G10318" i="31"/>
  <c r="G10319" i="31"/>
  <c r="G10320" i="31"/>
  <c r="G10321" i="31"/>
  <c r="G10322" i="31"/>
  <c r="G10323" i="31"/>
  <c r="G10324" i="31"/>
  <c r="G10325" i="31"/>
  <c r="G10326" i="31"/>
  <c r="G10327" i="31"/>
  <c r="G10328" i="31"/>
  <c r="G10329" i="31"/>
  <c r="G10330" i="31"/>
  <c r="G10331" i="31"/>
  <c r="G10332" i="31"/>
  <c r="G10333" i="31"/>
  <c r="G10334" i="31"/>
  <c r="G10335" i="31"/>
  <c r="G10336" i="31"/>
  <c r="G10337" i="31"/>
  <c r="G10338" i="31"/>
  <c r="G10339" i="31"/>
  <c r="G10340" i="31"/>
  <c r="G10341" i="31"/>
  <c r="G10342" i="31"/>
  <c r="G10343" i="31"/>
  <c r="G10344" i="31"/>
  <c r="G10345" i="31"/>
  <c r="G10346" i="31"/>
  <c r="G10347" i="31"/>
  <c r="G10348" i="31"/>
  <c r="G10349" i="31"/>
  <c r="G10350" i="31"/>
  <c r="G10351" i="31"/>
  <c r="G10352" i="31"/>
  <c r="G10353" i="31"/>
  <c r="G10354" i="31"/>
  <c r="G10355" i="31"/>
  <c r="G10356" i="31"/>
  <c r="G10357" i="31"/>
  <c r="G10358" i="31"/>
  <c r="G10359" i="31"/>
  <c r="G10360" i="31"/>
  <c r="G10361" i="31"/>
  <c r="G10362" i="31"/>
  <c r="G10363" i="31"/>
  <c r="G10364" i="31"/>
  <c r="G10365" i="31"/>
  <c r="G10366" i="31"/>
  <c r="G10367" i="31"/>
  <c r="G10368" i="31"/>
  <c r="G10369" i="31"/>
  <c r="G10370" i="31"/>
  <c r="G10371" i="31"/>
  <c r="G10372" i="31"/>
  <c r="G10373" i="31"/>
  <c r="G10374" i="31"/>
  <c r="G10375" i="31"/>
  <c r="G10376" i="31"/>
  <c r="G10377" i="31"/>
  <c r="G10378" i="31"/>
  <c r="G10379" i="31"/>
  <c r="G10380" i="31"/>
  <c r="G10381" i="31"/>
  <c r="G10382" i="31"/>
  <c r="G10383" i="31"/>
  <c r="G10384" i="31"/>
  <c r="G10385" i="31"/>
  <c r="G10386" i="31"/>
  <c r="G10387" i="31"/>
  <c r="G10388" i="31"/>
  <c r="G10389" i="31"/>
  <c r="G10390" i="31"/>
  <c r="G10391" i="31"/>
  <c r="G10392" i="31"/>
  <c r="G10393" i="31"/>
  <c r="G10394" i="31"/>
  <c r="G10395" i="31"/>
  <c r="G10396" i="31"/>
  <c r="G10397" i="31"/>
  <c r="G10398" i="31"/>
  <c r="G10399" i="31"/>
  <c r="G10400" i="31"/>
  <c r="G10401" i="31"/>
  <c r="G10402" i="31"/>
  <c r="G10403" i="31"/>
  <c r="G10404" i="31"/>
  <c r="G10405" i="31"/>
  <c r="G10406" i="31"/>
  <c r="G10407" i="31"/>
  <c r="G10408" i="31"/>
  <c r="G10409" i="31"/>
  <c r="G10410" i="31"/>
  <c r="G10411" i="31"/>
  <c r="G10412" i="31"/>
  <c r="G10413" i="31"/>
  <c r="G10414" i="31"/>
  <c r="G10415" i="31"/>
  <c r="G10416" i="31"/>
  <c r="G10417" i="31"/>
  <c r="G10418" i="31"/>
  <c r="G10419" i="31"/>
  <c r="G10420" i="31"/>
  <c r="G10421" i="31"/>
  <c r="G10422" i="31"/>
  <c r="G10423" i="31"/>
  <c r="G10424" i="31"/>
  <c r="G10425" i="31"/>
  <c r="G10426" i="31"/>
  <c r="G10427" i="31"/>
  <c r="G10428" i="31"/>
  <c r="G10429" i="31"/>
  <c r="G10430" i="31"/>
  <c r="G10431" i="31"/>
  <c r="G10432" i="31"/>
  <c r="G10433" i="31"/>
  <c r="G10434" i="31"/>
  <c r="G10435" i="31"/>
  <c r="G10436" i="31"/>
  <c r="G10437" i="31"/>
  <c r="G10438" i="31"/>
  <c r="G10439" i="31"/>
  <c r="G10440" i="31"/>
  <c r="G10441" i="31"/>
  <c r="G10442" i="31"/>
  <c r="G10443" i="31"/>
  <c r="G10444" i="31"/>
  <c r="G10445" i="31"/>
  <c r="G10446" i="31"/>
  <c r="G10447" i="31"/>
  <c r="G10448" i="31"/>
  <c r="G10449" i="31"/>
  <c r="G10450" i="31"/>
  <c r="G10451" i="31"/>
  <c r="G10452" i="31"/>
  <c r="G10453" i="31"/>
  <c r="G10454" i="31"/>
  <c r="G10455" i="31"/>
  <c r="G10456" i="31"/>
  <c r="G10457" i="31"/>
  <c r="G10458" i="31"/>
  <c r="G10459" i="31"/>
  <c r="G10460" i="31"/>
  <c r="G10461" i="31"/>
  <c r="G10462" i="31"/>
  <c r="G10463" i="31"/>
  <c r="G10464" i="31"/>
  <c r="G10465" i="31"/>
  <c r="G10466" i="31"/>
  <c r="G10467" i="31"/>
  <c r="G10468" i="31"/>
  <c r="G10469" i="31"/>
  <c r="G10470" i="31"/>
  <c r="G10471" i="31"/>
  <c r="G10472" i="31"/>
  <c r="G10473" i="31"/>
  <c r="G10474" i="31"/>
  <c r="G10475" i="31"/>
  <c r="G10476" i="31"/>
  <c r="G10477" i="31"/>
  <c r="G10478" i="31"/>
  <c r="G10479" i="31"/>
  <c r="G10480" i="31"/>
  <c r="G10481" i="31"/>
  <c r="G10482" i="31"/>
  <c r="G10483" i="31"/>
  <c r="G10484" i="31"/>
  <c r="G10485" i="31"/>
  <c r="G10486" i="31"/>
  <c r="G10487" i="31"/>
  <c r="G10488" i="31"/>
  <c r="G10489" i="31"/>
  <c r="G10490" i="31"/>
  <c r="G10491" i="31"/>
  <c r="G10492" i="31"/>
  <c r="G10493" i="31"/>
  <c r="G10494" i="31"/>
  <c r="G10495" i="31"/>
  <c r="G10496" i="31"/>
  <c r="G10497" i="31"/>
  <c r="G10498" i="31"/>
  <c r="G3" i="31"/>
  <c r="G3745" i="31" l="1"/>
  <c r="G3611" i="31"/>
  <c r="G3604" i="31"/>
  <c r="G3598" i="31"/>
  <c r="G3569" i="31"/>
  <c r="G3561" i="31"/>
  <c r="G3459" i="31"/>
  <c r="G3426" i="31"/>
  <c r="G3420" i="31"/>
  <c r="G3415" i="31"/>
  <c r="G3414" i="31"/>
  <c r="G3344" i="31"/>
  <c r="G3178" i="31"/>
  <c r="G3137" i="31"/>
  <c r="K153" i="7" l="1"/>
  <c r="K78" i="9"/>
  <c r="K83" i="10"/>
  <c r="K110" i="5" l="1"/>
  <c r="K72" i="6"/>
  <c r="K872" i="10"/>
  <c r="K831" i="10"/>
  <c r="K118" i="10"/>
  <c r="K929" i="10" l="1"/>
  <c r="K930" i="10" s="1"/>
  <c r="K131" i="10"/>
  <c r="K1004" i="10" l="1"/>
  <c r="K1005" i="10" s="1"/>
  <c r="K222" i="6"/>
  <c r="K224" i="6" s="1"/>
  <c r="K1069" i="10"/>
  <c r="K263" i="9" l="1"/>
  <c r="K76" i="8" l="1"/>
  <c r="K159" i="6"/>
  <c r="K201" i="4"/>
  <c r="K67" i="10" l="1"/>
  <c r="R34" i="7"/>
  <c r="S750" i="10"/>
  <c r="R193" i="8"/>
  <c r="R21" i="8"/>
  <c r="R37" i="8" s="1"/>
  <c r="S1064" i="10"/>
  <c r="S1066" i="10"/>
  <c r="S1071" i="10" s="1"/>
  <c r="S356" i="10"/>
  <c r="S373" i="10" s="1"/>
  <c r="R195" i="8"/>
  <c r="R204" i="8" s="1"/>
  <c r="R172" i="8"/>
  <c r="K833" i="10" l="1"/>
  <c r="K178" i="4"/>
  <c r="K177" i="4"/>
  <c r="K181" i="4" s="1"/>
  <c r="B176" i="4"/>
  <c r="C176" i="4"/>
  <c r="D176" i="4"/>
  <c r="A176" i="4"/>
  <c r="A170" i="4"/>
  <c r="J278" i="5"/>
  <c r="K279" i="5" s="1"/>
  <c r="J213" i="5"/>
  <c r="K214" i="5" s="1"/>
  <c r="J36" i="9"/>
  <c r="J241" i="6"/>
  <c r="K242" i="6" s="1"/>
  <c r="J203" i="5"/>
  <c r="K204" i="5" s="1"/>
  <c r="J64" i="4"/>
  <c r="K65" i="4" s="1"/>
  <c r="J264" i="9"/>
  <c r="K265" i="9" s="1"/>
  <c r="K10" i="9"/>
  <c r="K104" i="4"/>
  <c r="K169" i="4"/>
  <c r="J208" i="9"/>
  <c r="M181" i="4" l="1"/>
  <c r="J208" i="4"/>
  <c r="K209" i="4" s="1"/>
  <c r="J58" i="4"/>
  <c r="K59" i="4" s="1"/>
  <c r="K39" i="5" l="1"/>
  <c r="J172" i="5"/>
  <c r="K173" i="5" s="1"/>
  <c r="J49" i="7"/>
  <c r="K50" i="7" s="1"/>
  <c r="J46" i="7"/>
  <c r="K47" i="7" s="1"/>
  <c r="J161" i="5"/>
  <c r="K162" i="5" s="1"/>
  <c r="J92" i="10"/>
  <c r="K93" i="10" s="1"/>
  <c r="K155" i="4" l="1"/>
  <c r="J49" i="4"/>
  <c r="K50" i="4" s="1"/>
  <c r="J96" i="8"/>
  <c r="J160" i="6"/>
  <c r="K24" i="5" l="1"/>
  <c r="J284" i="10"/>
  <c r="J67" i="7"/>
  <c r="K68" i="7" s="1"/>
  <c r="K15" i="10"/>
  <c r="K16" i="10" s="1"/>
  <c r="J723" i="10"/>
  <c r="J33" i="7"/>
  <c r="K34" i="7" s="1"/>
  <c r="N16" i="10" l="1"/>
  <c r="J15" i="4"/>
  <c r="K16" i="4" s="1"/>
  <c r="J18" i="5"/>
  <c r="K19" i="5" s="1"/>
  <c r="K101" i="5"/>
  <c r="J153" i="10"/>
  <c r="K154" i="10" s="1"/>
  <c r="J48" i="8"/>
  <c r="K49" i="8" s="1"/>
  <c r="J20" i="4"/>
  <c r="K21" i="4" s="1"/>
  <c r="J76" i="7"/>
  <c r="K77" i="7" s="1"/>
  <c r="K80" i="5"/>
  <c r="K71" i="5"/>
  <c r="J308" i="9" l="1"/>
  <c r="K311" i="9" s="1"/>
  <c r="K306" i="9"/>
  <c r="K295" i="9"/>
  <c r="K293" i="9"/>
  <c r="K282" i="9"/>
  <c r="K285" i="9" s="1"/>
  <c r="K270" i="9"/>
  <c r="K269" i="9"/>
  <c r="K261" i="9"/>
  <c r="K260" i="9"/>
  <c r="K259" i="9"/>
  <c r="J246" i="9"/>
  <c r="K245" i="9"/>
  <c r="K244" i="9"/>
  <c r="K243" i="9"/>
  <c r="K242" i="9"/>
  <c r="K253" i="9" s="1"/>
  <c r="K226" i="9"/>
  <c r="K224" i="9"/>
  <c r="K234" i="9" s="1"/>
  <c r="K222" i="9"/>
  <c r="K198" i="9"/>
  <c r="J197" i="9"/>
  <c r="K196" i="9"/>
  <c r="K195" i="9"/>
  <c r="K193" i="9"/>
  <c r="K192" i="9"/>
  <c r="K179" i="9"/>
  <c r="K183" i="9" s="1"/>
  <c r="J167" i="9"/>
  <c r="K166" i="9"/>
  <c r="K149" i="9"/>
  <c r="J148" i="9"/>
  <c r="K152" i="9" s="1"/>
  <c r="K146" i="9"/>
  <c r="K126" i="9"/>
  <c r="K125" i="9"/>
  <c r="K124" i="9"/>
  <c r="K135" i="9" s="1"/>
  <c r="K112" i="9"/>
  <c r="K115" i="9" s="1"/>
  <c r="K104" i="9"/>
  <c r="K103" i="9"/>
  <c r="K101" i="9"/>
  <c r="K83" i="9"/>
  <c r="K82" i="9"/>
  <c r="K86" i="9" s="1"/>
  <c r="K76" i="9"/>
  <c r="K75" i="9"/>
  <c r="K80" i="9" s="1"/>
  <c r="K51" i="9"/>
  <c r="K54" i="9" s="1"/>
  <c r="K15" i="9"/>
  <c r="K18" i="9" s="1"/>
  <c r="K1112" i="10"/>
  <c r="K1111" i="10"/>
  <c r="K1097" i="10"/>
  <c r="J1086" i="10"/>
  <c r="K1085" i="10"/>
  <c r="K1084" i="10"/>
  <c r="J1066" i="10"/>
  <c r="K1071" i="10" s="1"/>
  <c r="K1064" i="10"/>
  <c r="K1047" i="10"/>
  <c r="K1032" i="10"/>
  <c r="K1031" i="10"/>
  <c r="K1030" i="10"/>
  <c r="K1029" i="10"/>
  <c r="K1027" i="10"/>
  <c r="K1026" i="10"/>
  <c r="K1002" i="10"/>
  <c r="K1001" i="10"/>
  <c r="K977" i="10"/>
  <c r="K976" i="10"/>
  <c r="K975" i="10"/>
  <c r="K974" i="10"/>
  <c r="K973" i="10"/>
  <c r="K972" i="10"/>
  <c r="K970" i="10"/>
  <c r="K968" i="10"/>
  <c r="K967" i="10"/>
  <c r="K927" i="10"/>
  <c r="K926" i="10"/>
  <c r="K919" i="10"/>
  <c r="K918" i="10"/>
  <c r="K916" i="10"/>
  <c r="K905" i="10"/>
  <c r="K903" i="10"/>
  <c r="K902" i="10"/>
  <c r="K901" i="10"/>
  <c r="K900" i="10"/>
  <c r="K899" i="10"/>
  <c r="K898" i="10"/>
  <c r="K896" i="10"/>
  <c r="K878" i="10"/>
  <c r="K870" i="10"/>
  <c r="K869" i="10"/>
  <c r="K846" i="10"/>
  <c r="K851" i="10"/>
  <c r="K850" i="10"/>
  <c r="K849" i="10"/>
  <c r="K848" i="10"/>
  <c r="K845" i="10"/>
  <c r="J815" i="10"/>
  <c r="K814" i="10"/>
  <c r="K813" i="10"/>
  <c r="K812" i="10"/>
  <c r="K811" i="10"/>
  <c r="K810" i="10"/>
  <c r="K809" i="10"/>
  <c r="K807" i="10"/>
  <c r="K806" i="10"/>
  <c r="K805" i="10"/>
  <c r="K804" i="10"/>
  <c r="K803" i="10"/>
  <c r="K780" i="10"/>
  <c r="K779" i="10"/>
  <c r="K770" i="10"/>
  <c r="K775" i="10" s="1"/>
  <c r="K768" i="10"/>
  <c r="K759" i="10"/>
  <c r="K758" i="10"/>
  <c r="K757" i="10"/>
  <c r="K755" i="10"/>
  <c r="K753" i="10"/>
  <c r="K740" i="10"/>
  <c r="K744" i="10" s="1"/>
  <c r="K738" i="10"/>
  <c r="K737" i="10"/>
  <c r="K721" i="10"/>
  <c r="K720" i="10"/>
  <c r="K719" i="10"/>
  <c r="K717" i="10"/>
  <c r="K699" i="10"/>
  <c r="K698" i="10"/>
  <c r="K695" i="10"/>
  <c r="K696" i="10"/>
  <c r="K680" i="10"/>
  <c r="K686" i="10" s="1"/>
  <c r="J669" i="10"/>
  <c r="K672" i="10" s="1"/>
  <c r="K652" i="10"/>
  <c r="J651" i="10"/>
  <c r="K650" i="10"/>
  <c r="K636" i="10"/>
  <c r="K635" i="10"/>
  <c r="K634" i="10"/>
  <c r="K632" i="10"/>
  <c r="K617" i="10"/>
  <c r="J595" i="10"/>
  <c r="K594" i="10"/>
  <c r="K593" i="10"/>
  <c r="K591" i="10"/>
  <c r="K590" i="10"/>
  <c r="K589" i="10"/>
  <c r="K558" i="10"/>
  <c r="K557" i="10"/>
  <c r="K556" i="10"/>
  <c r="K554" i="10"/>
  <c r="K553" i="10"/>
  <c r="K551" i="10"/>
  <c r="K550" i="10"/>
  <c r="K549" i="10"/>
  <c r="K548" i="10"/>
  <c r="K547" i="10"/>
  <c r="K546" i="10"/>
  <c r="K545" i="10"/>
  <c r="K544" i="10"/>
  <c r="K516" i="10"/>
  <c r="K515" i="10"/>
  <c r="K503" i="10"/>
  <c r="K506" i="10" s="1"/>
  <c r="K500" i="10"/>
  <c r="K487" i="10"/>
  <c r="K491" i="10" s="1"/>
  <c r="K468" i="10"/>
  <c r="K467" i="10"/>
  <c r="K464" i="10"/>
  <c r="K455" i="10"/>
  <c r="K460" i="10" s="1"/>
  <c r="K453" i="10"/>
  <c r="K440" i="10"/>
  <c r="K444" i="10" s="1"/>
  <c r="K438" i="10"/>
  <c r="K401" i="10"/>
  <c r="K408" i="10" s="1"/>
  <c r="K399" i="10"/>
  <c r="K398" i="10"/>
  <c r="K397" i="10"/>
  <c r="K383" i="10"/>
  <c r="K387" i="10" s="1"/>
  <c r="K381" i="10"/>
  <c r="K380" i="10"/>
  <c r="K379" i="10"/>
  <c r="J366" i="10"/>
  <c r="K365" i="10"/>
  <c r="K364" i="10"/>
  <c r="K361" i="10"/>
  <c r="K346" i="10"/>
  <c r="K345" i="10"/>
  <c r="J344" i="10"/>
  <c r="K343" i="10"/>
  <c r="K342" i="10"/>
  <c r="K341" i="10"/>
  <c r="K340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290" i="10"/>
  <c r="K291" i="10"/>
  <c r="K281" i="10"/>
  <c r="K280" i="10"/>
  <c r="K278" i="10"/>
  <c r="K265" i="10"/>
  <c r="K258" i="10"/>
  <c r="K262" i="10" s="1"/>
  <c r="K256" i="10"/>
  <c r="J247" i="10"/>
  <c r="K246" i="10"/>
  <c r="K244" i="10"/>
  <c r="K243" i="10"/>
  <c r="K242" i="10"/>
  <c r="K203" i="10"/>
  <c r="J183" i="10"/>
  <c r="K186" i="10" s="1"/>
  <c r="K181" i="10"/>
  <c r="K180" i="10"/>
  <c r="K179" i="10"/>
  <c r="K178" i="10"/>
  <c r="K177" i="10"/>
  <c r="K176" i="10"/>
  <c r="K175" i="10"/>
  <c r="K174" i="10"/>
  <c r="K172" i="10"/>
  <c r="K171" i="10"/>
  <c r="K158" i="10"/>
  <c r="K162" i="10" s="1"/>
  <c r="J145" i="10"/>
  <c r="K148" i="10" s="1"/>
  <c r="K143" i="10"/>
  <c r="K129" i="10"/>
  <c r="K126" i="10"/>
  <c r="K127" i="10"/>
  <c r="K116" i="10"/>
  <c r="K120" i="10" s="1"/>
  <c r="K87" i="10"/>
  <c r="K90" i="10" s="1"/>
  <c r="K82" i="10"/>
  <c r="K81" i="10"/>
  <c r="K79" i="10"/>
  <c r="J73" i="10"/>
  <c r="K77" i="10" s="1"/>
  <c r="K66" i="10"/>
  <c r="K64" i="10"/>
  <c r="K63" i="10"/>
  <c r="J62" i="10"/>
  <c r="K45" i="10"/>
  <c r="K22" i="10"/>
  <c r="K26" i="10" s="1"/>
  <c r="K150" i="7"/>
  <c r="K149" i="7"/>
  <c r="K155" i="7" s="1"/>
  <c r="K133" i="7"/>
  <c r="K136" i="7" s="1"/>
  <c r="K124" i="7"/>
  <c r="K123" i="7"/>
  <c r="K99" i="7"/>
  <c r="K97" i="7"/>
  <c r="K96" i="7"/>
  <c r="K93" i="7"/>
  <c r="K92" i="7"/>
  <c r="K94" i="7" s="1"/>
  <c r="K26" i="7"/>
  <c r="K29" i="7" s="1"/>
  <c r="K18" i="7"/>
  <c r="K256" i="8"/>
  <c r="K255" i="8"/>
  <c r="K253" i="8"/>
  <c r="K252" i="8"/>
  <c r="K262" i="8" s="1"/>
  <c r="K250" i="8"/>
  <c r="K249" i="8"/>
  <c r="K248" i="8"/>
  <c r="K247" i="8"/>
  <c r="K246" i="8"/>
  <c r="K224" i="8"/>
  <c r="K230" i="8" s="1"/>
  <c r="K222" i="8"/>
  <c r="K221" i="8"/>
  <c r="K220" i="8"/>
  <c r="K201" i="8"/>
  <c r="K204" i="8" s="1"/>
  <c r="K186" i="8"/>
  <c r="K178" i="8"/>
  <c r="K177" i="8"/>
  <c r="K170" i="8"/>
  <c r="K168" i="8"/>
  <c r="K164" i="8"/>
  <c r="K163" i="8"/>
  <c r="K161" i="8"/>
  <c r="K160" i="8"/>
  <c r="K157" i="8"/>
  <c r="K156" i="8"/>
  <c r="K135" i="8"/>
  <c r="K134" i="8"/>
  <c r="K133" i="8"/>
  <c r="K132" i="8"/>
  <c r="J131" i="8"/>
  <c r="K130" i="8"/>
  <c r="K128" i="8"/>
  <c r="K127" i="8"/>
  <c r="K93" i="8"/>
  <c r="K92" i="8"/>
  <c r="K90" i="8"/>
  <c r="K74" i="8"/>
  <c r="K73" i="8"/>
  <c r="K71" i="8"/>
  <c r="K61" i="8"/>
  <c r="K60" i="8"/>
  <c r="K41" i="8"/>
  <c r="K34" i="8"/>
  <c r="K37" i="8" s="1"/>
  <c r="K382" i="6"/>
  <c r="K385" i="6" s="1"/>
  <c r="K365" i="6"/>
  <c r="K375" i="6" s="1"/>
  <c r="K363" i="6"/>
  <c r="K362" i="6"/>
  <c r="K304" i="6"/>
  <c r="K291" i="6"/>
  <c r="J294" i="6"/>
  <c r="K289" i="6"/>
  <c r="K287" i="6"/>
  <c r="K286" i="6"/>
  <c r="J268" i="6"/>
  <c r="K271" i="6" s="1"/>
  <c r="K266" i="6"/>
  <c r="K259" i="6"/>
  <c r="K262" i="6" s="1"/>
  <c r="K253" i="6"/>
  <c r="K252" i="6"/>
  <c r="K257" i="6" s="1"/>
  <c r="J233" i="6"/>
  <c r="K237" i="6" s="1"/>
  <c r="K231" i="6"/>
  <c r="K214" i="6"/>
  <c r="K217" i="6" s="1"/>
  <c r="K202" i="6"/>
  <c r="K212" i="6" s="1"/>
  <c r="K185" i="6"/>
  <c r="J178" i="6"/>
  <c r="K181" i="6" s="1"/>
  <c r="K175" i="6"/>
  <c r="J168" i="6"/>
  <c r="K171" i="6" s="1"/>
  <c r="K157" i="6"/>
  <c r="K156" i="6"/>
  <c r="K155" i="6"/>
  <c r="K153" i="6"/>
  <c r="K147" i="6"/>
  <c r="K142" i="6"/>
  <c r="K136" i="6"/>
  <c r="K126" i="6"/>
  <c r="K131" i="6" s="1"/>
  <c r="K124" i="6"/>
  <c r="J89" i="6"/>
  <c r="K88" i="6"/>
  <c r="K86" i="6"/>
  <c r="J70" i="6"/>
  <c r="K69" i="6"/>
  <c r="K74" i="6" s="1"/>
  <c r="K67" i="6"/>
  <c r="K44" i="6"/>
  <c r="K43" i="6"/>
  <c r="J42" i="6"/>
  <c r="K40" i="6"/>
  <c r="J16" i="6"/>
  <c r="K13" i="6"/>
  <c r="K15" i="6"/>
  <c r="K19" i="6" s="1"/>
  <c r="K267" i="5"/>
  <c r="K266" i="5"/>
  <c r="K265" i="5"/>
  <c r="K273" i="5" s="1"/>
  <c r="K243" i="5"/>
  <c r="K240" i="5"/>
  <c r="K233" i="5"/>
  <c r="K232" i="5"/>
  <c r="K236" i="5" s="1"/>
  <c r="K221" i="5"/>
  <c r="K208" i="5"/>
  <c r="K211" i="5" s="1"/>
  <c r="K197" i="5"/>
  <c r="K200" i="5" s="1"/>
  <c r="K195" i="5"/>
  <c r="K192" i="5"/>
  <c r="K193" i="5"/>
  <c r="K185" i="5"/>
  <c r="K180" i="5"/>
  <c r="K183" i="5" s="1"/>
  <c r="K178" i="5"/>
  <c r="K177" i="5"/>
  <c r="K164" i="5"/>
  <c r="K138" i="5"/>
  <c r="K137" i="5"/>
  <c r="K136" i="5"/>
  <c r="K135" i="5"/>
  <c r="K134" i="5"/>
  <c r="K133" i="5"/>
  <c r="K141" i="5" s="1"/>
  <c r="K131" i="5"/>
  <c r="K117" i="5"/>
  <c r="K109" i="5"/>
  <c r="K113" i="5" s="1"/>
  <c r="K115" i="5"/>
  <c r="K84" i="5"/>
  <c r="K86" i="5" s="1"/>
  <c r="K68" i="5"/>
  <c r="K60" i="5"/>
  <c r="K59" i="5"/>
  <c r="K63" i="5" s="1"/>
  <c r="K57" i="5"/>
  <c r="K33" i="5"/>
  <c r="K34" i="5" s="1"/>
  <c r="K28" i="5"/>
  <c r="K29" i="5" s="1"/>
  <c r="K21" i="5"/>
  <c r="J189" i="4"/>
  <c r="K192" i="4" s="1"/>
  <c r="K159" i="4"/>
  <c r="J140" i="4"/>
  <c r="K139" i="4"/>
  <c r="K146" i="4" s="1"/>
  <c r="K137" i="4"/>
  <c r="K136" i="4"/>
  <c r="K101" i="4"/>
  <c r="K93" i="4"/>
  <c r="K80" i="4"/>
  <c r="J30" i="4"/>
  <c r="K33" i="4" s="1"/>
  <c r="K35" i="4"/>
  <c r="K69" i="10" l="1"/>
  <c r="K519" i="10"/>
  <c r="K601" i="10"/>
  <c r="K656" i="10"/>
  <c r="K724" i="10"/>
  <c r="K764" i="10"/>
  <c r="K856" i="10"/>
  <c r="K988" i="10"/>
  <c r="K1035" i="10"/>
  <c r="K202" i="9"/>
  <c r="K1089" i="10"/>
  <c r="K1115" i="10"/>
  <c r="K85" i="10"/>
  <c r="K250" i="10"/>
  <c r="K285" i="10"/>
  <c r="K354" i="10"/>
  <c r="K373" i="10"/>
  <c r="K473" i="10"/>
  <c r="K710" i="10"/>
  <c r="K787" i="10"/>
  <c r="K874" i="10"/>
  <c r="K922" i="10"/>
  <c r="K64" i="8"/>
  <c r="K297" i="6"/>
  <c r="K166" i="8"/>
  <c r="K172" i="8"/>
  <c r="K181" i="8"/>
  <c r="K161" i="6"/>
  <c r="N601" i="10"/>
  <c r="M146" i="4"/>
  <c r="P90" i="34"/>
  <c r="O90" i="34"/>
  <c r="N90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1" i="34"/>
  <c r="O92" i="34"/>
  <c r="O93" i="34"/>
  <c r="O94" i="34"/>
  <c r="O95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312" i="34"/>
  <c r="O313" i="34"/>
  <c r="O314" i="34"/>
  <c r="O315" i="34"/>
  <c r="O316" i="34"/>
  <c r="O317" i="34"/>
  <c r="O318" i="34"/>
  <c r="O319" i="34"/>
  <c r="O320" i="34"/>
  <c r="O321" i="34"/>
  <c r="O6" i="34"/>
  <c r="N6" i="34"/>
  <c r="N7" i="34"/>
  <c r="N8" i="34"/>
  <c r="N9" i="34"/>
  <c r="N10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1" i="34"/>
  <c r="N92" i="34"/>
  <c r="N93" i="34"/>
  <c r="N94" i="34"/>
  <c r="N95" i="34"/>
  <c r="N96" i="34"/>
  <c r="N97" i="34"/>
  <c r="N98" i="34"/>
  <c r="N99" i="34"/>
  <c r="N100" i="34"/>
  <c r="N101" i="34"/>
  <c r="N102" i="34"/>
  <c r="N103" i="34"/>
  <c r="N104" i="34"/>
  <c r="N105" i="34"/>
  <c r="N106" i="34"/>
  <c r="N107" i="34"/>
  <c r="N108" i="34"/>
  <c r="N109" i="34"/>
  <c r="N110" i="34"/>
  <c r="N111" i="34"/>
  <c r="N112" i="34"/>
  <c r="N113" i="34"/>
  <c r="N114" i="34"/>
  <c r="N115" i="34"/>
  <c r="N116" i="34"/>
  <c r="N117" i="34"/>
  <c r="N118" i="34"/>
  <c r="N119" i="34"/>
  <c r="N120" i="34"/>
  <c r="N121" i="34"/>
  <c r="N122" i="34"/>
  <c r="N123" i="34"/>
  <c r="N124" i="34"/>
  <c r="N125" i="34"/>
  <c r="N126" i="34"/>
  <c r="N127" i="34"/>
  <c r="N128" i="34"/>
  <c r="N129" i="34"/>
  <c r="N130" i="34"/>
  <c r="N131" i="34"/>
  <c r="N132" i="34"/>
  <c r="N133" i="34"/>
  <c r="N134" i="34"/>
  <c r="N135" i="34"/>
  <c r="N136" i="34"/>
  <c r="N137" i="34"/>
  <c r="N138" i="34"/>
  <c r="N139" i="34"/>
  <c r="N140" i="34"/>
  <c r="N141" i="34"/>
  <c r="N142" i="34"/>
  <c r="N143" i="34"/>
  <c r="N144" i="34"/>
  <c r="N145" i="34"/>
  <c r="N146" i="34"/>
  <c r="N147" i="34"/>
  <c r="N148" i="34"/>
  <c r="N149" i="34"/>
  <c r="N150" i="34"/>
  <c r="N151" i="34"/>
  <c r="N152" i="34"/>
  <c r="N153" i="34"/>
  <c r="N154" i="34"/>
  <c r="N155" i="34"/>
  <c r="N156" i="34"/>
  <c r="N157" i="34"/>
  <c r="N158" i="34"/>
  <c r="N159" i="34"/>
  <c r="N160" i="34"/>
  <c r="N161" i="34"/>
  <c r="N162" i="34"/>
  <c r="N163" i="34"/>
  <c r="N164" i="34"/>
  <c r="N165" i="34"/>
  <c r="N166" i="34"/>
  <c r="N167" i="34"/>
  <c r="N168" i="34"/>
  <c r="N169" i="34"/>
  <c r="N170" i="34"/>
  <c r="N171" i="34"/>
  <c r="N172" i="34"/>
  <c r="N173" i="34"/>
  <c r="N174" i="34"/>
  <c r="N175" i="34"/>
  <c r="N176" i="34"/>
  <c r="N177" i="34"/>
  <c r="N178" i="34"/>
  <c r="N179" i="34"/>
  <c r="N180" i="34"/>
  <c r="N181" i="34"/>
  <c r="N182" i="34"/>
  <c r="N183" i="34"/>
  <c r="N184" i="34"/>
  <c r="N185" i="34"/>
  <c r="N186" i="34"/>
  <c r="N187" i="34"/>
  <c r="N188" i="34"/>
  <c r="N189" i="34"/>
  <c r="N190" i="34"/>
  <c r="N191" i="34"/>
  <c r="N192" i="34"/>
  <c r="N193" i="34"/>
  <c r="N194" i="34"/>
  <c r="N195" i="34"/>
  <c r="N196" i="34"/>
  <c r="N197" i="34"/>
  <c r="N198" i="34"/>
  <c r="N199" i="34"/>
  <c r="N200" i="34"/>
  <c r="N201" i="34"/>
  <c r="N202" i="34"/>
  <c r="N203" i="34"/>
  <c r="N204" i="34"/>
  <c r="N205" i="34"/>
  <c r="N206" i="34"/>
  <c r="N207" i="34"/>
  <c r="N208" i="34"/>
  <c r="N209" i="34"/>
  <c r="N210" i="34"/>
  <c r="N211" i="34"/>
  <c r="N212" i="34"/>
  <c r="N213" i="34"/>
  <c r="N214" i="34"/>
  <c r="N215" i="34"/>
  <c r="N216" i="34"/>
  <c r="N217" i="34"/>
  <c r="N218" i="34"/>
  <c r="N219" i="34"/>
  <c r="N220" i="34"/>
  <c r="N221" i="34"/>
  <c r="N222" i="34"/>
  <c r="N223" i="34"/>
  <c r="N224" i="34"/>
  <c r="N225" i="34"/>
  <c r="N226" i="34"/>
  <c r="N227" i="34"/>
  <c r="N228" i="34"/>
  <c r="N229" i="34"/>
  <c r="N230" i="34"/>
  <c r="N231" i="34"/>
  <c r="N232" i="34"/>
  <c r="N233" i="34"/>
  <c r="N234" i="34"/>
  <c r="N235" i="34"/>
  <c r="N236" i="34"/>
  <c r="N312" i="34"/>
  <c r="N313" i="34"/>
  <c r="N314" i="34"/>
  <c r="N315" i="34"/>
  <c r="N316" i="34"/>
  <c r="N317" i="34"/>
  <c r="N318" i="34"/>
  <c r="N319" i="34"/>
  <c r="N320" i="34"/>
  <c r="N321" i="34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144" i="34"/>
  <c r="R145" i="34"/>
  <c r="R146" i="34"/>
  <c r="R147" i="34"/>
  <c r="R148" i="34"/>
  <c r="R149" i="34"/>
  <c r="R150" i="34"/>
  <c r="R151" i="34"/>
  <c r="R152" i="34"/>
  <c r="R153" i="34"/>
  <c r="R154" i="34"/>
  <c r="R155" i="34"/>
  <c r="R156" i="34"/>
  <c r="R157" i="34"/>
  <c r="R158" i="34"/>
  <c r="R159" i="34"/>
  <c r="R160" i="34"/>
  <c r="R161" i="34"/>
  <c r="R162" i="34"/>
  <c r="R163" i="34"/>
  <c r="R164" i="34"/>
  <c r="R165" i="34"/>
  <c r="R166" i="34"/>
  <c r="R167" i="34"/>
  <c r="R168" i="34"/>
  <c r="R169" i="34"/>
  <c r="R170" i="34"/>
  <c r="R171" i="34"/>
  <c r="R172" i="34"/>
  <c r="R173" i="34"/>
  <c r="R174" i="34"/>
  <c r="R175" i="34"/>
  <c r="R176" i="34"/>
  <c r="R177" i="34"/>
  <c r="R178" i="34"/>
  <c r="R179" i="34"/>
  <c r="R180" i="34"/>
  <c r="R181" i="34"/>
  <c r="R182" i="34"/>
  <c r="R183" i="34"/>
  <c r="R184" i="34"/>
  <c r="R185" i="34"/>
  <c r="R186" i="34"/>
  <c r="R187" i="34"/>
  <c r="R188" i="34"/>
  <c r="R189" i="34"/>
  <c r="R190" i="34"/>
  <c r="R191" i="34"/>
  <c r="R192" i="34"/>
  <c r="R193" i="34"/>
  <c r="R194" i="34"/>
  <c r="R195" i="34"/>
  <c r="R196" i="34"/>
  <c r="R197" i="34"/>
  <c r="R198" i="34"/>
  <c r="R199" i="34"/>
  <c r="R200" i="34"/>
  <c r="R201" i="34"/>
  <c r="R202" i="34"/>
  <c r="R203" i="34"/>
  <c r="R204" i="34"/>
  <c r="R205" i="34"/>
  <c r="R206" i="34"/>
  <c r="R207" i="34"/>
  <c r="R208" i="34"/>
  <c r="R209" i="34"/>
  <c r="R210" i="34"/>
  <c r="R211" i="34"/>
  <c r="R212" i="34"/>
  <c r="R213" i="34"/>
  <c r="R214" i="34"/>
  <c r="R215" i="34"/>
  <c r="R216" i="34"/>
  <c r="R217" i="34"/>
  <c r="R218" i="34"/>
  <c r="R219" i="34"/>
  <c r="R220" i="34"/>
  <c r="R221" i="34"/>
  <c r="R222" i="34"/>
  <c r="R223" i="34"/>
  <c r="R224" i="34"/>
  <c r="R225" i="34"/>
  <c r="R226" i="34"/>
  <c r="R227" i="34"/>
  <c r="R228" i="34"/>
  <c r="R229" i="34"/>
  <c r="R230" i="34"/>
  <c r="R231" i="34"/>
  <c r="R232" i="34"/>
  <c r="R233" i="34"/>
  <c r="R234" i="34"/>
  <c r="R235" i="34"/>
  <c r="R236" i="34"/>
  <c r="R237" i="34"/>
  <c r="R238" i="34"/>
  <c r="R239" i="34"/>
  <c r="R240" i="34"/>
  <c r="R241" i="34"/>
  <c r="R242" i="34"/>
  <c r="R243" i="34"/>
  <c r="R244" i="34"/>
  <c r="R245" i="34"/>
  <c r="R246" i="34"/>
  <c r="R247" i="34"/>
  <c r="R248" i="34"/>
  <c r="R249" i="34"/>
  <c r="R250" i="34"/>
  <c r="R251" i="34"/>
  <c r="R252" i="34"/>
  <c r="R253" i="34"/>
  <c r="R254" i="34"/>
  <c r="R255" i="34"/>
  <c r="R256" i="34"/>
  <c r="R257" i="34"/>
  <c r="R258" i="34"/>
  <c r="R259" i="34"/>
  <c r="R260" i="34"/>
  <c r="R261" i="34"/>
  <c r="R262" i="34"/>
  <c r="R263" i="34"/>
  <c r="R264" i="34"/>
  <c r="R265" i="34"/>
  <c r="R266" i="34"/>
  <c r="R267" i="34"/>
  <c r="R268" i="34"/>
  <c r="R269" i="34"/>
  <c r="R270" i="34"/>
  <c r="R271" i="34"/>
  <c r="R272" i="34"/>
  <c r="R273" i="34"/>
  <c r="R274" i="34"/>
  <c r="R275" i="34"/>
  <c r="R276" i="34"/>
  <c r="R277" i="34"/>
  <c r="R278" i="34"/>
  <c r="R279" i="34"/>
  <c r="R280" i="34"/>
  <c r="R281" i="34"/>
  <c r="R282" i="34"/>
  <c r="R283" i="34"/>
  <c r="R284" i="34"/>
  <c r="R285" i="34"/>
  <c r="R286" i="34"/>
  <c r="R287" i="34"/>
  <c r="R288" i="34"/>
  <c r="R289" i="34"/>
  <c r="R290" i="34"/>
  <c r="R291" i="34"/>
  <c r="R292" i="34"/>
  <c r="R293" i="34"/>
  <c r="R294" i="34"/>
  <c r="R295" i="34"/>
  <c r="R296" i="34"/>
  <c r="R297" i="34"/>
  <c r="R298" i="34"/>
  <c r="R299" i="34"/>
  <c r="R300" i="34"/>
  <c r="R301" i="34"/>
  <c r="R302" i="34"/>
  <c r="R303" i="34"/>
  <c r="R304" i="34"/>
  <c r="R305" i="34"/>
  <c r="R306" i="34"/>
  <c r="R307" i="34"/>
  <c r="R308" i="34"/>
  <c r="R309" i="34"/>
  <c r="R310" i="34"/>
  <c r="R311" i="34"/>
  <c r="R312" i="34"/>
  <c r="R313" i="34"/>
  <c r="R314" i="34"/>
  <c r="R315" i="34"/>
  <c r="R316" i="34"/>
  <c r="R317" i="34"/>
  <c r="R318" i="34"/>
  <c r="R319" i="34"/>
  <c r="R320" i="34"/>
  <c r="R321" i="34"/>
  <c r="R6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303" i="34"/>
  <c r="Q304" i="34"/>
  <c r="Q305" i="34"/>
  <c r="Q306" i="34"/>
  <c r="Q307" i="34"/>
  <c r="Q308" i="34"/>
  <c r="Q309" i="34"/>
  <c r="Q310" i="34"/>
  <c r="Q311" i="34"/>
  <c r="Q312" i="34"/>
  <c r="Q313" i="34"/>
  <c r="Q314" i="34"/>
  <c r="Q315" i="34"/>
  <c r="Q316" i="34"/>
  <c r="Q317" i="34"/>
  <c r="Q318" i="34"/>
  <c r="Q319" i="34"/>
  <c r="Q320" i="34"/>
  <c r="Q321" i="34"/>
  <c r="P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P50" i="34"/>
  <c r="P51" i="34"/>
  <c r="P52" i="34"/>
  <c r="P53" i="34"/>
  <c r="P54" i="34"/>
  <c r="P55" i="34"/>
  <c r="P56" i="34"/>
  <c r="P57" i="34"/>
  <c r="P58" i="34"/>
  <c r="P59" i="34"/>
  <c r="P60" i="34"/>
  <c r="P61" i="34"/>
  <c r="P62" i="34"/>
  <c r="P63" i="34"/>
  <c r="P64" i="34"/>
  <c r="P65" i="34"/>
  <c r="P66" i="34"/>
  <c r="P67" i="34"/>
  <c r="P68" i="34"/>
  <c r="P69" i="34"/>
  <c r="P70" i="34"/>
  <c r="P71" i="34"/>
  <c r="P72" i="34"/>
  <c r="P73" i="34"/>
  <c r="P74" i="34"/>
  <c r="P75" i="34"/>
  <c r="P76" i="34"/>
  <c r="P77" i="34"/>
  <c r="P78" i="34"/>
  <c r="P79" i="34"/>
  <c r="P80" i="34"/>
  <c r="P81" i="34"/>
  <c r="P82" i="34"/>
  <c r="P83" i="34"/>
  <c r="P84" i="34"/>
  <c r="P85" i="34"/>
  <c r="P86" i="34"/>
  <c r="P87" i="34"/>
  <c r="P88" i="34"/>
  <c r="P89" i="34"/>
  <c r="P91" i="34"/>
  <c r="P92" i="34"/>
  <c r="P93" i="34"/>
  <c r="P94" i="34"/>
  <c r="P95" i="34"/>
  <c r="P96" i="34"/>
  <c r="P97" i="34"/>
  <c r="P98" i="34"/>
  <c r="P99" i="34"/>
  <c r="P100" i="34"/>
  <c r="P101" i="34"/>
  <c r="P102" i="34"/>
  <c r="P103" i="34"/>
  <c r="P104" i="34"/>
  <c r="P105" i="34"/>
  <c r="P106" i="34"/>
  <c r="P107" i="34"/>
  <c r="P108" i="34"/>
  <c r="P109" i="34"/>
  <c r="P110" i="34"/>
  <c r="P111" i="34"/>
  <c r="P112" i="34"/>
  <c r="P113" i="34"/>
  <c r="P114" i="34"/>
  <c r="P115" i="34"/>
  <c r="P116" i="34"/>
  <c r="P117" i="34"/>
  <c r="P118" i="34"/>
  <c r="P119" i="34"/>
  <c r="P120" i="34"/>
  <c r="P121" i="34"/>
  <c r="P122" i="34"/>
  <c r="P123" i="34"/>
  <c r="P124" i="34"/>
  <c r="P125" i="34"/>
  <c r="P126" i="34"/>
  <c r="P127" i="34"/>
  <c r="P128" i="34"/>
  <c r="P129" i="34"/>
  <c r="P130" i="34"/>
  <c r="P131" i="34"/>
  <c r="P132" i="34"/>
  <c r="P133" i="34"/>
  <c r="P134" i="34"/>
  <c r="P135" i="34"/>
  <c r="P136" i="34"/>
  <c r="P137" i="34"/>
  <c r="P138" i="34"/>
  <c r="P139" i="34"/>
  <c r="P140" i="34"/>
  <c r="P141" i="34"/>
  <c r="P142" i="34"/>
  <c r="P143" i="34"/>
  <c r="P144" i="34"/>
  <c r="P145" i="34"/>
  <c r="P146" i="34"/>
  <c r="P147" i="34"/>
  <c r="P148" i="34"/>
  <c r="P149" i="34"/>
  <c r="P150" i="34"/>
  <c r="P151" i="34"/>
  <c r="P152" i="34"/>
  <c r="P153" i="34"/>
  <c r="P154" i="34"/>
  <c r="P155" i="34"/>
  <c r="P156" i="34"/>
  <c r="P157" i="34"/>
  <c r="P158" i="34"/>
  <c r="P159" i="34"/>
  <c r="P160" i="34"/>
  <c r="P161" i="34"/>
  <c r="P162" i="34"/>
  <c r="P163" i="34"/>
  <c r="P164" i="34"/>
  <c r="P165" i="34"/>
  <c r="P166" i="34"/>
  <c r="P167" i="34"/>
  <c r="P168" i="34"/>
  <c r="P169" i="34"/>
  <c r="P170" i="34"/>
  <c r="P171" i="34"/>
  <c r="P172" i="34"/>
  <c r="P173" i="34"/>
  <c r="P174" i="34"/>
  <c r="P175" i="34"/>
  <c r="P176" i="34"/>
  <c r="P177" i="34"/>
  <c r="P178" i="34"/>
  <c r="P179" i="34"/>
  <c r="P180" i="34"/>
  <c r="P181" i="34"/>
  <c r="P182" i="34"/>
  <c r="P183" i="34"/>
  <c r="P184" i="34"/>
  <c r="P185" i="34"/>
  <c r="P186" i="34"/>
  <c r="P187" i="34"/>
  <c r="P188" i="34"/>
  <c r="P189" i="34"/>
  <c r="P190" i="34"/>
  <c r="P191" i="34"/>
  <c r="P192" i="34"/>
  <c r="P193" i="34"/>
  <c r="P194" i="34"/>
  <c r="P195" i="34"/>
  <c r="P196" i="34"/>
  <c r="P197" i="34"/>
  <c r="P198" i="34"/>
  <c r="P199" i="34"/>
  <c r="P200" i="34"/>
  <c r="P201" i="34"/>
  <c r="P202" i="34"/>
  <c r="P203" i="34"/>
  <c r="P204" i="34"/>
  <c r="P205" i="34"/>
  <c r="P206" i="34"/>
  <c r="P207" i="34"/>
  <c r="P208" i="34"/>
  <c r="P209" i="34"/>
  <c r="P210" i="34"/>
  <c r="P211" i="34"/>
  <c r="P212" i="34"/>
  <c r="P213" i="34"/>
  <c r="P214" i="34"/>
  <c r="P215" i="34"/>
  <c r="P216" i="34"/>
  <c r="P217" i="34"/>
  <c r="P218" i="34"/>
  <c r="P219" i="34"/>
  <c r="P220" i="34"/>
  <c r="P221" i="34"/>
  <c r="P222" i="34"/>
  <c r="P223" i="34"/>
  <c r="P224" i="34"/>
  <c r="P225" i="34"/>
  <c r="P226" i="34"/>
  <c r="P227" i="34"/>
  <c r="P228" i="34"/>
  <c r="P229" i="34"/>
  <c r="P230" i="34"/>
  <c r="P231" i="34"/>
  <c r="P232" i="34"/>
  <c r="P233" i="34"/>
  <c r="P234" i="34"/>
  <c r="P235" i="34"/>
  <c r="P236" i="34"/>
  <c r="P237" i="34"/>
  <c r="P238" i="34"/>
  <c r="P239" i="34"/>
  <c r="P240" i="34"/>
  <c r="P241" i="34"/>
  <c r="P242" i="34"/>
  <c r="P243" i="34"/>
  <c r="P244" i="34"/>
  <c r="P245" i="34"/>
  <c r="P246" i="34"/>
  <c r="P247" i="34"/>
  <c r="P248" i="34"/>
  <c r="P249" i="34"/>
  <c r="P250" i="34"/>
  <c r="P251" i="34"/>
  <c r="P252" i="34"/>
  <c r="P253" i="34"/>
  <c r="P254" i="34"/>
  <c r="P255" i="34"/>
  <c r="P256" i="34"/>
  <c r="P257" i="34"/>
  <c r="P258" i="34"/>
  <c r="P259" i="34"/>
  <c r="P260" i="34"/>
  <c r="P261" i="34"/>
  <c r="P262" i="34"/>
  <c r="P263" i="34"/>
  <c r="P264" i="34"/>
  <c r="P265" i="34"/>
  <c r="P266" i="34"/>
  <c r="P267" i="34"/>
  <c r="P268" i="34"/>
  <c r="P269" i="34"/>
  <c r="P270" i="34"/>
  <c r="P271" i="34"/>
  <c r="P272" i="34"/>
  <c r="P273" i="34"/>
  <c r="P274" i="34"/>
  <c r="P275" i="34"/>
  <c r="P276" i="34"/>
  <c r="P277" i="34"/>
  <c r="P278" i="34"/>
  <c r="P279" i="34"/>
  <c r="P280" i="34"/>
  <c r="P281" i="34"/>
  <c r="P282" i="34"/>
  <c r="P283" i="34"/>
  <c r="P284" i="34"/>
  <c r="P285" i="34"/>
  <c r="P286" i="34"/>
  <c r="P287" i="34"/>
  <c r="P288" i="34"/>
  <c r="P289" i="34"/>
  <c r="P290" i="34"/>
  <c r="P291" i="34"/>
  <c r="P292" i="34"/>
  <c r="P293" i="34"/>
  <c r="P294" i="34"/>
  <c r="P295" i="34"/>
  <c r="P296" i="34"/>
  <c r="P297" i="34"/>
  <c r="P298" i="34"/>
  <c r="P299" i="34"/>
  <c r="P300" i="34"/>
  <c r="P301" i="34"/>
  <c r="P302" i="34"/>
  <c r="P303" i="34"/>
  <c r="P304" i="34"/>
  <c r="P305" i="34"/>
  <c r="P306" i="34"/>
  <c r="P307" i="34"/>
  <c r="P308" i="34"/>
  <c r="P309" i="34"/>
  <c r="P310" i="34"/>
  <c r="P311" i="34"/>
  <c r="P312" i="34"/>
  <c r="P313" i="34"/>
  <c r="P314" i="34"/>
  <c r="P315" i="34"/>
  <c r="P316" i="34"/>
  <c r="P317" i="34"/>
  <c r="P318" i="34"/>
  <c r="P319" i="34"/>
  <c r="P320" i="34"/>
  <c r="P321" i="34"/>
  <c r="K1117" i="10" l="1"/>
  <c r="K294" i="10"/>
  <c r="K293" i="10"/>
  <c r="K325" i="10"/>
  <c r="K324" i="10"/>
  <c r="K323" i="10"/>
  <c r="K322" i="10"/>
  <c r="K320" i="10"/>
  <c r="K17" i="7"/>
  <c r="K288" i="10"/>
  <c r="K287" i="10"/>
  <c r="K295" i="10" l="1"/>
  <c r="R265" i="9" l="1"/>
  <c r="R253" i="9"/>
  <c r="R202" i="9"/>
  <c r="R183" i="9"/>
  <c r="R152" i="9"/>
  <c r="S295" i="10"/>
  <c r="S250" i="10"/>
  <c r="S262" i="10"/>
  <c r="S212" i="10"/>
  <c r="S186" i="10"/>
  <c r="S1115" i="10"/>
  <c r="S1089" i="10"/>
  <c r="S874" i="10"/>
  <c r="S790" i="10"/>
  <c r="S789" i="10"/>
  <c r="S748" i="10"/>
  <c r="S764" i="10" s="1"/>
  <c r="S731" i="10"/>
  <c r="S744" i="10" s="1"/>
  <c r="S724" i="10"/>
  <c r="S580" i="10"/>
  <c r="S569" i="10"/>
  <c r="S513" i="10"/>
  <c r="S506" i="10"/>
  <c r="S491" i="10"/>
  <c r="S460" i="10"/>
  <c r="S473" i="10"/>
  <c r="S427" i="10"/>
  <c r="B374" i="10"/>
  <c r="C374" i="10"/>
  <c r="D374" i="10"/>
  <c r="A374" i="10"/>
  <c r="S306" i="10"/>
  <c r="S305" i="10"/>
  <c r="S304" i="10"/>
  <c r="S303" i="10"/>
  <c r="S302" i="10"/>
  <c r="K212" i="10"/>
  <c r="S209" i="10"/>
  <c r="S204" i="10"/>
  <c r="S195" i="10"/>
  <c r="S48" i="10"/>
  <c r="S16" i="10"/>
  <c r="R74" i="7"/>
  <c r="R127" i="7"/>
  <c r="R113" i="7"/>
  <c r="R138" i="7"/>
  <c r="R155" i="7" s="1"/>
  <c r="R44" i="7"/>
  <c r="R145" i="8"/>
  <c r="R385" i="6"/>
  <c r="R350" i="6"/>
  <c r="R183" i="5"/>
  <c r="S829" i="10" l="1"/>
  <c r="K204" i="9"/>
  <c r="R311" i="9"/>
  <c r="S936" i="10" l="1"/>
  <c r="K220" i="10"/>
  <c r="K224" i="10"/>
  <c r="K571" i="10"/>
  <c r="A492" i="10"/>
  <c r="B492" i="10"/>
  <c r="C492" i="10"/>
  <c r="D492" i="10"/>
  <c r="K193" i="8"/>
  <c r="R147" i="6"/>
  <c r="J333" i="6"/>
  <c r="K336" i="6" s="1"/>
  <c r="K151" i="6"/>
  <c r="K101" i="6"/>
  <c r="K281" i="5"/>
  <c r="K249" i="5"/>
  <c r="K107" i="5"/>
  <c r="K11" i="5"/>
  <c r="J94" i="8" l="1"/>
  <c r="K97" i="8" s="1"/>
  <c r="J206" i="9" l="1"/>
  <c r="K209" i="9" s="1"/>
  <c r="J34" i="10"/>
  <c r="K38" i="10" s="1"/>
  <c r="J303" i="6"/>
  <c r="K307" i="6" s="1"/>
  <c r="J105" i="9"/>
  <c r="R18" i="7" l="1"/>
  <c r="T18" i="7" s="1"/>
  <c r="B16" i="7"/>
  <c r="A16" i="7"/>
  <c r="M18" i="7" l="1"/>
  <c r="R273" i="5"/>
  <c r="R123" i="4" l="1"/>
  <c r="S122" i="10"/>
  <c r="S137" i="10" s="1"/>
  <c r="A296" i="10"/>
  <c r="S880" i="10"/>
  <c r="S914" i="10" s="1"/>
  <c r="R234" i="9"/>
  <c r="R147" i="8"/>
  <c r="R166" i="8" s="1"/>
  <c r="R175" i="4"/>
  <c r="S644" i="10"/>
  <c r="K801" i="10"/>
  <c r="K800" i="10"/>
  <c r="K799" i="10"/>
  <c r="T153" i="34" l="1"/>
  <c r="V137" i="10"/>
  <c r="M33" i="4" l="1"/>
  <c r="K199" i="4" l="1"/>
  <c r="K203" i="4" s="1"/>
  <c r="S408" i="10" l="1"/>
  <c r="R16" i="8"/>
  <c r="R19" i="8" s="1"/>
  <c r="R169" i="4"/>
  <c r="S943" i="10"/>
  <c r="S988" i="10" s="1"/>
  <c r="R352" i="6"/>
  <c r="R375" i="6" s="1"/>
  <c r="K238" i="9"/>
  <c r="R54" i="9"/>
  <c r="S354" i="10"/>
  <c r="K726" i="10" l="1"/>
  <c r="K729" i="10" s="1"/>
  <c r="A27" i="10"/>
  <c r="A8" i="10"/>
  <c r="A17" i="10"/>
  <c r="N729" i="10" l="1"/>
  <c r="N295" i="10" l="1"/>
  <c r="V295" i="10"/>
  <c r="C286" i="10"/>
  <c r="D286" i="10"/>
  <c r="E286" i="10"/>
  <c r="F286" i="10"/>
  <c r="B286" i="10"/>
  <c r="A286" i="10"/>
  <c r="O237" i="34" l="1"/>
  <c r="O239" i="34"/>
  <c r="O241" i="34"/>
  <c r="O243" i="34"/>
  <c r="O245" i="34"/>
  <c r="O247" i="34"/>
  <c r="O249" i="34"/>
  <c r="O251" i="34"/>
  <c r="O238" i="34"/>
  <c r="O240" i="34"/>
  <c r="O242" i="34"/>
  <c r="O244" i="34"/>
  <c r="O246" i="34"/>
  <c r="O248" i="34"/>
  <c r="O250" i="34"/>
  <c r="O252" i="34"/>
  <c r="O254" i="34"/>
  <c r="O256" i="34"/>
  <c r="O253" i="34"/>
  <c r="O257" i="34"/>
  <c r="O259" i="34"/>
  <c r="O261" i="34"/>
  <c r="O263" i="34"/>
  <c r="O265" i="34"/>
  <c r="O267" i="34"/>
  <c r="O269" i="34"/>
  <c r="O271" i="34"/>
  <c r="O273" i="34"/>
  <c r="O275" i="34"/>
  <c r="O277" i="34"/>
  <c r="O279" i="34"/>
  <c r="O281" i="34"/>
  <c r="O283" i="34"/>
  <c r="O285" i="34"/>
  <c r="O287" i="34"/>
  <c r="O289" i="34"/>
  <c r="O291" i="34"/>
  <c r="O293" i="34"/>
  <c r="O295" i="34"/>
  <c r="O297" i="34"/>
  <c r="O299" i="34"/>
  <c r="O301" i="34"/>
  <c r="O303" i="34"/>
  <c r="O305" i="34"/>
  <c r="O307" i="34"/>
  <c r="O309" i="34"/>
  <c r="O311" i="34"/>
  <c r="N237" i="34"/>
  <c r="N239" i="34"/>
  <c r="N241" i="34"/>
  <c r="N243" i="34"/>
  <c r="N245" i="34"/>
  <c r="N247" i="34"/>
  <c r="N249" i="34"/>
  <c r="N251" i="34"/>
  <c r="N253" i="34"/>
  <c r="N255" i="34"/>
  <c r="N257" i="34"/>
  <c r="N259" i="34"/>
  <c r="N261" i="34"/>
  <c r="N263" i="34"/>
  <c r="N265" i="34"/>
  <c r="N267" i="34"/>
  <c r="N269" i="34"/>
  <c r="N271" i="34"/>
  <c r="N273" i="34"/>
  <c r="N275" i="34"/>
  <c r="N277" i="34"/>
  <c r="N279" i="34"/>
  <c r="N281" i="34"/>
  <c r="N283" i="34"/>
  <c r="N285" i="34"/>
  <c r="N287" i="34"/>
  <c r="N289" i="34"/>
  <c r="N291" i="34"/>
  <c r="N293" i="34"/>
  <c r="N295" i="34"/>
  <c r="N297" i="34"/>
  <c r="N299" i="34"/>
  <c r="N301" i="34"/>
  <c r="N303" i="34"/>
  <c r="N305" i="34"/>
  <c r="N307" i="34"/>
  <c r="N309" i="34"/>
  <c r="N311" i="34"/>
  <c r="O255" i="34"/>
  <c r="O258" i="34"/>
  <c r="O260" i="34"/>
  <c r="O262" i="34"/>
  <c r="O264" i="34"/>
  <c r="O266" i="34"/>
  <c r="O268" i="34"/>
  <c r="O270" i="34"/>
  <c r="O272" i="34"/>
  <c r="O274" i="34"/>
  <c r="O276" i="34"/>
  <c r="O278" i="34"/>
  <c r="O280" i="34"/>
  <c r="O282" i="34"/>
  <c r="O284" i="34"/>
  <c r="O286" i="34"/>
  <c r="O288" i="34"/>
  <c r="O290" i="34"/>
  <c r="O292" i="34"/>
  <c r="O294" i="34"/>
  <c r="O296" i="34"/>
  <c r="O298" i="34"/>
  <c r="O300" i="34"/>
  <c r="O302" i="34"/>
  <c r="O304" i="34"/>
  <c r="O306" i="34"/>
  <c r="O308" i="34"/>
  <c r="O310" i="34"/>
  <c r="N238" i="34"/>
  <c r="N240" i="34"/>
  <c r="N242" i="34"/>
  <c r="N244" i="34"/>
  <c r="N246" i="34"/>
  <c r="N248" i="34"/>
  <c r="N250" i="34"/>
  <c r="N252" i="34"/>
  <c r="N254" i="34"/>
  <c r="N256" i="34"/>
  <c r="N258" i="34"/>
  <c r="N260" i="34"/>
  <c r="N262" i="34"/>
  <c r="N264" i="34"/>
  <c r="N266" i="34"/>
  <c r="N268" i="34"/>
  <c r="N270" i="34"/>
  <c r="N272" i="34"/>
  <c r="N274" i="34"/>
  <c r="N276" i="34"/>
  <c r="N278" i="34"/>
  <c r="N280" i="34"/>
  <c r="N282" i="34"/>
  <c r="N284" i="34"/>
  <c r="N286" i="34"/>
  <c r="N288" i="34"/>
  <c r="N290" i="34"/>
  <c r="N292" i="34"/>
  <c r="N294" i="34"/>
  <c r="N296" i="34"/>
  <c r="N298" i="34"/>
  <c r="N300" i="34"/>
  <c r="N302" i="34"/>
  <c r="N304" i="34"/>
  <c r="N306" i="34"/>
  <c r="N308" i="34"/>
  <c r="N310" i="34"/>
  <c r="K175" i="4"/>
  <c r="T237" i="34" l="1"/>
  <c r="R125" i="5" l="1"/>
  <c r="R65" i="5"/>
  <c r="R66" i="5" s="1"/>
  <c r="R86" i="5"/>
  <c r="R135" i="9"/>
  <c r="K170" i="5" l="1"/>
  <c r="K153" i="5"/>
  <c r="K125" i="5"/>
  <c r="K969" i="10" l="1"/>
  <c r="K218" i="8" l="1"/>
  <c r="K153" i="8"/>
  <c r="K31" i="8"/>
  <c r="K257" i="9"/>
  <c r="K220" i="9"/>
  <c r="K177" i="9"/>
  <c r="K122" i="9"/>
  <c r="K121" i="9"/>
  <c r="K64" i="9"/>
  <c r="K13" i="9"/>
  <c r="K12" i="9"/>
  <c r="K1062" i="10"/>
  <c r="K1024" i="10"/>
  <c r="K1023" i="10"/>
  <c r="K965" i="10"/>
  <c r="K964" i="10"/>
  <c r="K963" i="10"/>
  <c r="K894" i="10"/>
  <c r="K893" i="10"/>
  <c r="K678" i="10"/>
  <c r="K677" i="10"/>
  <c r="K667" i="10"/>
  <c r="K630" i="10"/>
  <c r="K629" i="10"/>
  <c r="K542" i="10"/>
  <c r="K541" i="10"/>
  <c r="K498" i="10"/>
  <c r="K240" i="10"/>
  <c r="K450" i="10"/>
  <c r="K422" i="10"/>
  <c r="K420" i="10"/>
  <c r="K359" i="10"/>
  <c r="K264" i="10"/>
  <c r="K239" i="10"/>
  <c r="K201" i="10"/>
  <c r="K173" i="10"/>
  <c r="K169" i="10"/>
  <c r="K147" i="7"/>
  <c r="K146" i="7"/>
  <c r="K121" i="7"/>
  <c r="K59" i="7"/>
  <c r="K24" i="7"/>
  <c r="K347" i="6"/>
  <c r="K346" i="6"/>
  <c r="K331" i="6"/>
  <c r="K330" i="6"/>
  <c r="K329" i="6"/>
  <c r="K229" i="6"/>
  <c r="K64" i="6"/>
  <c r="K63" i="6"/>
  <c r="K37" i="6"/>
  <c r="K77" i="5"/>
  <c r="K227" i="5"/>
  <c r="K129" i="5"/>
  <c r="K106" i="5"/>
  <c r="K66" i="5"/>
  <c r="K16" i="5"/>
  <c r="K157" i="4"/>
  <c r="K152" i="4"/>
  <c r="K150" i="4"/>
  <c r="K134" i="4"/>
  <c r="N1100" i="10" l="1"/>
  <c r="N408" i="10"/>
  <c r="N285" i="10"/>
  <c r="M81" i="8" l="1"/>
  <c r="M234" i="9"/>
  <c r="M145" i="8"/>
  <c r="N710" i="10"/>
  <c r="N444" i="10"/>
  <c r="N373" i="10" l="1"/>
  <c r="M86" i="9" l="1"/>
  <c r="R302" i="9" l="1"/>
  <c r="M203" i="4" l="1"/>
  <c r="C193" i="4"/>
  <c r="D193" i="4"/>
  <c r="E193" i="4"/>
  <c r="F193" i="4"/>
  <c r="B193" i="4"/>
  <c r="E188" i="4"/>
  <c r="D188" i="4"/>
  <c r="C188" i="4"/>
  <c r="B188" i="4"/>
  <c r="B8" i="4"/>
  <c r="C8" i="4"/>
  <c r="D8" i="4"/>
  <c r="E8" i="4"/>
  <c r="F8" i="4"/>
  <c r="B11" i="4"/>
  <c r="C11" i="4"/>
  <c r="D11" i="4"/>
  <c r="E11" i="4"/>
  <c r="F11" i="4"/>
  <c r="B14" i="4"/>
  <c r="C14" i="4"/>
  <c r="D14" i="4"/>
  <c r="E14" i="4"/>
  <c r="F14" i="4"/>
  <c r="B17" i="4"/>
  <c r="C17" i="4"/>
  <c r="D17" i="4"/>
  <c r="E17" i="4"/>
  <c r="F17" i="4"/>
  <c r="B19" i="4"/>
  <c r="C19" i="4"/>
  <c r="D19" i="4"/>
  <c r="E19" i="4"/>
  <c r="F19" i="4"/>
  <c r="B22" i="4"/>
  <c r="C22" i="4"/>
  <c r="D22" i="4"/>
  <c r="E22" i="4"/>
  <c r="F22" i="4"/>
  <c r="B25" i="4"/>
  <c r="C25" i="4"/>
  <c r="D25" i="4"/>
  <c r="E25" i="4"/>
  <c r="F25" i="4"/>
  <c r="B27" i="4"/>
  <c r="C27" i="4"/>
  <c r="D27" i="4"/>
  <c r="E27" i="4"/>
  <c r="F27" i="4"/>
  <c r="B29" i="4"/>
  <c r="C29" i="4"/>
  <c r="D29" i="4"/>
  <c r="E29" i="4"/>
  <c r="F29" i="4"/>
  <c r="B34" i="4"/>
  <c r="C34" i="4"/>
  <c r="D34" i="4"/>
  <c r="E34" i="4"/>
  <c r="F34" i="4"/>
  <c r="B36" i="4"/>
  <c r="C36" i="4"/>
  <c r="D36" i="4"/>
  <c r="E36" i="4"/>
  <c r="F36" i="4"/>
  <c r="B39" i="4"/>
  <c r="C39" i="4"/>
  <c r="D39" i="4"/>
  <c r="E39" i="4"/>
  <c r="F39" i="4"/>
  <c r="B41" i="4"/>
  <c r="C41" i="4"/>
  <c r="D41" i="4"/>
  <c r="E41" i="4"/>
  <c r="F41" i="4"/>
  <c r="B43" i="4"/>
  <c r="C43" i="4"/>
  <c r="D43" i="4"/>
  <c r="E43" i="4"/>
  <c r="F43" i="4"/>
  <c r="B46" i="4"/>
  <c r="C46" i="4"/>
  <c r="D46" i="4"/>
  <c r="E46" i="4"/>
  <c r="F46" i="4"/>
  <c r="B48" i="4"/>
  <c r="C48" i="4"/>
  <c r="D48" i="4"/>
  <c r="E48" i="4"/>
  <c r="F48" i="4"/>
  <c r="B51" i="4"/>
  <c r="C51" i="4"/>
  <c r="D51" i="4"/>
  <c r="E51" i="4"/>
  <c r="F51" i="4"/>
  <c r="B53" i="4"/>
  <c r="C53" i="4"/>
  <c r="D53" i="4"/>
  <c r="E53" i="4"/>
  <c r="F53" i="4"/>
  <c r="B55" i="4"/>
  <c r="C55" i="4"/>
  <c r="D55" i="4"/>
  <c r="E55" i="4"/>
  <c r="F55" i="4"/>
  <c r="B60" i="4"/>
  <c r="C60" i="4"/>
  <c r="D60" i="4"/>
  <c r="E60" i="4"/>
  <c r="F60" i="4"/>
  <c r="B63" i="4"/>
  <c r="C63" i="4"/>
  <c r="D63" i="4"/>
  <c r="E63" i="4"/>
  <c r="F63" i="4"/>
  <c r="B66" i="4"/>
  <c r="C66" i="4"/>
  <c r="D66" i="4"/>
  <c r="E66" i="4"/>
  <c r="F66" i="4"/>
  <c r="B68" i="4"/>
  <c r="C68" i="4"/>
  <c r="D68" i="4"/>
  <c r="E68" i="4"/>
  <c r="F68" i="4"/>
  <c r="B70" i="4"/>
  <c r="C70" i="4"/>
  <c r="D70" i="4"/>
  <c r="E70" i="4"/>
  <c r="F70" i="4"/>
  <c r="B75" i="4"/>
  <c r="C75" i="4"/>
  <c r="D75" i="4"/>
  <c r="E75" i="4"/>
  <c r="F75" i="4"/>
  <c r="B84" i="4"/>
  <c r="C84" i="4"/>
  <c r="D84" i="4"/>
  <c r="E84" i="4"/>
  <c r="F84" i="4"/>
  <c r="B86" i="4"/>
  <c r="C86" i="4"/>
  <c r="D86" i="4"/>
  <c r="E86" i="4"/>
  <c r="F86" i="4"/>
  <c r="B89" i="4"/>
  <c r="C89" i="4"/>
  <c r="D89" i="4"/>
  <c r="E89" i="4"/>
  <c r="F89" i="4"/>
  <c r="B92" i="4"/>
  <c r="C92" i="4"/>
  <c r="D92" i="4"/>
  <c r="E92" i="4"/>
  <c r="F92" i="4"/>
  <c r="B98" i="4"/>
  <c r="C98" i="4"/>
  <c r="D98" i="4"/>
  <c r="E98" i="4"/>
  <c r="F98" i="4"/>
  <c r="B105" i="4"/>
  <c r="C105" i="4"/>
  <c r="D105" i="4"/>
  <c r="E105" i="4"/>
  <c r="F105" i="4"/>
  <c r="B107" i="4"/>
  <c r="C107" i="4"/>
  <c r="D107" i="4"/>
  <c r="E107" i="4"/>
  <c r="F107" i="4"/>
  <c r="B110" i="4"/>
  <c r="C110" i="4"/>
  <c r="D110" i="4"/>
  <c r="E110" i="4"/>
  <c r="F110" i="4"/>
  <c r="B113" i="4"/>
  <c r="C113" i="4"/>
  <c r="D113" i="4"/>
  <c r="E113" i="4"/>
  <c r="F113" i="4"/>
  <c r="B117" i="4"/>
  <c r="C117" i="4"/>
  <c r="D117" i="4"/>
  <c r="E117" i="4"/>
  <c r="F117" i="4"/>
  <c r="B119" i="4"/>
  <c r="C119" i="4"/>
  <c r="D119" i="4"/>
  <c r="E119" i="4"/>
  <c r="F119" i="4"/>
  <c r="B122" i="4"/>
  <c r="C122" i="4"/>
  <c r="D122" i="4"/>
  <c r="E122" i="4"/>
  <c r="F122" i="4"/>
  <c r="B127" i="4"/>
  <c r="C127" i="4"/>
  <c r="D127" i="4"/>
  <c r="E127" i="4"/>
  <c r="F127" i="4"/>
  <c r="B147" i="4"/>
  <c r="C147" i="4"/>
  <c r="D147" i="4"/>
  <c r="E147" i="4"/>
  <c r="F147" i="4"/>
  <c r="B156" i="4"/>
  <c r="C156" i="4"/>
  <c r="D156" i="4"/>
  <c r="E156" i="4"/>
  <c r="F156" i="4"/>
  <c r="B158" i="4"/>
  <c r="C158" i="4"/>
  <c r="D158" i="4"/>
  <c r="E158" i="4"/>
  <c r="F158" i="4"/>
  <c r="B164" i="4"/>
  <c r="C164" i="4"/>
  <c r="D164" i="4"/>
  <c r="E164" i="4"/>
  <c r="F164" i="4"/>
  <c r="B170" i="4"/>
  <c r="C170" i="4"/>
  <c r="D170" i="4"/>
  <c r="E170" i="4"/>
  <c r="F170" i="4"/>
  <c r="B182" i="4"/>
  <c r="C182" i="4"/>
  <c r="D182" i="4"/>
  <c r="E182" i="4"/>
  <c r="F182" i="4"/>
  <c r="B204" i="4"/>
  <c r="C204" i="4"/>
  <c r="D204" i="4"/>
  <c r="E204" i="4"/>
  <c r="F204" i="4"/>
  <c r="B206" i="4"/>
  <c r="C206" i="4"/>
  <c r="D206" i="4"/>
  <c r="E206" i="4"/>
  <c r="F206" i="4"/>
  <c r="B210" i="4"/>
  <c r="C210" i="4"/>
  <c r="D210" i="4"/>
  <c r="E210" i="4"/>
  <c r="F210" i="4"/>
  <c r="A11" i="4"/>
  <c r="A14" i="4"/>
  <c r="A17" i="4"/>
  <c r="A19" i="4"/>
  <c r="A22" i="4"/>
  <c r="A25" i="4"/>
  <c r="A27" i="4"/>
  <c r="A29" i="4"/>
  <c r="A34" i="4"/>
  <c r="A36" i="4"/>
  <c r="A39" i="4"/>
  <c r="A41" i="4"/>
  <c r="A43" i="4"/>
  <c r="A46" i="4"/>
  <c r="A48" i="4"/>
  <c r="A51" i="4"/>
  <c r="A53" i="4"/>
  <c r="A55" i="4"/>
  <c r="A60" i="4"/>
  <c r="A63" i="4"/>
  <c r="A66" i="4"/>
  <c r="A68" i="4"/>
  <c r="A70" i="4"/>
  <c r="A75" i="4"/>
  <c r="A84" i="4"/>
  <c r="A86" i="4"/>
  <c r="A89" i="4"/>
  <c r="A92" i="4"/>
  <c r="A98" i="4"/>
  <c r="A105" i="4"/>
  <c r="A107" i="4"/>
  <c r="A110" i="4"/>
  <c r="A113" i="4"/>
  <c r="A117" i="4"/>
  <c r="A119" i="4"/>
  <c r="A122" i="4"/>
  <c r="A127" i="4"/>
  <c r="A147" i="4"/>
  <c r="A156" i="4"/>
  <c r="A158" i="4"/>
  <c r="A164" i="4"/>
  <c r="A182" i="4"/>
  <c r="A188" i="4"/>
  <c r="A193" i="4"/>
  <c r="A204" i="4"/>
  <c r="A206" i="4"/>
  <c r="A210" i="4"/>
  <c r="A8" i="4"/>
  <c r="K90" i="7" l="1"/>
  <c r="N988" i="10"/>
  <c r="A355" i="10" l="1"/>
  <c r="A163" i="5" l="1"/>
  <c r="N265" i="10"/>
  <c r="S265" i="10"/>
  <c r="V265" i="10" s="1"/>
  <c r="K40" i="10" l="1"/>
  <c r="M126" i="4"/>
  <c r="M10" i="4"/>
  <c r="A1006" i="10" l="1"/>
  <c r="S50" i="10"/>
  <c r="S69" i="10" s="1"/>
  <c r="D105" i="5"/>
  <c r="M237" i="6"/>
  <c r="R155" i="4"/>
  <c r="A163" i="10"/>
  <c r="K152" i="8"/>
  <c r="N686" i="10"/>
  <c r="N1035" i="10"/>
  <c r="M274" i="9"/>
  <c r="K287" i="9"/>
  <c r="M287" i="9" s="1"/>
  <c r="M164" i="9"/>
  <c r="M10" i="9"/>
  <c r="M204" i="9"/>
  <c r="N1064" i="10"/>
  <c r="N874" i="10"/>
  <c r="N829" i="10"/>
  <c r="N621" i="10"/>
  <c r="N580" i="10"/>
  <c r="N519" i="10"/>
  <c r="N506" i="10"/>
  <c r="N473" i="10"/>
  <c r="N209" i="10"/>
  <c r="N120" i="10"/>
  <c r="M155" i="7"/>
  <c r="M90" i="7"/>
  <c r="M213" i="8"/>
  <c r="M193" i="8"/>
  <c r="M186" i="8"/>
  <c r="M97" i="8"/>
  <c r="M64" i="8"/>
  <c r="M147" i="6"/>
  <c r="M240" i="5"/>
  <c r="M91" i="5"/>
  <c r="M86" i="5"/>
  <c r="A148" i="6"/>
  <c r="K891" i="10"/>
  <c r="K119" i="7"/>
  <c r="K19" i="10"/>
  <c r="N77" i="10"/>
  <c r="K124" i="10"/>
  <c r="N878" i="10"/>
  <c r="N387" i="10"/>
  <c r="V491" i="10"/>
  <c r="M211" i="5"/>
  <c r="M193" i="5"/>
  <c r="M187" i="5"/>
  <c r="M101" i="5"/>
  <c r="M29" i="5"/>
  <c r="K999" i="10"/>
  <c r="K508" i="10"/>
  <c r="B989" i="10"/>
  <c r="D989" i="10"/>
  <c r="A937" i="10"/>
  <c r="K216" i="9"/>
  <c r="R84" i="7"/>
  <c r="T84" i="7" s="1"/>
  <c r="K84" i="7"/>
  <c r="M84" i="7" s="1"/>
  <c r="K392" i="10"/>
  <c r="K1079" i="10"/>
  <c r="M192" i="4"/>
  <c r="M350" i="6"/>
  <c r="K380" i="6"/>
  <c r="K318" i="10"/>
  <c r="K735" i="10"/>
  <c r="K1106" i="10"/>
  <c r="K33" i="6"/>
  <c r="N833" i="10"/>
  <c r="M230" i="8"/>
  <c r="V1089" i="10"/>
  <c r="K243" i="8"/>
  <c r="D163" i="6"/>
  <c r="C163" i="6"/>
  <c r="B163" i="6"/>
  <c r="A163" i="6"/>
  <c r="R230" i="8"/>
  <c r="T230" i="8" s="1"/>
  <c r="B1116" i="10"/>
  <c r="C1116" i="10"/>
  <c r="D1116" i="10"/>
  <c r="A1116" i="10"/>
  <c r="C1101" i="10"/>
  <c r="D1101" i="10"/>
  <c r="B1101" i="10"/>
  <c r="A1101" i="10"/>
  <c r="C1092" i="10"/>
  <c r="D1092" i="10"/>
  <c r="B1092" i="10"/>
  <c r="K1091" i="10"/>
  <c r="B1090" i="10"/>
  <c r="C1090" i="10"/>
  <c r="D1090" i="10"/>
  <c r="A1090" i="10"/>
  <c r="A1092" i="10"/>
  <c r="C1072" i="10"/>
  <c r="D1072" i="10"/>
  <c r="B1072" i="10"/>
  <c r="A1072" i="10"/>
  <c r="B1065" i="10"/>
  <c r="C1065" i="10"/>
  <c r="D1065" i="10"/>
  <c r="A1065" i="10"/>
  <c r="B1036" i="10"/>
  <c r="C1048" i="10"/>
  <c r="D1048" i="10"/>
  <c r="B1048" i="10"/>
  <c r="C1036" i="10"/>
  <c r="D1036" i="10"/>
  <c r="C931" i="10"/>
  <c r="D931" i="10"/>
  <c r="B931" i="10"/>
  <c r="C923" i="10"/>
  <c r="D923" i="10"/>
  <c r="B923" i="10"/>
  <c r="C1006" i="10"/>
  <c r="D1006" i="10"/>
  <c r="B1006" i="10"/>
  <c r="C989" i="10"/>
  <c r="A989" i="10"/>
  <c r="C937" i="10"/>
  <c r="D937" i="10"/>
  <c r="B937" i="10"/>
  <c r="B915" i="10"/>
  <c r="A915" i="10"/>
  <c r="C879" i="10"/>
  <c r="D879" i="10"/>
  <c r="E879" i="10"/>
  <c r="F879" i="10"/>
  <c r="B879" i="10"/>
  <c r="A879" i="10"/>
  <c r="C875" i="10"/>
  <c r="D875" i="10"/>
  <c r="E875" i="10"/>
  <c r="F875" i="10"/>
  <c r="B875" i="10"/>
  <c r="A875" i="10"/>
  <c r="C858" i="10"/>
  <c r="D858" i="10"/>
  <c r="B858" i="10"/>
  <c r="A858" i="10"/>
  <c r="C834" i="10"/>
  <c r="D834" i="10"/>
  <c r="B834" i="10"/>
  <c r="A834" i="10"/>
  <c r="B830" i="10"/>
  <c r="C830" i="10"/>
  <c r="D830" i="10"/>
  <c r="A830" i="10"/>
  <c r="C788" i="10"/>
  <c r="D788" i="10"/>
  <c r="B788" i="10"/>
  <c r="A788" i="10"/>
  <c r="C776" i="10"/>
  <c r="D776" i="10"/>
  <c r="B776" i="10"/>
  <c r="A776" i="10"/>
  <c r="B765" i="10"/>
  <c r="C765" i="10"/>
  <c r="D765" i="10"/>
  <c r="A765" i="10"/>
  <c r="C745" i="10"/>
  <c r="D745" i="10"/>
  <c r="B745" i="10"/>
  <c r="A745" i="10"/>
  <c r="C730" i="10"/>
  <c r="D730" i="10"/>
  <c r="B730" i="10"/>
  <c r="A730" i="10"/>
  <c r="B725" i="10"/>
  <c r="C725" i="10"/>
  <c r="D725" i="10"/>
  <c r="A725" i="10"/>
  <c r="C711" i="10"/>
  <c r="D711" i="10"/>
  <c r="B711" i="10"/>
  <c r="A711" i="10"/>
  <c r="C687" i="10"/>
  <c r="D687" i="10"/>
  <c r="B687" i="10"/>
  <c r="A687" i="10"/>
  <c r="C673" i="10"/>
  <c r="D673" i="10"/>
  <c r="B673" i="10"/>
  <c r="A673" i="10"/>
  <c r="C657" i="10"/>
  <c r="D657" i="10"/>
  <c r="B657" i="10"/>
  <c r="A657" i="10"/>
  <c r="B645" i="10"/>
  <c r="C645" i="10"/>
  <c r="D645" i="10"/>
  <c r="A645" i="10"/>
  <c r="C622" i="10"/>
  <c r="D622" i="10"/>
  <c r="B622" i="10"/>
  <c r="A622" i="10"/>
  <c r="C612" i="10"/>
  <c r="D612" i="10"/>
  <c r="B612" i="10"/>
  <c r="A612" i="10"/>
  <c r="C605" i="10"/>
  <c r="D605" i="10"/>
  <c r="B605" i="10"/>
  <c r="A605" i="10"/>
  <c r="C602" i="10"/>
  <c r="D602" i="10"/>
  <c r="B602" i="10"/>
  <c r="A602" i="10"/>
  <c r="C581" i="10"/>
  <c r="D581" i="10"/>
  <c r="B581" i="10"/>
  <c r="C570" i="10"/>
  <c r="D570" i="10"/>
  <c r="C572" i="10"/>
  <c r="D572" i="10"/>
  <c r="A581" i="10"/>
  <c r="B572" i="10"/>
  <c r="A572" i="10"/>
  <c r="B570" i="10"/>
  <c r="A570" i="10"/>
  <c r="C520" i="10"/>
  <c r="D520" i="10"/>
  <c r="B520" i="10"/>
  <c r="A520" i="10"/>
  <c r="B514" i="10"/>
  <c r="C514" i="10"/>
  <c r="D514" i="10"/>
  <c r="A514" i="10"/>
  <c r="B507" i="10"/>
  <c r="C507" i="10"/>
  <c r="D507" i="10"/>
  <c r="A507" i="10"/>
  <c r="B497" i="10"/>
  <c r="C497" i="10"/>
  <c r="D497" i="10"/>
  <c r="A497" i="10"/>
  <c r="C474" i="10"/>
  <c r="D474" i="10"/>
  <c r="B474" i="10"/>
  <c r="A474" i="10"/>
  <c r="C461" i="10"/>
  <c r="D461" i="10"/>
  <c r="B461" i="10"/>
  <c r="A461" i="10"/>
  <c r="C445" i="10"/>
  <c r="D445" i="10"/>
  <c r="B445" i="10"/>
  <c r="A445" i="10"/>
  <c r="C428" i="10"/>
  <c r="D428" i="10"/>
  <c r="B428" i="10"/>
  <c r="A428" i="10"/>
  <c r="B409" i="10"/>
  <c r="C409" i="10"/>
  <c r="D409" i="10"/>
  <c r="A409" i="10"/>
  <c r="B388" i="10"/>
  <c r="C388" i="10"/>
  <c r="D388" i="10"/>
  <c r="A388" i="10"/>
  <c r="C355" i="10"/>
  <c r="D355" i="10"/>
  <c r="B355" i="10"/>
  <c r="C296" i="10"/>
  <c r="D296" i="10"/>
  <c r="B296" i="10"/>
  <c r="C263" i="10"/>
  <c r="D263" i="10"/>
  <c r="B263" i="10"/>
  <c r="C266" i="10"/>
  <c r="D266" i="10"/>
  <c r="B266" i="10"/>
  <c r="A266" i="10"/>
  <c r="A263" i="10"/>
  <c r="C251" i="10"/>
  <c r="D251" i="10"/>
  <c r="B251" i="10"/>
  <c r="A251" i="10"/>
  <c r="C226" i="10"/>
  <c r="D226" i="10"/>
  <c r="B226" i="10"/>
  <c r="A226" i="10"/>
  <c r="C221" i="10"/>
  <c r="D221" i="10"/>
  <c r="B221" i="10"/>
  <c r="A221" i="10"/>
  <c r="C213" i="10"/>
  <c r="D213" i="10"/>
  <c r="B213" i="10"/>
  <c r="A213" i="10"/>
  <c r="C210" i="10"/>
  <c r="D210" i="10"/>
  <c r="B210" i="10"/>
  <c r="A210" i="10"/>
  <c r="C205" i="10"/>
  <c r="D205" i="10"/>
  <c r="B205" i="10"/>
  <c r="A205" i="10"/>
  <c r="C196" i="10"/>
  <c r="D196" i="10"/>
  <c r="B196" i="10"/>
  <c r="A196" i="10"/>
  <c r="B187" i="10"/>
  <c r="C187" i="10"/>
  <c r="D187" i="10"/>
  <c r="A187" i="10"/>
  <c r="C163" i="10"/>
  <c r="D163" i="10"/>
  <c r="B163" i="10"/>
  <c r="C155" i="10"/>
  <c r="D155" i="10"/>
  <c r="B155" i="10"/>
  <c r="A155" i="10"/>
  <c r="B152" i="10"/>
  <c r="A152" i="10"/>
  <c r="B149" i="10"/>
  <c r="A149" i="10"/>
  <c r="B138" i="10"/>
  <c r="A138" i="10"/>
  <c r="B121" i="10"/>
  <c r="A121" i="10"/>
  <c r="B106" i="10"/>
  <c r="A106" i="10"/>
  <c r="B103" i="10"/>
  <c r="A103" i="10"/>
  <c r="B100" i="10"/>
  <c r="A100" i="10"/>
  <c r="B94" i="10"/>
  <c r="A94" i="10"/>
  <c r="B91" i="10"/>
  <c r="A91" i="10"/>
  <c r="B86" i="10"/>
  <c r="A86" i="10"/>
  <c r="B78" i="10"/>
  <c r="A78" i="10"/>
  <c r="B70" i="10"/>
  <c r="A70" i="10"/>
  <c r="B49" i="10"/>
  <c r="A49" i="10"/>
  <c r="B41" i="10"/>
  <c r="A41" i="10"/>
  <c r="B39" i="10"/>
  <c r="A39" i="10"/>
  <c r="B27" i="10"/>
  <c r="B17" i="10"/>
  <c r="B8" i="10"/>
  <c r="C304" i="9"/>
  <c r="D304" i="9"/>
  <c r="B304" i="9"/>
  <c r="A304" i="9"/>
  <c r="C288" i="9"/>
  <c r="D288" i="9"/>
  <c r="B288" i="9"/>
  <c r="A288" i="9"/>
  <c r="C286" i="9"/>
  <c r="D286" i="9"/>
  <c r="B286" i="9"/>
  <c r="A286" i="9"/>
  <c r="C275" i="9"/>
  <c r="D275" i="9"/>
  <c r="B275" i="9"/>
  <c r="A275" i="9"/>
  <c r="C266" i="9"/>
  <c r="D266" i="9"/>
  <c r="B266" i="9"/>
  <c r="A266" i="9"/>
  <c r="C254" i="9"/>
  <c r="D254" i="9"/>
  <c r="B254" i="9"/>
  <c r="A254" i="9"/>
  <c r="C235" i="9"/>
  <c r="D235" i="9"/>
  <c r="B235" i="9"/>
  <c r="A235" i="9"/>
  <c r="C210" i="9"/>
  <c r="D210" i="9"/>
  <c r="B210" i="9"/>
  <c r="A210" i="9"/>
  <c r="B205" i="9"/>
  <c r="C205" i="9"/>
  <c r="D205" i="9"/>
  <c r="A205" i="9"/>
  <c r="C203" i="9"/>
  <c r="D203" i="9"/>
  <c r="B203" i="9"/>
  <c r="A203" i="9"/>
  <c r="C186" i="9"/>
  <c r="D186" i="9"/>
  <c r="B186" i="9"/>
  <c r="A186" i="9"/>
  <c r="C184" i="9"/>
  <c r="D184" i="9"/>
  <c r="B184" i="9"/>
  <c r="A184" i="9"/>
  <c r="C174" i="9"/>
  <c r="D174" i="9"/>
  <c r="B174" i="9"/>
  <c r="A174" i="9"/>
  <c r="C165" i="9"/>
  <c r="D165" i="9"/>
  <c r="B165" i="9"/>
  <c r="A165" i="9"/>
  <c r="C153" i="9"/>
  <c r="D153" i="9"/>
  <c r="B153" i="9"/>
  <c r="A153" i="9"/>
  <c r="C139" i="9"/>
  <c r="D139" i="9"/>
  <c r="B139" i="9"/>
  <c r="A139" i="9"/>
  <c r="B136" i="9"/>
  <c r="C136" i="9"/>
  <c r="D136" i="9"/>
  <c r="A136" i="9"/>
  <c r="B116" i="9"/>
  <c r="C116" i="9"/>
  <c r="D116" i="9"/>
  <c r="A116" i="9"/>
  <c r="B111" i="9"/>
  <c r="C111" i="9"/>
  <c r="D111" i="9"/>
  <c r="A111" i="9"/>
  <c r="C87" i="9"/>
  <c r="D87" i="9"/>
  <c r="B87" i="9"/>
  <c r="A87" i="9"/>
  <c r="C81" i="9"/>
  <c r="D81" i="9"/>
  <c r="B81" i="9"/>
  <c r="A81" i="9"/>
  <c r="C70" i="9"/>
  <c r="D70" i="9"/>
  <c r="B70" i="9"/>
  <c r="A70" i="9"/>
  <c r="B61" i="9"/>
  <c r="A61" i="9"/>
  <c r="B57" i="9"/>
  <c r="A57" i="9"/>
  <c r="B55" i="9"/>
  <c r="A55" i="9"/>
  <c r="B41" i="9"/>
  <c r="A41" i="9"/>
  <c r="B38" i="9"/>
  <c r="A38" i="9"/>
  <c r="B35" i="9"/>
  <c r="A35" i="9"/>
  <c r="B32" i="9"/>
  <c r="A32" i="9"/>
  <c r="B27" i="9"/>
  <c r="A27" i="9"/>
  <c r="B24" i="9"/>
  <c r="A24" i="9"/>
  <c r="B21" i="9"/>
  <c r="A21" i="9"/>
  <c r="B19" i="9"/>
  <c r="A19" i="9"/>
  <c r="B11" i="9"/>
  <c r="A11" i="9"/>
  <c r="B8" i="9"/>
  <c r="A8" i="9"/>
  <c r="C263" i="8"/>
  <c r="D263" i="8"/>
  <c r="B263" i="8"/>
  <c r="A263" i="8"/>
  <c r="C231" i="8"/>
  <c r="D231" i="8"/>
  <c r="B231" i="8"/>
  <c r="A231" i="8"/>
  <c r="C214" i="8"/>
  <c r="D214" i="8"/>
  <c r="B214" i="8"/>
  <c r="A214" i="8"/>
  <c r="C205" i="8"/>
  <c r="D205" i="8"/>
  <c r="B205" i="8"/>
  <c r="A205" i="8"/>
  <c r="C194" i="8"/>
  <c r="D194" i="8"/>
  <c r="B194" i="8"/>
  <c r="A194" i="8"/>
  <c r="C187" i="8"/>
  <c r="D187" i="8"/>
  <c r="B187" i="8"/>
  <c r="A187" i="8"/>
  <c r="C182" i="8"/>
  <c r="D182" i="8"/>
  <c r="B182" i="8"/>
  <c r="A182" i="8"/>
  <c r="B176" i="8"/>
  <c r="C176" i="8"/>
  <c r="D176" i="8"/>
  <c r="A176" i="8"/>
  <c r="B173" i="8"/>
  <c r="C173" i="8"/>
  <c r="D173" i="8"/>
  <c r="A173" i="8"/>
  <c r="B167" i="8"/>
  <c r="C167" i="8"/>
  <c r="D167" i="8"/>
  <c r="A167" i="8"/>
  <c r="C146" i="8"/>
  <c r="D146" i="8"/>
  <c r="B146" i="8"/>
  <c r="A146" i="8"/>
  <c r="C111" i="8"/>
  <c r="D111" i="8"/>
  <c r="B111" i="8"/>
  <c r="A111" i="8"/>
  <c r="C98" i="8"/>
  <c r="D98" i="8"/>
  <c r="B98" i="8"/>
  <c r="A98" i="8"/>
  <c r="C85" i="8"/>
  <c r="D85" i="8"/>
  <c r="B85" i="8"/>
  <c r="A85" i="8"/>
  <c r="B82" i="8"/>
  <c r="C82" i="8"/>
  <c r="D82" i="8"/>
  <c r="A82" i="8"/>
  <c r="B68" i="8"/>
  <c r="C68" i="8"/>
  <c r="D68" i="8"/>
  <c r="A68" i="8"/>
  <c r="B65" i="8"/>
  <c r="A65" i="8"/>
  <c r="B56" i="8"/>
  <c r="A56" i="8"/>
  <c r="B54" i="8"/>
  <c r="A54" i="8"/>
  <c r="B52" i="8"/>
  <c r="A52" i="8"/>
  <c r="B50" i="8"/>
  <c r="A50" i="8"/>
  <c r="B47" i="8"/>
  <c r="A47" i="8"/>
  <c r="B38" i="8"/>
  <c r="A38" i="8"/>
  <c r="B20" i="8"/>
  <c r="A20" i="8"/>
  <c r="B15" i="8"/>
  <c r="A15" i="8"/>
  <c r="B13" i="8"/>
  <c r="A13" i="8"/>
  <c r="B8" i="8"/>
  <c r="A8" i="8"/>
  <c r="C137" i="7"/>
  <c r="D137" i="7"/>
  <c r="B137" i="7"/>
  <c r="A137" i="7"/>
  <c r="C128" i="7"/>
  <c r="D128" i="7"/>
  <c r="B128" i="7"/>
  <c r="A128" i="7"/>
  <c r="C114" i="7"/>
  <c r="D114" i="7"/>
  <c r="B114" i="7"/>
  <c r="A114" i="7"/>
  <c r="C105" i="7"/>
  <c r="D105" i="7"/>
  <c r="B105" i="7"/>
  <c r="A105" i="7"/>
  <c r="B95" i="7"/>
  <c r="C95" i="7"/>
  <c r="D95" i="7"/>
  <c r="A95" i="7"/>
  <c r="C91" i="7"/>
  <c r="D91" i="7"/>
  <c r="B91" i="7"/>
  <c r="A91" i="7"/>
  <c r="C88" i="7"/>
  <c r="D88" i="7"/>
  <c r="B88" i="7"/>
  <c r="A88" i="7"/>
  <c r="B85" i="7"/>
  <c r="C85" i="7"/>
  <c r="D85" i="7"/>
  <c r="A85" i="7"/>
  <c r="B81" i="7"/>
  <c r="C81" i="7"/>
  <c r="D81" i="7"/>
  <c r="A81" i="7"/>
  <c r="B78" i="7"/>
  <c r="C78" i="7"/>
  <c r="D78" i="7"/>
  <c r="A78" i="7"/>
  <c r="B75" i="7"/>
  <c r="C75" i="7"/>
  <c r="D75" i="7"/>
  <c r="A75" i="7"/>
  <c r="C69" i="7"/>
  <c r="D69" i="7"/>
  <c r="B69" i="7"/>
  <c r="A69" i="7"/>
  <c r="B66" i="7"/>
  <c r="A66" i="7"/>
  <c r="B63" i="7"/>
  <c r="A63" i="7"/>
  <c r="B56" i="7"/>
  <c r="A56" i="7"/>
  <c r="B54" i="7"/>
  <c r="A54" i="7"/>
  <c r="B51" i="7"/>
  <c r="A51" i="7"/>
  <c r="B48" i="7"/>
  <c r="A48" i="7"/>
  <c r="B45" i="7"/>
  <c r="A45" i="7"/>
  <c r="B40" i="7"/>
  <c r="A40" i="7"/>
  <c r="B38" i="7"/>
  <c r="A38" i="7"/>
  <c r="B35" i="7"/>
  <c r="A35" i="7"/>
  <c r="B30" i="7"/>
  <c r="A30" i="7"/>
  <c r="B21" i="7"/>
  <c r="A21" i="7"/>
  <c r="B19" i="7"/>
  <c r="A19" i="7"/>
  <c r="B14" i="7"/>
  <c r="A14" i="7"/>
  <c r="B11" i="7"/>
  <c r="A11" i="7"/>
  <c r="B8" i="7"/>
  <c r="A8" i="7"/>
  <c r="B377" i="6"/>
  <c r="C377" i="6"/>
  <c r="D377" i="6"/>
  <c r="A377" i="6"/>
  <c r="C351" i="6"/>
  <c r="D351" i="6"/>
  <c r="B351" i="6"/>
  <c r="A351" i="6"/>
  <c r="C337" i="6"/>
  <c r="D337" i="6"/>
  <c r="B337" i="6"/>
  <c r="A337" i="6"/>
  <c r="C316" i="6"/>
  <c r="D316" i="6"/>
  <c r="B316" i="6"/>
  <c r="A316" i="6"/>
  <c r="B308" i="6"/>
  <c r="C308" i="6"/>
  <c r="D308" i="6"/>
  <c r="A308" i="6"/>
  <c r="C298" i="6"/>
  <c r="D298" i="6"/>
  <c r="B298" i="6"/>
  <c r="A298" i="6"/>
  <c r="C279" i="6"/>
  <c r="D279" i="6"/>
  <c r="B279" i="6"/>
  <c r="A279" i="6"/>
  <c r="B274" i="6"/>
  <c r="C274" i="6"/>
  <c r="D274" i="6"/>
  <c r="A274" i="6"/>
  <c r="B272" i="6"/>
  <c r="C272" i="6"/>
  <c r="D272" i="6"/>
  <c r="A272" i="6"/>
  <c r="B263" i="6"/>
  <c r="C263" i="6"/>
  <c r="D263" i="6"/>
  <c r="A263" i="6"/>
  <c r="B258" i="6"/>
  <c r="C258" i="6"/>
  <c r="D258" i="6"/>
  <c r="A258" i="6"/>
  <c r="B244" i="6"/>
  <c r="C244" i="6"/>
  <c r="D244" i="6"/>
  <c r="A244" i="6"/>
  <c r="B240" i="6"/>
  <c r="C240" i="6"/>
  <c r="D240" i="6"/>
  <c r="A240" i="6"/>
  <c r="B238" i="6"/>
  <c r="C238" i="6"/>
  <c r="D238" i="6"/>
  <c r="A238" i="6"/>
  <c r="B226" i="6"/>
  <c r="C226" i="6"/>
  <c r="D226" i="6"/>
  <c r="A226" i="6"/>
  <c r="B221" i="6"/>
  <c r="C221" i="6"/>
  <c r="D221" i="6"/>
  <c r="A221" i="6"/>
  <c r="B218" i="6"/>
  <c r="C218" i="6"/>
  <c r="D218" i="6"/>
  <c r="A218" i="6"/>
  <c r="B213" i="6"/>
  <c r="C213" i="6"/>
  <c r="D213" i="6"/>
  <c r="A213" i="6"/>
  <c r="C191" i="6"/>
  <c r="D191" i="6"/>
  <c r="B191" i="6"/>
  <c r="A191" i="6"/>
  <c r="B183" i="6"/>
  <c r="C183" i="6"/>
  <c r="D183" i="6"/>
  <c r="A183" i="6"/>
  <c r="B173" i="6"/>
  <c r="C173" i="6"/>
  <c r="D173" i="6"/>
  <c r="A173" i="6"/>
  <c r="B148" i="6"/>
  <c r="C148" i="6"/>
  <c r="D148" i="6"/>
  <c r="B144" i="6"/>
  <c r="C144" i="6"/>
  <c r="D144" i="6"/>
  <c r="A144" i="6"/>
  <c r="B138" i="6"/>
  <c r="C138" i="6"/>
  <c r="D138" i="6"/>
  <c r="A138" i="6"/>
  <c r="B134" i="6"/>
  <c r="C134" i="6"/>
  <c r="D134" i="6"/>
  <c r="A134" i="6"/>
  <c r="C132" i="6"/>
  <c r="D132" i="6"/>
  <c r="B132" i="6"/>
  <c r="A132" i="6"/>
  <c r="C107" i="6"/>
  <c r="D107" i="6"/>
  <c r="B107" i="6"/>
  <c r="A107" i="6"/>
  <c r="C98" i="6"/>
  <c r="D98" i="6"/>
  <c r="B98" i="6"/>
  <c r="A98" i="6"/>
  <c r="B96" i="6"/>
  <c r="C96" i="6"/>
  <c r="D96" i="6"/>
  <c r="A96" i="6"/>
  <c r="C75" i="6"/>
  <c r="D75" i="6"/>
  <c r="B75" i="6"/>
  <c r="A75" i="6"/>
  <c r="C51" i="6"/>
  <c r="D51" i="6"/>
  <c r="B51" i="6"/>
  <c r="A51" i="6"/>
  <c r="C20" i="6"/>
  <c r="D20" i="6"/>
  <c r="B20" i="6"/>
  <c r="A20" i="6"/>
  <c r="A8" i="6"/>
  <c r="B8" i="6"/>
  <c r="M273" i="5"/>
  <c r="C280" i="5"/>
  <c r="D280" i="5"/>
  <c r="B280" i="5"/>
  <c r="A280" i="5"/>
  <c r="C274" i="5"/>
  <c r="D274" i="5"/>
  <c r="B274" i="5"/>
  <c r="A274" i="5"/>
  <c r="C250" i="5"/>
  <c r="D250" i="5"/>
  <c r="B250" i="5"/>
  <c r="A250" i="5"/>
  <c r="C248" i="5"/>
  <c r="D248" i="5"/>
  <c r="B248" i="5"/>
  <c r="A248" i="5"/>
  <c r="C244" i="5"/>
  <c r="D244" i="5"/>
  <c r="B244" i="5"/>
  <c r="A244" i="5"/>
  <c r="C241" i="5"/>
  <c r="D241" i="5"/>
  <c r="B241" i="5"/>
  <c r="A241" i="5"/>
  <c r="C237" i="5"/>
  <c r="D237" i="5"/>
  <c r="B237" i="5"/>
  <c r="A237" i="5"/>
  <c r="C231" i="5"/>
  <c r="D231" i="5"/>
  <c r="B231" i="5"/>
  <c r="A231" i="5"/>
  <c r="C224" i="5"/>
  <c r="D224" i="5"/>
  <c r="B224" i="5"/>
  <c r="A224" i="5"/>
  <c r="B222" i="5"/>
  <c r="C222" i="5"/>
  <c r="D222" i="5"/>
  <c r="A222" i="5"/>
  <c r="C215" i="5"/>
  <c r="D215" i="5"/>
  <c r="B215" i="5"/>
  <c r="A215" i="5"/>
  <c r="C212" i="5"/>
  <c r="D212" i="5"/>
  <c r="B212" i="5"/>
  <c r="A212" i="5"/>
  <c r="C205" i="5"/>
  <c r="D205" i="5"/>
  <c r="B205" i="5"/>
  <c r="A205" i="5"/>
  <c r="C201" i="5"/>
  <c r="D201" i="5"/>
  <c r="B201" i="5"/>
  <c r="A201" i="5"/>
  <c r="C194" i="5"/>
  <c r="D194" i="5"/>
  <c r="B194" i="5"/>
  <c r="A194" i="5"/>
  <c r="C191" i="5"/>
  <c r="D191" i="5"/>
  <c r="B191" i="5"/>
  <c r="A191" i="5"/>
  <c r="C188" i="5"/>
  <c r="D188" i="5"/>
  <c r="B188" i="5"/>
  <c r="A188" i="5"/>
  <c r="C184" i="5"/>
  <c r="D184" i="5"/>
  <c r="B184" i="5"/>
  <c r="A184" i="5"/>
  <c r="C174" i="5"/>
  <c r="D174" i="5"/>
  <c r="B174" i="5"/>
  <c r="A174" i="5"/>
  <c r="B171" i="5"/>
  <c r="C171" i="5"/>
  <c r="D171" i="5"/>
  <c r="A171" i="5"/>
  <c r="B166" i="5"/>
  <c r="C166" i="5"/>
  <c r="D166" i="5"/>
  <c r="A166" i="5"/>
  <c r="B163" i="5"/>
  <c r="C163" i="5"/>
  <c r="D163" i="5"/>
  <c r="B160" i="5"/>
  <c r="C160" i="5"/>
  <c r="D160" i="5"/>
  <c r="A160" i="5"/>
  <c r="C157" i="5"/>
  <c r="D157" i="5"/>
  <c r="B157" i="5"/>
  <c r="A157" i="5"/>
  <c r="C152" i="5"/>
  <c r="D152" i="5"/>
  <c r="B152" i="5"/>
  <c r="A152" i="5"/>
  <c r="C149" i="5"/>
  <c r="D149" i="5"/>
  <c r="B149" i="5"/>
  <c r="A149" i="5"/>
  <c r="C144" i="5"/>
  <c r="D144" i="5"/>
  <c r="B144" i="5"/>
  <c r="A144" i="5"/>
  <c r="C142" i="5"/>
  <c r="D142" i="5"/>
  <c r="B142" i="5"/>
  <c r="A142" i="5"/>
  <c r="C126" i="5"/>
  <c r="D126" i="5"/>
  <c r="B126" i="5"/>
  <c r="A126" i="5"/>
  <c r="C123" i="5"/>
  <c r="D123" i="5"/>
  <c r="B123" i="5"/>
  <c r="A123" i="5"/>
  <c r="C121" i="5"/>
  <c r="D121" i="5"/>
  <c r="B121" i="5"/>
  <c r="A121" i="5"/>
  <c r="C116" i="5"/>
  <c r="D116" i="5"/>
  <c r="B116" i="5"/>
  <c r="A116" i="5"/>
  <c r="C114" i="5"/>
  <c r="D114" i="5"/>
  <c r="B114" i="5"/>
  <c r="A114" i="5"/>
  <c r="C108" i="5"/>
  <c r="D108" i="5"/>
  <c r="B108" i="5"/>
  <c r="A108" i="5"/>
  <c r="C105" i="5"/>
  <c r="B105" i="5"/>
  <c r="A105" i="5"/>
  <c r="C102" i="5"/>
  <c r="D102" i="5"/>
  <c r="B102" i="5"/>
  <c r="A102" i="5"/>
  <c r="C97" i="5"/>
  <c r="D97" i="5"/>
  <c r="B97" i="5"/>
  <c r="A97" i="5"/>
  <c r="C95" i="5"/>
  <c r="D95" i="5"/>
  <c r="B95" i="5"/>
  <c r="A95" i="5"/>
  <c r="C92" i="5"/>
  <c r="D92" i="5"/>
  <c r="B92" i="5"/>
  <c r="A92" i="5"/>
  <c r="C87" i="5"/>
  <c r="D87" i="5"/>
  <c r="B87" i="5"/>
  <c r="A87" i="5"/>
  <c r="C81" i="5"/>
  <c r="D81" i="5"/>
  <c r="B81" i="5"/>
  <c r="A81" i="5"/>
  <c r="C74" i="5"/>
  <c r="D74" i="5"/>
  <c r="B74" i="5"/>
  <c r="A74" i="5"/>
  <c r="B72" i="5"/>
  <c r="C72" i="5"/>
  <c r="D72" i="5"/>
  <c r="A72" i="5"/>
  <c r="B67" i="5"/>
  <c r="C67" i="5"/>
  <c r="D67" i="5"/>
  <c r="A67" i="5"/>
  <c r="C64" i="5"/>
  <c r="D64" i="5"/>
  <c r="B64" i="5"/>
  <c r="A64" i="5"/>
  <c r="C54" i="5"/>
  <c r="D54" i="5"/>
  <c r="B54" i="5"/>
  <c r="A54" i="5"/>
  <c r="C51" i="5"/>
  <c r="D51" i="5"/>
  <c r="B51" i="5"/>
  <c r="A51" i="5"/>
  <c r="C46" i="5"/>
  <c r="D46" i="5"/>
  <c r="B46" i="5"/>
  <c r="A46" i="5"/>
  <c r="C44" i="5"/>
  <c r="D44" i="5"/>
  <c r="B44" i="5"/>
  <c r="A44" i="5"/>
  <c r="C42" i="5"/>
  <c r="D42" i="5"/>
  <c r="B42" i="5"/>
  <c r="A42" i="5"/>
  <c r="B37" i="5"/>
  <c r="B40" i="5"/>
  <c r="A40" i="5"/>
  <c r="A37" i="5"/>
  <c r="B35" i="5"/>
  <c r="A35" i="5"/>
  <c r="B32" i="5"/>
  <c r="A32" i="5"/>
  <c r="B30" i="5"/>
  <c r="A30" i="5"/>
  <c r="B25" i="5"/>
  <c r="A25" i="5"/>
  <c r="B20" i="5"/>
  <c r="A20" i="5"/>
  <c r="B15" i="5"/>
  <c r="A15" i="5"/>
  <c r="B12" i="5"/>
  <c r="A12" i="5"/>
  <c r="B8" i="5"/>
  <c r="A8" i="5"/>
  <c r="N1047" i="10"/>
  <c r="N930" i="10"/>
  <c r="N856" i="10"/>
  <c r="N724" i="10"/>
  <c r="N672" i="10"/>
  <c r="N656" i="10"/>
  <c r="N644" i="10"/>
  <c r="N491" i="10"/>
  <c r="N262" i="10"/>
  <c r="N250" i="10"/>
  <c r="N224" i="10"/>
  <c r="N220" i="10"/>
  <c r="N195" i="10"/>
  <c r="N186" i="10"/>
  <c r="V601" i="10"/>
  <c r="V569" i="10"/>
  <c r="V427" i="10"/>
  <c r="S1117" i="10"/>
  <c r="V1117" i="10" s="1"/>
  <c r="V1115" i="10"/>
  <c r="S1100" i="10"/>
  <c r="V1100" i="10" s="1"/>
  <c r="V1071" i="10"/>
  <c r="V1064" i="10"/>
  <c r="S1047" i="10"/>
  <c r="V1047" i="10" s="1"/>
  <c r="S1035" i="10"/>
  <c r="V1035" i="10" s="1"/>
  <c r="V1005" i="10"/>
  <c r="V988" i="10"/>
  <c r="V936" i="10"/>
  <c r="S930" i="10"/>
  <c r="V930" i="10" s="1"/>
  <c r="S922" i="10"/>
  <c r="V922" i="10" s="1"/>
  <c r="V914" i="10"/>
  <c r="S878" i="10"/>
  <c r="V878" i="10" s="1"/>
  <c r="V874" i="10"/>
  <c r="S856" i="10"/>
  <c r="V856" i="10" s="1"/>
  <c r="S833" i="10"/>
  <c r="V833" i="10" s="1"/>
  <c r="V829" i="10"/>
  <c r="V787" i="10"/>
  <c r="S775" i="10"/>
  <c r="V775" i="10" s="1"/>
  <c r="V764" i="10"/>
  <c r="V744" i="10"/>
  <c r="S729" i="10"/>
  <c r="V729" i="10" s="1"/>
  <c r="V724" i="10"/>
  <c r="S710" i="10"/>
  <c r="V710" i="10" s="1"/>
  <c r="S686" i="10"/>
  <c r="V686" i="10" s="1"/>
  <c r="V672" i="10"/>
  <c r="S656" i="10"/>
  <c r="V656" i="10" s="1"/>
  <c r="V644" i="10"/>
  <c r="S621" i="10"/>
  <c r="V621" i="10" s="1"/>
  <c r="S611" i="10"/>
  <c r="V611" i="10" s="1"/>
  <c r="S604" i="10"/>
  <c r="V604" i="10" s="1"/>
  <c r="V580" i="10"/>
  <c r="S571" i="10"/>
  <c r="V571" i="10" s="1"/>
  <c r="S519" i="10"/>
  <c r="V519" i="10" s="1"/>
  <c r="V513" i="10"/>
  <c r="V506" i="10"/>
  <c r="S496" i="10"/>
  <c r="V496" i="10" s="1"/>
  <c r="V473" i="10"/>
  <c r="V460" i="10"/>
  <c r="S444" i="10"/>
  <c r="V444" i="10" s="1"/>
  <c r="V408" i="10"/>
  <c r="S387" i="10"/>
  <c r="V387" i="10" s="1"/>
  <c r="V373" i="10"/>
  <c r="V354" i="10"/>
  <c r="S285" i="10"/>
  <c r="V285" i="10" s="1"/>
  <c r="V262" i="10"/>
  <c r="V250" i="10"/>
  <c r="S224" i="10"/>
  <c r="V224" i="10" s="1"/>
  <c r="S220" i="10"/>
  <c r="V220" i="10" s="1"/>
  <c r="V212" i="10"/>
  <c r="V209" i="10"/>
  <c r="V204" i="10"/>
  <c r="V195" i="10"/>
  <c r="S162" i="10"/>
  <c r="V162" i="10" s="1"/>
  <c r="S154" i="10"/>
  <c r="V154" i="10" s="1"/>
  <c r="S151" i="10"/>
  <c r="V151" i="10" s="1"/>
  <c r="S148" i="10"/>
  <c r="V148" i="10" s="1"/>
  <c r="S120" i="10"/>
  <c r="V120" i="10" s="1"/>
  <c r="S105" i="10"/>
  <c r="V105" i="10" s="1"/>
  <c r="S102" i="10"/>
  <c r="V102" i="10" s="1"/>
  <c r="V99" i="10"/>
  <c r="S93" i="10"/>
  <c r="V93" i="10" s="1"/>
  <c r="S90" i="10"/>
  <c r="V90" i="10" s="1"/>
  <c r="S85" i="10"/>
  <c r="V85" i="10" s="1"/>
  <c r="S77" i="10"/>
  <c r="V77" i="10" s="1"/>
  <c r="V48" i="10"/>
  <c r="S40" i="10"/>
  <c r="V40" i="10" s="1"/>
  <c r="V186" i="10"/>
  <c r="S38" i="10"/>
  <c r="V38" i="10" s="1"/>
  <c r="V26" i="10"/>
  <c r="V16" i="10"/>
  <c r="M311" i="9"/>
  <c r="M285" i="9"/>
  <c r="M253" i="9"/>
  <c r="M110" i="9"/>
  <c r="M69" i="9"/>
  <c r="T183" i="9"/>
  <c r="T311" i="9"/>
  <c r="T302" i="9"/>
  <c r="R287" i="9"/>
  <c r="T287" i="9" s="1"/>
  <c r="R285" i="9"/>
  <c r="T285" i="9" s="1"/>
  <c r="T274" i="9"/>
  <c r="T265" i="9"/>
  <c r="T253" i="9"/>
  <c r="T234" i="9"/>
  <c r="R209" i="9"/>
  <c r="T209" i="9" s="1"/>
  <c r="R204" i="9"/>
  <c r="T204" i="9" s="1"/>
  <c r="T202" i="9"/>
  <c r="R185" i="9"/>
  <c r="T185" i="9" s="1"/>
  <c r="R173" i="9"/>
  <c r="T173" i="9" s="1"/>
  <c r="R164" i="9"/>
  <c r="T164" i="9" s="1"/>
  <c r="T152" i="9"/>
  <c r="R138" i="9"/>
  <c r="T138" i="9" s="1"/>
  <c r="T135" i="9"/>
  <c r="R115" i="9"/>
  <c r="T115" i="9" s="1"/>
  <c r="R110" i="9"/>
  <c r="T110" i="9" s="1"/>
  <c r="R86" i="9"/>
  <c r="T86" i="9" s="1"/>
  <c r="R80" i="9"/>
  <c r="T80" i="9" s="1"/>
  <c r="R69" i="9"/>
  <c r="T69" i="9" s="1"/>
  <c r="R60" i="9"/>
  <c r="T60" i="9" s="1"/>
  <c r="R56" i="9"/>
  <c r="T56" i="9" s="1"/>
  <c r="T54" i="9"/>
  <c r="R40" i="9"/>
  <c r="T40" i="9" s="1"/>
  <c r="R37" i="9"/>
  <c r="T37" i="9" s="1"/>
  <c r="R34" i="9"/>
  <c r="T34" i="9" s="1"/>
  <c r="R31" i="9"/>
  <c r="T31" i="9" s="1"/>
  <c r="R26" i="9"/>
  <c r="T26" i="9" s="1"/>
  <c r="R23" i="9"/>
  <c r="T23" i="9" s="1"/>
  <c r="R20" i="9"/>
  <c r="T20" i="9" s="1"/>
  <c r="R18" i="9"/>
  <c r="T18" i="9" s="1"/>
  <c r="R10" i="9"/>
  <c r="T10" i="9" s="1"/>
  <c r="T145" i="8"/>
  <c r="M286" i="8"/>
  <c r="R286" i="8"/>
  <c r="T286" i="8" s="1"/>
  <c r="R262" i="8"/>
  <c r="T262" i="8" s="1"/>
  <c r="R213" i="8"/>
  <c r="T213" i="8" s="1"/>
  <c r="T204" i="8"/>
  <c r="T193" i="8"/>
  <c r="R186" i="8"/>
  <c r="T186" i="8" s="1"/>
  <c r="R181" i="8"/>
  <c r="T181" i="8" s="1"/>
  <c r="R175" i="8"/>
  <c r="T175" i="8" s="1"/>
  <c r="T172" i="8"/>
  <c r="T166" i="8"/>
  <c r="R110" i="8"/>
  <c r="T110" i="8" s="1"/>
  <c r="R97" i="8"/>
  <c r="T97" i="8" s="1"/>
  <c r="R84" i="8"/>
  <c r="T84" i="8" s="1"/>
  <c r="T81" i="8"/>
  <c r="R67" i="8"/>
  <c r="T67" i="8" s="1"/>
  <c r="R64" i="8"/>
  <c r="T64" i="8" s="1"/>
  <c r="R55" i="8"/>
  <c r="T55" i="8" s="1"/>
  <c r="R53" i="8"/>
  <c r="T53" i="8" s="1"/>
  <c r="R51" i="8"/>
  <c r="T51" i="8" s="1"/>
  <c r="R49" i="8"/>
  <c r="T49" i="8" s="1"/>
  <c r="T46" i="8"/>
  <c r="T37" i="8"/>
  <c r="T19" i="8"/>
  <c r="R14" i="8"/>
  <c r="T14" i="8" s="1"/>
  <c r="R12" i="8"/>
  <c r="T12" i="8" s="1"/>
  <c r="M136" i="7"/>
  <c r="M74" i="7"/>
  <c r="M44" i="7"/>
  <c r="T155" i="7"/>
  <c r="R136" i="7"/>
  <c r="T136" i="7" s="1"/>
  <c r="T127" i="7"/>
  <c r="T113" i="7"/>
  <c r="R104" i="7"/>
  <c r="T104" i="7" s="1"/>
  <c r="R94" i="7"/>
  <c r="T94" i="7" s="1"/>
  <c r="R90" i="7"/>
  <c r="T90" i="7" s="1"/>
  <c r="R87" i="7"/>
  <c r="T87" i="7" s="1"/>
  <c r="R82" i="7"/>
  <c r="T82" i="7" s="1"/>
  <c r="R80" i="7"/>
  <c r="T80" i="7" s="1"/>
  <c r="R77" i="7"/>
  <c r="T77" i="7" s="1"/>
  <c r="T74" i="7"/>
  <c r="R68" i="7"/>
  <c r="T68" i="7" s="1"/>
  <c r="R65" i="7"/>
  <c r="T65" i="7" s="1"/>
  <c r="R62" i="7"/>
  <c r="T62" i="7" s="1"/>
  <c r="R55" i="7"/>
  <c r="T55" i="7" s="1"/>
  <c r="R53" i="7"/>
  <c r="T53" i="7" s="1"/>
  <c r="R50" i="7"/>
  <c r="T50" i="7" s="1"/>
  <c r="R47" i="7"/>
  <c r="T47" i="7" s="1"/>
  <c r="T44" i="7"/>
  <c r="R39" i="7"/>
  <c r="T39" i="7" s="1"/>
  <c r="R37" i="7"/>
  <c r="T37" i="7" s="1"/>
  <c r="T34" i="7"/>
  <c r="R29" i="7"/>
  <c r="T29" i="7" s="1"/>
  <c r="R20" i="7"/>
  <c r="T20" i="7" s="1"/>
  <c r="R15" i="7"/>
  <c r="T15" i="7" s="1"/>
  <c r="R13" i="7"/>
  <c r="T13" i="7" s="1"/>
  <c r="R10" i="7"/>
  <c r="T10" i="7" s="1"/>
  <c r="T385" i="6"/>
  <c r="R336" i="6"/>
  <c r="T336" i="6" s="1"/>
  <c r="R142" i="6"/>
  <c r="T142" i="6" s="1"/>
  <c r="T375" i="6"/>
  <c r="T350" i="6"/>
  <c r="R315" i="6"/>
  <c r="T315" i="6" s="1"/>
  <c r="R307" i="6"/>
  <c r="T307" i="6" s="1"/>
  <c r="R297" i="6"/>
  <c r="T297" i="6" s="1"/>
  <c r="R278" i="6"/>
  <c r="T278" i="6" s="1"/>
  <c r="R273" i="6"/>
  <c r="T273" i="6" s="1"/>
  <c r="T271" i="6"/>
  <c r="R262" i="6"/>
  <c r="T262" i="6" s="1"/>
  <c r="R257" i="6"/>
  <c r="T257" i="6" s="1"/>
  <c r="R242" i="6"/>
  <c r="T242" i="6" s="1"/>
  <c r="R239" i="6"/>
  <c r="T239" i="6" s="1"/>
  <c r="R237" i="6"/>
  <c r="T237" i="6" s="1"/>
  <c r="R224" i="6"/>
  <c r="T224" i="6" s="1"/>
  <c r="R220" i="6"/>
  <c r="T220" i="6" s="1"/>
  <c r="R217" i="6"/>
  <c r="T217" i="6" s="1"/>
  <c r="R212" i="6"/>
  <c r="T212" i="6" s="1"/>
  <c r="R190" i="6"/>
  <c r="T190" i="6" s="1"/>
  <c r="R181" i="6"/>
  <c r="T181" i="6" s="1"/>
  <c r="R171" i="6"/>
  <c r="T171" i="6" s="1"/>
  <c r="R161" i="6"/>
  <c r="T161" i="6" s="1"/>
  <c r="T147" i="6"/>
  <c r="R136" i="6"/>
  <c r="T136" i="6" s="1"/>
  <c r="R133" i="6"/>
  <c r="T133" i="6" s="1"/>
  <c r="R131" i="6"/>
  <c r="T131" i="6" s="1"/>
  <c r="R106" i="6"/>
  <c r="T106" i="6" s="1"/>
  <c r="R97" i="6"/>
  <c r="T97" i="6" s="1"/>
  <c r="R95" i="6"/>
  <c r="T95" i="6" s="1"/>
  <c r="R74" i="6"/>
  <c r="T74" i="6" s="1"/>
  <c r="T50" i="6"/>
  <c r="R19" i="6"/>
  <c r="T19" i="6" s="1"/>
  <c r="M50" i="5"/>
  <c r="R281" i="5"/>
  <c r="T281" i="5" s="1"/>
  <c r="R279" i="5"/>
  <c r="T279" i="5" s="1"/>
  <c r="T273" i="5"/>
  <c r="R249" i="5"/>
  <c r="T249" i="5" s="1"/>
  <c r="R247" i="5"/>
  <c r="T247" i="5" s="1"/>
  <c r="R243" i="5"/>
  <c r="T243" i="5" s="1"/>
  <c r="R240" i="5"/>
  <c r="T240" i="5" s="1"/>
  <c r="R236" i="5"/>
  <c r="T236" i="5" s="1"/>
  <c r="R230" i="5"/>
  <c r="T230" i="5" s="1"/>
  <c r="R223" i="5"/>
  <c r="T223" i="5" s="1"/>
  <c r="R221" i="5"/>
  <c r="T221" i="5" s="1"/>
  <c r="R214" i="5"/>
  <c r="T214" i="5" s="1"/>
  <c r="R211" i="5"/>
  <c r="T211" i="5" s="1"/>
  <c r="R204" i="5"/>
  <c r="T204" i="5" s="1"/>
  <c r="R200" i="5"/>
  <c r="T200" i="5" s="1"/>
  <c r="R193" i="5"/>
  <c r="T193" i="5" s="1"/>
  <c r="R190" i="5"/>
  <c r="T190" i="5" s="1"/>
  <c r="R187" i="5"/>
  <c r="T187" i="5" s="1"/>
  <c r="T183" i="5"/>
  <c r="R173" i="5"/>
  <c r="T173" i="5" s="1"/>
  <c r="T170" i="5"/>
  <c r="R165" i="5"/>
  <c r="T165" i="5" s="1"/>
  <c r="R162" i="5"/>
  <c r="T162" i="5" s="1"/>
  <c r="R159" i="5"/>
  <c r="T159" i="5" s="1"/>
  <c r="R156" i="5"/>
  <c r="T156" i="5" s="1"/>
  <c r="R151" i="5"/>
  <c r="T151" i="5" s="1"/>
  <c r="R148" i="5"/>
  <c r="T148" i="5" s="1"/>
  <c r="R143" i="5"/>
  <c r="T143" i="5" s="1"/>
  <c r="R141" i="5"/>
  <c r="T141" i="5" s="1"/>
  <c r="T125" i="5"/>
  <c r="R122" i="5"/>
  <c r="T122" i="5" s="1"/>
  <c r="R120" i="5"/>
  <c r="T120" i="5" s="1"/>
  <c r="R115" i="5"/>
  <c r="T115" i="5" s="1"/>
  <c r="R113" i="5"/>
  <c r="T113" i="5" s="1"/>
  <c r="R107" i="5"/>
  <c r="T107" i="5" s="1"/>
  <c r="R104" i="5"/>
  <c r="T104" i="5" s="1"/>
  <c r="R101" i="5"/>
  <c r="T101" i="5" s="1"/>
  <c r="R96" i="5"/>
  <c r="T96" i="5" s="1"/>
  <c r="R94" i="5"/>
  <c r="T94" i="5" s="1"/>
  <c r="R91" i="5"/>
  <c r="T91" i="5" s="1"/>
  <c r="T86" i="5"/>
  <c r="R80" i="5"/>
  <c r="T80" i="5" s="1"/>
  <c r="R73" i="5"/>
  <c r="T73" i="5" s="1"/>
  <c r="R71" i="5"/>
  <c r="T71" i="5" s="1"/>
  <c r="T66" i="5"/>
  <c r="R63" i="5"/>
  <c r="T63" i="5" s="1"/>
  <c r="R53" i="5"/>
  <c r="T53" i="5" s="1"/>
  <c r="R50" i="5"/>
  <c r="T50" i="5" s="1"/>
  <c r="R45" i="5"/>
  <c r="T45" i="5" s="1"/>
  <c r="R43" i="5"/>
  <c r="T43" i="5" s="1"/>
  <c r="R41" i="5"/>
  <c r="T41" i="5" s="1"/>
  <c r="R39" i="5"/>
  <c r="T39" i="5" s="1"/>
  <c r="R36" i="5"/>
  <c r="T36" i="5" s="1"/>
  <c r="R34" i="5"/>
  <c r="T34" i="5" s="1"/>
  <c r="R31" i="5"/>
  <c r="T31" i="5" s="1"/>
  <c r="R29" i="5"/>
  <c r="T29" i="5" s="1"/>
  <c r="R24" i="5"/>
  <c r="T24" i="5" s="1"/>
  <c r="R19" i="5"/>
  <c r="T19" i="5" s="1"/>
  <c r="R14" i="5"/>
  <c r="T14" i="5" s="1"/>
  <c r="R11" i="5"/>
  <c r="T11" i="5" s="1"/>
  <c r="R212" i="4"/>
  <c r="T212" i="4" s="1"/>
  <c r="R209" i="4"/>
  <c r="T209" i="4" s="1"/>
  <c r="R205" i="4"/>
  <c r="T205" i="4" s="1"/>
  <c r="T203" i="4"/>
  <c r="R192" i="4"/>
  <c r="T192" i="4" s="1"/>
  <c r="T187" i="4"/>
  <c r="T175" i="4"/>
  <c r="R171" i="4"/>
  <c r="T171" i="4" s="1"/>
  <c r="T169" i="4"/>
  <c r="R163" i="4"/>
  <c r="T163" i="4" s="1"/>
  <c r="R157" i="4"/>
  <c r="T157" i="4" s="1"/>
  <c r="T155" i="4"/>
  <c r="R146" i="4"/>
  <c r="T146" i="4" s="1"/>
  <c r="R126" i="4"/>
  <c r="T126" i="4" s="1"/>
  <c r="R118" i="4"/>
  <c r="T118" i="4" s="1"/>
  <c r="R121" i="4"/>
  <c r="T121" i="4" s="1"/>
  <c r="R116" i="4"/>
  <c r="T116" i="4" s="1"/>
  <c r="R112" i="4"/>
  <c r="T112" i="4" s="1"/>
  <c r="R109" i="4"/>
  <c r="T109" i="4" s="1"/>
  <c r="R106" i="4"/>
  <c r="T106" i="4" s="1"/>
  <c r="R104" i="4"/>
  <c r="T104" i="4" s="1"/>
  <c r="R97" i="4"/>
  <c r="T97" i="4" s="1"/>
  <c r="R91" i="4"/>
  <c r="T91" i="4" s="1"/>
  <c r="R88" i="4"/>
  <c r="T88" i="4" s="1"/>
  <c r="R85" i="4"/>
  <c r="T85" i="4" s="1"/>
  <c r="R83" i="4"/>
  <c r="T83" i="4" s="1"/>
  <c r="R74" i="4"/>
  <c r="T74" i="4" s="1"/>
  <c r="R69" i="4"/>
  <c r="T69" i="4" s="1"/>
  <c r="R67" i="4"/>
  <c r="T67" i="4" s="1"/>
  <c r="R65" i="4"/>
  <c r="T65" i="4" s="1"/>
  <c r="R62" i="4"/>
  <c r="T62" i="4" s="1"/>
  <c r="R59" i="4"/>
  <c r="T59" i="4" s="1"/>
  <c r="R54" i="4"/>
  <c r="T54" i="4" s="1"/>
  <c r="R52" i="4"/>
  <c r="T52" i="4" s="1"/>
  <c r="R50" i="4"/>
  <c r="T50" i="4" s="1"/>
  <c r="R47" i="4"/>
  <c r="T47" i="4" s="1"/>
  <c r="R45" i="4"/>
  <c r="T45" i="4" s="1"/>
  <c r="R42" i="4"/>
  <c r="T42" i="4" s="1"/>
  <c r="R40" i="4"/>
  <c r="T40" i="4" s="1"/>
  <c r="R38" i="4"/>
  <c r="T38" i="4" s="1"/>
  <c r="R35" i="4"/>
  <c r="T35" i="4" s="1"/>
  <c r="R33" i="4"/>
  <c r="T33" i="4" s="1"/>
  <c r="R28" i="4"/>
  <c r="T28" i="4" s="1"/>
  <c r="R26" i="4"/>
  <c r="T26" i="4" s="1"/>
  <c r="R24" i="4"/>
  <c r="T24" i="4" s="1"/>
  <c r="R21" i="4"/>
  <c r="T21" i="4" s="1"/>
  <c r="R18" i="4"/>
  <c r="T18" i="4" s="1"/>
  <c r="R16" i="4"/>
  <c r="T16" i="4" s="1"/>
  <c r="R13" i="4"/>
  <c r="T13" i="4" s="1"/>
  <c r="R10" i="4"/>
  <c r="T10" i="4" s="1"/>
  <c r="N936" i="10"/>
  <c r="K56" i="9"/>
  <c r="M56" i="9" s="1"/>
  <c r="M95" i="6"/>
  <c r="M19" i="6"/>
  <c r="M39" i="5"/>
  <c r="M375" i="6"/>
  <c r="M297" i="6"/>
  <c r="M190" i="6"/>
  <c r="M136" i="6"/>
  <c r="K533" i="10"/>
  <c r="N569" i="10"/>
  <c r="N775" i="10"/>
  <c r="N611" i="10"/>
  <c r="M173" i="9"/>
  <c r="K272" i="10"/>
  <c r="K163" i="6"/>
  <c r="N38" i="10"/>
  <c r="N40" i="10"/>
  <c r="N85" i="10"/>
  <c r="N90" i="10"/>
  <c r="N93" i="10"/>
  <c r="N99" i="10"/>
  <c r="N102" i="10"/>
  <c r="N105" i="10"/>
  <c r="N151" i="10"/>
  <c r="N154" i="10"/>
  <c r="N204" i="10"/>
  <c r="N212" i="10"/>
  <c r="N427" i="10"/>
  <c r="N496" i="10"/>
  <c r="N571" i="10"/>
  <c r="N604" i="10"/>
  <c r="N764" i="10"/>
  <c r="N787" i="10"/>
  <c r="N922" i="10"/>
  <c r="N1071" i="10"/>
  <c r="N1117" i="10"/>
  <c r="M18" i="9"/>
  <c r="K20" i="9"/>
  <c r="M23" i="9"/>
  <c r="M26" i="9"/>
  <c r="M31" i="9"/>
  <c r="M34" i="9"/>
  <c r="M37" i="9"/>
  <c r="M40" i="9"/>
  <c r="M54" i="9"/>
  <c r="M60" i="9"/>
  <c r="M80" i="9"/>
  <c r="M115" i="9"/>
  <c r="M135" i="9"/>
  <c r="M138" i="9"/>
  <c r="M152" i="9"/>
  <c r="M183" i="9"/>
  <c r="K185" i="9"/>
  <c r="M185" i="9" s="1"/>
  <c r="M209" i="9"/>
  <c r="M302" i="9"/>
  <c r="K14" i="8"/>
  <c r="M14" i="8" s="1"/>
  <c r="M19" i="8"/>
  <c r="M46" i="8"/>
  <c r="M49" i="8"/>
  <c r="K51" i="8"/>
  <c r="M51" i="8" s="1"/>
  <c r="K53" i="8"/>
  <c r="M53" i="8" s="1"/>
  <c r="K55" i="8"/>
  <c r="M55" i="8" s="1"/>
  <c r="M67" i="8"/>
  <c r="M84" i="8"/>
  <c r="M110" i="8"/>
  <c r="M175" i="8"/>
  <c r="M181" i="8"/>
  <c r="M204" i="8"/>
  <c r="M10" i="7"/>
  <c r="K15" i="7"/>
  <c r="M15" i="7" s="1"/>
  <c r="K20" i="7"/>
  <c r="M20" i="7" s="1"/>
  <c r="M29" i="7"/>
  <c r="M34" i="7"/>
  <c r="M37" i="7"/>
  <c r="K39" i="7"/>
  <c r="M39" i="7" s="1"/>
  <c r="M47" i="7"/>
  <c r="M50" i="7"/>
  <c r="M53" i="7"/>
  <c r="K55" i="7"/>
  <c r="M55" i="7" s="1"/>
  <c r="M62" i="7"/>
  <c r="M65" i="7"/>
  <c r="M68" i="7"/>
  <c r="M77" i="7"/>
  <c r="M80" i="7"/>
  <c r="K82" i="7"/>
  <c r="M82" i="7" s="1"/>
  <c r="M87" i="7"/>
  <c r="M94" i="7"/>
  <c r="M104" i="7"/>
  <c r="M113" i="7"/>
  <c r="K117" i="7"/>
  <c r="K97" i="6"/>
  <c r="M97" i="6" s="1"/>
  <c r="M131" i="6"/>
  <c r="K133" i="6"/>
  <c r="M133" i="6" s="1"/>
  <c r="M142" i="6"/>
  <c r="M181" i="6"/>
  <c r="M212" i="6"/>
  <c r="M217" i="6"/>
  <c r="M220" i="6"/>
  <c r="M224" i="6"/>
  <c r="K239" i="6"/>
  <c r="M239" i="6" s="1"/>
  <c r="M242" i="6"/>
  <c r="M257" i="6"/>
  <c r="M262" i="6"/>
  <c r="M271" i="6"/>
  <c r="K273" i="6"/>
  <c r="M273" i="6" s="1"/>
  <c r="M278" i="6"/>
  <c r="M307" i="6"/>
  <c r="M315" i="6"/>
  <c r="M336" i="6"/>
  <c r="M11" i="5"/>
  <c r="M14" i="5"/>
  <c r="M19" i="5"/>
  <c r="M24" i="5"/>
  <c r="K31" i="5"/>
  <c r="M31" i="5" s="1"/>
  <c r="M34" i="5"/>
  <c r="K36" i="5"/>
  <c r="M36" i="5" s="1"/>
  <c r="K41" i="5"/>
  <c r="M41" i="5" s="1"/>
  <c r="K43" i="5"/>
  <c r="M43" i="5" s="1"/>
  <c r="K45" i="5"/>
  <c r="M45" i="5" s="1"/>
  <c r="M53" i="5"/>
  <c r="M63" i="5"/>
  <c r="M66" i="5"/>
  <c r="M71" i="5"/>
  <c r="K73" i="5"/>
  <c r="M73" i="5" s="1"/>
  <c r="K75" i="5"/>
  <c r="M80" i="5" s="1"/>
  <c r="M94" i="5"/>
  <c r="K96" i="5"/>
  <c r="M96" i="5" s="1"/>
  <c r="M104" i="5"/>
  <c r="M107" i="5"/>
  <c r="M113" i="5"/>
  <c r="M115" i="5"/>
  <c r="M120" i="5"/>
  <c r="K122" i="5"/>
  <c r="M122" i="5" s="1"/>
  <c r="M125" i="5"/>
  <c r="M141" i="5"/>
  <c r="K143" i="5"/>
  <c r="M143" i="5" s="1"/>
  <c r="M148" i="5"/>
  <c r="M151" i="5"/>
  <c r="M156" i="5"/>
  <c r="M159" i="5"/>
  <c r="M162" i="5"/>
  <c r="M165" i="5"/>
  <c r="M170" i="5"/>
  <c r="M173" i="5"/>
  <c r="M183" i="5"/>
  <c r="K190" i="5"/>
  <c r="M190" i="5" s="1"/>
  <c r="M200" i="5"/>
  <c r="M204" i="5"/>
  <c r="M214" i="5"/>
  <c r="M221" i="5"/>
  <c r="K223" i="5"/>
  <c r="M236" i="5"/>
  <c r="M243" i="5"/>
  <c r="M247" i="5"/>
  <c r="M249" i="5"/>
  <c r="M279" i="5"/>
  <c r="M281" i="5"/>
  <c r="M13" i="4"/>
  <c r="M16" i="4"/>
  <c r="K18" i="4"/>
  <c r="M18" i="4" s="1"/>
  <c r="M21" i="4"/>
  <c r="M24" i="4"/>
  <c r="K26" i="4"/>
  <c r="M26" i="4" s="1"/>
  <c r="K28" i="4"/>
  <c r="M28" i="4" s="1"/>
  <c r="M35" i="4"/>
  <c r="M38" i="4"/>
  <c r="K40" i="4"/>
  <c r="M40" i="4" s="1"/>
  <c r="K42" i="4"/>
  <c r="M42" i="4" s="1"/>
  <c r="M45" i="4"/>
  <c r="K47" i="4"/>
  <c r="M47" i="4" s="1"/>
  <c r="M50" i="4"/>
  <c r="K52" i="4"/>
  <c r="M52" i="4" s="1"/>
  <c r="K54" i="4"/>
  <c r="M54" i="4" s="1"/>
  <c r="M59" i="4"/>
  <c r="M62" i="4"/>
  <c r="M65" i="4"/>
  <c r="K67" i="4"/>
  <c r="M67" i="4" s="1"/>
  <c r="K69" i="4"/>
  <c r="M69" i="4" s="1"/>
  <c r="M74" i="4"/>
  <c r="M83" i="4"/>
  <c r="K85" i="4"/>
  <c r="M85" i="4" s="1"/>
  <c r="M88" i="4"/>
  <c r="M91" i="4"/>
  <c r="M97" i="4"/>
  <c r="M104" i="4"/>
  <c r="K106" i="4"/>
  <c r="M106" i="4" s="1"/>
  <c r="M109" i="4"/>
  <c r="M112" i="4"/>
  <c r="M116" i="4"/>
  <c r="M121" i="4"/>
  <c r="K118" i="4"/>
  <c r="M118" i="4" s="1"/>
  <c r="K128" i="4"/>
  <c r="M157" i="4"/>
  <c r="M163" i="4"/>
  <c r="M169" i="4"/>
  <c r="M175" i="4"/>
  <c r="M187" i="4"/>
  <c r="K205" i="4"/>
  <c r="M205" i="4" s="1"/>
  <c r="M212" i="4"/>
  <c r="M172" i="8"/>
  <c r="M171" i="6"/>
  <c r="M202" i="9"/>
  <c r="N148" i="10"/>
  <c r="N162" i="10"/>
  <c r="M155" i="4"/>
  <c r="N48" i="10"/>
  <c r="N69" i="10"/>
  <c r="N1091" i="10"/>
  <c r="M230" i="5"/>
  <c r="M50" i="6"/>
  <c r="M12" i="8"/>
  <c r="M20" i="9" l="1"/>
  <c r="K312" i="9"/>
  <c r="M13" i="7"/>
  <c r="K156" i="7"/>
  <c r="M223" i="5"/>
  <c r="K282" i="5"/>
  <c r="M209" i="4"/>
  <c r="M213" i="4" s="1"/>
  <c r="K213" i="4"/>
  <c r="T152" i="34"/>
  <c r="M166" i="8"/>
  <c r="M262" i="8"/>
  <c r="T168" i="34"/>
  <c r="V69" i="10"/>
  <c r="N513" i="10"/>
  <c r="N914" i="10"/>
  <c r="N1115" i="10"/>
  <c r="N1089" i="10"/>
  <c r="N460" i="10"/>
  <c r="M385" i="6"/>
  <c r="M106" i="6"/>
  <c r="T173" i="34"/>
  <c r="T66" i="34"/>
  <c r="T303" i="34"/>
  <c r="T310" i="34"/>
  <c r="T309" i="34"/>
  <c r="T136" i="34"/>
  <c r="T120" i="34"/>
  <c r="T117" i="34"/>
  <c r="T140" i="34"/>
  <c r="T132" i="34"/>
  <c r="T139" i="34"/>
  <c r="T122" i="34"/>
  <c r="N744" i="10"/>
  <c r="N1005" i="10"/>
  <c r="T256" i="34"/>
  <c r="T248" i="34"/>
  <c r="S1091" i="10"/>
  <c r="V1091" i="10" s="1"/>
  <c r="N137" i="10"/>
  <c r="N26" i="10"/>
  <c r="N354" i="10"/>
  <c r="M74" i="6"/>
  <c r="M282" i="5"/>
  <c r="M37" i="8"/>
  <c r="K287" i="8"/>
  <c r="T158" i="34" l="1"/>
  <c r="T169" i="34"/>
  <c r="T313" i="34"/>
  <c r="T305" i="34"/>
  <c r="T307" i="34"/>
  <c r="T47" i="34"/>
  <c r="T6" i="34"/>
  <c r="T124" i="34"/>
  <c r="T130" i="34"/>
  <c r="T134" i="34"/>
  <c r="T123" i="34"/>
  <c r="T137" i="34"/>
  <c r="T243" i="34"/>
  <c r="T228" i="34"/>
  <c r="T230" i="34"/>
  <c r="T252" i="34"/>
  <c r="T270" i="34"/>
  <c r="T272" i="34"/>
  <c r="T258" i="34"/>
  <c r="T269" i="34"/>
  <c r="T259" i="34"/>
  <c r="T268" i="34"/>
  <c r="T227" i="34"/>
  <c r="T250" i="34"/>
  <c r="T264" i="34"/>
  <c r="T257" i="34"/>
  <c r="T246" i="34"/>
  <c r="T20" i="34"/>
  <c r="T160" i="34"/>
  <c r="T167" i="34"/>
  <c r="T287" i="34"/>
  <c r="T251" i="34"/>
  <c r="T199" i="34"/>
  <c r="T194" i="34"/>
  <c r="T41" i="34"/>
  <c r="T56" i="34"/>
  <c r="T91" i="34"/>
  <c r="T311" i="34"/>
  <c r="T87" i="34"/>
  <c r="T84" i="34"/>
  <c r="T92" i="34"/>
  <c r="T106" i="34"/>
  <c r="T255" i="34"/>
  <c r="T12" i="34"/>
  <c r="T180" i="34"/>
  <c r="T86" i="34"/>
  <c r="T67" i="34"/>
  <c r="T90" i="34"/>
  <c r="T99" i="34"/>
  <c r="T82" i="34"/>
  <c r="T79" i="34"/>
  <c r="T94" i="34"/>
  <c r="T69" i="34"/>
  <c r="T101" i="34"/>
  <c r="T102" i="34"/>
  <c r="T103" i="34"/>
  <c r="T59" i="34"/>
  <c r="T76" i="34"/>
  <c r="T65" i="34"/>
  <c r="T73" i="34"/>
  <c r="T104" i="34"/>
  <c r="T296" i="34"/>
  <c r="T22" i="34"/>
  <c r="T164" i="34"/>
  <c r="T23" i="34"/>
  <c r="T295" i="34"/>
  <c r="T15" i="34"/>
  <c r="T154" i="34"/>
  <c r="T11" i="34"/>
  <c r="T224" i="34"/>
  <c r="T9" i="34"/>
  <c r="T34" i="34"/>
  <c r="M265" i="9"/>
  <c r="M312" i="9" s="1"/>
  <c r="M127" i="7"/>
  <c r="K1118" i="10"/>
  <c r="N1118" i="10"/>
  <c r="M287" i="8"/>
  <c r="T317" i="34" l="1"/>
  <c r="T88" i="34"/>
  <c r="T165" i="34"/>
  <c r="T261" i="34"/>
  <c r="T172" i="34"/>
  <c r="T151" i="34"/>
  <c r="T157" i="34"/>
  <c r="T166" i="34"/>
  <c r="T150" i="34"/>
  <c r="T170" i="34"/>
  <c r="T162" i="34"/>
  <c r="T156" i="34"/>
  <c r="T155" i="34"/>
  <c r="T294" i="34"/>
  <c r="T306" i="34"/>
  <c r="T302" i="34"/>
  <c r="T292" i="34"/>
  <c r="T289" i="34"/>
  <c r="T293" i="34"/>
  <c r="T291" i="34"/>
  <c r="T314" i="34"/>
  <c r="T290" i="34"/>
  <c r="T297" i="34"/>
  <c r="T301" i="34"/>
  <c r="T29" i="34"/>
  <c r="T33" i="34"/>
  <c r="T45" i="34"/>
  <c r="T25" i="34"/>
  <c r="T49" i="34"/>
  <c r="T13" i="34"/>
  <c r="T46" i="34"/>
  <c r="T31" i="34"/>
  <c r="T14" i="34"/>
  <c r="T17" i="34"/>
  <c r="T21" i="34"/>
  <c r="T35" i="34"/>
  <c r="T42" i="34"/>
  <c r="T70" i="34"/>
  <c r="T68" i="34"/>
  <c r="T64" i="34"/>
  <c r="T105" i="34"/>
  <c r="T71" i="34"/>
  <c r="T72" i="34"/>
  <c r="T97" i="34"/>
  <c r="T95" i="34"/>
  <c r="T58" i="34"/>
  <c r="T81" i="34"/>
  <c r="T57" i="34"/>
  <c r="T89" i="34"/>
  <c r="T98" i="34"/>
  <c r="T61" i="34"/>
  <c r="T85" i="34"/>
  <c r="T83" i="34"/>
  <c r="T96" i="34"/>
  <c r="T60" i="34"/>
  <c r="T74" i="34"/>
  <c r="T100" i="34"/>
  <c r="T93" i="34"/>
  <c r="T304" i="34"/>
  <c r="T133" i="34"/>
  <c r="T125" i="34"/>
  <c r="T135" i="34"/>
  <c r="T116" i="34"/>
  <c r="T144" i="34"/>
  <c r="T131" i="34"/>
  <c r="T126" i="34"/>
  <c r="T138" i="34"/>
  <c r="T190" i="34"/>
  <c r="T188" i="34"/>
  <c r="T197" i="34"/>
  <c r="T184" i="34"/>
  <c r="T191" i="34"/>
  <c r="T192" i="34"/>
  <c r="T198" i="34"/>
  <c r="T201" i="34"/>
  <c r="T182" i="34"/>
  <c r="T193" i="34"/>
  <c r="T186" i="34"/>
  <c r="T200" i="34"/>
  <c r="T187" i="34"/>
  <c r="T242" i="34"/>
  <c r="T212" i="34"/>
  <c r="T236" i="34"/>
  <c r="T216" i="34"/>
  <c r="T222" i="34"/>
  <c r="T226" i="34"/>
  <c r="T217" i="34"/>
  <c r="T215" i="34"/>
  <c r="T266" i="34"/>
  <c r="T223" i="34"/>
  <c r="T209" i="34"/>
  <c r="T253" i="34"/>
  <c r="T220" i="34"/>
  <c r="T239" i="34"/>
  <c r="T240" i="34"/>
  <c r="T225" i="34"/>
  <c r="T213" i="34"/>
  <c r="T254" i="34"/>
  <c r="T210" i="34"/>
  <c r="T235" i="34"/>
  <c r="T273" i="34"/>
  <c r="T262" i="34"/>
  <c r="T241" i="34"/>
  <c r="T218" i="34"/>
  <c r="T10" i="34"/>
  <c r="T267" i="34"/>
  <c r="T263" i="34"/>
  <c r="T312" i="34"/>
  <c r="T77" i="34"/>
  <c r="T163" i="34"/>
  <c r="T271" i="34"/>
  <c r="T183" i="34"/>
  <c r="T27" i="34"/>
  <c r="T206" i="34"/>
  <c r="T208" i="34"/>
  <c r="T161" i="34"/>
  <c r="M156" i="7"/>
  <c r="T286" i="34"/>
  <c r="T179" i="34" l="1"/>
  <c r="T321" i="34"/>
  <c r="T171" i="34"/>
  <c r="T159" i="34"/>
  <c r="T174" i="34"/>
  <c r="T288" i="34"/>
  <c r="T298" i="34"/>
  <c r="T300" i="34"/>
  <c r="T299" i="34"/>
  <c r="T44" i="34"/>
  <c r="T48" i="34"/>
  <c r="T8" i="34"/>
  <c r="T18" i="34"/>
  <c r="T36" i="34"/>
  <c r="T32" i="34"/>
  <c r="T43" i="34"/>
  <c r="T51" i="34"/>
  <c r="T37" i="34"/>
  <c r="T40" i="34"/>
  <c r="T30" i="34"/>
  <c r="T28" i="34"/>
  <c r="T19" i="34"/>
  <c r="T24" i="34"/>
  <c r="T16" i="34"/>
  <c r="T26" i="34"/>
  <c r="T7" i="34"/>
  <c r="T80" i="34"/>
  <c r="T75" i="34"/>
  <c r="T115" i="34"/>
  <c r="T62" i="34"/>
  <c r="T78" i="34"/>
  <c r="T63" i="34"/>
  <c r="T110" i="34"/>
  <c r="T107" i="34"/>
  <c r="T129" i="34"/>
  <c r="T141" i="34"/>
  <c r="T119" i="34"/>
  <c r="T128" i="34"/>
  <c r="T195" i="34"/>
  <c r="T189" i="34"/>
  <c r="T185" i="34"/>
  <c r="T196" i="34"/>
  <c r="T211" i="34"/>
  <c r="T231" i="34"/>
  <c r="T214" i="34"/>
  <c r="T232" i="34"/>
  <c r="T219" i="34"/>
  <c r="T233" i="34"/>
  <c r="T221" i="34"/>
  <c r="T207" i="34"/>
  <c r="T234" i="34"/>
  <c r="T229" i="34"/>
  <c r="T245" i="34"/>
  <c r="T55" i="34"/>
  <c r="T111" i="34"/>
  <c r="T109" i="34"/>
  <c r="T315" i="34"/>
  <c r="T278" i="34"/>
  <c r="T114" i="34"/>
  <c r="T205" i="34"/>
  <c r="T277" i="34"/>
  <c r="T279" i="34"/>
  <c r="T175" i="34" l="1"/>
  <c r="T275" i="34"/>
  <c r="T319" i="34"/>
  <c r="T308" i="34"/>
  <c r="T318" i="34"/>
  <c r="T176" i="34"/>
  <c r="T53" i="34"/>
  <c r="T39" i="34"/>
  <c r="T50" i="34"/>
  <c r="T52" i="34"/>
  <c r="T108" i="34"/>
  <c r="T142" i="34"/>
  <c r="T149" i="34"/>
  <c r="T118" i="34"/>
  <c r="T145" i="34"/>
  <c r="T121" i="34"/>
  <c r="T204" i="34"/>
  <c r="T181" i="34"/>
  <c r="T238" i="34"/>
  <c r="T265" i="34"/>
  <c r="T260" i="34"/>
  <c r="T276" i="34"/>
  <c r="T281" i="34"/>
  <c r="T244" i="34"/>
  <c r="T274" i="34"/>
  <c r="T285" i="34"/>
  <c r="T247" i="34"/>
  <c r="T249" i="34"/>
  <c r="T280" i="34"/>
  <c r="T147" i="34"/>
  <c r="T284" i="34"/>
  <c r="T38" i="34" l="1"/>
  <c r="T54" i="34"/>
  <c r="T112" i="34"/>
  <c r="T113" i="34"/>
  <c r="T146" i="34"/>
  <c r="T283" i="34"/>
  <c r="T282" i="34"/>
  <c r="T178" i="34"/>
  <c r="T320" i="34"/>
  <c r="T143" i="34"/>
  <c r="T148" i="34" l="1"/>
  <c r="T203" i="34"/>
  <c r="T202" i="34"/>
  <c r="T177" i="34"/>
  <c r="T316" i="34"/>
  <c r="K386" i="6" l="1"/>
  <c r="M161" i="6"/>
  <c r="M386" i="6" l="1"/>
  <c r="T127" i="34" l="1"/>
</calcChain>
</file>

<file path=xl/comments1.xml><?xml version="1.0" encoding="utf-8"?>
<comments xmlns="http://schemas.openxmlformats.org/spreadsheetml/2006/main">
  <authors>
    <author>petuhov.am</author>
    <author>Молев Евгений Евгеньевич</author>
    <author>Петухов Александр Маркович</author>
    <author>1</author>
    <author>Коршунов Александр Александрович</author>
    <author>Андреева Светлана Юрьевна</author>
  </authors>
  <commentLis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D1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D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AB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D92" authorId="1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1 до 1,6 МВА 18.02.2014</t>
        </r>
      </text>
    </comment>
    <comment ref="F9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6,3 до 4  (09.2013)</t>
        </r>
      </text>
    </comment>
    <comment ref="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F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AB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D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 2012</t>
        </r>
      </text>
    </comment>
    <comment ref="F1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3,2 до 2,5 в 2012 г.</t>
        </r>
      </text>
    </comment>
    <comment ref="AB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D119" authorId="2">
      <text>
        <r>
          <rPr>
            <b/>
            <sz val="8"/>
            <color indexed="81"/>
            <rFont val="Tahoma"/>
            <family val="2"/>
            <charset val="204"/>
          </rPr>
          <t>Трансформатор 1 МВА сгорел. Заменен на 2,5 МВА в апреле 2015 г.</t>
        </r>
      </text>
    </comment>
    <comment ref="K157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части нагрузки по 6 кВ на ПС Кимры 
</t>
        </r>
      </text>
    </comment>
    <comment ref="AJ157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K190" authorId="3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0" authorId="3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K193" authorId="3">
      <text>
        <r>
          <rPr>
            <sz val="8"/>
            <color indexed="81"/>
            <rFont val="Tahoma"/>
            <family val="2"/>
            <charset val="204"/>
          </rPr>
          <t xml:space="preserve">Отключение ПС Горицы В-35 Т-1  и
Перевод нагрузки Т-2 ПС Стоянцы с ПС  Горицы на ПС 35 кВ Ильиское
</t>
        </r>
      </text>
    </comment>
    <comment ref="AJ193" authorId="3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K199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199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K202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 с ПС Радуга на ПС Горицы
</t>
        </r>
      </text>
    </comment>
    <comment ref="AJ202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K205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AJ205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D212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10 до 2,5 МВА (08.2013)</t>
        </r>
      </text>
    </comment>
    <comment ref="D21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J227" authorId="1">
      <text>
        <r>
          <rPr>
            <b/>
            <sz val="8"/>
            <color indexed="81"/>
            <rFont val="Tahoma"/>
            <family val="2"/>
            <charset val="204"/>
          </rPr>
          <t>Изменено в соответствии с КПЭ с 0,94</t>
        </r>
      </text>
    </comment>
    <comment ref="F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2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Увеличена мощность с 16 до 25 МВА</t>
        </r>
      </text>
    </comment>
    <comment ref="D289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J289" authorId="1">
      <text>
        <r>
          <rPr>
            <b/>
            <sz val="8"/>
            <color indexed="81"/>
            <rFont val="Tahoma"/>
            <family val="2"/>
            <charset val="204"/>
          </rPr>
          <t>Изменено в соответствии с КПЭ 1,85</t>
        </r>
      </text>
    </comment>
    <comment ref="D298" authorId="0">
      <text>
        <r>
          <rPr>
            <b/>
            <sz val="8"/>
            <color indexed="81"/>
            <rFont val="Tahoma"/>
            <family val="2"/>
            <charset val="204"/>
          </rPr>
          <t>Изменена трансформаторная мощность с 2,5 до 4 МВА Лето 2014</t>
        </r>
      </text>
    </comment>
    <comment ref="D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2011. Увеличение с 2,5 до 4 МВА</t>
        </r>
      </text>
    </comment>
    <comment ref="F319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Увеличение с 2,5 до 4 МВА</t>
        </r>
      </text>
    </comment>
    <comment ref="AB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01.2012</t>
        </r>
      </text>
    </comment>
    <comment ref="AB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D32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4 МВА IV квартал 2014 г.</t>
        </r>
      </text>
    </comment>
    <comment ref="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F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AB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Мощность трансформатора увеличена с 4 до 6,3 МВА 08.2012 </t>
        </r>
      </text>
    </comment>
    <comment ref="AD330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3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F339" authorId="0">
      <text>
        <r>
          <rPr>
            <b/>
            <sz val="8"/>
            <color indexed="81"/>
            <rFont val="Tahoma"/>
            <family val="2"/>
            <charset val="204"/>
          </rPr>
          <t>Замена выполнена в 2012 г. Мощность трансформатора увеличена с 4 МВА до 10 МВА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A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AB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(08.2013)</t>
        </r>
      </text>
    </comment>
    <comment ref="D35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трансформаторов с 10 до 16 МВА (Ноябрь 2013 г.) Программа перемещения трансформаторов.</t>
        </r>
      </text>
    </comment>
    <comment ref="H358" authorId="0">
      <text>
        <r>
          <rPr>
            <b/>
            <sz val="8"/>
            <color indexed="81"/>
            <rFont val="Tahoma"/>
            <family val="2"/>
            <charset val="204"/>
          </rPr>
          <t>Третий трансформатор введен в работу в IV  квартале 2014 г.</t>
        </r>
      </text>
    </comment>
    <comment ref="D376" authorId="4">
      <text>
        <r>
          <rPr>
            <b/>
            <sz val="10"/>
            <color indexed="81"/>
            <rFont val="Tahoma"/>
            <family val="2"/>
            <charset val="204"/>
          </rPr>
          <t>трансформатор заменен в декабре 2015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F376" authorId="5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декабре 2015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B376" authorId="4">
      <text>
        <r>
          <rPr>
            <b/>
            <sz val="10"/>
            <color indexed="81"/>
            <rFont val="Tahoma"/>
            <family val="2"/>
            <charset val="204"/>
          </rPr>
          <t>трансформатор заменен в декабре 2015</t>
        </r>
      </text>
    </comment>
    <comment ref="AD376" authorId="4">
      <text>
        <r>
          <rPr>
            <b/>
            <sz val="10"/>
            <color indexed="81"/>
            <rFont val="Tahoma"/>
            <family val="2"/>
            <charset val="204"/>
          </rPr>
          <t>трансформатор заменен в декабре 2015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F382" authorId="5">
      <text>
        <r>
          <rPr>
            <b/>
            <sz val="8"/>
            <color indexed="81"/>
            <rFont val="Tahoma"/>
            <family val="2"/>
            <charset val="204"/>
          </rPr>
          <t>Андреева Светлана Юрьевна:</t>
        </r>
        <r>
          <rPr>
            <sz val="8"/>
            <color indexed="81"/>
            <rFont val="Tahoma"/>
            <family val="2"/>
            <charset val="204"/>
          </rPr>
          <t xml:space="preserve">
Уменьшена трансформаторная мощность Т2 в декабре 2015 г.
</t>
        </r>
      </text>
    </comment>
    <comment ref="D388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J399" authorId="1">
      <text>
        <r>
          <rPr>
            <b/>
            <sz val="8"/>
            <color indexed="81"/>
            <rFont val="Tahoma"/>
            <family val="2"/>
            <charset val="204"/>
          </rPr>
          <t>Изменено в соответствии с КПЭ с 0,27</t>
        </r>
      </text>
    </comment>
    <comment ref="D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мощностоь трансформатора в апреле 2015 с 2,5 до 6,3 МВА</t>
        </r>
      </text>
    </comment>
    <comment ref="F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2,5 МВА до 6,3 МВА в марте 2015 г.</t>
        </r>
      </text>
    </comment>
    <comment ref="D416" authorId="0">
      <text>
        <r>
          <rPr>
            <b/>
            <sz val="8"/>
            <color indexed="81"/>
            <rFont val="Tahoma"/>
            <family val="2"/>
            <charset val="204"/>
          </rPr>
          <t>Установлен трансформатор 40 МВА. Увеличение мощности с 25 до 40 по ТП в 2012 г.</t>
        </r>
      </text>
    </comment>
    <comment ref="D4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</commentList>
</comments>
</file>

<file path=xl/comments2.xml><?xml version="1.0" encoding="utf-8"?>
<comments xmlns="http://schemas.openxmlformats.org/spreadsheetml/2006/main">
  <authors>
    <author>Молев Евгений Евгеньевич</author>
  </authors>
  <commentList>
    <comment ref="E5535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20 на 40 по SAP</t>
        </r>
      </text>
    </comment>
    <comment ref="E6799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63 по SAP</t>
        </r>
      </text>
    </comment>
    <comment ref="E9951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</commentList>
</comments>
</file>

<file path=xl/sharedStrings.xml><?xml version="1.0" encoding="utf-8"?>
<sst xmlns="http://schemas.openxmlformats.org/spreadsheetml/2006/main" count="56018" uniqueCount="20362">
  <si>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</si>
  <si>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</si>
  <si>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</si>
  <si>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</si>
  <si>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</si>
  <si>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</si>
  <si>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</si>
  <si>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</si>
  <si>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</si>
  <si>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</si>
  <si>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ДНП "Волжский дачник"</t>
  </si>
  <si>
    <t>Тверская область, Калязинский район, г. Калязин, городской водозабор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</si>
  <si>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</si>
  <si>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</si>
  <si>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</si>
  <si>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</si>
  <si>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</si>
  <si>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</si>
  <si>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</si>
  <si>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</si>
  <si>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</si>
  <si>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</si>
  <si>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</si>
  <si>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</si>
  <si>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</si>
  <si>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</si>
  <si>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</si>
  <si>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</si>
  <si>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ООО "Охотничье хозяйство "Шолоховское"</t>
  </si>
  <si>
    <t>ООО «ТрастСтройИнвест»</t>
  </si>
  <si>
    <t>строительный городок Конаковский район, Мокшинское с/п, район дер. Архангельское</t>
  </si>
  <si>
    <t>с.Завидово</t>
  </si>
  <si>
    <t>Бердник В.М.</t>
  </si>
  <si>
    <t>Калининский р-он, Эмаусский с/о, д. Прибытково, зернохранилище</t>
  </si>
  <si>
    <t>76-ТП/10-07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</si>
  <si>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</si>
  <si>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</si>
  <si>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</si>
  <si>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333-ТП/11-09</t>
  </si>
  <si>
    <t xml:space="preserve">плавательный бассейин, г.В.Волочек, ул.Д.Бедного, 60 </t>
  </si>
  <si>
    <t>ООО "Монострой"</t>
  </si>
  <si>
    <t>ООО "Тверькомплекс"</t>
  </si>
  <si>
    <t>Производственные гаражи
г.Тверь, Сахаровское шоссе, д.2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</si>
  <si>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</si>
  <si>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</si>
  <si>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</si>
  <si>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</si>
  <si>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</si>
  <si>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Нелидовские Электрические сети</t>
  </si>
  <si>
    <t>Торжокские Электрические сети</t>
  </si>
  <si>
    <t>Тверские Электрические сети</t>
  </si>
  <si>
    <t>322-ТП/09-09</t>
  </si>
  <si>
    <t>324-ТП/09-09</t>
  </si>
  <si>
    <t>325-ТП/09-09</t>
  </si>
  <si>
    <t>326-ТП/09-09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</si>
  <si>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</si>
  <si>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</si>
  <si>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</si>
  <si>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</si>
  <si>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>ООО "Волжские зори"</t>
  </si>
  <si>
    <t>310-ТП/08-09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</si>
  <si>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</si>
  <si>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</si>
  <si>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</si>
  <si>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</si>
  <si>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</si>
  <si>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Администрация Пролетарского района</t>
  </si>
  <si>
    <t>Фонтан, г.Тверь, Комсомольская площадь</t>
  </si>
  <si>
    <t>8-ТП/12-07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</si>
  <si>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</si>
  <si>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</si>
  <si>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</si>
  <si>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</si>
  <si>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</si>
  <si>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</si>
  <si>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</si>
  <si>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</si>
  <si>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</si>
  <si>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</si>
  <si>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</si>
  <si>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</si>
  <si>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</si>
  <si>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</si>
  <si>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</si>
  <si>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</si>
  <si>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</si>
  <si>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</si>
  <si>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</si>
  <si>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</si>
  <si>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</si>
  <si>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</si>
  <si>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</si>
  <si>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</si>
  <si>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</si>
  <si>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</si>
  <si>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</si>
  <si>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</si>
  <si>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</si>
  <si>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</si>
  <si>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</si>
  <si>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</si>
  <si>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</si>
  <si>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</si>
  <si>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</si>
  <si>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</si>
  <si>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</si>
  <si>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</si>
  <si>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</si>
  <si>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</si>
  <si>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</si>
  <si>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</si>
  <si>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</si>
  <si>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</si>
  <si>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</si>
  <si>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</si>
  <si>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</si>
  <si>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</si>
  <si>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</si>
  <si>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</si>
  <si>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</si>
  <si>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</si>
  <si>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</si>
  <si>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</si>
  <si>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</si>
  <si>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</si>
  <si>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</si>
  <si>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</si>
  <si>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</si>
  <si>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</si>
  <si>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</si>
  <si>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</si>
  <si>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</si>
  <si>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</si>
  <si>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</si>
  <si>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</si>
  <si>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</si>
  <si>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</si>
  <si>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</si>
  <si>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</si>
  <si>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</si>
  <si>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</si>
  <si>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</si>
  <si>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</si>
  <si>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</si>
  <si>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</si>
  <si>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</si>
  <si>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</si>
  <si>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</si>
  <si>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</si>
  <si>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</si>
  <si>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</si>
  <si>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</si>
  <si>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</si>
  <si>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</si>
  <si>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</si>
  <si>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</si>
  <si>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</si>
  <si>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</si>
  <si>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</si>
  <si>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</si>
  <si>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</si>
  <si>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</si>
  <si>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</si>
  <si>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</si>
  <si>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</si>
  <si>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</si>
  <si>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</si>
  <si>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</si>
  <si>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</si>
  <si>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</si>
  <si>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</si>
  <si>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</si>
  <si>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</si>
  <si>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</si>
  <si>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</si>
  <si>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</si>
  <si>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</si>
  <si>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</si>
  <si>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</si>
  <si>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</si>
  <si>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</si>
  <si>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</si>
  <si>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</si>
  <si>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</si>
  <si>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</si>
  <si>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</si>
  <si>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</si>
  <si>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</si>
  <si>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</si>
  <si>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</si>
  <si>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</si>
  <si>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</si>
  <si>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</si>
  <si>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</si>
  <si>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</si>
  <si>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</si>
  <si>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</si>
  <si>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</si>
  <si>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</si>
  <si>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</si>
  <si>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</si>
  <si>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</si>
  <si>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</si>
  <si>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</si>
  <si>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</si>
  <si>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</si>
  <si>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</si>
  <si>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</si>
  <si>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</si>
  <si>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</si>
  <si>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</si>
  <si>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</si>
  <si>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</si>
  <si>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</si>
  <si>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</si>
  <si>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</si>
  <si>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</si>
  <si>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</si>
  <si>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</si>
  <si>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</si>
  <si>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</si>
  <si>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4-эт. 27 кв.ж/дом с встроенными помещ., Тверь, В.Новгорода, 19</t>
  </si>
  <si>
    <t>217-ТП/09-08</t>
  </si>
  <si>
    <t>ООО "Стройплюс"</t>
  </si>
  <si>
    <t>многоэтажный жилой дом по ул.Т.Ильиной, д.33 корп.2</t>
  </si>
  <si>
    <t>276-ТП/12-08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</si>
  <si>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</si>
  <si>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</si>
  <si>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</si>
  <si>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Автон.неком.орг-ция "СУЦ Виста"</t>
  </si>
  <si>
    <t>Учебный центр, Тверь, пр. Победы, 40А</t>
  </si>
  <si>
    <t>206-ТП/08-08</t>
  </si>
  <si>
    <t>ООО "Андреев Софт"</t>
  </si>
  <si>
    <t>ОАО "Тверьагрострой"</t>
  </si>
  <si>
    <t>Ж/застройка, Нов.Заря - Р. Люксембург</t>
  </si>
  <si>
    <t>56-ТП/06-07</t>
  </si>
  <si>
    <t>ООО "Элиан"</t>
  </si>
  <si>
    <t>Поселок малоэтажных домов, г. Тверь, Заволжский р-н, ул. Розы Люксембург, д. 60</t>
  </si>
  <si>
    <t>62-ТП/07-07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</si>
  <si>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</si>
  <si>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</si>
  <si>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</si>
  <si>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</si>
  <si>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</si>
  <si>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</si>
  <si>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</si>
  <si>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</si>
  <si>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</si>
  <si>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</si>
  <si>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</si>
  <si>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</si>
  <si>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</si>
  <si>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</si>
  <si>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>СНТ "Парус"</t>
  </si>
  <si>
    <t>СНТ, Калининский р-н, Каблуковское с/п, район дер. Иенево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</si>
  <si>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</si>
  <si>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</si>
  <si>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</si>
  <si>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</si>
  <si>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</si>
  <si>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</si>
  <si>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</si>
  <si>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</si>
  <si>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>ООО "Капитал-Инвест"</t>
  </si>
  <si>
    <t>Дачный комплекс в д. Рябеево Никулинского с/п</t>
  </si>
  <si>
    <t>67-ТП/08-07</t>
  </si>
  <si>
    <t>СНТ «Зарница»</t>
  </si>
  <si>
    <t>СНТ, Калининский район, Никулинское с/п, район дер. Опарино, кадастровый номер 69:10:0000024:928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</si>
  <si>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</si>
  <si>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</si>
  <si>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</si>
  <si>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</si>
  <si>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</si>
  <si>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</si>
  <si>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Назаров Ю.И</t>
  </si>
  <si>
    <t xml:space="preserve">жил.застройка , дер. Вишняково, 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</si>
  <si>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</si>
  <si>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</si>
  <si>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</si>
  <si>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</si>
  <si>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</si>
  <si>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</si>
  <si>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</si>
  <si>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</si>
  <si>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</si>
  <si>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</si>
  <si>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</si>
  <si>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</si>
  <si>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</si>
  <si>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</si>
  <si>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</si>
  <si>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</si>
  <si>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</si>
  <si>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</si>
  <si>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</si>
  <si>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</si>
  <si>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</si>
  <si>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</si>
  <si>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</si>
  <si>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</si>
  <si>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</si>
  <si>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</si>
  <si>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</si>
  <si>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</si>
  <si>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</si>
  <si>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</si>
  <si>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</si>
  <si>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</si>
  <si>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</si>
  <si>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>СНТ Муравей</t>
  </si>
  <si>
    <t>Старицкий район, д. Кулотино, ПС Городня, РП Борки ф.3 ВЛ 10 кВ</t>
  </si>
  <si>
    <t>315-ТП/09-08</t>
  </si>
  <si>
    <t>ООО "Терра"</t>
  </si>
  <si>
    <t xml:space="preserve">Производственные помещения, Твер. обл., Калининский р-н, д. Никулино, 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</si>
  <si>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</si>
  <si>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</si>
  <si>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</si>
  <si>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</si>
  <si>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</si>
  <si>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</si>
  <si>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</si>
  <si>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</si>
  <si>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</si>
  <si>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</si>
  <si>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</si>
  <si>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СНТ "Арония"</t>
  </si>
  <si>
    <t xml:space="preserve">Сад.неком. товарищество, Тв.обл, Калининский р-н, д. Труново </t>
  </si>
  <si>
    <t>226-ТП/09-09</t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</si>
  <si>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</si>
  <si>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</si>
  <si>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ФГУ Упрдор Россия</t>
  </si>
  <si>
    <t>освещение а/д Москва-Питер км 160+045-км161+900</t>
  </si>
  <si>
    <t>291-ТП/05-09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</si>
  <si>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</si>
  <si>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</si>
  <si>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</si>
  <si>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</si>
  <si>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</si>
  <si>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</si>
  <si>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</si>
  <si>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 xml:space="preserve">УФСИН </t>
  </si>
  <si>
    <t>Андреев А.А.</t>
  </si>
  <si>
    <t>Коттеджный поселок "Компьютерия", 
Тверская обл., Калинин.р-н, Медновское с/п</t>
  </si>
  <si>
    <t>СНТ "Вера"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</si>
  <si>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</si>
  <si>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</si>
  <si>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</si>
  <si>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</si>
  <si>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</si>
  <si>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</si>
  <si>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</si>
  <si>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</si>
  <si>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</si>
  <si>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</si>
  <si>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</si>
  <si>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</si>
  <si>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</si>
  <si>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</si>
  <si>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</si>
  <si>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</si>
  <si>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</si>
  <si>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</si>
  <si>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</si>
  <si>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</si>
  <si>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ЗАО "РадиоТел"</t>
  </si>
  <si>
    <t>Упрдор</t>
  </si>
  <si>
    <t xml:space="preserve">освещение, пос. Новомелково </t>
  </si>
  <si>
    <t>245-ТП/11-08</t>
  </si>
  <si>
    <t>СНТ «Петушок»</t>
  </si>
  <si>
    <t>ГУП Тверьоблстройзаказчик, ледовый спорткомплекс</t>
  </si>
  <si>
    <t>спорткомплекс</t>
  </si>
  <si>
    <t>125-ТП/12-07</t>
  </si>
  <si>
    <t>ООО Технопарк Кимры</t>
  </si>
  <si>
    <t>научно-пр.комплекс, г.Кимры Старозаводская 19</t>
  </si>
  <si>
    <t>183-ТП/06-08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</si>
  <si>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</si>
  <si>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</si>
  <si>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</si>
  <si>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</si>
  <si>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</si>
  <si>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</si>
  <si>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</si>
  <si>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</si>
  <si>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</si>
  <si>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</si>
  <si>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</si>
  <si>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</si>
  <si>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</si>
  <si>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</si>
  <si>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Арзамасцев В.В</t>
  </si>
  <si>
    <t>350 кВт, 3 кат по 10 кВ</t>
  </si>
  <si>
    <t>348-ТП/11-0,9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</si>
  <si>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</si>
  <si>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</si>
  <si>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</si>
  <si>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</si>
  <si>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</si>
  <si>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</si>
  <si>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</si>
  <si>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</si>
  <si>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</si>
  <si>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</si>
  <si>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</si>
  <si>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</si>
  <si>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</si>
  <si>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</si>
  <si>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</si>
  <si>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</si>
  <si>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</si>
  <si>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</si>
  <si>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</si>
  <si>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</si>
  <si>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</si>
  <si>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</si>
  <si>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</si>
  <si>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</si>
  <si>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</si>
  <si>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</si>
  <si>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</si>
  <si>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</si>
  <si>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</si>
  <si>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ГУП Тверьоблстройзаказчик</t>
  </si>
  <si>
    <t>районный дом культуры г. Кашин пл. Пролетарская, д. 20/2</t>
  </si>
  <si>
    <t>295-ТП/06-09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</si>
  <si>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</si>
  <si>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</si>
  <si>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</si>
  <si>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</si>
  <si>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</si>
  <si>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</si>
  <si>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</si>
  <si>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</si>
  <si>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</si>
  <si>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</si>
  <si>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</si>
  <si>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</si>
  <si>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</si>
  <si>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</si>
  <si>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</si>
  <si>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</si>
  <si>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</si>
  <si>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</si>
  <si>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>СПК Колхоз Мечты Ильича</t>
  </si>
  <si>
    <t>Семеноводческий комплекс, д. Дулепово Кашинский район</t>
  </si>
  <si>
    <t>312-ТП/08-09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</si>
  <si>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</si>
  <si>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</si>
  <si>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</si>
  <si>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</si>
  <si>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</si>
  <si>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СНТ "Барское"</t>
  </si>
  <si>
    <t>дачные дома, Калязинский район, Алферовское с/п, д. Глазково</t>
  </si>
  <si>
    <t>340-ТП/10-09</t>
  </si>
  <si>
    <t>ООО Регион СМ</t>
  </si>
  <si>
    <t>АЗС, г.Калязин, Юж.часть промзоны</t>
  </si>
  <si>
    <t>104-ТП/12-07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</si>
  <si>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</si>
  <si>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</si>
  <si>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</si>
  <si>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</si>
  <si>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</si>
  <si>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</si>
  <si>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</si>
  <si>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</si>
  <si>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</si>
  <si>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</si>
  <si>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</si>
  <si>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</si>
  <si>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</si>
  <si>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</si>
  <si>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</si>
  <si>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</si>
  <si>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</si>
  <si>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</si>
  <si>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 xml:space="preserve">ООО  «Крестьянское Загорье 2» </t>
  </si>
  <si>
    <t>Коттеджная застройка  в районе  д.Загорье</t>
  </si>
  <si>
    <t xml:space="preserve">ООО  «Крестьянское Загорье 3» </t>
  </si>
  <si>
    <t>База отдыха  в районе  д.Загорье</t>
  </si>
  <si>
    <t xml:space="preserve">ООО «КРХ Нефедиха» </t>
  </si>
  <si>
    <t>База отдыха  в районе  д. Едимоновские Горки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</si>
  <si>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</si>
  <si>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</si>
  <si>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</si>
  <si>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</si>
  <si>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</si>
  <si>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</si>
  <si>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</si>
  <si>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</si>
  <si>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</si>
  <si>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</si>
  <si>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ОАО "ЖКХ Редкино"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</si>
  <si>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</si>
  <si>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</si>
  <si>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</si>
  <si>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</si>
  <si>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</si>
  <si>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</si>
  <si>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</si>
  <si>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</si>
  <si>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</si>
  <si>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</si>
  <si>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</si>
  <si>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</si>
  <si>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</si>
  <si>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</si>
  <si>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</si>
  <si>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</si>
  <si>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</si>
  <si>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</si>
  <si>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</si>
  <si>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</si>
  <si>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</si>
  <si>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</si>
  <si>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</si>
  <si>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</si>
  <si>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</si>
  <si>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</si>
  <si>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</si>
  <si>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</si>
  <si>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</si>
  <si>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</si>
  <si>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</si>
  <si>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+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</si>
  <si>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</si>
  <si>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</si>
  <si>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</si>
  <si>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</si>
  <si>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</si>
  <si>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</si>
  <si>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</si>
  <si>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СНП "Сосновка"</t>
  </si>
  <si>
    <t>Тверская область, Калязинский район, Старобисловское с/п, в районе дер. Инальцево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</si>
  <si>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</si>
  <si>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</si>
  <si>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</si>
  <si>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</si>
  <si>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</si>
  <si>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</si>
  <si>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</si>
  <si>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</si>
  <si>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</si>
  <si>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</si>
  <si>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</si>
  <si>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</si>
  <si>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</si>
  <si>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</si>
  <si>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</si>
  <si>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</si>
  <si>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</si>
  <si>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</si>
  <si>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</si>
  <si>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</si>
  <si>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</si>
  <si>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</si>
  <si>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</si>
  <si>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</si>
  <si>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</si>
  <si>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</si>
  <si>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</si>
  <si>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</si>
  <si>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лед.спорткомплекс, Старица, Чернозерского</t>
  </si>
  <si>
    <t>97-ТП/11-07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</si>
  <si>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</si>
  <si>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</si>
  <si>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</si>
  <si>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</si>
  <si>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</si>
  <si>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</si>
  <si>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</si>
  <si>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</si>
  <si>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 xml:space="preserve">ООО Старземинвест </t>
  </si>
  <si>
    <t>70 дачных домов д. Сасынье Старицкий р-н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</si>
  <si>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</si>
  <si>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</si>
  <si>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</si>
  <si>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</si>
  <si>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</si>
  <si>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</si>
  <si>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</si>
  <si>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</si>
  <si>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</si>
  <si>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</si>
  <si>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</si>
  <si>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</si>
  <si>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</si>
  <si>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</si>
  <si>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</si>
  <si>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</si>
  <si>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</si>
  <si>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</si>
  <si>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</si>
  <si>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</si>
  <si>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</si>
  <si>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</si>
  <si>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</si>
  <si>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>ООО "Управляющая компания Прагма Капитал</t>
  </si>
  <si>
    <t>ж/комплекс Селищенское с/п, т/б Чайка</t>
  </si>
  <si>
    <t>234-ТП/10-08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</si>
  <si>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</si>
  <si>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</si>
  <si>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</si>
  <si>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</si>
  <si>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</si>
  <si>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</si>
  <si>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</si>
  <si>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</si>
  <si>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</si>
  <si>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</si>
  <si>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Дефицит</t>
  </si>
  <si>
    <t>Профицит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</si>
  <si>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</si>
  <si>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</si>
  <si>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</si>
  <si>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</si>
  <si>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</si>
  <si>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</si>
  <si>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</si>
  <si>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</si>
  <si>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</si>
  <si>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</si>
  <si>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</si>
  <si>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</si>
  <si>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</si>
  <si>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</si>
  <si>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</si>
  <si>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</si>
  <si>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</si>
  <si>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</si>
  <si>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</si>
  <si>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</si>
  <si>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</si>
  <si>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</si>
  <si>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</si>
  <si>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</si>
  <si>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</si>
  <si>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</si>
  <si>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</si>
  <si>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</si>
  <si>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</si>
  <si>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</si>
  <si>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</si>
  <si>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</si>
  <si>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</si>
  <si>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</si>
  <si>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</si>
  <si>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</si>
  <si>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</si>
  <si>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</si>
  <si>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</si>
  <si>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</si>
  <si>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</si>
  <si>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</si>
  <si>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</si>
  <si>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</si>
  <si>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</si>
  <si>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</si>
  <si>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</si>
  <si>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</si>
  <si>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</si>
  <si>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</si>
  <si>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</si>
  <si>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</si>
  <si>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</si>
  <si>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</si>
  <si>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</si>
  <si>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</si>
  <si>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</si>
  <si>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</si>
  <si>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</si>
  <si>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</si>
  <si>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</si>
  <si>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</si>
  <si>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</si>
  <si>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</si>
  <si>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</si>
  <si>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</si>
  <si>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</si>
  <si>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</si>
  <si>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</si>
  <si>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</si>
  <si>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</si>
  <si>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</si>
  <si>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</si>
  <si>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</si>
  <si>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</si>
  <si>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</si>
  <si>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</si>
  <si>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</si>
  <si>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</si>
  <si>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</si>
  <si>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</si>
  <si>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</si>
  <si>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</si>
  <si>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</si>
  <si>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</si>
  <si>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</si>
  <si>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</si>
  <si>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</si>
  <si>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</si>
  <si>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</si>
  <si>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</si>
  <si>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</si>
  <si>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</si>
  <si>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</si>
  <si>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</si>
  <si>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</si>
  <si>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</si>
  <si>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</si>
  <si>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</si>
  <si>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</si>
  <si>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</si>
  <si>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</si>
  <si>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</si>
  <si>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</si>
  <si>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</si>
  <si>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</si>
  <si>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</si>
  <si>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</si>
  <si>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</si>
  <si>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</si>
  <si>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</si>
  <si>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</si>
  <si>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</si>
  <si>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</si>
  <si>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</si>
  <si>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</si>
  <si>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</si>
  <si>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</si>
  <si>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</si>
  <si>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Эрлихман Г.Я.</t>
  </si>
  <si>
    <t>Адм.здание, В.Новгорода, 19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</si>
  <si>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</si>
  <si>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</si>
  <si>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</si>
  <si>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</si>
  <si>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</si>
  <si>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</si>
  <si>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Л.Б. Соклеткина</t>
  </si>
  <si>
    <t>8-ми кв. 4-х эт.ж/дом, Макарова, д.3</t>
  </si>
  <si>
    <t>193-ТП/07-08</t>
  </si>
  <si>
    <t>офисное здание г. Тверь, ул. Брагина, д. 3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</si>
  <si>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</si>
  <si>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</si>
  <si>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</si>
  <si>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</si>
  <si>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</si>
  <si>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</si>
  <si>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</si>
  <si>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</si>
  <si>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</si>
  <si>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</si>
  <si>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</si>
  <si>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</si>
  <si>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</si>
  <si>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</si>
  <si>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</si>
  <si>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</si>
  <si>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</si>
  <si>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>ЗАО СК Тверьгражданстрой</t>
  </si>
  <si>
    <t>МУП "Тверьстройзаказчик"</t>
  </si>
  <si>
    <t>Илизаров Л.Г.</t>
  </si>
  <si>
    <t>Торг-офис.п-е, Коминтерна, 18-а</t>
  </si>
  <si>
    <t>51-ПД/04-07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</si>
  <si>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</si>
  <si>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</si>
  <si>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</si>
  <si>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</si>
  <si>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</si>
  <si>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</si>
  <si>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</si>
  <si>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</si>
  <si>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УФК по Тверской области г. Тверь</t>
  </si>
  <si>
    <t>Административное здание 
по пр-ту Победы, 35</t>
  </si>
  <si>
    <t>98-ТП/11-07</t>
  </si>
  <si>
    <t>ООО "Коммунальщик"</t>
  </si>
  <si>
    <t>магазин продовольственных товаров, ул. 1-я Суворова, д.16</t>
  </si>
  <si>
    <t>342-ТП/10-09</t>
  </si>
  <si>
    <t>Баглай С.А.</t>
  </si>
  <si>
    <t>производственно-складская база, г.Тверь, ул.Коминтерна, 23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</si>
  <si>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</si>
  <si>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</si>
  <si>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</si>
  <si>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</si>
  <si>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</si>
  <si>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</si>
  <si>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</si>
  <si>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</si>
  <si>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С.В. Шумаков</t>
  </si>
  <si>
    <t>Дилерский центр по продаже л/ автомобилей</t>
  </si>
  <si>
    <t>99-ТП/12-07</t>
  </si>
  <si>
    <t>ООО "Финанс Инвест"</t>
  </si>
  <si>
    <t>1 очередь ж/комплекса, Тверь, Оснабрюкская</t>
  </si>
  <si>
    <t>109-ТП/12-07</t>
  </si>
  <si>
    <t>ООО "Проект Инвест-2"</t>
  </si>
  <si>
    <t>Строительные механизмы, Тверь, Оснабрюкская</t>
  </si>
  <si>
    <t>195-ТП/07-08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</si>
  <si>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</si>
  <si>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</si>
  <si>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</si>
  <si>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1 очередь жилого комплекса г.Тверь, ул.Оснабрюкская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</si>
  <si>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</si>
  <si>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</si>
  <si>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</si>
  <si>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</si>
  <si>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</si>
  <si>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</si>
  <si>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Департамент, архитекруры и стр-тва г.Твери</t>
  </si>
  <si>
    <t>водозаборная насосная станция № 2 в Палкино и в Никольском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</si>
  <si>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</si>
  <si>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</si>
  <si>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</si>
  <si>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</si>
  <si>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ж/дом по ул. Дачная-Первитинская</t>
  </si>
  <si>
    <t>343-тп/10-09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</si>
  <si>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</si>
  <si>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</si>
  <si>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</si>
  <si>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</si>
  <si>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</si>
  <si>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</si>
  <si>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</si>
  <si>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</si>
  <si>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</si>
  <si>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</si>
  <si>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</si>
  <si>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</si>
  <si>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</si>
  <si>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</si>
  <si>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</si>
  <si>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</si>
  <si>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</si>
  <si>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ГРП № 3, г. Калязин</t>
  </si>
  <si>
    <t>24-ТП/11-06</t>
  </si>
  <si>
    <t>ГРП № 2, г. Калязин</t>
  </si>
  <si>
    <t>25-ТП/11-06</t>
  </si>
  <si>
    <t>СНП Новово</t>
  </si>
  <si>
    <t xml:space="preserve">Садоводч.х-во, Каляз.р-н, вбл. д. Благуново </t>
  </si>
  <si>
    <t>23-ТП/11-06</t>
  </si>
  <si>
    <t>садоводч. посёлок, вбл.д.Благуново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</si>
  <si>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</si>
  <si>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</si>
  <si>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</si>
  <si>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</si>
  <si>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</si>
  <si>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</si>
  <si>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</si>
  <si>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</si>
  <si>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</si>
  <si>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</si>
  <si>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</si>
  <si>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</si>
  <si>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</si>
  <si>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 "Молочные реки"</t>
  </si>
  <si>
    <t>11 жилых домов, Твеская обл., Калязинский р-н, Старобисловское с/п, в р-не Болдиново</t>
  </si>
  <si>
    <t>СНТ "Речные просторы"</t>
  </si>
  <si>
    <t>331-ТП/09-09</t>
  </si>
  <si>
    <t>ЗАО Базис-Диалог</t>
  </si>
  <si>
    <t>ЗАО Базис Диалог</t>
  </si>
  <si>
    <t>Алпатиков Ф. С., Кравцов А. С., Соловьев В. П.</t>
  </si>
  <si>
    <t>ж/дома, Калязин. р-н, вбл.д.Вески-Поречские</t>
  </si>
  <si>
    <t>142-ТП/02-08</t>
  </si>
  <si>
    <t>пристройка к школе, Кесова Гора, Ленинградская</t>
  </si>
  <si>
    <t>186-ТП/06-08</t>
  </si>
  <si>
    <t>ИП Корчак</t>
  </si>
  <si>
    <t>цех</t>
  </si>
  <si>
    <t>ООО Дорожная строительная компания</t>
  </si>
  <si>
    <t>производств объекты, п Кесова Гора, Строительная 34</t>
  </si>
  <si>
    <t>251-ТП/12-08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</si>
  <si>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</si>
  <si>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</si>
  <si>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</si>
  <si>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</si>
  <si>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</si>
  <si>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</si>
  <si>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</si>
  <si>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</si>
  <si>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</si>
  <si>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Науч.пр.лаборатория дичеразв(Алискеров)</t>
  </si>
  <si>
    <t>адм.база,  р-н н/п Марково и д.Нивы</t>
  </si>
  <si>
    <t>71-ТП/09-07</t>
  </si>
  <si>
    <t xml:space="preserve"> ООО "АНХК"</t>
  </si>
  <si>
    <t>н/п з-д, д.Соболево</t>
  </si>
  <si>
    <t>201-ТП/07/08</t>
  </si>
  <si>
    <t xml:space="preserve">ООО "Андреапольский ДОК"               </t>
  </si>
  <si>
    <t>Произв.база,  ул. 50 лет Октября, 1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</si>
  <si>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</si>
  <si>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</si>
  <si>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</si>
  <si>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</si>
  <si>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</si>
  <si>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</si>
  <si>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</si>
  <si>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</si>
  <si>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</si>
  <si>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</si>
  <si>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</si>
  <si>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</si>
  <si>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ГОУ ВПО Тверской университет</t>
  </si>
  <si>
    <t>ООО "ГОЭЛРО"</t>
  </si>
  <si>
    <t>Многоэтажная жилая застройка г.Тверь, ул.Луначарского</t>
  </si>
  <si>
    <t>165-ТП/04-08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</si>
  <si>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</si>
  <si>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</si>
  <si>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</si>
  <si>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ЗАО ПКФ «АЛ» филиал РТБК «Околица»</t>
  </si>
  <si>
    <t>нежилое здание по 1-му пер. Вагонников</t>
  </si>
  <si>
    <t>277/1-ТП/03-09</t>
  </si>
  <si>
    <t>ООО Атлантис -Плюс</t>
  </si>
  <si>
    <t>ж/ дом по ул. Луначарского, 32</t>
  </si>
  <si>
    <t>294-ТП/05-09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</si>
  <si>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</si>
  <si>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</si>
  <si>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</si>
  <si>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</si>
  <si>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</si>
  <si>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</si>
  <si>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</si>
  <si>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 xml:space="preserve">Адм-складское здание почтово-обраб. комплекса, Тверь, Московск. ш, 5  </t>
  </si>
  <si>
    <t>80-ТП/10-07</t>
  </si>
  <si>
    <t>ЗАО "ДКС"</t>
  </si>
  <si>
    <t>Объекты предприятия,  Тверь, Б. Перемерки, Бочкина 15</t>
  </si>
  <si>
    <t>102-ТП/12-07</t>
  </si>
  <si>
    <t>ОАО Бетиз-ЖБИ</t>
  </si>
  <si>
    <t>реконструкция цеха, Тверь, Сердюковская, 15</t>
  </si>
  <si>
    <t>257-ТП/12-08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</si>
  <si>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</si>
  <si>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</si>
  <si>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</si>
  <si>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</si>
  <si>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ТГОИ "Инвастрой"</t>
  </si>
  <si>
    <t>1-я очередь жилого дома в г. Тверь, ул. Московская, д. 1</t>
  </si>
  <si>
    <t>66-ТП/08-07</t>
  </si>
  <si>
    <t>Тришанкова Е.Ю.</t>
  </si>
  <si>
    <t>база отдыха "Усадьба Фонвизина", Калязин. Р-н д.Н.Окатово</t>
  </si>
  <si>
    <t>321-ТП/09-09</t>
  </si>
  <si>
    <t>жилой дом с надворными постройками_Бельский район, Демяховское с/п, дер. Рожино, ул. Центральная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</si>
  <si>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</si>
  <si>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</si>
  <si>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</si>
  <si>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</si>
  <si>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</si>
  <si>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</si>
  <si>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</si>
  <si>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</si>
  <si>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Никифоров А.В.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</si>
  <si>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</si>
  <si>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</si>
  <si>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</si>
  <si>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ООО "Селянка"</t>
  </si>
  <si>
    <t>птичник №1, №2, В.Волоцкий р-н, д.Дятлово</t>
  </si>
  <si>
    <t>СНТ "Солнечный"</t>
  </si>
  <si>
    <t>ООО "Ерофеево"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</si>
  <si>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</si>
  <si>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</si>
  <si>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</si>
  <si>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</si>
  <si>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</si>
  <si>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</si>
  <si>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</si>
  <si>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</si>
  <si>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Строительные механизмы жилой застройки, Тверская обл., Калининский р-н, д. Ямок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</si>
  <si>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</si>
  <si>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</si>
  <si>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</si>
  <si>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</si>
  <si>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</si>
  <si>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</si>
  <si>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</si>
  <si>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</si>
  <si>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</si>
  <si>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Управление образования Администрации Конаковского района Тверской области</t>
  </si>
  <si>
    <t>участок, Рамешковский р-н, д.Селище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</si>
  <si>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</si>
  <si>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</si>
  <si>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</si>
  <si>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</si>
  <si>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</si>
  <si>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</si>
  <si>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</si>
  <si>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</si>
  <si>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</si>
  <si>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</si>
  <si>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Отделение УФК по Конаковскому р-ну</t>
  </si>
  <si>
    <t>Тверская обл., г. Конаково, ул. Первомайская, д. 20-а</t>
  </si>
  <si>
    <t>105-ТП/12-07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</si>
  <si>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</si>
  <si>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</si>
  <si>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</si>
  <si>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</si>
  <si>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</si>
  <si>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</si>
  <si>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</si>
  <si>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</si>
  <si>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</si>
  <si>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</si>
  <si>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</si>
  <si>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</si>
  <si>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«Ю - Тверь»</t>
  </si>
  <si>
    <t>АЗК № 7,Конаковский р-он, дер. Кошелево</t>
  </si>
  <si>
    <t>306-ТП/07-09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</si>
  <si>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</si>
  <si>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</si>
  <si>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</si>
  <si>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</si>
  <si>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</si>
  <si>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МАЗК с придорож. Сервисом Конаковский роайон п. Мокшино, 117+600 право</t>
  </si>
  <si>
    <t>308/1-ТП/08-09</t>
  </si>
  <si>
    <t>ООО "ТрастСтройИнвест"</t>
  </si>
  <si>
    <t>водозабороное устройство, Конаковский район, Мокшинское с/п, р-н д. Архангельское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</si>
  <si>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</si>
  <si>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</si>
  <si>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</si>
  <si>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</si>
  <si>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</si>
  <si>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</si>
  <si>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</si>
  <si>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</si>
  <si>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</si>
  <si>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</si>
  <si>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</si>
  <si>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</si>
  <si>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</si>
  <si>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</si>
  <si>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</si>
  <si>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</si>
  <si>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</si>
  <si>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</si>
  <si>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</si>
  <si>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</si>
  <si>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</si>
  <si>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</si>
  <si>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</si>
  <si>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</si>
  <si>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</si>
  <si>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</si>
  <si>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</si>
  <si>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</si>
  <si>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</si>
  <si>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</si>
  <si>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</si>
  <si>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</si>
  <si>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</si>
  <si>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</si>
  <si>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</si>
  <si>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</si>
  <si>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</si>
  <si>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</si>
  <si>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</si>
  <si>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</si>
  <si>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</si>
  <si>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</si>
  <si>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Юркова Л. И.</t>
  </si>
  <si>
    <t>4 ж/дома, Конак.р-н, д.Ляпино</t>
  </si>
  <si>
    <t>48-ТП/04-07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</si>
  <si>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</si>
  <si>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</si>
  <si>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</si>
  <si>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</si>
  <si>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</si>
  <si>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</si>
  <si>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ПРО Горские устья</t>
  </si>
  <si>
    <t>застройка, Пено, Советская, 60</t>
  </si>
  <si>
    <t>73-ТП/09-07</t>
  </si>
  <si>
    <t xml:space="preserve">ИП Фролов С. С. </t>
  </si>
  <si>
    <t>пилорама п. Соблаго Пеновского района</t>
  </si>
  <si>
    <t>ООО "Фирма А.Р.Д."</t>
  </si>
  <si>
    <t>Многофункц.здание адм.-торг. назначения, Тверь, б.Цанова, 6, к 3</t>
  </si>
  <si>
    <t>ООО Квантум</t>
  </si>
  <si>
    <t>Торг-развл центр, б-р Цанова, 8</t>
  </si>
  <si>
    <t>44/1-ТП/02-07</t>
  </si>
  <si>
    <t>спорткомплекс, пос.Химинститут</t>
  </si>
  <si>
    <t>114-ТП/12-07</t>
  </si>
  <si>
    <t>Федотов В.В.</t>
  </si>
  <si>
    <t>административно-технический комплекс, г.Тверь, пос.Власьево, д.31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</si>
  <si>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</si>
  <si>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</si>
  <si>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</si>
  <si>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</si>
  <si>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</si>
  <si>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</si>
  <si>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</si>
  <si>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</si>
  <si>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</si>
  <si>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</si>
  <si>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</si>
  <si>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</si>
  <si>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</si>
  <si>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</si>
  <si>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</si>
  <si>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</si>
  <si>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Стадольникова Юлия Алексеевна</t>
  </si>
  <si>
    <t>склад - ангар</t>
  </si>
  <si>
    <t>ООО "Клайд"</t>
  </si>
  <si>
    <t xml:space="preserve">АЗС Тверская область, г.Тверь, Московский район, ул. Псковская
</t>
  </si>
  <si>
    <t>290-ТП/05-09</t>
  </si>
  <si>
    <t>ООО «Магазин № 50 «Продукты»»</t>
  </si>
  <si>
    <t>кафетерий, г. Тверь, бульвару Гусева, д. 39 Б</t>
  </si>
  <si>
    <t>261/1-ТП-12-08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</si>
  <si>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</si>
  <si>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</si>
  <si>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</si>
  <si>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</si>
  <si>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</si>
  <si>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</si>
  <si>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ООО Монтажстрой</t>
  </si>
  <si>
    <t>жилая застройка в Южном Д</t>
  </si>
  <si>
    <t>МУП "Тверьгорэлектро"</t>
  </si>
  <si>
    <t xml:space="preserve">ОАО "Тверьстрой" </t>
  </si>
  <si>
    <t>10-ти эт. ж/дом на 360 кв.,Тверь, Хромова, д.27</t>
  </si>
  <si>
    <t>150-ТП/12-07</t>
  </si>
  <si>
    <t>ЗАО «Спецстройтрест ЗАТО - Центр»</t>
  </si>
  <si>
    <t xml:space="preserve">126 кв.ж/дом и строит. Механизмы, Тверь, Артюхиной, 15 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</si>
  <si>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</si>
  <si>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</si>
  <si>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</si>
  <si>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</si>
  <si>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</si>
  <si>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</si>
  <si>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</si>
  <si>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</si>
  <si>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</si>
  <si>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</si>
  <si>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</si>
  <si>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</si>
  <si>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</si>
  <si>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</si>
  <si>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</si>
  <si>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</si>
  <si>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</si>
  <si>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</si>
  <si>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</si>
  <si>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</si>
  <si>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</si>
  <si>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</si>
  <si>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</si>
  <si>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</si>
  <si>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</si>
  <si>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</si>
  <si>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</si>
  <si>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</si>
  <si>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</si>
  <si>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</si>
  <si>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</si>
  <si>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</si>
  <si>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</si>
  <si>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</si>
  <si>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</si>
  <si>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</si>
  <si>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</si>
  <si>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</si>
  <si>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</si>
  <si>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</si>
  <si>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</si>
  <si>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</si>
  <si>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</si>
  <si>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</si>
  <si>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</si>
  <si>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</si>
  <si>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</si>
  <si>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</si>
  <si>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</si>
  <si>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</si>
  <si>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</si>
  <si>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</si>
  <si>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</si>
  <si>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</si>
  <si>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</si>
  <si>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</si>
  <si>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</si>
  <si>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</si>
  <si>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</si>
  <si>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</si>
  <si>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</si>
  <si>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</si>
  <si>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</si>
  <si>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</si>
  <si>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</si>
  <si>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</si>
  <si>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</si>
  <si>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</si>
  <si>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</si>
  <si>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</si>
  <si>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</si>
  <si>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</si>
  <si>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</si>
  <si>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</si>
  <si>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</si>
  <si>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</si>
  <si>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Установленная мощность по заключенным договорам и выданным ТУ на ТП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</si>
  <si>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</si>
  <si>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</si>
  <si>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</si>
  <si>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</si>
  <si>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</si>
  <si>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</si>
  <si>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</si>
  <si>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</si>
  <si>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</si>
  <si>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</si>
  <si>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</si>
  <si>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</si>
  <si>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</si>
  <si>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</si>
  <si>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</si>
  <si>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</si>
  <si>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</si>
  <si>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</si>
  <si>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</si>
  <si>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</si>
  <si>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</si>
  <si>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</si>
  <si>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</si>
  <si>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</si>
  <si>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</si>
  <si>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</si>
  <si>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</si>
  <si>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</si>
  <si>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</si>
  <si>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</si>
  <si>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</si>
  <si>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</si>
  <si>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</si>
  <si>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</si>
  <si>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</si>
  <si>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</si>
  <si>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</si>
  <si>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</si>
  <si>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</si>
  <si>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</si>
  <si>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</si>
  <si>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</si>
  <si>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</si>
  <si>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</si>
  <si>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</si>
  <si>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</si>
  <si>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</si>
  <si>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</si>
  <si>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</si>
  <si>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</si>
  <si>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</si>
  <si>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>ООО " Истоки"</t>
  </si>
  <si>
    <t>база отдыха, п.Солнечный</t>
  </si>
  <si>
    <t>ООО Петрол Люкс</t>
  </si>
  <si>
    <t>МАЗК</t>
  </si>
  <si>
    <t>36-ТП/01-07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</si>
  <si>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</si>
  <si>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</si>
  <si>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</si>
  <si>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профилакторий Рогозно, урочище "Остриха"</t>
  </si>
  <si>
    <t>85-ТП/11-07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</si>
  <si>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</si>
  <si>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</si>
  <si>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</si>
  <si>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</si>
  <si>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</si>
  <si>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</si>
  <si>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</si>
  <si>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</si>
  <si>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</si>
  <si>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</si>
  <si>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</si>
  <si>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</si>
  <si>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</si>
  <si>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</si>
  <si>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</si>
  <si>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</si>
  <si>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</si>
  <si>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</si>
  <si>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</si>
  <si>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</si>
  <si>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</si>
  <si>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</si>
  <si>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</si>
  <si>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</si>
  <si>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</si>
  <si>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</si>
  <si>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</si>
  <si>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</si>
  <si>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</si>
  <si>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</si>
  <si>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</si>
  <si>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</si>
  <si>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</si>
  <si>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</si>
  <si>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</si>
  <si>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Количество Закрытых ЦП</t>
  </si>
  <si>
    <t>2009 г</t>
  </si>
  <si>
    <t>2008 г</t>
  </si>
  <si>
    <t>2007 г</t>
  </si>
  <si>
    <t>ИТОГО</t>
  </si>
  <si>
    <t>2006 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</si>
  <si>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</si>
  <si>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</si>
  <si>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</si>
  <si>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</si>
  <si>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</si>
  <si>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</si>
  <si>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</si>
  <si>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</si>
  <si>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</si>
  <si>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</si>
  <si>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</si>
  <si>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</si>
  <si>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</si>
  <si>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</si>
  <si>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</si>
  <si>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</si>
  <si>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</si>
  <si>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</si>
  <si>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</si>
  <si>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</si>
  <si>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</si>
  <si>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</si>
  <si>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</si>
  <si>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</si>
  <si>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</si>
  <si>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</si>
  <si>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</si>
  <si>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ООО "ПАРМА"</t>
  </si>
  <si>
    <t>база отдыха_Торопецкий район, Шешуринское с/о, дер. Наговье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</si>
  <si>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</si>
  <si>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</si>
  <si>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</si>
  <si>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</si>
  <si>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2010 г</t>
  </si>
  <si>
    <t>2010 г.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</si>
  <si>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</si>
  <si>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</si>
  <si>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</si>
  <si>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</si>
  <si>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</si>
  <si>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</si>
  <si>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</si>
  <si>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</si>
  <si>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</si>
  <si>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44-ТП/02-07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</si>
  <si>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</si>
  <si>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</si>
  <si>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</si>
  <si>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</si>
  <si>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</si>
  <si>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 xml:space="preserve">ООО Территория </t>
  </si>
  <si>
    <t>стройплощадка, Ржев.р-н, д.Появилово</t>
  </si>
  <si>
    <t>189-ТП/06-08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</si>
  <si>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</si>
  <si>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</si>
  <si>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</si>
  <si>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</si>
  <si>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</si>
  <si>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</si>
  <si>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</si>
  <si>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</si>
  <si>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</si>
  <si>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</si>
  <si>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</si>
  <si>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</si>
  <si>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</si>
  <si>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</si>
  <si>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</si>
  <si>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</si>
  <si>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</si>
  <si>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</si>
  <si>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</si>
  <si>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</si>
  <si>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</si>
  <si>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</si>
  <si>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</si>
  <si>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</si>
  <si>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</si>
  <si>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</si>
  <si>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</si>
  <si>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</si>
  <si>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</si>
  <si>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</si>
  <si>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</si>
  <si>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</si>
  <si>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</si>
  <si>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</si>
  <si>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Элит сервис 1 пуск</t>
  </si>
  <si>
    <t>зона лесн., охотн. и сельск.х-ва,  д.Марково</t>
  </si>
  <si>
    <t>95-ТП/11-07</t>
  </si>
  <si>
    <t>ООО Элит сервис 2 пуск</t>
  </si>
  <si>
    <t>129-ТП/12-07</t>
  </si>
  <si>
    <t>ООО Элит сервис 3 пуск</t>
  </si>
  <si>
    <t>посёлок, д.Марково</t>
  </si>
  <si>
    <t>135-ТП/12-07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</si>
  <si>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</si>
  <si>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</si>
  <si>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</si>
  <si>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</si>
  <si>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</si>
  <si>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</si>
  <si>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</si>
  <si>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</si>
  <si>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</si>
  <si>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</si>
  <si>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</si>
  <si>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</si>
  <si>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</si>
  <si>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</si>
  <si>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</si>
  <si>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</si>
  <si>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</si>
  <si>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</si>
  <si>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</si>
  <si>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</si>
  <si>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</si>
  <si>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</si>
  <si>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</si>
  <si>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</si>
  <si>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</si>
  <si>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</si>
  <si>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</si>
  <si>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</si>
  <si>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</si>
  <si>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</si>
  <si>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</si>
  <si>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</si>
  <si>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</si>
  <si>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</si>
  <si>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</si>
  <si>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</si>
  <si>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</si>
  <si>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</si>
  <si>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</si>
  <si>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</si>
  <si>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</si>
  <si>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</si>
  <si>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</si>
  <si>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</si>
  <si>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</si>
  <si>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</si>
  <si>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</si>
  <si>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</si>
  <si>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</si>
  <si>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</si>
  <si>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</si>
  <si>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</si>
  <si>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</si>
  <si>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</si>
  <si>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</si>
  <si>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</si>
  <si>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</si>
  <si>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</si>
  <si>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</si>
  <si>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</si>
  <si>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</si>
  <si>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</si>
  <si>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</si>
  <si>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</si>
  <si>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</si>
  <si>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</si>
  <si>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</si>
  <si>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</si>
  <si>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</si>
  <si>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</si>
  <si>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</si>
  <si>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</si>
  <si>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</si>
  <si>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</si>
  <si>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</si>
  <si>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</si>
  <si>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</si>
  <si>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</si>
  <si>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</si>
  <si>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</si>
  <si>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</si>
  <si>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</si>
  <si>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</si>
  <si>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</si>
  <si>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</si>
  <si>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</si>
  <si>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</si>
  <si>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</si>
  <si>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</si>
  <si>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</si>
  <si>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</si>
  <si>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</si>
  <si>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</si>
  <si>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</si>
  <si>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</si>
  <si>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</si>
  <si>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</si>
  <si>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</si>
  <si>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</si>
  <si>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</si>
  <si>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</si>
  <si>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</si>
  <si>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</si>
  <si>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</si>
  <si>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</si>
  <si>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</si>
  <si>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</si>
  <si>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</si>
  <si>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</si>
  <si>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</si>
  <si>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</si>
  <si>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</si>
  <si>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</si>
  <si>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</si>
  <si>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</si>
  <si>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</si>
  <si>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</si>
  <si>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</si>
  <si>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</si>
  <si>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</si>
  <si>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</si>
  <si>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</si>
  <si>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</si>
  <si>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</si>
  <si>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</si>
  <si>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</si>
  <si>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</si>
  <si>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</si>
  <si>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</si>
  <si>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</si>
  <si>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</si>
  <si>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</si>
  <si>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</si>
  <si>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</si>
  <si>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</si>
  <si>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</si>
  <si>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</si>
  <si>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</si>
  <si>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</si>
  <si>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</si>
  <si>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</si>
  <si>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</si>
  <si>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</si>
  <si>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</si>
  <si>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</si>
  <si>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</si>
  <si>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</si>
  <si>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</si>
  <si>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</si>
  <si>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</si>
  <si>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</si>
  <si>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</si>
  <si>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</si>
  <si>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</si>
  <si>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</si>
  <si>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</si>
  <si>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</si>
  <si>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</si>
  <si>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</si>
  <si>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</si>
  <si>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</si>
  <si>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</si>
  <si>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</si>
  <si>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</si>
  <si>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</si>
  <si>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</si>
  <si>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</si>
  <si>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</si>
  <si>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"Камчатка"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</si>
  <si>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</si>
  <si>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</si>
  <si>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</si>
  <si>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</si>
  <si>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</si>
  <si>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</si>
  <si>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</si>
  <si>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</si>
  <si>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</si>
  <si>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</si>
  <si>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</si>
  <si>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</si>
  <si>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</si>
  <si>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</si>
  <si>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</si>
  <si>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</si>
  <si>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</si>
  <si>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</si>
  <si>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</si>
  <si>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</si>
  <si>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</si>
  <si>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</si>
  <si>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</si>
  <si>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</si>
  <si>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</si>
  <si>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</si>
  <si>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</si>
  <si>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</si>
  <si>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</si>
  <si>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</si>
  <si>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</si>
  <si>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</si>
  <si>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</si>
  <si>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</si>
  <si>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</si>
  <si>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</si>
  <si>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</si>
  <si>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</si>
  <si>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</si>
  <si>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</si>
  <si>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</si>
  <si>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</si>
  <si>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</si>
  <si>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</si>
  <si>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</si>
  <si>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</si>
  <si>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</si>
  <si>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</si>
  <si>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ООО "Лидер"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</si>
  <si>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</si>
  <si>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</si>
  <si>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</si>
  <si>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</si>
  <si>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</si>
  <si>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ООО "СКФ Тверь"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</si>
  <si>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</si>
  <si>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</si>
  <si>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</si>
  <si>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</si>
  <si>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</si>
  <si>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</si>
  <si>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</si>
  <si>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</si>
  <si>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40217613
(договор заключен 08.11.2010)</t>
  </si>
  <si>
    <t>40220455
(договор заключен 08.11.2010)</t>
  </si>
  <si>
    <t>40103778
(договор заключен 02.11.2010)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</si>
  <si>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</si>
  <si>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</si>
  <si>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</si>
  <si>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</si>
  <si>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</si>
  <si>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</si>
  <si>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</si>
  <si>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</si>
  <si>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</si>
  <si>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</si>
  <si>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</si>
  <si>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</si>
  <si>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</si>
  <si>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</si>
  <si>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</si>
  <si>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</si>
  <si>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</si>
  <si>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</si>
  <si>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</si>
  <si>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</si>
  <si>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</si>
  <si>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</si>
  <si>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</si>
  <si>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</si>
  <si>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</si>
  <si>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</si>
  <si>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</si>
  <si>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</si>
  <si>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</si>
  <si>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</si>
  <si>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</si>
  <si>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</si>
  <si>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</si>
  <si>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</si>
  <si>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</si>
  <si>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</si>
  <si>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</si>
  <si>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</si>
  <si>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</si>
  <si>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</si>
  <si>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</si>
  <si>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</si>
  <si>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</si>
  <si>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</si>
  <si>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</si>
  <si>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</si>
  <si>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</si>
  <si>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</si>
  <si>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</si>
  <si>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</si>
  <si>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</si>
  <si>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</si>
  <si>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</si>
  <si>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</si>
  <si>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</si>
  <si>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</si>
  <si>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</si>
  <si>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</si>
  <si>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</si>
  <si>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</si>
  <si>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</si>
  <si>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</si>
  <si>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</si>
  <si>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СНТ_Тверская область, Калининский район, Красногорское с/п, дер. Некрасово (в ОРЗТП с 20.01.2011)</t>
  </si>
  <si>
    <t>МУ Администрация городского сельского поселения поселка Новозавидовский Конаковского района Тверской области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</si>
  <si>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</si>
  <si>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</si>
  <si>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</si>
  <si>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</si>
  <si>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</si>
  <si>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</si>
  <si>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</si>
  <si>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</si>
  <si>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</si>
  <si>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</si>
  <si>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</si>
  <si>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</si>
  <si>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</si>
  <si>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</si>
  <si>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</si>
  <si>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</si>
  <si>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</si>
  <si>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Павлов Игорь Вячеславович</t>
  </si>
  <si>
    <t>Скобелев Владимир Юрьевич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</si>
  <si>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</si>
  <si>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</si>
  <si>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</si>
  <si>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</si>
  <si>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</si>
  <si>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</si>
  <si>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</si>
  <si>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</si>
  <si>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</si>
  <si>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</si>
  <si>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</si>
  <si>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</si>
  <si>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320-ТП/09-09
(договор заключен 11.09.2009)</t>
  </si>
  <si>
    <t>ООО "Василево"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</si>
  <si>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</si>
  <si>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</si>
  <si>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</si>
  <si>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</si>
  <si>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</si>
  <si>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ООО "Атлант"</t>
  </si>
  <si>
    <t xml:space="preserve"> исправительная колония № 10, Калининский р-н, п.Металлистов 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</si>
  <si>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</si>
  <si>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</si>
  <si>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</si>
  <si>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</si>
  <si>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</si>
  <si>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</si>
  <si>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</si>
  <si>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</si>
  <si>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</si>
  <si>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</si>
  <si>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</si>
  <si>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</si>
  <si>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</si>
  <si>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</si>
  <si>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</si>
  <si>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</si>
  <si>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</si>
  <si>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</si>
  <si>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</si>
  <si>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</si>
  <si>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</si>
  <si>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</si>
  <si>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</si>
  <si>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</si>
  <si>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</si>
  <si>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Сельскохозяйственный производственный кооператив "Красный октябрь"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</si>
  <si>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</si>
  <si>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</si>
  <si>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</si>
  <si>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</si>
  <si>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</si>
  <si>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</si>
  <si>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</si>
  <si>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</si>
  <si>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</si>
  <si>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</si>
  <si>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</si>
  <si>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</si>
  <si>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</si>
  <si>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</si>
  <si>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</si>
  <si>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</si>
  <si>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</si>
  <si>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</si>
  <si>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</si>
  <si>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</si>
  <si>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</si>
  <si>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</si>
  <si>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</si>
  <si>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</si>
  <si>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</si>
  <si>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</si>
  <si>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</si>
  <si>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</si>
  <si>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</si>
  <si>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</si>
  <si>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</si>
  <si>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</si>
  <si>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</si>
  <si>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</si>
  <si>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</si>
  <si>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</si>
  <si>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</si>
  <si>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</si>
  <si>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</si>
  <si>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</si>
  <si>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</si>
  <si>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</si>
  <si>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</si>
  <si>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</si>
  <si>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</si>
  <si>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</si>
  <si>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</si>
  <si>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</si>
  <si>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</si>
  <si>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</si>
  <si>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</si>
  <si>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</si>
  <si>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</si>
  <si>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</si>
  <si>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</si>
  <si>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</si>
  <si>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</si>
  <si>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</si>
  <si>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</si>
  <si>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</si>
  <si>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</si>
  <si>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</si>
  <si>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</si>
  <si>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</si>
  <si>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</si>
  <si>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</si>
  <si>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</si>
  <si>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</si>
  <si>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</si>
  <si>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</si>
  <si>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</si>
  <si>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</si>
  <si>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</si>
  <si>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</si>
  <si>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</si>
  <si>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</si>
  <si>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</si>
  <si>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</si>
  <si>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</si>
  <si>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</si>
  <si>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</si>
  <si>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</si>
  <si>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</si>
  <si>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</si>
  <si>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</si>
  <si>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</si>
  <si>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</si>
  <si>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</si>
  <si>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</si>
  <si>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</si>
  <si>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</si>
  <si>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</si>
  <si>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</si>
  <si>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</si>
  <si>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</si>
  <si>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</si>
  <si>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</si>
  <si>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</si>
  <si>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</si>
  <si>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ООО "ПоварЛюкс"</t>
  </si>
  <si>
    <t>ООО "Интек"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</si>
  <si>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</si>
  <si>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</si>
  <si>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</si>
  <si>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</si>
  <si>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</si>
  <si>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</si>
  <si>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</si>
  <si>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</si>
  <si>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</si>
  <si>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</si>
  <si>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</si>
  <si>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</si>
  <si>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</si>
  <si>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</si>
  <si>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</si>
  <si>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</si>
  <si>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</si>
  <si>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</si>
  <si>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</si>
  <si>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</si>
  <si>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</si>
  <si>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</si>
  <si>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Управление министерства внутренних дел Российской Федерации по Тверской области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</si>
  <si>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</si>
  <si>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</si>
  <si>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</si>
  <si>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</si>
  <si>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</si>
  <si>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</si>
  <si>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</si>
  <si>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</si>
  <si>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</si>
  <si>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</si>
  <si>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</si>
  <si>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</si>
  <si>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</si>
  <si>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</si>
  <si>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</si>
  <si>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</si>
  <si>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</si>
  <si>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</si>
  <si>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</si>
  <si>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</si>
  <si>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</si>
  <si>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</si>
  <si>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</si>
  <si>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</si>
  <si>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</si>
  <si>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</si>
  <si>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</si>
  <si>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</si>
  <si>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</si>
  <si>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</si>
  <si>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</si>
  <si>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</si>
  <si>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</si>
  <si>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</si>
  <si>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</si>
  <si>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</si>
  <si>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</si>
  <si>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</si>
  <si>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</si>
  <si>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</si>
  <si>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</si>
  <si>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</si>
  <si>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</si>
  <si>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</si>
  <si>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</si>
  <si>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</si>
  <si>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</si>
  <si>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</si>
  <si>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</si>
  <si>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</si>
  <si>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</si>
  <si>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</si>
  <si>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</si>
  <si>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</si>
  <si>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</si>
  <si>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</si>
  <si>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</si>
  <si>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</si>
  <si>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</si>
  <si>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</si>
  <si>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</si>
  <si>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</si>
  <si>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</si>
  <si>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</si>
  <si>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</si>
  <si>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</si>
  <si>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</si>
  <si>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</si>
  <si>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</si>
  <si>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</si>
  <si>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</si>
  <si>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</si>
  <si>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</si>
  <si>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</si>
  <si>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</si>
  <si>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</si>
  <si>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</si>
  <si>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</si>
  <si>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</si>
  <si>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>СНТ "Металлист"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</si>
  <si>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</si>
  <si>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</si>
  <si>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</si>
  <si>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</si>
  <si>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</si>
  <si>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</si>
  <si>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</si>
  <si>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</si>
  <si>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</si>
  <si>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</si>
  <si>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</si>
  <si>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</si>
  <si>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</si>
  <si>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</si>
  <si>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</si>
  <si>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</si>
  <si>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</si>
  <si>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</si>
  <si>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</si>
  <si>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</si>
  <si>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</si>
  <si>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</si>
  <si>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</si>
  <si>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</si>
  <si>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</si>
  <si>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</si>
  <si>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</si>
  <si>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</si>
  <si>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</si>
  <si>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</si>
  <si>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</si>
  <si>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</si>
  <si>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</si>
  <si>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</si>
  <si>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</si>
  <si>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</si>
  <si>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</si>
  <si>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</si>
  <si>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</si>
  <si>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</si>
  <si>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</si>
  <si>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</si>
  <si>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</si>
  <si>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</si>
  <si>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</si>
  <si>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</si>
  <si>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</si>
  <si>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</si>
  <si>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</si>
  <si>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ОАО "РЖД"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</si>
  <si>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</si>
  <si>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</si>
  <si>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</si>
  <si>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</si>
  <si>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</si>
  <si>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</si>
  <si>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</si>
  <si>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</si>
  <si>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</si>
  <si>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</si>
  <si>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</si>
  <si>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</si>
  <si>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Ошиновка, шины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</si>
  <si>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</si>
  <si>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</si>
  <si>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</si>
  <si>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</si>
  <si>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</si>
  <si>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</si>
  <si>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</si>
  <si>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40488265
(договор заключен 30.01.2012)</t>
  </si>
  <si>
    <t>40492022
(договор заключен 31.01.2012)</t>
  </si>
  <si>
    <t>40466272
(договор заключен 02.02.2012)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</si>
  <si>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</si>
  <si>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</si>
  <si>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Детский сад на 120 мест_Тверская область, Конаковский район, Мокшинское с/п, дер. Мокшино (в ОРЗТП с 16.02.2012)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</si>
  <si>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</si>
  <si>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</si>
  <si>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</si>
  <si>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</si>
  <si>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</si>
  <si>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</si>
  <si>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</si>
  <si>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</si>
  <si>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</si>
  <si>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</si>
  <si>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</si>
  <si>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</si>
  <si>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</si>
  <si>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</si>
  <si>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</si>
  <si>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</si>
  <si>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</si>
  <si>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</si>
  <si>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</si>
  <si>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</si>
  <si>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</si>
  <si>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</si>
  <si>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</si>
  <si>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</si>
  <si>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</si>
  <si>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</si>
  <si>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</si>
  <si>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</si>
  <si>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</si>
  <si>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</si>
  <si>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</si>
  <si>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</si>
  <si>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</si>
  <si>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</si>
  <si>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</si>
  <si>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</si>
  <si>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</si>
  <si>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</si>
  <si>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</si>
  <si>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</si>
  <si>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</si>
  <si>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</si>
  <si>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</si>
  <si>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</si>
  <si>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</si>
  <si>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</si>
  <si>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</si>
  <si>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сад.тов-во "Княжеская поляна", Зубцовский район, Княжьегорское с/п_в ОРЗТП с 13.03.2012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</si>
  <si>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</si>
  <si>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</si>
  <si>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</si>
  <si>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</si>
  <si>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спортзал, п.Максатиха, Красноармейская, 58-а (земельный участок с кадастровым номером 69:20:070127:0060)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</si>
  <si>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</si>
  <si>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</si>
  <si>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</si>
  <si>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</si>
  <si>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</si>
  <si>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40531682
(договор заключен 18.04.2012)</t>
  </si>
  <si>
    <t>Фролов А.Ю.</t>
  </si>
  <si>
    <t>40532200
(договор заключен 18.04.2012)</t>
  </si>
  <si>
    <t>40500183
(договор заключен 24.04.2012)</t>
  </si>
  <si>
    <t>40524643
(договор заключен 25.04.2012)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</si>
  <si>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</si>
  <si>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Коттеджный поселок с зоной рекреации_Тверская область, Калининский район, с/п Каблуковское, дер. Орша
(в ОРЗТП с 17.04.2012)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</si>
  <si>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</si>
  <si>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</si>
  <si>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</si>
  <si>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</si>
  <si>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</si>
  <si>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</si>
  <si>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</si>
  <si>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</si>
  <si>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</si>
  <si>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</si>
  <si>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</si>
  <si>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</si>
  <si>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</si>
  <si>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</si>
  <si>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</si>
  <si>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</si>
  <si>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</si>
  <si>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</si>
  <si>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</si>
  <si>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</si>
  <si>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"Шинэнергоснаб"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</si>
  <si>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</si>
  <si>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</si>
  <si>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</si>
  <si>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</si>
  <si>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</si>
  <si>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</si>
  <si>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</si>
  <si>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</si>
  <si>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</si>
  <si>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</si>
  <si>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</si>
  <si>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</si>
  <si>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</si>
  <si>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</si>
  <si>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</si>
  <si>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</si>
  <si>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</si>
  <si>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</si>
  <si>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</si>
  <si>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</si>
  <si>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</si>
  <si>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</si>
  <si>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</si>
  <si>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</si>
  <si>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</si>
  <si>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</si>
  <si>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Текущий статус</t>
  </si>
  <si>
    <t>Перспективный статус</t>
  </si>
  <si>
    <t>Широта</t>
  </si>
  <si>
    <t>Долгота</t>
  </si>
  <si>
    <t>7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</si>
  <si>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</si>
  <si>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</si>
  <si>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</si>
  <si>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</si>
  <si>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</si>
  <si>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</si>
  <si>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</si>
  <si>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</si>
  <si>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</si>
  <si>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</si>
  <si>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</si>
  <si>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</si>
  <si>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</si>
  <si>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</si>
  <si>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</si>
  <si>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</si>
  <si>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</si>
  <si>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</si>
  <si>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</si>
  <si>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</si>
  <si>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</si>
  <si>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</si>
  <si>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</si>
  <si>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</si>
  <si>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</si>
  <si>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</si>
  <si>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</si>
  <si>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</si>
  <si>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</si>
  <si>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</si>
  <si>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</si>
  <si>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</si>
  <si>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</si>
  <si>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</si>
  <si>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</si>
  <si>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</si>
  <si>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</si>
  <si>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</si>
  <si>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</si>
  <si>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</si>
  <si>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</si>
  <si>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</si>
  <si>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</si>
  <si>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</si>
  <si>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</si>
  <si>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</si>
  <si>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"Дружба"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</si>
  <si>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</si>
  <si>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</si>
  <si>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</si>
  <si>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</si>
  <si>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</si>
  <si>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</si>
  <si>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</si>
  <si>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40632055
(договор заключен 10.10.2012)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</si>
  <si>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</si>
  <si>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</si>
  <si>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</si>
  <si>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</si>
  <si>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</si>
  <si>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</si>
  <si>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</si>
  <si>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</si>
  <si>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</si>
  <si>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</si>
  <si>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</si>
  <si>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</si>
  <si>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</si>
  <si>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закрыт</t>
  </si>
  <si>
    <t>Тверская обл., Лихославльский р-н, Сосновицкое с/п, д. Михайлова Гора_в ОРЗТП с 28.11.2012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</si>
  <si>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</si>
  <si>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</si>
  <si>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</si>
  <si>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</si>
  <si>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</si>
  <si>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</si>
  <si>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</si>
  <si>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</si>
  <si>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</si>
  <si>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</si>
  <si>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</si>
  <si>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</si>
  <si>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</si>
  <si>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</si>
  <si>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</si>
  <si>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</si>
  <si>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</si>
  <si>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</si>
  <si>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</si>
  <si>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</si>
  <si>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</si>
  <si>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</si>
  <si>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</si>
  <si>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</si>
  <si>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</si>
  <si>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</si>
  <si>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</si>
  <si>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</si>
  <si>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</si>
  <si>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</si>
  <si>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</si>
  <si>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</si>
  <si>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</si>
  <si>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</si>
  <si>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</si>
  <si>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</si>
  <si>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"ГРАНД МАРИН ЗАВИДОВО"</t>
  </si>
  <si>
    <t>40647388
(договор заключен 07.12.12)</t>
  </si>
  <si>
    <t>40676772
(договор заключен 12.12.12)</t>
  </si>
  <si>
    <t>40620978
(договор заключен 13.12.2012)</t>
  </si>
  <si>
    <t>40632634
(договор заключен 24.12.2012)</t>
  </si>
  <si>
    <t>счетчик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</si>
  <si>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</si>
  <si>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</si>
  <si>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</si>
  <si>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</si>
  <si>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</si>
  <si>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</si>
  <si>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</si>
  <si>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</si>
  <si>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ООО "Торг-Импекс"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</si>
  <si>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</si>
  <si>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</si>
  <si>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</si>
  <si>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</si>
  <si>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</si>
  <si>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</si>
  <si>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</si>
  <si>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</si>
  <si>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</si>
  <si>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</si>
  <si>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</si>
  <si>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</si>
  <si>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</si>
  <si>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</si>
  <si>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</si>
  <si>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</si>
  <si>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</si>
  <si>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</si>
  <si>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</si>
  <si>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Две ЛЭП-6 кВ и распределительная сеть 6-0,4 кВ_Тверская область, Конаковский район р-н, п. Редкино_в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</si>
  <si>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</si>
  <si>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</si>
  <si>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</si>
  <si>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</si>
  <si>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</si>
  <si>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</si>
  <si>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</si>
  <si>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>ЗАО "ИКС 5 Недвижимость"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</si>
  <si>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</si>
  <si>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</si>
  <si>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</si>
  <si>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</si>
  <si>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</si>
  <si>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</si>
  <si>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</si>
  <si>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</si>
  <si>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</si>
  <si>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</si>
  <si>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</si>
  <si>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</si>
  <si>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</si>
  <si>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</si>
  <si>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</si>
  <si>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Чумаков Александр Владимирович</t>
  </si>
  <si>
    <t>40694120
(договор заключен 26.02.2013)</t>
  </si>
  <si>
    <t xml:space="preserve">2013 г. </t>
  </si>
  <si>
    <t>40700970
(договор заключен 15.03.2013)</t>
  </si>
  <si>
    <t>40690548
(договор заключен 15.03.2013)</t>
  </si>
  <si>
    <t>40660000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</si>
  <si>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</si>
  <si>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</si>
  <si>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</si>
  <si>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</si>
  <si>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</si>
  <si>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</si>
  <si>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</si>
  <si>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</si>
  <si>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</si>
  <si>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</si>
  <si>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</si>
  <si>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</si>
  <si>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</si>
  <si>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</si>
  <si>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</si>
  <si>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</si>
  <si>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</si>
  <si>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</si>
  <si>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</si>
  <si>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</si>
  <si>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</si>
  <si>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</si>
  <si>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</si>
  <si>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</si>
  <si>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</si>
  <si>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</si>
  <si>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</si>
  <si>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</si>
  <si>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</si>
  <si>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</si>
  <si>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</si>
  <si>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</si>
  <si>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</si>
  <si>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</si>
  <si>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</si>
  <si>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</si>
  <si>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</si>
  <si>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</si>
  <si>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</si>
  <si>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</si>
  <si>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</si>
  <si>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</si>
  <si>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</si>
  <si>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</si>
  <si>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</si>
  <si>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</si>
  <si>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</si>
  <si>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</si>
  <si>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</si>
  <si>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</si>
  <si>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</si>
  <si>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</si>
  <si>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</si>
  <si>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</si>
  <si>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</si>
  <si>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</si>
  <si>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</si>
  <si>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</si>
  <si>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</si>
  <si>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</si>
  <si>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</si>
  <si>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</si>
  <si>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</si>
  <si>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</si>
  <si>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</si>
  <si>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</si>
  <si>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</si>
  <si>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</si>
  <si>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</si>
  <si>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</si>
  <si>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</si>
  <si>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</si>
  <si>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</si>
  <si>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</si>
  <si>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</si>
  <si>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</si>
  <si>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</si>
  <si>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</si>
  <si>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</si>
  <si>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</si>
  <si>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</si>
  <si>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</si>
  <si>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</si>
  <si>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</si>
  <si>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</si>
  <si>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</si>
  <si>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</si>
  <si>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</si>
  <si>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</si>
  <si>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</si>
  <si>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</si>
  <si>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</si>
  <si>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</si>
  <si>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</si>
  <si>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</si>
  <si>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</si>
  <si>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</si>
  <si>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</si>
  <si>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</si>
  <si>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</si>
  <si>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</si>
  <si>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</si>
  <si>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</si>
  <si>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</si>
  <si>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</si>
  <si>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</si>
  <si>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</si>
  <si>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</si>
  <si>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>Установленная мощность трансформаторов</t>
  </si>
  <si>
    <t>Существующая нагрузка по замерам, МВА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</si>
  <si>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</si>
  <si>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</si>
  <si>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</si>
  <si>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</si>
  <si>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</si>
  <si>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</si>
  <si>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</si>
  <si>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</si>
  <si>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</si>
  <si>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</si>
  <si>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</si>
  <si>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</si>
  <si>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</si>
  <si>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</si>
  <si>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</si>
  <si>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</si>
  <si>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</si>
  <si>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</si>
  <si>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</si>
  <si>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</si>
  <si>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</si>
  <si>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</si>
  <si>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</si>
  <si>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</si>
  <si>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</si>
  <si>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</si>
  <si>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</si>
  <si>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</si>
  <si>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</si>
  <si>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</si>
  <si>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</si>
  <si>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</si>
  <si>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</si>
  <si>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</si>
  <si>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</si>
  <si>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</si>
  <si>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</si>
  <si>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</si>
  <si>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</si>
  <si>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</si>
  <si>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</si>
  <si>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</si>
  <si>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</si>
  <si>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</si>
  <si>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</si>
  <si>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</si>
  <si>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</si>
  <si>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</si>
  <si>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</si>
  <si>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</si>
  <si>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</si>
  <si>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</si>
  <si>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</si>
  <si>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</si>
  <si>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</si>
  <si>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</si>
  <si>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</si>
  <si>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</si>
  <si>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</si>
  <si>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</si>
  <si>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</si>
  <si>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</si>
  <si>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</si>
  <si>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</si>
  <si>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</si>
  <si>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</si>
  <si>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</si>
  <si>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</si>
  <si>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</si>
  <si>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</si>
  <si>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</si>
  <si>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</si>
  <si>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</si>
  <si>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</si>
  <si>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</si>
  <si>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</si>
  <si>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</si>
  <si>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</si>
  <si>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</si>
  <si>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</si>
  <si>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</si>
  <si>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</si>
  <si>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</si>
  <si>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</si>
  <si>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</si>
  <si>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</si>
  <si>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</si>
  <si>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</si>
  <si>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</si>
  <si>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</si>
  <si>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</si>
  <si>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</si>
  <si>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</si>
  <si>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</si>
  <si>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</si>
  <si>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</si>
  <si>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</si>
  <si>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</si>
  <si>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</si>
  <si>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</si>
  <si>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</si>
  <si>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</si>
  <si>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</si>
  <si>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</si>
  <si>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</si>
  <si>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</si>
  <si>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</si>
  <si>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</si>
  <si>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</si>
  <si>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</si>
  <si>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</si>
  <si>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</si>
  <si>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</si>
  <si>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</si>
  <si>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</si>
  <si>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</si>
  <si>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</si>
  <si>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</si>
  <si>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</si>
  <si>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</si>
  <si>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</si>
  <si>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</si>
  <si>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</si>
  <si>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</si>
  <si>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</si>
  <si>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</si>
  <si>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</si>
  <si>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</si>
  <si>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</si>
  <si>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</si>
  <si>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</si>
  <si>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</si>
  <si>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</si>
  <si>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</si>
  <si>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</si>
  <si>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</si>
  <si>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</si>
  <si>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</si>
  <si>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</si>
  <si>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</si>
  <si>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</si>
  <si>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</si>
  <si>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</si>
  <si>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</si>
  <si>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</si>
  <si>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</si>
  <si>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</si>
  <si>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</si>
  <si>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</si>
  <si>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</si>
  <si>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</si>
  <si>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</si>
  <si>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</si>
  <si>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</si>
  <si>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</si>
  <si>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</si>
  <si>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</si>
  <si>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</si>
  <si>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</si>
  <si>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</si>
  <si>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</si>
  <si>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</si>
  <si>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</si>
  <si>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</si>
  <si>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</si>
  <si>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</si>
  <si>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</si>
  <si>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</si>
  <si>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</si>
  <si>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</si>
  <si>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</si>
  <si>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</si>
  <si>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</si>
  <si>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</si>
  <si>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</si>
  <si>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</si>
  <si>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</si>
  <si>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</si>
  <si>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</si>
  <si>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</si>
  <si>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</si>
  <si>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</si>
  <si>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</si>
  <si>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</si>
  <si>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</si>
  <si>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</si>
  <si>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</si>
  <si>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</si>
  <si>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</si>
  <si>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</si>
  <si>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</si>
  <si>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</si>
  <si>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</si>
  <si>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</si>
  <si>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</si>
  <si>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</si>
  <si>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</si>
  <si>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</si>
  <si>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</si>
  <si>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</si>
  <si>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</si>
  <si>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</si>
  <si>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</si>
  <si>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</si>
  <si>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</si>
  <si>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</si>
  <si>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</si>
  <si>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</si>
  <si>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</si>
  <si>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</si>
  <si>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</si>
  <si>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</si>
  <si>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</si>
  <si>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</si>
  <si>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</si>
  <si>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</si>
  <si>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</si>
  <si>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</si>
  <si>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</si>
  <si>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</si>
  <si>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</si>
  <si>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</si>
  <si>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</si>
  <si>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</si>
  <si>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</si>
  <si>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</si>
  <si>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</si>
  <si>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</si>
  <si>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</si>
  <si>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</si>
  <si>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</si>
  <si>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</si>
  <si>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</si>
  <si>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</si>
  <si>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</si>
  <si>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</si>
  <si>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</si>
  <si>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</si>
  <si>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</si>
  <si>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</si>
  <si>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</si>
  <si>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</si>
  <si>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</si>
  <si>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</si>
  <si>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</si>
  <si>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</si>
  <si>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</si>
  <si>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</si>
  <si>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</si>
  <si>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</si>
  <si>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</si>
  <si>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</si>
  <si>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</si>
  <si>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</si>
  <si>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</si>
  <si>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</si>
  <si>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</si>
  <si>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</si>
  <si>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</si>
  <si>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</si>
  <si>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</si>
  <si>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</si>
  <si>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</si>
  <si>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</si>
  <si>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</si>
  <si>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</si>
  <si>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</si>
  <si>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</si>
  <si>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</si>
  <si>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</si>
  <si>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</si>
  <si>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</si>
  <si>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</si>
  <si>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</si>
  <si>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</si>
  <si>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</si>
  <si>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</si>
  <si>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</si>
  <si>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</si>
  <si>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</si>
  <si>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</si>
  <si>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</si>
  <si>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</si>
  <si>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</si>
  <si>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</si>
  <si>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</si>
  <si>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</si>
  <si>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</si>
  <si>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</si>
  <si>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</si>
  <si>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</si>
  <si>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</si>
  <si>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</si>
  <si>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</si>
  <si>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</si>
  <si>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</si>
  <si>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</si>
  <si>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</si>
  <si>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</si>
  <si>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</si>
  <si>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</si>
  <si>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</si>
  <si>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</si>
  <si>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</si>
  <si>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</si>
  <si>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</si>
  <si>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</si>
  <si>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</si>
  <si>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</si>
  <si>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</si>
  <si>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</si>
  <si>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</si>
  <si>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</si>
  <si>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</si>
  <si>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</si>
  <si>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</si>
  <si>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</si>
  <si>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</si>
  <si>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</si>
  <si>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</si>
  <si>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</si>
  <si>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</si>
  <si>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</si>
  <si>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</si>
  <si>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</si>
  <si>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</si>
  <si>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</si>
  <si>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</si>
  <si>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</si>
  <si>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</si>
  <si>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</si>
  <si>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</si>
  <si>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</si>
  <si>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</si>
  <si>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</si>
  <si>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</si>
  <si>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</si>
  <si>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</si>
  <si>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</si>
  <si>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</si>
  <si>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</si>
  <si>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</si>
  <si>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</si>
  <si>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</si>
  <si>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</si>
  <si>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</si>
  <si>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</si>
  <si>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</si>
  <si>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</si>
  <si>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</si>
  <si>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</si>
  <si>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</si>
  <si>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</si>
  <si>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</si>
  <si>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</si>
  <si>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</si>
  <si>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</si>
  <si>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</si>
  <si>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</si>
  <si>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</si>
  <si>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</si>
  <si>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</si>
  <si>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</si>
  <si>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</si>
  <si>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</si>
  <si>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</si>
  <si>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</si>
  <si>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</si>
  <si>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</si>
  <si>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</si>
  <si>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</si>
  <si>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</si>
  <si>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</si>
  <si>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</si>
  <si>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</si>
  <si>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</si>
  <si>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</si>
  <si>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</si>
  <si>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</si>
  <si>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</si>
  <si>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</si>
  <si>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</si>
  <si>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</si>
  <si>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</si>
  <si>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</si>
  <si>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</si>
  <si>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</si>
  <si>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</si>
  <si>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</si>
  <si>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</si>
  <si>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</si>
  <si>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</si>
  <si>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</si>
  <si>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</si>
  <si>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</si>
  <si>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</si>
  <si>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</si>
  <si>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</si>
  <si>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</si>
  <si>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</si>
  <si>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</si>
  <si>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</si>
  <si>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</si>
  <si>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</si>
  <si>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</si>
  <si>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</si>
  <si>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</si>
  <si>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</si>
  <si>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</si>
  <si>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</si>
  <si>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</si>
  <si>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</si>
  <si>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</si>
  <si>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</si>
  <si>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</si>
  <si>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</si>
  <si>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</si>
  <si>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</si>
  <si>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</si>
  <si>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</si>
  <si>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</si>
  <si>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</si>
  <si>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</si>
  <si>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</si>
  <si>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</si>
  <si>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</si>
  <si>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</si>
  <si>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</si>
  <si>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</si>
  <si>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</si>
  <si>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</si>
  <si>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</si>
  <si>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</si>
  <si>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</si>
  <si>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</si>
  <si>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</si>
  <si>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</si>
  <si>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</si>
  <si>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</si>
  <si>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</si>
  <si>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</si>
  <si>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</si>
  <si>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</si>
  <si>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</si>
  <si>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</si>
  <si>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</si>
  <si>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</si>
  <si>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</si>
  <si>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</si>
  <si>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</si>
  <si>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</si>
  <si>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</si>
  <si>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</si>
  <si>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</si>
  <si>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</si>
  <si>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</si>
  <si>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</si>
  <si>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</si>
  <si>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</si>
  <si>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</si>
  <si>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</si>
  <si>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</si>
  <si>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</si>
  <si>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</si>
  <si>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</si>
  <si>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</si>
  <si>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</si>
  <si>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</si>
  <si>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</si>
  <si>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</si>
  <si>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</si>
  <si>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</si>
  <si>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</si>
  <si>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</si>
  <si>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</si>
  <si>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</si>
  <si>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</si>
  <si>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</si>
  <si>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</si>
  <si>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</si>
  <si>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</si>
  <si>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</si>
  <si>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</si>
  <si>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</si>
  <si>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</si>
  <si>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</si>
  <si>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</si>
  <si>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</si>
  <si>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</si>
  <si>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</si>
  <si>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</si>
  <si>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</si>
  <si>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</si>
  <si>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</si>
  <si>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</si>
  <si>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</si>
  <si>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</si>
  <si>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</si>
  <si>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</si>
  <si>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</si>
  <si>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</si>
  <si>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</si>
  <si>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</si>
  <si>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</si>
  <si>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</si>
  <si>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</si>
  <si>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</si>
  <si>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</si>
  <si>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</si>
  <si>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</si>
  <si>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</si>
  <si>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</si>
  <si>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</si>
  <si>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</si>
  <si>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</si>
  <si>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</si>
  <si>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</si>
  <si>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</si>
  <si>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</si>
  <si>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</si>
  <si>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</si>
  <si>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</si>
  <si>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</si>
  <si>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</si>
  <si>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</si>
  <si>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</si>
  <si>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</si>
  <si>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</si>
  <si>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</si>
  <si>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</si>
  <si>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</si>
  <si>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</si>
  <si>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</si>
  <si>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</si>
  <si>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</si>
  <si>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</si>
  <si>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</si>
  <si>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</si>
  <si>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</si>
  <si>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</si>
  <si>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</si>
  <si>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</si>
  <si>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</si>
  <si>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</si>
  <si>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</si>
  <si>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</si>
  <si>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</si>
  <si>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</si>
  <si>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</si>
  <si>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</si>
  <si>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</si>
  <si>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</si>
  <si>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</si>
  <si>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</si>
  <si>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</si>
  <si>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</si>
  <si>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</si>
  <si>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</si>
  <si>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</si>
  <si>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</si>
  <si>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</si>
  <si>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</si>
  <si>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</si>
  <si>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</si>
  <si>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</si>
  <si>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</si>
  <si>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</si>
  <si>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</si>
  <si>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</si>
  <si>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</si>
  <si>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</si>
  <si>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</si>
  <si>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</si>
  <si>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</si>
  <si>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</si>
  <si>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</si>
  <si>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</si>
  <si>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</si>
  <si>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</si>
  <si>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</si>
  <si>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</si>
  <si>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</si>
  <si>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</si>
  <si>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</si>
  <si>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</si>
  <si>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</si>
  <si>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</si>
  <si>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</si>
  <si>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</si>
  <si>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</si>
  <si>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</si>
  <si>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</si>
  <si>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</si>
  <si>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</si>
  <si>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</si>
  <si>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</si>
  <si>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</si>
  <si>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</si>
  <si>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</si>
  <si>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</si>
  <si>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</si>
  <si>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</si>
  <si>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</si>
  <si>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</si>
  <si>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</si>
  <si>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</si>
  <si>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</si>
  <si>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</si>
  <si>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</si>
  <si>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</si>
  <si>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</si>
  <si>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</si>
  <si>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</si>
  <si>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</si>
  <si>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</si>
  <si>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</si>
  <si>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</si>
  <si>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</si>
  <si>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</si>
  <si>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</si>
  <si>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</si>
  <si>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</si>
  <si>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</si>
  <si>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</si>
  <si>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</si>
  <si>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</si>
  <si>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</si>
  <si>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</si>
  <si>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</si>
  <si>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</si>
  <si>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</si>
  <si>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</si>
  <si>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</si>
  <si>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</si>
  <si>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</si>
  <si>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</si>
  <si>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</si>
  <si>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</si>
  <si>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</si>
  <si>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</si>
  <si>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</si>
  <si>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</si>
  <si>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</si>
  <si>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</si>
  <si>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</si>
  <si>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</si>
  <si>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</si>
  <si>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</si>
  <si>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</si>
  <si>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</si>
  <si>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</si>
  <si>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</si>
  <si>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</si>
  <si>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</si>
  <si>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</si>
  <si>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</si>
  <si>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</si>
  <si>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</si>
  <si>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</si>
  <si>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</si>
  <si>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</si>
  <si>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</si>
  <si>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</si>
  <si>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</si>
  <si>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</si>
  <si>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</si>
  <si>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</si>
  <si>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</si>
  <si>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</si>
  <si>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</si>
  <si>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</si>
  <si>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</si>
  <si>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</si>
  <si>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</si>
  <si>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</si>
  <si>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</si>
  <si>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</si>
  <si>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</si>
  <si>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</si>
  <si>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</si>
  <si>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</si>
  <si>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с.Горицы</t>
  </si>
  <si>
    <t>д.Горожанкино</t>
  </si>
  <si>
    <t>д.Ярославец</t>
  </si>
  <si>
    <t>д.Кошкино</t>
  </si>
  <si>
    <t>д.Круглица</t>
  </si>
  <si>
    <t>д.Лыково</t>
  </si>
  <si>
    <t>КТП 127 Лыково</t>
  </si>
  <si>
    <t>д.Москвитино</t>
  </si>
  <si>
    <t>д.Паньсково</t>
  </si>
  <si>
    <t>д.Путышино</t>
  </si>
  <si>
    <t>д.Яковлевское</t>
  </si>
  <si>
    <t>д.Степаново</t>
  </si>
  <si>
    <t>д.Савино</t>
  </si>
  <si>
    <t>д.Овсевьево</t>
  </si>
  <si>
    <t>д.Сафоньево</t>
  </si>
  <si>
    <t>д.Подмошье</t>
  </si>
  <si>
    <t>д.Лазарево</t>
  </si>
  <si>
    <t>д.Ошитково</t>
  </si>
  <si>
    <t>д.Неверо-Бели</t>
  </si>
  <si>
    <t>д.Правда</t>
  </si>
  <si>
    <t>д.Сорокино</t>
  </si>
  <si>
    <t>д.Борисово</t>
  </si>
  <si>
    <t>д.Наумово</t>
  </si>
  <si>
    <t>д.Колково</t>
  </si>
  <si>
    <t>д.Глебово</t>
  </si>
  <si>
    <t>д.Раменье</t>
  </si>
  <si>
    <t>д.Якимцево</t>
  </si>
  <si>
    <t>д.Сиблово</t>
  </si>
  <si>
    <t>д.Збыневля</t>
  </si>
  <si>
    <t>д.Коршево</t>
  </si>
  <si>
    <t>д.Рыбушкино</t>
  </si>
  <si>
    <t>д.Лебзуново-Молоди</t>
  </si>
  <si>
    <t>д.Вереинка</t>
  </si>
  <si>
    <t>д.Киселево</t>
  </si>
  <si>
    <t>КТП-10кВ д.Киселево</t>
  </si>
  <si>
    <t>д.Татищево</t>
  </si>
  <si>
    <t>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</si>
  <si>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</si>
  <si>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</si>
  <si>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</si>
  <si>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</si>
  <si>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</si>
  <si>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</si>
  <si>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</si>
  <si>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</si>
  <si>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</si>
  <si>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</si>
  <si>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</si>
  <si>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</si>
  <si>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</si>
  <si>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</si>
  <si>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</si>
  <si>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</si>
  <si>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</si>
  <si>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</si>
  <si>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</si>
  <si>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</si>
  <si>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</si>
  <si>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</si>
  <si>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</si>
  <si>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</si>
  <si>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</si>
  <si>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</si>
  <si>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</si>
  <si>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</si>
  <si>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</si>
  <si>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</si>
  <si>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</si>
  <si>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</si>
  <si>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</si>
  <si>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</si>
  <si>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</si>
  <si>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</si>
  <si>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</si>
  <si>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</si>
  <si>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</si>
  <si>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</si>
  <si>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</si>
  <si>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</si>
  <si>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</si>
  <si>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</si>
  <si>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</si>
  <si>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</si>
  <si>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</si>
  <si>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</si>
  <si>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</si>
  <si>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</si>
  <si>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</si>
  <si>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</si>
  <si>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</si>
  <si>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</si>
  <si>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</si>
  <si>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</si>
  <si>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</si>
  <si>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</si>
  <si>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</si>
  <si>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</si>
  <si>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</si>
  <si>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</si>
  <si>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</si>
  <si>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</si>
  <si>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</si>
  <si>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</si>
  <si>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</si>
  <si>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</si>
  <si>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</si>
  <si>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</si>
  <si>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</si>
  <si>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</si>
  <si>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</si>
  <si>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</si>
  <si>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</si>
  <si>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</si>
  <si>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</si>
  <si>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</si>
  <si>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</si>
  <si>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</si>
  <si>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</si>
  <si>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</si>
  <si>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</si>
  <si>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</si>
  <si>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</si>
  <si>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</si>
  <si>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</si>
  <si>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</si>
  <si>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</si>
  <si>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</si>
  <si>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</si>
  <si>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№1Птичники-Титово</t>
  </si>
  <si>
    <t>ЗТП-10кВ  №111</t>
  </si>
  <si>
    <t>д.Глазово</t>
  </si>
  <si>
    <t>д.Михеево</t>
  </si>
  <si>
    <t>д.Абрамово</t>
  </si>
  <si>
    <t>д.Каюрово</t>
  </si>
  <si>
    <t>д.Мельгуново</t>
  </si>
  <si>
    <t>д.Тихоново</t>
  </si>
  <si>
    <t>КТП 124 Родничок</t>
  </si>
  <si>
    <t>КТП 123 Смородинка</t>
  </si>
  <si>
    <t>д.Скулино</t>
  </si>
  <si>
    <t>д.Плешково</t>
  </si>
  <si>
    <t>п.Центральный</t>
  </si>
  <si>
    <t>г.Кимры,пр.Лоткова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</si>
  <si>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</si>
  <si>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</si>
  <si>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</si>
  <si>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</si>
  <si>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</si>
  <si>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</si>
  <si>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</si>
  <si>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</si>
  <si>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</si>
  <si>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</si>
  <si>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</si>
  <si>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</si>
  <si>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</si>
  <si>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</si>
  <si>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</si>
  <si>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</si>
  <si>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</si>
  <si>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</si>
  <si>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</si>
  <si>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</si>
  <si>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</si>
  <si>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</si>
  <si>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</si>
  <si>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</si>
  <si>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</si>
  <si>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</si>
  <si>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</si>
  <si>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</si>
  <si>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</si>
  <si>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</si>
  <si>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</si>
  <si>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</si>
  <si>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</si>
  <si>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</si>
  <si>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</si>
  <si>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</si>
  <si>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</si>
  <si>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</si>
  <si>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</si>
  <si>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</si>
  <si>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</si>
  <si>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</si>
  <si>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</si>
  <si>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</si>
  <si>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</si>
  <si>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</si>
  <si>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</si>
  <si>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</si>
  <si>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</si>
  <si>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</si>
  <si>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</si>
  <si>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</si>
  <si>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</si>
  <si>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</si>
  <si>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</si>
  <si>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</si>
  <si>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</si>
  <si>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</si>
  <si>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</si>
  <si>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</si>
  <si>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</si>
  <si>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</si>
  <si>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</si>
  <si>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</si>
  <si>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</si>
  <si>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</si>
  <si>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</si>
  <si>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</si>
  <si>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</si>
  <si>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</si>
  <si>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</si>
  <si>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</si>
  <si>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</si>
  <si>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</si>
  <si>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</si>
  <si>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</si>
  <si>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</si>
  <si>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</si>
  <si>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</si>
  <si>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</si>
  <si>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</si>
  <si>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</si>
  <si>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</si>
  <si>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</si>
  <si>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</si>
  <si>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</si>
  <si>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</si>
  <si>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</si>
  <si>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</si>
  <si>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</si>
  <si>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</si>
  <si>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</si>
  <si>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</si>
  <si>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</si>
  <si>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</si>
  <si>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</si>
  <si>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</si>
  <si>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</si>
  <si>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</si>
  <si>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</si>
  <si>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</si>
  <si>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</si>
  <si>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</si>
  <si>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</si>
  <si>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</si>
  <si>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</si>
  <si>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</si>
  <si>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</si>
  <si>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</si>
  <si>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</si>
  <si>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</si>
  <si>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</si>
  <si>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</si>
  <si>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</si>
  <si>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</si>
  <si>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</si>
  <si>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</si>
  <si>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</si>
  <si>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</si>
  <si>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</si>
  <si>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</si>
  <si>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</si>
  <si>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</si>
  <si>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</si>
  <si>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</si>
  <si>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</si>
  <si>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</si>
  <si>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</si>
  <si>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</si>
  <si>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</si>
  <si>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</si>
  <si>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</si>
  <si>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</si>
  <si>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</si>
  <si>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</si>
  <si>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</si>
  <si>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</si>
  <si>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</si>
  <si>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</si>
  <si>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</si>
  <si>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</si>
  <si>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</si>
  <si>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</si>
  <si>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</si>
  <si>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</si>
  <si>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</si>
  <si>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</si>
  <si>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</si>
  <si>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</si>
  <si>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</si>
  <si>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</si>
  <si>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</si>
  <si>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</si>
  <si>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</si>
  <si>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</si>
  <si>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</si>
  <si>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</si>
  <si>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</si>
  <si>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</si>
  <si>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</si>
  <si>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</si>
  <si>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</si>
  <si>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</si>
  <si>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</si>
  <si>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</si>
  <si>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</si>
  <si>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</si>
  <si>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</si>
  <si>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</si>
  <si>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</si>
  <si>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</si>
  <si>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</si>
  <si>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</si>
  <si>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</si>
  <si>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</si>
  <si>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</si>
  <si>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</si>
  <si>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</si>
  <si>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</si>
  <si>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</si>
  <si>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</si>
  <si>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</si>
  <si>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</si>
  <si>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</si>
  <si>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</si>
  <si>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</si>
  <si>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</si>
  <si>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</si>
  <si>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</si>
  <si>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</si>
  <si>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</si>
  <si>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</si>
  <si>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</si>
  <si>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</si>
  <si>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</si>
  <si>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</si>
  <si>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</si>
  <si>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</si>
  <si>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</si>
  <si>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</si>
  <si>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</si>
  <si>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</si>
  <si>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</si>
  <si>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</si>
  <si>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</si>
  <si>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</si>
  <si>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</si>
  <si>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</si>
  <si>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</si>
  <si>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</si>
  <si>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</si>
  <si>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</si>
  <si>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</si>
  <si>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</si>
  <si>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</si>
  <si>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</si>
  <si>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</si>
  <si>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</si>
  <si>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</si>
  <si>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</si>
  <si>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</si>
  <si>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</si>
  <si>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</si>
  <si>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</si>
  <si>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</si>
  <si>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</si>
  <si>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</si>
  <si>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</si>
  <si>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</si>
  <si>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</si>
  <si>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</si>
  <si>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</si>
  <si>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</si>
  <si>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</si>
  <si>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</si>
  <si>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</si>
  <si>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</si>
  <si>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</si>
  <si>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</si>
  <si>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</si>
  <si>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</si>
  <si>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</si>
  <si>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</si>
  <si>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</si>
  <si>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</si>
  <si>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</si>
  <si>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</si>
  <si>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</si>
  <si>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</si>
  <si>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</si>
  <si>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</si>
  <si>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д.Ларцево</t>
  </si>
  <si>
    <t>д.Демидовка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</si>
  <si>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</si>
  <si>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</si>
  <si>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</si>
  <si>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</si>
  <si>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</si>
  <si>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</si>
  <si>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</si>
  <si>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</si>
  <si>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</si>
  <si>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</si>
  <si>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</si>
  <si>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</si>
  <si>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</si>
  <si>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</si>
  <si>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</si>
  <si>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</si>
  <si>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</si>
  <si>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</si>
  <si>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</si>
  <si>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</si>
  <si>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</si>
  <si>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</si>
  <si>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</si>
  <si>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</si>
  <si>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</si>
  <si>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</si>
  <si>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</si>
  <si>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</si>
  <si>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</si>
  <si>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</si>
  <si>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</si>
  <si>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</si>
  <si>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</si>
  <si>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</si>
  <si>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</si>
  <si>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</si>
  <si>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</si>
  <si>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</si>
  <si>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</si>
  <si>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</si>
  <si>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</si>
  <si>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</si>
  <si>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</si>
  <si>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</si>
  <si>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</si>
  <si>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</si>
  <si>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</si>
  <si>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</si>
  <si>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</si>
  <si>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</si>
  <si>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</si>
  <si>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</si>
  <si>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</si>
  <si>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</si>
  <si>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</si>
  <si>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</si>
  <si>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</si>
  <si>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</si>
  <si>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</si>
  <si>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</si>
  <si>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</si>
  <si>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</si>
  <si>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</si>
  <si>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</si>
  <si>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</si>
  <si>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</si>
  <si>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</si>
  <si>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</si>
  <si>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</si>
  <si>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</si>
  <si>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</si>
  <si>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</si>
  <si>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</si>
  <si>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</si>
  <si>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</si>
  <si>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</si>
  <si>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</si>
  <si>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</si>
  <si>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</si>
  <si>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</si>
  <si>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</si>
  <si>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</si>
  <si>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</si>
  <si>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</si>
  <si>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</si>
  <si>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</si>
  <si>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</si>
  <si>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</si>
  <si>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</si>
  <si>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</si>
  <si>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</si>
  <si>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</si>
  <si>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</si>
  <si>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</si>
  <si>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</si>
  <si>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</si>
  <si>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</si>
  <si>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</si>
  <si>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</si>
  <si>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</si>
  <si>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</si>
  <si>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</si>
  <si>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</si>
  <si>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</si>
  <si>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</si>
  <si>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</si>
  <si>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</si>
  <si>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</si>
  <si>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</si>
  <si>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</si>
  <si>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</si>
  <si>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</si>
  <si>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</si>
  <si>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</si>
  <si>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</si>
  <si>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</si>
  <si>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</si>
  <si>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</si>
  <si>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</si>
  <si>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</si>
  <si>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</si>
  <si>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</si>
  <si>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</si>
  <si>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</si>
  <si>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</si>
  <si>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</si>
  <si>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</si>
  <si>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</si>
  <si>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</si>
  <si>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</si>
  <si>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</si>
  <si>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</si>
  <si>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</si>
  <si>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</si>
  <si>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</si>
  <si>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</si>
  <si>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</si>
  <si>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</si>
  <si>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</si>
  <si>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</si>
  <si>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</si>
  <si>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</si>
  <si>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</si>
  <si>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</si>
  <si>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</si>
  <si>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</si>
  <si>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</si>
  <si>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</si>
  <si>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</si>
  <si>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</si>
  <si>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</si>
  <si>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</si>
  <si>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</si>
  <si>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</si>
  <si>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</si>
  <si>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</si>
  <si>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</si>
  <si>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</si>
  <si>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</si>
  <si>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</si>
  <si>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</si>
  <si>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</si>
  <si>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</si>
  <si>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</si>
  <si>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</si>
  <si>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</si>
  <si>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</si>
  <si>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</si>
  <si>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</si>
  <si>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</si>
  <si>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</si>
  <si>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</si>
  <si>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</si>
  <si>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</si>
  <si>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</si>
  <si>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</si>
  <si>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</si>
  <si>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</si>
  <si>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</si>
  <si>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</si>
  <si>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</si>
  <si>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</si>
  <si>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</si>
  <si>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</si>
  <si>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</si>
  <si>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</si>
  <si>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</si>
  <si>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</si>
  <si>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</si>
  <si>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</si>
  <si>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</si>
  <si>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</si>
  <si>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</si>
  <si>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</si>
  <si>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</si>
  <si>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</si>
  <si>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</si>
  <si>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</si>
  <si>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</si>
  <si>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</si>
  <si>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</si>
  <si>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</si>
  <si>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</si>
  <si>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</si>
  <si>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</si>
  <si>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</si>
  <si>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</si>
  <si>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</si>
  <si>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</si>
  <si>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</si>
  <si>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</si>
  <si>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</si>
  <si>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</si>
  <si>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</si>
  <si>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</si>
  <si>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</si>
  <si>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</si>
  <si>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</si>
  <si>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</si>
  <si>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</si>
  <si>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</si>
  <si>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</si>
  <si>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</si>
  <si>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</si>
  <si>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</si>
  <si>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</si>
  <si>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</si>
  <si>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</si>
  <si>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</si>
  <si>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</si>
  <si>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</si>
  <si>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</si>
  <si>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</si>
  <si>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</si>
  <si>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</si>
  <si>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</si>
  <si>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</si>
  <si>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</si>
  <si>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</si>
  <si>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</si>
  <si>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</si>
  <si>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</si>
  <si>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</si>
  <si>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</si>
  <si>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</si>
  <si>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</si>
  <si>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</si>
  <si>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</si>
  <si>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</si>
  <si>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</si>
  <si>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</si>
  <si>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</si>
  <si>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</si>
  <si>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</si>
  <si>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</si>
  <si>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</si>
  <si>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</si>
  <si>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</si>
  <si>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</si>
  <si>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</si>
  <si>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</si>
  <si>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</si>
  <si>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</si>
  <si>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</si>
  <si>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</si>
  <si>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</si>
  <si>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</si>
  <si>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</si>
  <si>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</si>
  <si>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</si>
  <si>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</si>
  <si>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</si>
  <si>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</si>
  <si>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</si>
  <si>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</si>
  <si>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</si>
  <si>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</si>
  <si>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</si>
  <si>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</si>
  <si>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</si>
  <si>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</si>
  <si>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</si>
  <si>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</si>
  <si>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</si>
  <si>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</si>
  <si>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</si>
  <si>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</si>
  <si>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</si>
  <si>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</si>
  <si>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</si>
  <si>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</si>
  <si>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</si>
  <si>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</si>
  <si>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</si>
  <si>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</si>
  <si>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</si>
  <si>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</si>
  <si>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</si>
  <si>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</si>
  <si>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</si>
  <si>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</si>
  <si>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</si>
  <si>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</si>
  <si>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</si>
  <si>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</si>
  <si>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</si>
  <si>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</si>
  <si>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</si>
  <si>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</si>
  <si>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</si>
  <si>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</si>
  <si>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</si>
  <si>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</si>
  <si>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</si>
  <si>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</si>
  <si>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</si>
  <si>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</si>
  <si>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</si>
  <si>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</si>
  <si>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</si>
  <si>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</si>
  <si>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</si>
  <si>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</si>
  <si>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 141 Хорошево-4</t>
  </si>
  <si>
    <t>КТП 275 Хорошево ФКРС</t>
  </si>
  <si>
    <t>КТП 424 Хорошево-5</t>
  </si>
  <si>
    <t>КТП 140 Хорошево-2 д/с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</si>
  <si>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</si>
  <si>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</si>
  <si>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</si>
  <si>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</si>
  <si>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</si>
  <si>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</si>
  <si>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</si>
  <si>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</si>
  <si>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</si>
  <si>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</si>
  <si>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</si>
  <si>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</si>
  <si>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</si>
  <si>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</si>
  <si>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</si>
  <si>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</si>
  <si>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</si>
  <si>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</si>
  <si>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</si>
  <si>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</si>
  <si>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</si>
  <si>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</si>
  <si>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</si>
  <si>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</si>
  <si>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</si>
  <si>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</si>
  <si>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</si>
  <si>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</si>
  <si>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</si>
  <si>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</si>
  <si>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</si>
  <si>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</si>
  <si>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</si>
  <si>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</si>
  <si>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</si>
  <si>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</si>
  <si>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</si>
  <si>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</si>
  <si>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</si>
  <si>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</si>
  <si>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</si>
  <si>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</si>
  <si>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</si>
  <si>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</si>
  <si>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</si>
  <si>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</si>
  <si>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</si>
  <si>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</si>
  <si>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</si>
  <si>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</si>
  <si>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</si>
  <si>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</si>
  <si>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</si>
  <si>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</si>
  <si>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</si>
  <si>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</si>
  <si>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</si>
  <si>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</si>
  <si>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</si>
  <si>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</si>
  <si>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</si>
  <si>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</si>
  <si>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</si>
  <si>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</si>
  <si>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</si>
  <si>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</si>
  <si>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</si>
  <si>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</si>
  <si>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</si>
  <si>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</si>
  <si>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</si>
  <si>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</si>
  <si>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</si>
  <si>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</si>
  <si>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</si>
  <si>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</si>
  <si>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</si>
  <si>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</si>
  <si>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</si>
  <si>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</si>
  <si>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</si>
  <si>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</si>
  <si>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</si>
  <si>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</si>
  <si>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</si>
  <si>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</si>
  <si>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</si>
  <si>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</si>
  <si>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</si>
  <si>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</si>
  <si>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</si>
  <si>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</si>
  <si>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</si>
  <si>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</si>
  <si>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</si>
  <si>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</si>
  <si>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</si>
  <si>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</si>
  <si>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</si>
  <si>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</si>
  <si>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</si>
  <si>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</si>
  <si>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</si>
  <si>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</si>
  <si>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</si>
  <si>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</si>
  <si>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</si>
  <si>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</si>
  <si>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</si>
  <si>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</si>
  <si>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</si>
  <si>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</si>
  <si>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</si>
  <si>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</si>
  <si>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</si>
  <si>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</si>
  <si>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</si>
  <si>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</si>
  <si>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</si>
  <si>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</si>
  <si>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</si>
  <si>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</si>
  <si>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</si>
  <si>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</si>
  <si>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</si>
  <si>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</si>
  <si>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</si>
  <si>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</si>
  <si>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</si>
  <si>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</si>
  <si>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</si>
  <si>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</si>
  <si>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</si>
  <si>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</si>
  <si>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</si>
  <si>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</si>
  <si>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</si>
  <si>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</si>
  <si>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</si>
  <si>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</si>
  <si>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</si>
  <si>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</si>
  <si>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</si>
  <si>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</si>
  <si>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</si>
  <si>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</si>
  <si>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</si>
  <si>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</si>
  <si>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</si>
  <si>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</si>
  <si>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</si>
  <si>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</si>
  <si>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</si>
  <si>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</si>
  <si>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</si>
  <si>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</si>
  <si>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</si>
  <si>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</si>
  <si>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</si>
  <si>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</si>
  <si>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</si>
  <si>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</si>
  <si>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</si>
  <si>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</si>
  <si>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</si>
  <si>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</si>
  <si>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</si>
  <si>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</si>
  <si>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</si>
  <si>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</si>
  <si>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</si>
  <si>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</si>
  <si>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</si>
  <si>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</si>
  <si>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</si>
  <si>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</si>
  <si>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</si>
  <si>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</si>
  <si>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</si>
  <si>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</si>
  <si>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</si>
  <si>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</si>
  <si>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</si>
  <si>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</si>
  <si>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</si>
  <si>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</si>
  <si>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</si>
  <si>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</si>
  <si>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</si>
  <si>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</si>
  <si>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</si>
  <si>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</si>
  <si>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</si>
  <si>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</si>
  <si>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</si>
  <si>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</si>
  <si>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</si>
  <si>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</si>
  <si>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</si>
  <si>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</si>
  <si>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</si>
  <si>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</si>
  <si>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</si>
  <si>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</si>
  <si>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</si>
  <si>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</si>
  <si>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</si>
  <si>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</si>
  <si>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</si>
  <si>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</si>
  <si>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</si>
  <si>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</si>
  <si>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</si>
  <si>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</si>
  <si>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</si>
  <si>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</si>
  <si>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</si>
  <si>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</si>
  <si>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</si>
  <si>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</si>
  <si>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</si>
  <si>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</si>
  <si>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</si>
  <si>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</si>
  <si>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</si>
  <si>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</si>
  <si>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</si>
  <si>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</si>
  <si>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</si>
  <si>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</si>
  <si>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</si>
  <si>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</si>
  <si>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</si>
  <si>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</si>
  <si>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</si>
  <si>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</si>
  <si>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</si>
  <si>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</si>
  <si>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</si>
  <si>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</si>
  <si>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</si>
  <si>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</si>
  <si>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</si>
  <si>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</si>
  <si>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</si>
  <si>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</si>
  <si>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</si>
  <si>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</si>
  <si>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</si>
  <si>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</si>
  <si>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</si>
  <si>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</si>
  <si>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</si>
  <si>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</si>
  <si>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</si>
  <si>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</si>
  <si>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</si>
  <si>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</si>
  <si>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</si>
  <si>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</si>
  <si>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</si>
  <si>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</si>
  <si>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</si>
  <si>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</si>
  <si>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</si>
  <si>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</si>
  <si>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</si>
  <si>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</si>
  <si>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</si>
  <si>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</si>
  <si>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</si>
  <si>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</si>
  <si>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</si>
  <si>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</si>
  <si>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</si>
  <si>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</si>
  <si>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</si>
  <si>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</si>
  <si>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</si>
  <si>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</si>
  <si>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</si>
  <si>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</si>
  <si>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</si>
  <si>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</si>
  <si>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</si>
  <si>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</si>
  <si>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</si>
  <si>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</si>
  <si>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</si>
  <si>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</si>
  <si>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</si>
  <si>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</si>
  <si>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</si>
  <si>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</si>
  <si>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</si>
  <si>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</si>
  <si>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</si>
  <si>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</si>
  <si>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</si>
  <si>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</si>
  <si>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</si>
  <si>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</si>
  <si>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</si>
  <si>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</si>
  <si>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</si>
  <si>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</si>
  <si>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</si>
  <si>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</si>
  <si>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</si>
  <si>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</si>
  <si>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</si>
  <si>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</si>
  <si>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</si>
  <si>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</si>
  <si>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</si>
  <si>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</si>
  <si>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</si>
  <si>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</si>
  <si>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</si>
  <si>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</si>
  <si>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</si>
  <si>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</si>
  <si>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</si>
  <si>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</si>
  <si>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</si>
  <si>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</si>
  <si>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</si>
  <si>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</si>
  <si>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</si>
  <si>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</si>
  <si>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</si>
  <si>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</si>
  <si>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</si>
  <si>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</si>
  <si>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</si>
  <si>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</si>
  <si>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</si>
  <si>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</si>
  <si>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</si>
  <si>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</si>
  <si>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</si>
  <si>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</si>
  <si>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</si>
  <si>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</si>
  <si>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</si>
  <si>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</si>
  <si>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</si>
  <si>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</si>
  <si>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Бологовский</t>
  </si>
  <si>
    <t>д.Молчаново</t>
  </si>
  <si>
    <t>д.Нарачино</t>
  </si>
  <si>
    <t>д.Погарино</t>
  </si>
  <si>
    <t>д.Базарово</t>
  </si>
  <si>
    <t>д.Никитировец</t>
  </si>
  <si>
    <t>Спировский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</si>
  <si>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</si>
  <si>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</si>
  <si>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</si>
  <si>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</si>
  <si>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</si>
  <si>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</si>
  <si>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</si>
  <si>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</si>
  <si>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</si>
  <si>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</si>
  <si>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</si>
  <si>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</si>
  <si>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</si>
  <si>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</si>
  <si>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</si>
  <si>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</si>
  <si>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</si>
  <si>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</si>
  <si>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</si>
  <si>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</si>
  <si>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</si>
  <si>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</si>
  <si>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</si>
  <si>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</si>
  <si>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</si>
  <si>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</si>
  <si>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</si>
  <si>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</si>
  <si>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</si>
  <si>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</si>
  <si>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</si>
  <si>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</si>
  <si>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</si>
  <si>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</si>
  <si>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</si>
  <si>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</si>
  <si>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</si>
  <si>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</si>
  <si>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</si>
  <si>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</si>
  <si>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</si>
  <si>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</si>
  <si>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</si>
  <si>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</si>
  <si>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</si>
  <si>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</si>
  <si>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</si>
  <si>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</si>
  <si>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</si>
  <si>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</si>
  <si>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</si>
  <si>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</si>
  <si>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</si>
  <si>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</si>
  <si>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</si>
  <si>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</si>
  <si>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</si>
  <si>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</si>
  <si>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</si>
  <si>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</si>
  <si>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</si>
  <si>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</si>
  <si>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</si>
  <si>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</si>
  <si>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</si>
  <si>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</si>
  <si>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</si>
  <si>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</si>
  <si>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</si>
  <si>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</si>
  <si>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</si>
  <si>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</si>
  <si>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</si>
  <si>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</si>
  <si>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</si>
  <si>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</si>
  <si>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</si>
  <si>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</si>
  <si>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</si>
  <si>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</si>
  <si>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</si>
  <si>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</si>
  <si>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</si>
  <si>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</si>
  <si>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</si>
  <si>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</si>
  <si>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</si>
  <si>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</si>
  <si>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</si>
  <si>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</si>
  <si>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</si>
  <si>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</si>
  <si>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</si>
  <si>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</si>
  <si>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</si>
  <si>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</si>
  <si>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</si>
  <si>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</si>
  <si>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</si>
  <si>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</si>
  <si>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</si>
  <si>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</si>
  <si>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</si>
  <si>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</si>
  <si>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</si>
  <si>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</si>
  <si>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</si>
  <si>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</si>
  <si>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</si>
  <si>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</si>
  <si>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</si>
  <si>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</si>
  <si>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</si>
  <si>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</si>
  <si>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</si>
  <si>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</si>
  <si>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</si>
  <si>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</si>
  <si>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</si>
  <si>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</si>
  <si>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</si>
  <si>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</si>
  <si>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</si>
  <si>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</si>
  <si>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</si>
  <si>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</si>
  <si>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</si>
  <si>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</si>
  <si>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</si>
  <si>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</si>
  <si>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</si>
  <si>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</si>
  <si>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</si>
  <si>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</si>
  <si>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</si>
  <si>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</si>
  <si>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</si>
  <si>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</si>
  <si>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</si>
  <si>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</si>
  <si>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</si>
  <si>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</si>
  <si>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</si>
  <si>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</si>
  <si>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</si>
  <si>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</si>
  <si>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</si>
  <si>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</si>
  <si>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</si>
  <si>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</si>
  <si>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</si>
  <si>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</si>
  <si>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</si>
  <si>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</si>
  <si>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</si>
  <si>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</si>
  <si>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</si>
  <si>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</si>
  <si>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</si>
  <si>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</si>
  <si>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</si>
  <si>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</si>
  <si>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</si>
  <si>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</si>
  <si>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</si>
  <si>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</si>
  <si>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</si>
  <si>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</si>
  <si>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</si>
  <si>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</si>
  <si>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</si>
  <si>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</si>
  <si>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</si>
  <si>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</si>
  <si>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</si>
  <si>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</si>
  <si>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</si>
  <si>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</si>
  <si>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</si>
  <si>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</si>
  <si>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</si>
  <si>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</si>
  <si>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</si>
  <si>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</si>
  <si>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</si>
  <si>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</si>
  <si>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</si>
  <si>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</si>
  <si>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</si>
  <si>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</si>
  <si>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</si>
  <si>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</si>
  <si>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</si>
  <si>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</si>
  <si>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</si>
  <si>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</si>
  <si>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</si>
  <si>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</si>
  <si>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</si>
  <si>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</si>
  <si>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</si>
  <si>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</si>
  <si>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</si>
  <si>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</si>
  <si>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</si>
  <si>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</si>
  <si>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</si>
  <si>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</si>
  <si>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</si>
  <si>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</si>
  <si>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</si>
  <si>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</si>
  <si>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</si>
  <si>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</si>
  <si>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</si>
  <si>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</si>
  <si>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</si>
  <si>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</si>
  <si>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</si>
  <si>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</si>
  <si>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</si>
  <si>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</si>
  <si>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</si>
  <si>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</si>
  <si>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</si>
  <si>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</si>
  <si>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</si>
  <si>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</si>
  <si>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</si>
  <si>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</si>
  <si>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</si>
  <si>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</si>
  <si>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</si>
  <si>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</si>
  <si>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</si>
  <si>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</si>
  <si>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</si>
  <si>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</si>
  <si>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</si>
  <si>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</si>
  <si>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</si>
  <si>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</si>
  <si>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</si>
  <si>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</si>
  <si>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</si>
  <si>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</si>
  <si>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</si>
  <si>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</si>
  <si>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</si>
  <si>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</si>
  <si>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</si>
  <si>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</si>
  <si>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</si>
  <si>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</si>
  <si>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</si>
  <si>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</si>
  <si>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</si>
  <si>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</si>
  <si>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</si>
  <si>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</si>
  <si>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</si>
  <si>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</si>
  <si>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</si>
  <si>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</si>
  <si>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</si>
  <si>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</si>
  <si>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</si>
  <si>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</si>
  <si>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</si>
  <si>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</si>
  <si>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</si>
  <si>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</si>
  <si>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</si>
  <si>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</si>
  <si>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</si>
  <si>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</si>
  <si>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</si>
  <si>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</si>
  <si>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</si>
  <si>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</si>
  <si>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</si>
  <si>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</si>
  <si>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</si>
  <si>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</si>
  <si>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</si>
  <si>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</si>
  <si>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</si>
  <si>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</si>
  <si>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</si>
  <si>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</si>
  <si>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</si>
  <si>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</si>
  <si>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</si>
  <si>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</si>
  <si>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</si>
  <si>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</si>
  <si>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</si>
  <si>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</si>
  <si>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</si>
  <si>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</si>
  <si>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</si>
  <si>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</si>
  <si>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</si>
  <si>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</si>
  <si>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</si>
  <si>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</si>
  <si>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</si>
  <si>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</si>
  <si>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</si>
  <si>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</si>
  <si>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</si>
  <si>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</si>
  <si>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</si>
  <si>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</si>
  <si>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</si>
  <si>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</si>
  <si>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</si>
  <si>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</si>
  <si>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</si>
  <si>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</si>
  <si>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</si>
  <si>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</si>
  <si>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</si>
  <si>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</si>
  <si>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</si>
  <si>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</si>
  <si>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</si>
  <si>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</si>
  <si>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</si>
  <si>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</si>
  <si>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</si>
  <si>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</si>
  <si>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</si>
  <si>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</si>
  <si>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</si>
  <si>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</si>
  <si>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</si>
  <si>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</si>
  <si>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</si>
  <si>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</si>
  <si>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</si>
  <si>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</si>
  <si>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</si>
  <si>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</si>
  <si>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</si>
  <si>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</si>
  <si>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</si>
  <si>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</si>
  <si>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</si>
  <si>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</si>
  <si>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</si>
  <si>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</si>
  <si>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</si>
  <si>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</si>
  <si>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</si>
  <si>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</si>
  <si>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</si>
  <si>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</si>
  <si>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</si>
  <si>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</si>
  <si>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</si>
  <si>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</si>
  <si>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</si>
  <si>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</si>
  <si>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</si>
  <si>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</si>
  <si>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</si>
  <si>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</si>
  <si>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</si>
  <si>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</si>
  <si>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</si>
  <si>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</si>
  <si>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</si>
  <si>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</si>
  <si>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</si>
  <si>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</si>
  <si>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</si>
  <si>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</si>
  <si>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</si>
  <si>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</si>
  <si>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</si>
  <si>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</si>
  <si>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</si>
  <si>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</si>
  <si>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</si>
  <si>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</si>
  <si>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</si>
  <si>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</si>
  <si>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</si>
  <si>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</si>
  <si>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</si>
  <si>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</si>
  <si>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</si>
  <si>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</si>
  <si>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</si>
  <si>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</si>
  <si>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</si>
  <si>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</si>
  <si>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</si>
  <si>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</si>
  <si>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</si>
  <si>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</si>
  <si>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</si>
  <si>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</si>
  <si>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</si>
  <si>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</si>
  <si>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</si>
  <si>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</si>
  <si>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</si>
  <si>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</si>
  <si>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</si>
  <si>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</si>
  <si>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</si>
  <si>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</si>
  <si>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</si>
  <si>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</si>
  <si>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</si>
  <si>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</si>
  <si>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</si>
  <si>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</si>
  <si>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</si>
  <si>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</si>
  <si>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</si>
  <si>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</si>
  <si>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</si>
  <si>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</si>
  <si>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</si>
  <si>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</si>
  <si>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</si>
  <si>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</si>
  <si>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</si>
  <si>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</si>
  <si>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</si>
  <si>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</si>
  <si>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</si>
  <si>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</si>
  <si>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</si>
  <si>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</si>
  <si>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</si>
  <si>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</si>
  <si>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</si>
  <si>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</si>
  <si>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</si>
  <si>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</si>
  <si>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</si>
  <si>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</si>
  <si>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</si>
  <si>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</si>
  <si>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</si>
  <si>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</si>
  <si>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</si>
  <si>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</si>
  <si>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</si>
  <si>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</si>
  <si>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</si>
  <si>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</si>
  <si>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</si>
  <si>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</si>
  <si>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</si>
  <si>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</si>
  <si>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</si>
  <si>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</si>
  <si>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</si>
  <si>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</si>
  <si>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</si>
  <si>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</si>
  <si>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</si>
  <si>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</si>
  <si>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</si>
  <si>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</si>
  <si>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</si>
  <si>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</si>
  <si>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</si>
  <si>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</si>
  <si>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</si>
  <si>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</si>
  <si>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</si>
  <si>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</si>
  <si>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</si>
  <si>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</si>
  <si>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</si>
  <si>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</si>
  <si>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</si>
  <si>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</si>
  <si>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</si>
  <si>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</si>
  <si>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</si>
  <si>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</si>
  <si>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</si>
  <si>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</si>
  <si>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</si>
  <si>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</si>
  <si>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</si>
  <si>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10/0,4кВ ТП 014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</si>
  <si>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</si>
  <si>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</si>
  <si>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</si>
  <si>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</si>
  <si>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</si>
  <si>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</si>
  <si>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</si>
  <si>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</si>
  <si>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</si>
  <si>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</si>
  <si>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</si>
  <si>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</si>
  <si>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</si>
  <si>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</si>
  <si>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</si>
  <si>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</si>
  <si>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</si>
  <si>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</si>
  <si>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</si>
  <si>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</si>
  <si>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</si>
  <si>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</si>
  <si>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</si>
  <si>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</si>
  <si>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</si>
  <si>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</si>
  <si>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</si>
  <si>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</si>
  <si>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</si>
  <si>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</si>
  <si>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</si>
  <si>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</si>
  <si>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</si>
  <si>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</si>
  <si>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</si>
  <si>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</si>
  <si>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</si>
  <si>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</si>
  <si>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</si>
  <si>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</si>
  <si>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</si>
  <si>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</si>
  <si>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</si>
  <si>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</si>
  <si>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</si>
  <si>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</si>
  <si>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</si>
  <si>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</si>
  <si>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</si>
  <si>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</si>
  <si>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</si>
  <si>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</si>
  <si>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</si>
  <si>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</si>
  <si>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</si>
  <si>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</si>
  <si>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</si>
  <si>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</si>
  <si>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</si>
  <si>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</si>
  <si>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</si>
  <si>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</si>
  <si>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</si>
  <si>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</si>
  <si>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</si>
  <si>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</si>
  <si>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</si>
  <si>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</si>
  <si>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</si>
  <si>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</si>
  <si>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</si>
  <si>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</si>
  <si>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</si>
  <si>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</si>
  <si>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</si>
  <si>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</si>
  <si>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</si>
  <si>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</si>
  <si>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</si>
  <si>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</si>
  <si>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</si>
  <si>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</si>
  <si>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</si>
  <si>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</si>
  <si>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</si>
  <si>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</si>
  <si>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</si>
  <si>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</si>
  <si>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</si>
  <si>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</si>
  <si>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</si>
  <si>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</si>
  <si>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</si>
  <si>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</si>
  <si>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</si>
  <si>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</si>
  <si>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</si>
  <si>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</si>
  <si>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</si>
  <si>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</si>
  <si>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</si>
  <si>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</si>
  <si>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</si>
  <si>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</si>
  <si>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</si>
  <si>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</si>
  <si>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</si>
  <si>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</si>
  <si>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</si>
  <si>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</si>
  <si>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</si>
  <si>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</si>
  <si>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</si>
  <si>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</si>
  <si>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</si>
  <si>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</si>
  <si>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</si>
  <si>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</si>
  <si>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</si>
  <si>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</si>
  <si>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</si>
  <si>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</si>
  <si>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</si>
  <si>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</si>
  <si>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</si>
  <si>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</si>
  <si>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</si>
  <si>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</si>
  <si>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</si>
  <si>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</si>
  <si>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д.Суслово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</si>
  <si>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</si>
  <si>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</si>
  <si>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</si>
  <si>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</si>
  <si>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</si>
  <si>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</si>
  <si>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</si>
  <si>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</si>
  <si>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</si>
  <si>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</si>
  <si>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</si>
  <si>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</si>
  <si>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</si>
  <si>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д.Медведево</t>
  </si>
  <si>
    <t>Жил.зона ЛЭМЗ</t>
  </si>
  <si>
    <t>АЗС</t>
  </si>
  <si>
    <t>Д/К №5 +кочегарка</t>
  </si>
  <si>
    <t>ЧП-Круглов (ДРСУ)</t>
  </si>
  <si>
    <t>Глебени</t>
  </si>
  <si>
    <t>д.Лаптево</t>
  </si>
  <si>
    <t>д.Лапшино</t>
  </si>
  <si>
    <t>д.Нивы</t>
  </si>
  <si>
    <t>д.Крюково</t>
  </si>
  <si>
    <t>д.Лопатиха</t>
  </si>
  <si>
    <t>Васьки</t>
  </si>
  <si>
    <t>д.Васьки</t>
  </si>
  <si>
    <t>д.Литвиново</t>
  </si>
  <si>
    <t>д.Трофимово</t>
  </si>
  <si>
    <t>д.Козлово</t>
  </si>
  <si>
    <t>д.Поляны</t>
  </si>
  <si>
    <t>д.Григорово</t>
  </si>
  <si>
    <t>д.Бабино</t>
  </si>
  <si>
    <t>Починок</t>
  </si>
  <si>
    <t>Путилово</t>
  </si>
  <si>
    <t>д.Путилово</t>
  </si>
  <si>
    <t>д.Бибирево</t>
  </si>
  <si>
    <t>д.Кочерово</t>
  </si>
  <si>
    <t>Высокуша</t>
  </si>
  <si>
    <t>Григорково</t>
  </si>
  <si>
    <t>д.Григорково</t>
  </si>
  <si>
    <t>д.Холмцы</t>
  </si>
  <si>
    <t>Завидово</t>
  </si>
  <si>
    <t>д.Завидово</t>
  </si>
  <si>
    <t>д.Морозово</t>
  </si>
  <si>
    <t>д.Пруды</t>
  </si>
  <si>
    <t>д.Александровка</t>
  </si>
  <si>
    <t>Поповка</t>
  </si>
  <si>
    <t>д.Покровское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</si>
  <si>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</si>
  <si>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</si>
  <si>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</si>
  <si>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</si>
  <si>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</si>
  <si>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</si>
  <si>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д.Братское-мастер.</t>
  </si>
  <si>
    <t>д.Васильки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</si>
  <si>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</si>
  <si>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</si>
  <si>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</si>
  <si>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</si>
  <si>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</si>
  <si>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</si>
  <si>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</si>
  <si>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</si>
  <si>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</si>
  <si>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</si>
  <si>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</si>
  <si>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</si>
  <si>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</si>
  <si>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</si>
  <si>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</si>
  <si>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</si>
  <si>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</si>
  <si>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</si>
  <si>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</si>
  <si>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</si>
  <si>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</si>
  <si>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</si>
  <si>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</si>
  <si>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</si>
  <si>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</si>
  <si>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</si>
  <si>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</si>
  <si>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</si>
  <si>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</si>
  <si>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</si>
  <si>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</si>
  <si>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</si>
  <si>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</si>
  <si>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</si>
  <si>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</si>
  <si>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</si>
  <si>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</si>
  <si>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</si>
  <si>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</si>
  <si>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</si>
  <si>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</si>
  <si>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</si>
  <si>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</si>
  <si>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</si>
  <si>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</si>
  <si>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</si>
  <si>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</si>
  <si>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</si>
  <si>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</si>
  <si>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</si>
  <si>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</si>
  <si>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</si>
  <si>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</si>
  <si>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</si>
  <si>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</si>
  <si>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</si>
  <si>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</si>
  <si>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</si>
  <si>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</si>
  <si>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</si>
  <si>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</si>
  <si>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</si>
  <si>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</si>
  <si>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</si>
  <si>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</si>
  <si>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</si>
  <si>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</si>
  <si>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</si>
  <si>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</si>
  <si>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</si>
  <si>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</si>
  <si>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</si>
  <si>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</si>
  <si>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</si>
  <si>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</si>
  <si>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</si>
  <si>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</si>
  <si>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</si>
  <si>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</si>
  <si>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</si>
  <si>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</si>
  <si>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</si>
  <si>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</si>
  <si>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</si>
  <si>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</si>
  <si>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</si>
  <si>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</si>
  <si>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</si>
  <si>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</si>
  <si>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</si>
  <si>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</si>
  <si>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</si>
  <si>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</si>
  <si>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</si>
  <si>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</si>
  <si>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</si>
  <si>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</si>
  <si>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</si>
  <si>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</si>
  <si>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</si>
  <si>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</si>
  <si>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</si>
  <si>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</si>
  <si>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</si>
  <si>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</si>
  <si>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</si>
  <si>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</si>
  <si>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</si>
  <si>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</si>
  <si>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</si>
  <si>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</si>
  <si>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</si>
  <si>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</si>
  <si>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</si>
  <si>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</si>
  <si>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</si>
  <si>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</si>
  <si>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</si>
  <si>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</si>
  <si>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</si>
  <si>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</si>
  <si>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</si>
  <si>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</si>
  <si>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</si>
  <si>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</si>
  <si>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</si>
  <si>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</si>
  <si>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</si>
  <si>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</si>
  <si>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</si>
  <si>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</si>
  <si>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</si>
  <si>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</si>
  <si>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</si>
  <si>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</si>
  <si>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</si>
  <si>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</si>
  <si>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</si>
  <si>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</si>
  <si>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</si>
  <si>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</si>
  <si>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</si>
  <si>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</si>
  <si>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</si>
  <si>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</si>
  <si>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</si>
  <si>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</si>
  <si>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</si>
  <si>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</si>
  <si>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</si>
  <si>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</si>
  <si>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</si>
  <si>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</si>
  <si>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</si>
  <si>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</si>
  <si>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</si>
  <si>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</si>
  <si>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</si>
  <si>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</si>
  <si>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</si>
  <si>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</si>
  <si>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</si>
  <si>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</si>
  <si>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</si>
  <si>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</si>
  <si>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</si>
  <si>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</si>
  <si>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</si>
  <si>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</si>
  <si>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</si>
  <si>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</si>
  <si>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</si>
  <si>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</si>
  <si>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</si>
  <si>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</si>
  <si>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</si>
  <si>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</si>
  <si>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</si>
  <si>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</si>
  <si>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</si>
  <si>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</si>
  <si>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</si>
  <si>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</si>
  <si>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</si>
  <si>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</si>
  <si>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</si>
  <si>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</si>
  <si>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</si>
  <si>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</si>
  <si>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</si>
  <si>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</si>
  <si>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</si>
  <si>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</si>
  <si>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</si>
  <si>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</si>
  <si>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</si>
  <si>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</si>
  <si>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</si>
  <si>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</si>
  <si>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</si>
  <si>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</si>
  <si>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</si>
  <si>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</si>
  <si>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</si>
  <si>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</si>
  <si>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</si>
  <si>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</si>
  <si>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</si>
  <si>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</si>
  <si>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</si>
  <si>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</si>
  <si>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</si>
  <si>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</si>
  <si>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</si>
  <si>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</si>
  <si>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</si>
  <si>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</si>
  <si>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</si>
  <si>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</si>
  <si>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</si>
  <si>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</si>
  <si>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</si>
  <si>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</si>
  <si>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</si>
  <si>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</si>
  <si>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</si>
  <si>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</si>
  <si>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</si>
  <si>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</si>
  <si>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</si>
  <si>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</si>
  <si>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</si>
  <si>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</si>
  <si>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</si>
  <si>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</si>
  <si>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</si>
  <si>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</si>
  <si>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</si>
  <si>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</si>
  <si>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</si>
  <si>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</si>
  <si>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</si>
  <si>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</si>
  <si>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</si>
  <si>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</si>
  <si>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</si>
  <si>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</si>
  <si>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</si>
  <si>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</si>
  <si>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</si>
  <si>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</si>
  <si>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</si>
  <si>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</si>
  <si>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</si>
  <si>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</si>
  <si>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</si>
  <si>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</si>
  <si>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</si>
  <si>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</si>
  <si>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</si>
  <si>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</si>
  <si>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</si>
  <si>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</si>
  <si>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</si>
  <si>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</si>
  <si>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</si>
  <si>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</si>
  <si>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</si>
  <si>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</si>
  <si>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</si>
  <si>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</si>
  <si>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</si>
  <si>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</si>
  <si>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</si>
  <si>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</si>
  <si>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</si>
  <si>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</si>
  <si>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</si>
  <si>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</si>
  <si>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</si>
  <si>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</si>
  <si>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</si>
  <si>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</si>
  <si>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</si>
  <si>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</si>
  <si>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</si>
  <si>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</si>
  <si>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</si>
  <si>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</si>
  <si>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</si>
  <si>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</si>
  <si>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</si>
  <si>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</si>
  <si>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</si>
  <si>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</si>
  <si>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</si>
  <si>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</si>
  <si>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</si>
  <si>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</si>
  <si>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</si>
  <si>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</si>
  <si>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</si>
  <si>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</si>
  <si>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</si>
  <si>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</si>
  <si>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</si>
  <si>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</si>
  <si>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</si>
  <si>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</si>
  <si>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</si>
  <si>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</si>
  <si>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</si>
  <si>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</si>
  <si>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</si>
  <si>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</si>
  <si>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</si>
  <si>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</si>
  <si>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</si>
  <si>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</si>
  <si>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</si>
  <si>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</si>
  <si>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</si>
  <si>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</si>
  <si>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</si>
  <si>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</si>
  <si>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</si>
  <si>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</si>
  <si>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</si>
  <si>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</si>
  <si>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</si>
  <si>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</si>
  <si>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</si>
  <si>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</si>
  <si>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</si>
  <si>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</si>
  <si>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</si>
  <si>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</si>
  <si>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</si>
  <si>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</si>
  <si>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</si>
  <si>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</si>
  <si>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</si>
  <si>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</si>
  <si>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</si>
  <si>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</si>
  <si>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</si>
  <si>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</si>
  <si>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</si>
  <si>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</si>
  <si>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</si>
  <si>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</si>
  <si>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</si>
  <si>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</si>
  <si>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</si>
  <si>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</si>
  <si>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</si>
  <si>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</si>
  <si>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</si>
  <si>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</si>
  <si>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</si>
  <si>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</si>
  <si>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</si>
  <si>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</si>
  <si>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</si>
  <si>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</si>
  <si>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</si>
  <si>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</si>
  <si>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</si>
  <si>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</si>
  <si>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</si>
  <si>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</si>
  <si>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</si>
  <si>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</si>
  <si>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</si>
  <si>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</si>
  <si>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</si>
  <si>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</si>
  <si>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</si>
  <si>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</si>
  <si>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</si>
  <si>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</si>
  <si>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</si>
  <si>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</si>
  <si>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</si>
  <si>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</si>
  <si>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</si>
  <si>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</si>
  <si>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</si>
  <si>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</si>
  <si>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</si>
  <si>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</si>
  <si>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</si>
  <si>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</si>
  <si>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</si>
  <si>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</si>
  <si>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</si>
  <si>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</si>
  <si>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</si>
  <si>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</si>
  <si>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</si>
  <si>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</si>
  <si>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</si>
  <si>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</si>
  <si>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</si>
  <si>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</si>
  <si>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</si>
  <si>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</si>
  <si>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</si>
  <si>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</si>
  <si>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</si>
  <si>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</si>
  <si>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</si>
  <si>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</si>
  <si>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</si>
  <si>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</si>
  <si>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</si>
  <si>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</si>
  <si>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</si>
  <si>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</si>
  <si>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</si>
  <si>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</si>
  <si>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</si>
  <si>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</si>
  <si>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</si>
  <si>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</si>
  <si>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</si>
  <si>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</si>
  <si>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</si>
  <si>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</si>
  <si>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</si>
  <si>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</si>
  <si>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</si>
  <si>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</si>
  <si>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</si>
  <si>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</si>
  <si>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</si>
  <si>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</si>
  <si>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</si>
  <si>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</si>
  <si>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</si>
  <si>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</si>
  <si>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</si>
  <si>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</si>
  <si>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</si>
  <si>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</si>
  <si>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</si>
  <si>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</si>
  <si>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</si>
  <si>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</si>
  <si>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</si>
  <si>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</si>
  <si>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</si>
  <si>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</si>
  <si>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</si>
  <si>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</si>
  <si>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</si>
  <si>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</si>
  <si>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</si>
  <si>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</si>
  <si>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</si>
  <si>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</si>
  <si>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</si>
  <si>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</si>
  <si>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</si>
  <si>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</si>
  <si>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</si>
  <si>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</si>
  <si>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</si>
  <si>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</si>
  <si>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</si>
  <si>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</si>
  <si>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</si>
  <si>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</si>
  <si>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</si>
  <si>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</si>
  <si>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</si>
  <si>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</si>
  <si>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</si>
  <si>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</si>
  <si>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</si>
  <si>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</si>
  <si>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</si>
  <si>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</si>
  <si>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</si>
  <si>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</si>
  <si>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</si>
  <si>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</si>
  <si>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</si>
  <si>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</si>
  <si>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</si>
  <si>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</si>
  <si>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</si>
  <si>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</si>
  <si>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</si>
  <si>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</si>
  <si>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</si>
  <si>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</si>
  <si>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</si>
  <si>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</si>
  <si>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</si>
  <si>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</si>
  <si>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</si>
  <si>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</si>
  <si>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</si>
  <si>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</si>
  <si>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</si>
  <si>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</si>
  <si>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</si>
  <si>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</si>
  <si>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</si>
  <si>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</si>
  <si>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</si>
  <si>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</si>
  <si>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</si>
  <si>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</si>
  <si>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</si>
  <si>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</si>
  <si>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</si>
  <si>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</si>
  <si>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</si>
  <si>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</si>
  <si>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</si>
  <si>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</si>
  <si>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</si>
  <si>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</si>
  <si>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</si>
  <si>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</si>
  <si>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</si>
  <si>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</si>
  <si>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</si>
  <si>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</si>
  <si>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</si>
  <si>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</si>
  <si>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</si>
  <si>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</si>
  <si>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</si>
  <si>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</si>
  <si>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</si>
  <si>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</si>
  <si>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</si>
  <si>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</si>
  <si>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</si>
  <si>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</si>
  <si>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</si>
  <si>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</si>
  <si>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</si>
  <si>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</si>
  <si>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</si>
  <si>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</si>
  <si>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</si>
  <si>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</si>
  <si>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</si>
  <si>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</si>
  <si>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</si>
  <si>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</si>
  <si>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</si>
  <si>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</si>
  <si>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</si>
  <si>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</si>
  <si>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</si>
  <si>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</si>
  <si>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</si>
  <si>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</si>
  <si>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</si>
  <si>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</si>
  <si>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</si>
  <si>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</si>
  <si>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</si>
  <si>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</si>
  <si>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</si>
  <si>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</si>
  <si>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</si>
  <si>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</si>
  <si>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</si>
  <si>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</si>
  <si>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</si>
  <si>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</si>
  <si>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</si>
  <si>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</si>
  <si>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</si>
  <si>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</si>
  <si>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</si>
  <si>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</si>
  <si>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</si>
  <si>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</si>
  <si>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</si>
  <si>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</si>
  <si>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</si>
  <si>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</si>
  <si>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</si>
  <si>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</si>
  <si>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</si>
  <si>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</si>
  <si>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</si>
  <si>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</si>
  <si>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</si>
  <si>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</si>
  <si>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</si>
  <si>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</si>
  <si>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</si>
  <si>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</si>
  <si>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</si>
  <si>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</si>
  <si>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</si>
  <si>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</si>
  <si>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</si>
  <si>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</si>
  <si>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</si>
  <si>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</si>
  <si>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</si>
  <si>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</si>
  <si>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</si>
  <si>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</si>
  <si>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</si>
  <si>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</si>
  <si>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</si>
  <si>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</si>
  <si>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</si>
  <si>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</si>
  <si>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</si>
  <si>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</si>
  <si>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</si>
  <si>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</si>
  <si>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</si>
  <si>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</si>
  <si>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</si>
  <si>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</si>
  <si>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</si>
  <si>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</si>
  <si>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</si>
  <si>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</si>
  <si>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</si>
  <si>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</si>
  <si>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</si>
  <si>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</si>
  <si>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</si>
  <si>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</si>
  <si>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</si>
  <si>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</si>
  <si>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</si>
  <si>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</si>
  <si>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</si>
  <si>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</si>
  <si>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</si>
  <si>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</si>
  <si>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</si>
  <si>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</si>
  <si>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</si>
  <si>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</si>
  <si>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</si>
  <si>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</si>
  <si>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</si>
  <si>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</si>
  <si>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</si>
  <si>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</si>
  <si>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</si>
  <si>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</si>
  <si>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</si>
  <si>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</si>
  <si>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</si>
  <si>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</si>
  <si>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</si>
  <si>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</si>
  <si>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</si>
  <si>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</si>
  <si>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</si>
  <si>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</si>
  <si>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</si>
  <si>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</si>
  <si>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</si>
  <si>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</si>
  <si>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</si>
  <si>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</si>
  <si>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</si>
  <si>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</si>
  <si>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</si>
  <si>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</si>
  <si>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</si>
  <si>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</si>
  <si>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</si>
  <si>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</si>
  <si>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</si>
  <si>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</si>
  <si>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</si>
  <si>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</si>
  <si>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</si>
  <si>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</si>
  <si>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</si>
  <si>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</si>
  <si>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</si>
  <si>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</si>
  <si>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</si>
  <si>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</si>
  <si>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</si>
  <si>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</si>
  <si>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</si>
  <si>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</si>
  <si>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</si>
  <si>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</si>
  <si>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</si>
  <si>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</si>
  <si>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</si>
  <si>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</si>
  <si>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</si>
  <si>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</si>
  <si>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</si>
  <si>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</si>
  <si>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</si>
  <si>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</si>
  <si>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</si>
  <si>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</si>
  <si>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</si>
  <si>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</si>
  <si>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</si>
  <si>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</si>
  <si>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</si>
  <si>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</si>
  <si>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</si>
  <si>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</si>
  <si>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</si>
  <si>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</si>
  <si>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</si>
  <si>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</si>
  <si>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</si>
  <si>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</si>
  <si>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</si>
  <si>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</si>
  <si>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</si>
  <si>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</si>
  <si>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</si>
  <si>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</si>
  <si>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</si>
  <si>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</si>
  <si>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</si>
  <si>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</si>
  <si>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</si>
  <si>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</si>
  <si>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</si>
  <si>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</si>
  <si>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</si>
  <si>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</si>
  <si>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</si>
  <si>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</si>
  <si>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</si>
  <si>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</si>
  <si>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</si>
  <si>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</si>
  <si>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</si>
  <si>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</si>
  <si>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</si>
  <si>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</si>
  <si>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</si>
  <si>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</si>
  <si>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</si>
  <si>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</si>
  <si>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</si>
  <si>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</si>
  <si>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</si>
  <si>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</si>
  <si>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</si>
  <si>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</si>
  <si>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</si>
  <si>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</si>
  <si>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</si>
  <si>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</si>
  <si>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</si>
  <si>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</si>
  <si>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</si>
  <si>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</si>
  <si>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</si>
  <si>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</si>
  <si>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</si>
  <si>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</si>
  <si>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</si>
  <si>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</si>
  <si>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</si>
  <si>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</si>
  <si>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</si>
  <si>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</si>
  <si>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</si>
  <si>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</si>
  <si>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</si>
  <si>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</si>
  <si>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</si>
  <si>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</si>
  <si>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</si>
  <si>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</si>
  <si>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</si>
  <si>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</si>
  <si>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</si>
  <si>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</si>
  <si>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</si>
  <si>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</si>
  <si>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</si>
  <si>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</si>
  <si>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</si>
  <si>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</si>
  <si>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</si>
  <si>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</si>
  <si>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</si>
  <si>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</si>
  <si>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</si>
  <si>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</si>
  <si>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</si>
  <si>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</si>
  <si>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</si>
  <si>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</si>
  <si>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</si>
  <si>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</si>
  <si>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</si>
  <si>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</si>
  <si>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</si>
  <si>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</si>
  <si>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</si>
  <si>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</si>
  <si>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</si>
  <si>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</si>
  <si>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</si>
  <si>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</si>
  <si>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</si>
  <si>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</si>
  <si>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</si>
  <si>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</si>
  <si>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</si>
  <si>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</si>
  <si>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клуб № 2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</si>
  <si>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</si>
  <si>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</si>
  <si>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</si>
  <si>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</si>
  <si>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</si>
  <si>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</si>
  <si>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</si>
  <si>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</si>
  <si>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</si>
  <si>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</si>
  <si>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</si>
  <si>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</si>
  <si>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</si>
  <si>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</si>
  <si>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</si>
  <si>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</si>
  <si>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</si>
  <si>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</si>
  <si>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</si>
  <si>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</si>
  <si>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</si>
  <si>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</si>
  <si>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</si>
  <si>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</si>
  <si>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</si>
  <si>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</si>
  <si>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</si>
  <si>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</si>
  <si>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</si>
  <si>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</si>
  <si>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</si>
  <si>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</si>
  <si>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</si>
  <si>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</si>
  <si>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</si>
  <si>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</si>
  <si>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</si>
  <si>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</si>
  <si>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</si>
  <si>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</si>
  <si>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</si>
  <si>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</si>
  <si>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</si>
  <si>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</si>
  <si>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</si>
  <si>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</si>
  <si>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</si>
  <si>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</si>
  <si>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</si>
  <si>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</si>
  <si>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</si>
  <si>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</si>
  <si>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</si>
  <si>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</si>
  <si>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</si>
  <si>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</si>
  <si>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</si>
  <si>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</si>
  <si>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</si>
  <si>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</si>
  <si>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</si>
  <si>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</si>
  <si>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</si>
  <si>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</si>
  <si>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</si>
  <si>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</si>
  <si>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</si>
  <si>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</si>
  <si>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</si>
  <si>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</si>
  <si>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</si>
  <si>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</si>
  <si>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</si>
  <si>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</si>
  <si>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</si>
  <si>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</si>
  <si>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</si>
  <si>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</si>
  <si>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</si>
  <si>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</si>
  <si>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</si>
  <si>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</si>
  <si>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</si>
  <si>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</si>
  <si>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</si>
  <si>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д.Волосово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</si>
  <si>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</si>
  <si>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</si>
  <si>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</si>
  <si>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</si>
  <si>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</si>
  <si>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</si>
  <si>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</si>
  <si>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</si>
  <si>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</si>
  <si>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</si>
  <si>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</si>
  <si>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</si>
  <si>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</si>
  <si>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</si>
  <si>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</si>
  <si>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</si>
  <si>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</si>
  <si>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</si>
  <si>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</si>
  <si>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</si>
  <si>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</si>
  <si>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</si>
  <si>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</si>
  <si>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</si>
  <si>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</si>
  <si>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</si>
  <si>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</si>
  <si>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</si>
  <si>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</si>
  <si>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</si>
  <si>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</si>
  <si>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</si>
  <si>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</si>
  <si>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</si>
  <si>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</si>
  <si>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</si>
  <si>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</si>
  <si>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</si>
  <si>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</si>
  <si>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</si>
  <si>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</si>
  <si>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</si>
  <si>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</si>
  <si>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</si>
  <si>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</si>
  <si>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</si>
  <si>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</si>
  <si>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</si>
  <si>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</si>
  <si>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</si>
  <si>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</si>
  <si>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</si>
  <si>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</si>
  <si>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</si>
  <si>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</si>
  <si>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</si>
  <si>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</si>
  <si>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</si>
  <si>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</si>
  <si>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</si>
  <si>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</si>
  <si>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</si>
  <si>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</si>
  <si>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</si>
  <si>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</si>
  <si>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</si>
  <si>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</si>
  <si>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</si>
  <si>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</si>
  <si>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</si>
  <si>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</si>
  <si>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</si>
  <si>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</si>
  <si>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</si>
  <si>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</si>
  <si>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</si>
  <si>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</si>
  <si>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</si>
  <si>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</si>
  <si>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</si>
  <si>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</si>
  <si>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</si>
  <si>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</si>
  <si>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</si>
  <si>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</si>
  <si>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</si>
  <si>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</si>
  <si>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</si>
  <si>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</si>
  <si>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</si>
  <si>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</si>
  <si>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</si>
  <si>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</si>
  <si>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</si>
  <si>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</si>
  <si>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</si>
  <si>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</si>
  <si>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</si>
  <si>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</si>
  <si>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</si>
  <si>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</si>
  <si>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</si>
  <si>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</si>
  <si>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</si>
  <si>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</si>
  <si>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</si>
  <si>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</si>
  <si>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</si>
  <si>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</si>
  <si>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</si>
  <si>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</si>
  <si>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</si>
  <si>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</si>
  <si>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</si>
  <si>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</si>
  <si>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</si>
  <si>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</si>
  <si>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</si>
  <si>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</si>
  <si>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</si>
  <si>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</si>
  <si>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</si>
  <si>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</si>
  <si>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</si>
  <si>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</si>
  <si>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</si>
  <si>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</si>
  <si>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</si>
  <si>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</si>
  <si>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</si>
  <si>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</si>
  <si>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</si>
  <si>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</si>
  <si>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</si>
  <si>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</si>
  <si>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</si>
  <si>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</si>
  <si>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</si>
  <si>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</si>
  <si>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</si>
  <si>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</si>
  <si>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</si>
  <si>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</si>
  <si>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</si>
  <si>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</si>
  <si>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</si>
  <si>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</si>
  <si>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</si>
  <si>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</si>
  <si>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</si>
  <si>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</si>
  <si>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</si>
  <si>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</si>
  <si>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</si>
  <si>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</si>
  <si>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</si>
  <si>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</si>
  <si>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</si>
  <si>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</si>
  <si>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</si>
  <si>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</si>
  <si>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</si>
  <si>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</si>
  <si>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</si>
  <si>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</si>
  <si>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</si>
  <si>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</si>
  <si>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</si>
  <si>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</si>
  <si>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</si>
  <si>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</si>
  <si>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</si>
  <si>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</si>
  <si>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</si>
  <si>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</si>
  <si>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</si>
  <si>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</si>
  <si>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</si>
  <si>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</si>
  <si>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</si>
  <si>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</si>
  <si>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</si>
  <si>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</si>
  <si>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</si>
  <si>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</si>
  <si>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</si>
  <si>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</si>
  <si>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</si>
  <si>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</si>
  <si>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</si>
  <si>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</si>
  <si>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</si>
  <si>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</si>
  <si>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</si>
  <si>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</si>
  <si>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</si>
  <si>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</si>
  <si>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</si>
  <si>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</si>
  <si>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</si>
  <si>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</si>
  <si>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</si>
  <si>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</si>
  <si>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</si>
  <si>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</si>
  <si>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</si>
  <si>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</si>
  <si>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</si>
  <si>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</si>
  <si>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</si>
  <si>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</si>
  <si>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</si>
  <si>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</si>
  <si>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</si>
  <si>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</si>
  <si>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</si>
  <si>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</si>
  <si>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</si>
  <si>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</si>
  <si>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</si>
  <si>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</si>
  <si>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</si>
  <si>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</si>
  <si>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</si>
  <si>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</si>
  <si>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</si>
  <si>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</si>
  <si>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</si>
  <si>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</si>
  <si>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</si>
  <si>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</si>
  <si>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</si>
  <si>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</si>
  <si>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</si>
  <si>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</si>
  <si>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</si>
  <si>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</si>
  <si>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</si>
  <si>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</si>
  <si>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</si>
  <si>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</si>
  <si>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</si>
  <si>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</si>
  <si>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</si>
  <si>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</si>
  <si>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</si>
  <si>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</si>
  <si>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</si>
  <si>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</si>
  <si>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</si>
  <si>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</si>
  <si>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</si>
  <si>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</si>
  <si>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</si>
  <si>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</si>
  <si>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</si>
  <si>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</si>
  <si>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</si>
  <si>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</si>
  <si>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</si>
  <si>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</si>
  <si>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</si>
  <si>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</si>
  <si>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</si>
  <si>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</si>
  <si>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</si>
  <si>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</si>
  <si>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</si>
  <si>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</si>
  <si>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</si>
  <si>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</si>
  <si>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</si>
  <si>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</si>
  <si>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</si>
  <si>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</si>
  <si>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</si>
  <si>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</si>
  <si>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</si>
  <si>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</si>
  <si>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</si>
  <si>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</si>
  <si>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</si>
  <si>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</si>
  <si>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</si>
  <si>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</si>
  <si>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</si>
  <si>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</si>
  <si>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</si>
  <si>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</si>
  <si>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</si>
  <si>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</si>
  <si>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</si>
  <si>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</si>
  <si>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</si>
  <si>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</si>
  <si>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</si>
  <si>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</si>
  <si>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</si>
  <si>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</si>
  <si>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</si>
  <si>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</si>
  <si>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</si>
  <si>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</si>
  <si>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</si>
  <si>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</si>
  <si>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</si>
  <si>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</si>
  <si>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</si>
  <si>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</si>
  <si>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</si>
  <si>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</si>
  <si>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</si>
  <si>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</si>
  <si>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</si>
  <si>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</si>
  <si>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</si>
  <si>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</si>
  <si>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</si>
  <si>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</si>
  <si>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</si>
  <si>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</si>
  <si>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</si>
  <si>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</si>
  <si>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</si>
  <si>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</si>
  <si>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</si>
  <si>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</si>
  <si>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</si>
  <si>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</si>
  <si>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</si>
  <si>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</si>
  <si>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</si>
  <si>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</si>
  <si>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</si>
  <si>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</si>
  <si>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</si>
  <si>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</si>
  <si>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</si>
  <si>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</si>
  <si>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</si>
  <si>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</si>
  <si>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</si>
  <si>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</si>
  <si>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</si>
  <si>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</si>
  <si>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</si>
  <si>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</si>
  <si>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</si>
  <si>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</si>
  <si>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</si>
  <si>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</si>
  <si>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</si>
  <si>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</si>
  <si>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</si>
  <si>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</si>
  <si>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</si>
  <si>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</si>
  <si>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</si>
  <si>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</si>
  <si>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</si>
  <si>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</si>
  <si>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</si>
  <si>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</si>
  <si>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</si>
  <si>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</si>
  <si>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</si>
  <si>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</si>
  <si>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</si>
  <si>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</si>
  <si>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</si>
  <si>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</si>
  <si>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</si>
  <si>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</si>
  <si>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</si>
  <si>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</si>
  <si>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</si>
  <si>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</si>
  <si>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</si>
  <si>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</si>
  <si>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</si>
  <si>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</si>
  <si>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</si>
  <si>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</si>
  <si>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</si>
  <si>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</si>
  <si>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</si>
  <si>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</si>
  <si>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</si>
  <si>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</si>
  <si>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</si>
  <si>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</si>
  <si>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</si>
  <si>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</si>
  <si>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</si>
  <si>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</si>
  <si>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</si>
  <si>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</si>
  <si>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</si>
  <si>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</si>
  <si>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</si>
  <si>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</si>
  <si>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</si>
  <si>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</si>
  <si>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</si>
  <si>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</si>
  <si>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</si>
  <si>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</si>
  <si>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</si>
  <si>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</si>
  <si>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</si>
  <si>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</si>
  <si>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</si>
  <si>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</si>
  <si>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</si>
  <si>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</si>
  <si>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</si>
  <si>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</si>
  <si>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</si>
  <si>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</si>
  <si>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</si>
  <si>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</si>
  <si>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</si>
  <si>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</si>
  <si>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</si>
  <si>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</si>
  <si>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</si>
  <si>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</si>
  <si>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</si>
  <si>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</si>
  <si>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</si>
  <si>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</si>
  <si>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</si>
  <si>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</si>
  <si>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</si>
  <si>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</si>
  <si>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</si>
  <si>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</si>
  <si>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</si>
  <si>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</si>
  <si>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</si>
  <si>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</si>
  <si>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</si>
  <si>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</si>
  <si>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</si>
  <si>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</si>
  <si>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</si>
  <si>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</si>
  <si>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</si>
  <si>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</si>
  <si>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</si>
  <si>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</si>
  <si>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</si>
  <si>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</si>
  <si>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</si>
  <si>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</si>
  <si>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</si>
  <si>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</si>
  <si>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</si>
  <si>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</si>
  <si>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</si>
  <si>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</si>
  <si>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</si>
  <si>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</si>
  <si>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</si>
  <si>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</si>
  <si>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</si>
  <si>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</si>
  <si>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</si>
  <si>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</si>
  <si>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</si>
  <si>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</si>
  <si>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</si>
  <si>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</si>
  <si>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</si>
  <si>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</si>
  <si>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</si>
  <si>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</si>
  <si>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</si>
  <si>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</si>
  <si>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</si>
  <si>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</si>
  <si>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</si>
  <si>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</si>
  <si>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</si>
  <si>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</si>
  <si>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</si>
  <si>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</si>
  <si>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</si>
  <si>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</si>
  <si>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</si>
  <si>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</si>
  <si>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</si>
  <si>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</si>
  <si>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</si>
  <si>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</si>
  <si>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</si>
  <si>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</si>
  <si>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</si>
  <si>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</si>
  <si>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</si>
  <si>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</si>
  <si>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</si>
  <si>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</si>
  <si>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</si>
  <si>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</si>
  <si>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</si>
  <si>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</si>
  <si>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</si>
  <si>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</si>
  <si>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</si>
  <si>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</si>
  <si>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</si>
  <si>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</si>
  <si>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</si>
  <si>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</si>
  <si>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</si>
  <si>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</si>
  <si>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</si>
  <si>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</si>
  <si>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</si>
  <si>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</si>
  <si>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</si>
  <si>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</si>
  <si>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</si>
  <si>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</si>
  <si>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</si>
  <si>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</si>
  <si>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</si>
  <si>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</si>
  <si>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</si>
  <si>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</si>
  <si>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</si>
  <si>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</si>
  <si>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</si>
  <si>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</si>
  <si>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</si>
  <si>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</si>
  <si>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</si>
  <si>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</si>
  <si>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</si>
  <si>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</si>
  <si>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</si>
  <si>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</si>
  <si>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</si>
  <si>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</si>
  <si>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</si>
  <si>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</si>
  <si>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</si>
  <si>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</si>
  <si>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</si>
  <si>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</si>
  <si>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</si>
  <si>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</si>
  <si>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</si>
  <si>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</si>
  <si>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</si>
  <si>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</si>
  <si>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</si>
  <si>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</si>
  <si>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</si>
  <si>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</si>
  <si>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</si>
  <si>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</si>
  <si>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</si>
  <si>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</si>
  <si>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</si>
  <si>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</si>
  <si>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</si>
  <si>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</si>
  <si>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</si>
  <si>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</si>
  <si>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</si>
  <si>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</si>
  <si>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</si>
  <si>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</si>
  <si>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</si>
  <si>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</si>
  <si>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</si>
  <si>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</si>
  <si>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</si>
  <si>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</si>
  <si>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</si>
  <si>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</si>
  <si>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</si>
  <si>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</si>
  <si>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</si>
  <si>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</si>
  <si>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</si>
  <si>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</si>
  <si>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</si>
  <si>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</si>
  <si>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</si>
  <si>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</si>
  <si>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</si>
  <si>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</si>
  <si>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</si>
  <si>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</si>
  <si>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</si>
  <si>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</si>
  <si>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</si>
  <si>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</si>
  <si>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</si>
  <si>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</si>
  <si>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</si>
  <si>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</si>
  <si>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</si>
  <si>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</si>
  <si>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</si>
  <si>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</si>
  <si>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</si>
  <si>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</si>
  <si>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</si>
  <si>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</si>
  <si>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</si>
  <si>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</si>
  <si>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</si>
  <si>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</si>
  <si>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</si>
  <si>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</si>
  <si>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</si>
  <si>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</si>
  <si>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</si>
  <si>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</si>
  <si>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</si>
  <si>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</si>
  <si>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</si>
  <si>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</si>
  <si>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</si>
  <si>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</si>
  <si>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</si>
  <si>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</si>
  <si>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</si>
  <si>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</si>
  <si>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</si>
  <si>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</si>
  <si>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</si>
  <si>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</si>
  <si>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</si>
  <si>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</si>
  <si>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</si>
  <si>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</si>
  <si>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</si>
  <si>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</si>
  <si>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</si>
  <si>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</si>
  <si>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</si>
  <si>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</si>
  <si>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</si>
  <si>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</si>
  <si>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</si>
  <si>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</si>
  <si>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</si>
  <si>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</si>
  <si>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</si>
  <si>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</si>
  <si>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</si>
  <si>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</si>
  <si>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</si>
  <si>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</si>
  <si>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</si>
  <si>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</si>
  <si>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</si>
  <si>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</si>
  <si>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</si>
  <si>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</si>
  <si>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</si>
  <si>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</si>
  <si>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</si>
  <si>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</si>
  <si>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</si>
  <si>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</si>
  <si>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</si>
  <si>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</si>
  <si>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</si>
  <si>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</si>
  <si>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</si>
  <si>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</si>
  <si>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</si>
  <si>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</si>
  <si>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</si>
  <si>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</si>
  <si>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</si>
  <si>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</si>
  <si>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</si>
  <si>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</si>
  <si>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</si>
  <si>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</si>
  <si>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</si>
  <si>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</si>
  <si>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</si>
  <si>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</si>
  <si>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</si>
  <si>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</si>
  <si>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</si>
  <si>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</si>
  <si>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</si>
  <si>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</si>
  <si>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</si>
  <si>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</si>
  <si>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</si>
  <si>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</si>
  <si>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</si>
  <si>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</si>
  <si>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</si>
  <si>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</si>
  <si>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</si>
  <si>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</si>
  <si>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</si>
  <si>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</si>
  <si>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</si>
  <si>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</si>
  <si>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</si>
  <si>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</si>
  <si>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</si>
  <si>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</si>
  <si>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</si>
  <si>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</si>
  <si>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</si>
  <si>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</si>
  <si>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</si>
  <si>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</si>
  <si>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</si>
  <si>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</si>
  <si>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</si>
  <si>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</si>
  <si>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</si>
  <si>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</si>
  <si>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</si>
  <si>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</si>
  <si>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</si>
  <si>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</si>
  <si>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</si>
  <si>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</si>
  <si>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</si>
  <si>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</si>
  <si>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</si>
  <si>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</si>
  <si>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</si>
  <si>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</si>
  <si>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</si>
  <si>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</si>
  <si>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</si>
  <si>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</si>
  <si>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</si>
  <si>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</si>
  <si>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</si>
  <si>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</si>
  <si>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</si>
  <si>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</si>
  <si>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</si>
  <si>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</si>
  <si>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</si>
  <si>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</si>
  <si>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</si>
  <si>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</si>
  <si>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</si>
  <si>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</si>
  <si>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</si>
  <si>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</si>
  <si>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</si>
  <si>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</si>
  <si>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</si>
  <si>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</si>
  <si>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</si>
  <si>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</si>
  <si>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</si>
  <si>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</si>
  <si>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</si>
  <si>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д.Тетьково-2</t>
  </si>
  <si>
    <t xml:space="preserve">ЗТП Тетьково-2  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</si>
  <si>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</si>
  <si>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</si>
  <si>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</si>
  <si>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</si>
  <si>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</si>
  <si>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</si>
  <si>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</si>
  <si>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</si>
  <si>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</si>
  <si>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</si>
  <si>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</si>
  <si>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</si>
  <si>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</si>
  <si>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</si>
  <si>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</si>
  <si>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</si>
  <si>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</si>
  <si>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</si>
  <si>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</si>
  <si>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</si>
  <si>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</si>
  <si>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</si>
  <si>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</si>
  <si>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</si>
  <si>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</si>
  <si>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</si>
  <si>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</si>
  <si>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</si>
  <si>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</si>
  <si>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</si>
  <si>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</si>
  <si>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</si>
  <si>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</si>
  <si>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</si>
  <si>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</si>
  <si>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</si>
  <si>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</si>
  <si>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</si>
  <si>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</si>
  <si>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</si>
  <si>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</si>
  <si>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</si>
  <si>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</si>
  <si>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</si>
  <si>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</si>
  <si>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</si>
  <si>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</si>
  <si>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</si>
  <si>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</si>
  <si>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</si>
  <si>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</si>
  <si>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</si>
  <si>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</si>
  <si>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</si>
  <si>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</si>
  <si>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</si>
  <si>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</si>
  <si>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</si>
  <si>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</si>
  <si>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</si>
  <si>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</si>
  <si>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</si>
  <si>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</si>
  <si>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</si>
  <si>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</si>
  <si>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</si>
  <si>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</si>
  <si>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</si>
  <si>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</si>
  <si>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</si>
  <si>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</si>
  <si>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</si>
  <si>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</si>
  <si>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</si>
  <si>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</si>
  <si>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</si>
  <si>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</si>
  <si>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</si>
  <si>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</si>
  <si>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</si>
  <si>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</si>
  <si>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</si>
  <si>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</si>
  <si>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</si>
  <si>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</si>
  <si>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</si>
  <si>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</si>
  <si>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</si>
  <si>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</si>
  <si>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</si>
  <si>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</si>
  <si>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</si>
  <si>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</si>
  <si>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</si>
  <si>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</si>
  <si>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</si>
  <si>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</si>
  <si>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</si>
  <si>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</si>
  <si>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</si>
  <si>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</si>
  <si>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</si>
  <si>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</si>
  <si>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</si>
  <si>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</si>
  <si>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</si>
  <si>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</si>
  <si>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</si>
  <si>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</si>
  <si>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</si>
  <si>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</si>
  <si>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</si>
  <si>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</si>
  <si>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</si>
  <si>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</si>
  <si>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</si>
  <si>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</si>
  <si>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</si>
  <si>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</si>
  <si>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</si>
  <si>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</si>
  <si>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</si>
  <si>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</si>
  <si>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</si>
  <si>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</si>
  <si>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</si>
  <si>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</si>
  <si>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</si>
  <si>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</si>
  <si>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</si>
  <si>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</si>
  <si>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</si>
  <si>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</si>
  <si>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</si>
  <si>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</si>
  <si>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</si>
  <si>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</si>
  <si>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</si>
  <si>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</si>
  <si>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</si>
  <si>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</si>
  <si>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</si>
  <si>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</si>
  <si>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</si>
  <si>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</si>
  <si>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</si>
  <si>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</si>
  <si>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</si>
  <si>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</si>
  <si>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</si>
  <si>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</si>
  <si>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</si>
  <si>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</si>
  <si>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</si>
  <si>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</si>
  <si>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</si>
  <si>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</si>
  <si>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</si>
  <si>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</si>
  <si>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</si>
  <si>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</si>
  <si>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</si>
  <si>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</si>
  <si>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</si>
  <si>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</si>
  <si>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</si>
  <si>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</si>
  <si>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</si>
  <si>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</si>
  <si>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</si>
  <si>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</si>
  <si>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</si>
  <si>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</si>
  <si>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</si>
  <si>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</si>
  <si>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</si>
  <si>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</si>
  <si>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</si>
  <si>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</si>
  <si>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</si>
  <si>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</si>
  <si>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</si>
  <si>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</si>
  <si>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</si>
  <si>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</si>
  <si>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</si>
  <si>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</si>
  <si>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</si>
  <si>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</si>
  <si>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</si>
  <si>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</si>
  <si>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</si>
  <si>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</si>
  <si>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</si>
  <si>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</si>
  <si>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</si>
  <si>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</si>
  <si>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</si>
  <si>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</si>
  <si>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</si>
  <si>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</si>
  <si>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</si>
  <si>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</si>
  <si>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</si>
  <si>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</si>
  <si>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</si>
  <si>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</si>
  <si>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</si>
  <si>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</si>
  <si>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</si>
  <si>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</si>
  <si>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</si>
  <si>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</si>
  <si>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</si>
  <si>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</si>
  <si>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</si>
  <si>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</si>
  <si>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</si>
  <si>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</si>
  <si>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</si>
  <si>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</si>
  <si>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</si>
  <si>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</si>
  <si>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</si>
  <si>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</si>
  <si>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</si>
  <si>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</si>
  <si>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</si>
  <si>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</si>
  <si>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</si>
  <si>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</si>
  <si>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</si>
  <si>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</si>
  <si>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</si>
  <si>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</si>
  <si>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</si>
  <si>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</si>
  <si>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</si>
  <si>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</si>
  <si>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</si>
  <si>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</si>
  <si>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</si>
  <si>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</si>
  <si>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</si>
  <si>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</si>
  <si>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</si>
  <si>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</si>
  <si>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</si>
  <si>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</si>
  <si>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</si>
  <si>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</si>
  <si>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</si>
  <si>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</si>
  <si>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</si>
  <si>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</si>
  <si>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</si>
  <si>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</si>
  <si>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</si>
  <si>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</si>
  <si>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</si>
  <si>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</si>
  <si>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</si>
  <si>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</si>
  <si>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</si>
  <si>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</si>
  <si>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</si>
  <si>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</si>
  <si>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</si>
  <si>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</si>
  <si>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</si>
  <si>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</si>
  <si>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</si>
  <si>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</si>
  <si>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</si>
  <si>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</si>
  <si>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</si>
  <si>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</si>
  <si>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</si>
  <si>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</si>
  <si>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</si>
  <si>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</si>
  <si>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</si>
  <si>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</si>
  <si>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</si>
  <si>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</si>
  <si>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</si>
  <si>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</si>
  <si>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</si>
  <si>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</si>
  <si>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</si>
  <si>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</si>
  <si>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</si>
  <si>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</si>
  <si>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</si>
  <si>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</si>
  <si>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</si>
  <si>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</si>
  <si>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</si>
  <si>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</si>
  <si>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</si>
  <si>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</si>
  <si>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</si>
  <si>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</si>
  <si>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</si>
  <si>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</si>
  <si>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</si>
  <si>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</si>
  <si>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</si>
  <si>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</si>
  <si>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</si>
  <si>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</si>
  <si>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</si>
  <si>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</si>
  <si>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</si>
  <si>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</si>
  <si>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</si>
  <si>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</si>
  <si>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</si>
  <si>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</si>
  <si>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</si>
  <si>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</si>
  <si>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</si>
  <si>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</si>
  <si>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</si>
  <si>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</si>
  <si>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</si>
  <si>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</si>
  <si>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</si>
  <si>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</si>
  <si>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</si>
  <si>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</si>
  <si>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</si>
  <si>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</si>
  <si>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</si>
  <si>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</si>
  <si>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</si>
  <si>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</si>
  <si>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</si>
  <si>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</si>
  <si>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</si>
  <si>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</si>
  <si>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</si>
  <si>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</si>
  <si>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</si>
  <si>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</si>
  <si>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</si>
  <si>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</si>
  <si>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</si>
  <si>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</si>
  <si>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</si>
  <si>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</si>
  <si>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</si>
  <si>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</si>
  <si>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</si>
  <si>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</si>
  <si>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</si>
  <si>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</si>
  <si>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</si>
  <si>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</si>
  <si>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</si>
  <si>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</si>
  <si>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</si>
  <si>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</si>
  <si>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</si>
  <si>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</si>
  <si>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</si>
  <si>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</si>
  <si>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</si>
  <si>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</si>
  <si>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</si>
  <si>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</si>
  <si>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</si>
  <si>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</si>
  <si>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</si>
  <si>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</si>
  <si>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</si>
  <si>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</si>
  <si>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</si>
  <si>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</si>
  <si>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</si>
  <si>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</si>
  <si>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</si>
  <si>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</si>
  <si>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</si>
  <si>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</si>
  <si>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</si>
  <si>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</si>
  <si>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</si>
  <si>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</si>
  <si>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</si>
  <si>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</si>
  <si>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</si>
  <si>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</si>
  <si>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</si>
  <si>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</si>
  <si>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</si>
  <si>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</si>
  <si>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</si>
  <si>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</si>
  <si>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</si>
  <si>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</si>
  <si>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</si>
  <si>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</si>
  <si>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</si>
  <si>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</si>
  <si>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</si>
  <si>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</si>
  <si>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</si>
  <si>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</si>
  <si>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</si>
  <si>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</si>
  <si>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</si>
  <si>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</si>
  <si>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</si>
  <si>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</si>
  <si>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</si>
  <si>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</si>
  <si>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</si>
  <si>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</si>
  <si>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</si>
  <si>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</si>
  <si>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</si>
  <si>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</si>
  <si>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</si>
  <si>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</si>
  <si>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</si>
  <si>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</si>
  <si>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</si>
  <si>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</si>
  <si>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</si>
  <si>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</si>
  <si>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</si>
  <si>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</si>
  <si>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</si>
  <si>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</si>
  <si>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</si>
  <si>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</si>
  <si>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</si>
  <si>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</si>
  <si>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</si>
  <si>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</si>
  <si>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</si>
  <si>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</si>
  <si>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</si>
  <si>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</si>
  <si>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</si>
  <si>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</si>
  <si>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</si>
  <si>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</si>
  <si>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</si>
  <si>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</si>
  <si>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</si>
  <si>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</si>
  <si>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</si>
  <si>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</si>
  <si>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</si>
  <si>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</si>
  <si>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</si>
  <si>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</si>
  <si>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</si>
  <si>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</si>
  <si>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</si>
  <si>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</si>
  <si>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</si>
  <si>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</si>
  <si>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</si>
  <si>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</si>
  <si>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</si>
  <si>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</si>
  <si>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</si>
  <si>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</si>
  <si>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</si>
  <si>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</si>
  <si>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</si>
  <si>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</si>
  <si>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</si>
  <si>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</si>
  <si>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</si>
  <si>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</si>
  <si>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</si>
  <si>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</si>
  <si>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</si>
  <si>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</si>
  <si>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</si>
  <si>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</si>
  <si>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</si>
  <si>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</si>
  <si>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</si>
  <si>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</si>
  <si>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</si>
  <si>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</si>
  <si>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</si>
  <si>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</si>
  <si>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</si>
  <si>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</si>
  <si>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</si>
  <si>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</si>
  <si>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</si>
  <si>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</si>
  <si>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</si>
  <si>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</si>
  <si>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</si>
  <si>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</si>
  <si>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</si>
  <si>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</si>
  <si>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</si>
  <si>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</si>
  <si>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</si>
  <si>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</si>
  <si>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</si>
  <si>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</si>
  <si>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</si>
  <si>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</si>
  <si>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</si>
  <si>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</si>
  <si>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</si>
  <si>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</si>
  <si>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</si>
  <si>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</si>
  <si>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</si>
  <si>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</si>
  <si>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</si>
  <si>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</si>
  <si>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</si>
  <si>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</si>
  <si>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</si>
  <si>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</si>
  <si>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</si>
  <si>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</si>
  <si>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</si>
  <si>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</si>
  <si>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</si>
  <si>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</si>
  <si>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</si>
  <si>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</si>
  <si>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</si>
  <si>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</si>
  <si>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</si>
  <si>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</si>
  <si>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</si>
  <si>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</si>
  <si>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</si>
  <si>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</si>
  <si>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</si>
  <si>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</si>
  <si>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</si>
  <si>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</si>
  <si>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</si>
  <si>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</si>
  <si>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</si>
  <si>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</si>
  <si>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</si>
  <si>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</si>
  <si>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</si>
  <si>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</si>
  <si>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</si>
  <si>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</si>
  <si>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</si>
  <si>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</si>
  <si>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</si>
  <si>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</si>
  <si>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</si>
  <si>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</si>
  <si>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</si>
  <si>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</si>
  <si>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</si>
  <si>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</si>
  <si>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</si>
  <si>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</si>
  <si>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</si>
  <si>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</si>
  <si>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</si>
  <si>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</si>
  <si>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</si>
  <si>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</si>
  <si>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</si>
  <si>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</si>
  <si>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</si>
  <si>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</si>
  <si>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</si>
  <si>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</si>
  <si>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</si>
  <si>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</si>
  <si>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</si>
  <si>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</si>
  <si>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</si>
  <si>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</si>
  <si>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</si>
  <si>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</si>
  <si>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</si>
  <si>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</si>
  <si>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</si>
  <si>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</si>
  <si>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</si>
  <si>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</si>
  <si>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</si>
  <si>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</si>
  <si>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</si>
  <si>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</si>
  <si>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</si>
  <si>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</si>
  <si>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</si>
  <si>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</si>
  <si>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</si>
  <si>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</si>
  <si>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</si>
  <si>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</si>
  <si>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</si>
  <si>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</si>
  <si>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</si>
  <si>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</si>
  <si>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</si>
  <si>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</si>
  <si>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</si>
  <si>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</si>
  <si>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</si>
  <si>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</si>
  <si>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</si>
  <si>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</si>
  <si>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</si>
  <si>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</si>
  <si>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</si>
  <si>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</si>
  <si>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</si>
  <si>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</si>
  <si>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</si>
  <si>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</si>
  <si>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</si>
  <si>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</si>
  <si>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</si>
  <si>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</si>
  <si>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</si>
  <si>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</si>
  <si>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</si>
  <si>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</si>
  <si>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</si>
  <si>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</si>
  <si>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</si>
  <si>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</si>
  <si>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</si>
  <si>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</si>
  <si>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</si>
  <si>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</si>
  <si>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</si>
  <si>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</si>
  <si>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</si>
  <si>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</si>
  <si>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</si>
  <si>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</si>
  <si>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</si>
  <si>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</si>
  <si>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</si>
  <si>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</si>
  <si>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</si>
  <si>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</si>
  <si>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</si>
  <si>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</si>
  <si>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</si>
  <si>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</si>
  <si>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</si>
  <si>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</si>
  <si>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</si>
  <si>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</si>
  <si>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</si>
  <si>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</si>
  <si>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</si>
  <si>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</si>
  <si>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</si>
  <si>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</si>
  <si>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</si>
  <si>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</si>
  <si>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</si>
  <si>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</si>
  <si>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</si>
  <si>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</si>
  <si>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</si>
  <si>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</si>
  <si>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</si>
  <si>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</si>
  <si>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</si>
  <si>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</si>
  <si>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</si>
  <si>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</si>
  <si>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</si>
  <si>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</si>
  <si>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</si>
  <si>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</si>
  <si>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</si>
  <si>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</si>
  <si>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</si>
  <si>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</si>
  <si>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</si>
  <si>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</si>
  <si>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</si>
  <si>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</si>
  <si>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</si>
  <si>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</si>
  <si>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</si>
  <si>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</si>
  <si>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</si>
  <si>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</si>
  <si>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</si>
  <si>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</si>
  <si>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</si>
  <si>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</si>
  <si>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</si>
  <si>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</si>
  <si>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</si>
  <si>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</si>
  <si>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</si>
  <si>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</si>
  <si>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</si>
  <si>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</si>
  <si>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</si>
  <si>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</si>
  <si>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</si>
  <si>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</si>
  <si>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</si>
  <si>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</si>
  <si>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</si>
  <si>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</si>
  <si>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</si>
  <si>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</si>
  <si>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</si>
  <si>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</si>
  <si>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</si>
  <si>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</si>
  <si>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</si>
  <si>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</si>
  <si>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</si>
  <si>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</si>
  <si>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</si>
  <si>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</si>
  <si>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</si>
  <si>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</si>
  <si>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</si>
  <si>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</si>
  <si>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</si>
  <si>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</si>
  <si>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</si>
  <si>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</si>
  <si>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</si>
  <si>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</si>
  <si>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</si>
  <si>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</si>
  <si>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</si>
  <si>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</si>
  <si>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</si>
  <si>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</si>
  <si>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</si>
  <si>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</si>
  <si>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</si>
  <si>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</si>
  <si>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</si>
  <si>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</si>
  <si>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</si>
  <si>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</si>
  <si>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</si>
  <si>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</si>
  <si>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</si>
  <si>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</si>
  <si>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</si>
  <si>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</si>
  <si>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</si>
  <si>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</si>
  <si>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</si>
  <si>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</si>
  <si>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</si>
  <si>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</si>
  <si>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</si>
  <si>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</si>
  <si>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</si>
  <si>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</si>
  <si>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</si>
  <si>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</si>
  <si>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</si>
  <si>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</si>
  <si>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</si>
  <si>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</si>
  <si>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</si>
  <si>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</si>
  <si>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</si>
  <si>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</si>
  <si>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</si>
  <si>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</si>
  <si>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</si>
  <si>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</si>
  <si>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</si>
  <si>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</si>
  <si>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</si>
  <si>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</si>
  <si>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</si>
  <si>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</si>
  <si>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</si>
  <si>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</si>
  <si>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</si>
  <si>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</si>
  <si>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</si>
  <si>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</si>
  <si>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</si>
  <si>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</si>
  <si>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</si>
  <si>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</si>
  <si>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</si>
  <si>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</si>
  <si>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</si>
  <si>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</si>
  <si>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</si>
  <si>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</si>
  <si>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</si>
  <si>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</si>
  <si>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</si>
  <si>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</si>
  <si>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</si>
  <si>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</si>
  <si>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</si>
  <si>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</si>
  <si>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</si>
  <si>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</si>
  <si>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</si>
  <si>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</si>
  <si>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</si>
  <si>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</si>
  <si>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</si>
  <si>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</si>
  <si>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</si>
  <si>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</si>
  <si>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</si>
  <si>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</si>
  <si>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</si>
  <si>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</si>
  <si>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</si>
  <si>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</si>
  <si>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</si>
  <si>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</si>
  <si>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</si>
  <si>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</si>
  <si>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</si>
  <si>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</si>
  <si>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</si>
  <si>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</si>
  <si>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</si>
  <si>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</si>
  <si>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</si>
  <si>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</si>
  <si>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</si>
  <si>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</si>
  <si>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</si>
  <si>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</si>
  <si>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</si>
  <si>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</si>
  <si>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</si>
  <si>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</si>
  <si>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</si>
  <si>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</si>
  <si>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</si>
  <si>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</si>
  <si>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</si>
  <si>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</si>
  <si>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</si>
  <si>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</si>
  <si>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</si>
  <si>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</si>
  <si>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</si>
  <si>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</si>
  <si>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</si>
  <si>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</si>
  <si>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</si>
  <si>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</si>
  <si>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</si>
  <si>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</si>
  <si>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</si>
  <si>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</si>
  <si>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</si>
  <si>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</si>
  <si>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</si>
  <si>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</si>
  <si>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</si>
  <si>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</si>
  <si>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</si>
  <si>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</si>
  <si>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</si>
  <si>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</si>
  <si>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</si>
  <si>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</si>
  <si>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</si>
  <si>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</si>
  <si>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</si>
  <si>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</si>
  <si>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</si>
  <si>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</si>
  <si>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</si>
  <si>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</si>
  <si>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</si>
  <si>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</si>
  <si>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</si>
  <si>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</si>
  <si>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</si>
  <si>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</si>
  <si>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</si>
  <si>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</si>
  <si>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</si>
  <si>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</si>
  <si>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</si>
  <si>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</si>
  <si>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</si>
  <si>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</si>
  <si>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</si>
  <si>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</si>
  <si>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</si>
  <si>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</si>
  <si>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</si>
  <si>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</si>
  <si>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</si>
  <si>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</si>
  <si>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</si>
  <si>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</si>
  <si>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</si>
  <si>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</si>
  <si>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</si>
  <si>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</si>
  <si>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</si>
  <si>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</si>
  <si>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</si>
  <si>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</si>
  <si>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</si>
  <si>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</si>
  <si>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</si>
  <si>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</si>
  <si>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</si>
  <si>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</si>
  <si>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</si>
  <si>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</si>
  <si>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</si>
  <si>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</si>
  <si>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</si>
  <si>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</si>
  <si>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</si>
  <si>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</si>
  <si>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</si>
  <si>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</si>
  <si>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</si>
  <si>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</si>
  <si>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</si>
  <si>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</si>
  <si>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</si>
  <si>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</si>
  <si>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</si>
  <si>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</si>
  <si>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</si>
  <si>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</si>
  <si>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</si>
  <si>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</si>
  <si>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</si>
  <si>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</si>
  <si>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</si>
  <si>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</si>
  <si>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</si>
  <si>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</si>
  <si>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</si>
  <si>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</si>
  <si>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</si>
  <si>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</si>
  <si>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</si>
  <si>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</si>
  <si>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</si>
  <si>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</si>
  <si>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</si>
  <si>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</si>
  <si>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</si>
  <si>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</si>
  <si>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</si>
  <si>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</si>
  <si>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</si>
  <si>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</si>
  <si>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</si>
  <si>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</si>
  <si>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</si>
  <si>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</si>
  <si>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</si>
  <si>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</si>
  <si>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</si>
  <si>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</si>
  <si>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</si>
  <si>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</si>
  <si>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</si>
  <si>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</si>
  <si>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</si>
  <si>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</si>
  <si>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</si>
  <si>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</si>
  <si>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</si>
  <si>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</si>
  <si>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</si>
  <si>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</si>
  <si>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</si>
  <si>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</si>
  <si>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</si>
  <si>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</si>
  <si>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</si>
  <si>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</si>
  <si>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</si>
  <si>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</si>
  <si>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</si>
  <si>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</si>
  <si>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</si>
  <si>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</si>
  <si>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</si>
  <si>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</si>
  <si>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</si>
  <si>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</si>
  <si>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</si>
  <si>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</si>
  <si>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</si>
  <si>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</si>
  <si>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</si>
  <si>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</si>
  <si>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</si>
  <si>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</si>
  <si>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</si>
  <si>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</si>
  <si>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</si>
  <si>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</si>
  <si>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</si>
  <si>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</si>
  <si>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</si>
  <si>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</si>
  <si>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</si>
  <si>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</si>
  <si>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</si>
  <si>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</si>
  <si>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</si>
  <si>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</si>
  <si>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</si>
  <si>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</si>
  <si>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</si>
  <si>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</si>
  <si>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</si>
  <si>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</si>
  <si>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</si>
  <si>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</si>
  <si>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</si>
  <si>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</si>
  <si>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</si>
  <si>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</si>
  <si>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</si>
  <si>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</si>
  <si>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</si>
  <si>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</si>
  <si>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</si>
  <si>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</si>
  <si>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</si>
  <si>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</si>
  <si>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</si>
  <si>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</si>
  <si>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</si>
  <si>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</si>
  <si>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</si>
  <si>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</si>
  <si>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</si>
  <si>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</si>
  <si>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</si>
  <si>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</si>
  <si>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</si>
  <si>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</si>
  <si>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</si>
  <si>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</si>
  <si>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</si>
  <si>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</si>
  <si>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</si>
  <si>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</si>
  <si>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</si>
  <si>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</si>
  <si>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</si>
  <si>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</si>
  <si>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</si>
  <si>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</si>
  <si>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</si>
  <si>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</si>
  <si>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</si>
  <si>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</si>
  <si>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</si>
  <si>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</si>
  <si>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</si>
  <si>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</si>
  <si>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</si>
  <si>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</si>
  <si>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</si>
  <si>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</si>
  <si>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</si>
  <si>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</si>
  <si>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</si>
  <si>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</si>
  <si>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</si>
  <si>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</si>
  <si>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</si>
  <si>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</si>
  <si>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</si>
  <si>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</si>
  <si>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</si>
  <si>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</si>
  <si>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</si>
  <si>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</si>
  <si>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</si>
  <si>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</si>
  <si>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</si>
  <si>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</si>
  <si>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</si>
  <si>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</si>
  <si>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</si>
  <si>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</si>
  <si>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</si>
  <si>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</si>
  <si>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</si>
  <si>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</si>
  <si>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</si>
  <si>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</si>
  <si>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</si>
  <si>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</si>
  <si>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</si>
  <si>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</si>
  <si>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</si>
  <si>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</si>
  <si>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</si>
  <si>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</si>
  <si>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</si>
  <si>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</si>
  <si>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</si>
  <si>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</si>
  <si>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</si>
  <si>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</si>
  <si>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</si>
  <si>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</si>
  <si>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</si>
  <si>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</si>
  <si>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</si>
  <si>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</si>
  <si>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</si>
  <si>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</si>
  <si>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</si>
  <si>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</si>
  <si>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</si>
  <si>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</si>
  <si>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</si>
  <si>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</si>
  <si>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</si>
  <si>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</si>
  <si>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</si>
  <si>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</si>
  <si>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</si>
  <si>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</si>
  <si>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</si>
  <si>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</si>
  <si>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</si>
  <si>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</si>
  <si>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</si>
  <si>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</si>
  <si>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</si>
  <si>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</si>
  <si>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</si>
  <si>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</si>
  <si>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</si>
  <si>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</si>
  <si>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</si>
  <si>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</si>
  <si>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</si>
  <si>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</si>
  <si>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</si>
  <si>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</si>
  <si>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</si>
  <si>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</si>
  <si>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</si>
  <si>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</si>
  <si>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</si>
  <si>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</si>
  <si>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</si>
  <si>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</si>
  <si>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</si>
  <si>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</si>
  <si>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</si>
  <si>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</si>
  <si>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</si>
  <si>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</si>
  <si>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</si>
  <si>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</si>
  <si>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</si>
  <si>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</si>
  <si>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</si>
  <si>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</si>
  <si>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</si>
  <si>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</si>
  <si>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</si>
  <si>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</si>
  <si>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</si>
  <si>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</si>
  <si>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</si>
  <si>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</si>
  <si>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</si>
  <si>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</si>
  <si>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</si>
  <si>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</si>
  <si>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</si>
  <si>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</si>
  <si>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</si>
  <si>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</si>
  <si>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</si>
  <si>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</si>
  <si>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</si>
  <si>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</si>
  <si>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</si>
  <si>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</si>
  <si>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</si>
  <si>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</si>
  <si>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</si>
  <si>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</si>
  <si>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</si>
  <si>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</si>
  <si>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</si>
  <si>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</si>
  <si>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</si>
  <si>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</si>
  <si>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</si>
  <si>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</si>
  <si>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</si>
  <si>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</si>
  <si>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</si>
  <si>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</si>
  <si>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</si>
  <si>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</si>
  <si>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</si>
  <si>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</si>
  <si>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</si>
  <si>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</si>
  <si>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</si>
  <si>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</si>
  <si>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</si>
  <si>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</si>
  <si>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</si>
  <si>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</si>
  <si>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</si>
  <si>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</si>
  <si>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</si>
  <si>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</si>
  <si>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</si>
  <si>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</si>
  <si>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</si>
  <si>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</si>
  <si>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</si>
  <si>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</si>
  <si>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</si>
  <si>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</si>
  <si>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</si>
  <si>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</si>
  <si>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</si>
  <si>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</si>
  <si>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</si>
  <si>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</si>
  <si>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</si>
  <si>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</si>
  <si>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</si>
  <si>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</si>
  <si>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</si>
  <si>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</si>
  <si>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</si>
  <si>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</si>
  <si>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</si>
  <si>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</si>
  <si>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</si>
  <si>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</si>
  <si>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</si>
  <si>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</si>
  <si>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</si>
  <si>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</si>
  <si>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</si>
  <si>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</si>
  <si>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</si>
  <si>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</si>
  <si>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</si>
  <si>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</si>
  <si>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</si>
  <si>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</si>
  <si>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</si>
  <si>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</si>
  <si>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</si>
  <si>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</si>
  <si>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</si>
  <si>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</si>
  <si>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</si>
  <si>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</si>
  <si>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</si>
  <si>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</si>
  <si>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</si>
  <si>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</si>
  <si>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</si>
  <si>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</si>
  <si>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</si>
  <si>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</si>
  <si>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</si>
  <si>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</si>
  <si>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</si>
  <si>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</si>
  <si>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</si>
  <si>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</si>
  <si>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</si>
  <si>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</si>
  <si>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</si>
  <si>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</si>
  <si>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</si>
  <si>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</si>
  <si>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</si>
  <si>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</si>
  <si>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</si>
  <si>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</si>
  <si>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</si>
  <si>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</si>
  <si>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</si>
  <si>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</si>
  <si>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</si>
  <si>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</si>
  <si>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</si>
  <si>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</si>
  <si>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</si>
  <si>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</si>
  <si>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</si>
  <si>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</si>
  <si>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</si>
  <si>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</si>
  <si>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</si>
  <si>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</si>
  <si>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</si>
  <si>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</si>
  <si>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</si>
  <si>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</si>
  <si>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</si>
  <si>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</si>
  <si>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</si>
  <si>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</si>
  <si>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</si>
  <si>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</si>
  <si>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</si>
  <si>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</si>
  <si>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</si>
  <si>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</si>
  <si>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</si>
  <si>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</si>
  <si>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</si>
  <si>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</si>
  <si>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</si>
  <si>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</si>
  <si>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</si>
  <si>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</si>
  <si>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</si>
  <si>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</si>
  <si>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</si>
  <si>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</si>
  <si>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</si>
  <si>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</si>
  <si>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</si>
  <si>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</si>
  <si>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</si>
  <si>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</si>
  <si>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</si>
  <si>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</si>
  <si>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</si>
  <si>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 xml:space="preserve">КТП-10кВ Дубровка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</si>
  <si>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</si>
  <si>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</si>
  <si>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</si>
  <si>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</si>
  <si>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</si>
  <si>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</si>
  <si>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</si>
  <si>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</si>
  <si>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</si>
  <si>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</si>
  <si>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</si>
  <si>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</si>
  <si>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</si>
  <si>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</si>
  <si>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</si>
  <si>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</si>
  <si>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</si>
  <si>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</si>
  <si>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</si>
  <si>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</si>
  <si>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</si>
  <si>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</si>
  <si>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</si>
  <si>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</si>
  <si>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</si>
  <si>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</si>
  <si>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</si>
  <si>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</si>
  <si>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</si>
  <si>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</si>
  <si>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</si>
  <si>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</si>
  <si>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</si>
  <si>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</si>
  <si>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</si>
  <si>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</si>
  <si>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</si>
  <si>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</si>
  <si>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</si>
  <si>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</si>
  <si>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</si>
  <si>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</si>
  <si>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</si>
  <si>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</si>
  <si>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</si>
  <si>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</si>
  <si>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</si>
  <si>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</si>
  <si>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</si>
  <si>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</si>
  <si>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</si>
  <si>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</si>
  <si>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</si>
  <si>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</si>
  <si>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</si>
  <si>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</si>
  <si>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</si>
  <si>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</si>
  <si>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</si>
  <si>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</si>
  <si>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</si>
  <si>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</si>
  <si>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</si>
  <si>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</si>
  <si>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</si>
  <si>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</si>
  <si>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</si>
  <si>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</si>
  <si>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</si>
  <si>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</si>
  <si>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</si>
  <si>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</si>
  <si>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</si>
  <si>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</si>
  <si>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</si>
  <si>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</si>
  <si>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</si>
  <si>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</si>
  <si>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</si>
  <si>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</si>
  <si>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</si>
  <si>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</si>
  <si>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</si>
  <si>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</si>
  <si>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</si>
  <si>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</si>
  <si>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</si>
  <si>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</si>
  <si>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</si>
  <si>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</si>
  <si>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</si>
  <si>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</si>
  <si>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</si>
  <si>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</si>
  <si>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</si>
  <si>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</si>
  <si>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</si>
  <si>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</si>
  <si>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</si>
  <si>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</si>
  <si>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</si>
  <si>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</si>
  <si>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</si>
  <si>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</si>
  <si>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</si>
  <si>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</si>
  <si>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</si>
  <si>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</si>
  <si>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</si>
  <si>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</si>
  <si>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</si>
  <si>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</si>
  <si>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</si>
  <si>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</si>
  <si>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</si>
  <si>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</si>
  <si>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</si>
  <si>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</si>
  <si>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</si>
  <si>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</si>
  <si>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</si>
  <si>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</si>
  <si>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</si>
  <si>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</si>
  <si>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</si>
  <si>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</si>
  <si>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</si>
  <si>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</si>
  <si>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</si>
  <si>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</si>
  <si>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</si>
  <si>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</si>
  <si>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</si>
  <si>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</si>
  <si>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</si>
  <si>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</si>
  <si>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</si>
  <si>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</si>
  <si>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</si>
  <si>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</si>
  <si>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</si>
  <si>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</si>
  <si>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</si>
  <si>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</si>
  <si>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</si>
  <si>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</si>
  <si>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</si>
  <si>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</si>
  <si>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</si>
  <si>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</si>
  <si>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</si>
  <si>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</si>
  <si>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</si>
  <si>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</si>
  <si>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</si>
  <si>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</si>
  <si>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</si>
  <si>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</si>
  <si>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</si>
  <si>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</si>
  <si>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</si>
  <si>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</si>
  <si>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</si>
  <si>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</si>
  <si>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</si>
  <si>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</si>
  <si>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</si>
  <si>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</si>
  <si>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</si>
  <si>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</si>
  <si>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</si>
  <si>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</si>
  <si>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</si>
  <si>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</si>
  <si>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</si>
  <si>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</si>
  <si>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</si>
  <si>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</si>
  <si>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</si>
  <si>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</si>
  <si>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</si>
  <si>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</si>
  <si>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</si>
  <si>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</si>
  <si>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</si>
  <si>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</si>
  <si>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</si>
  <si>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</si>
  <si>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</si>
  <si>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</si>
  <si>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</si>
  <si>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</si>
  <si>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</si>
  <si>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</si>
  <si>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</si>
  <si>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</si>
  <si>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</si>
  <si>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</si>
  <si>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</si>
  <si>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</si>
  <si>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</si>
  <si>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</si>
  <si>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</si>
  <si>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</si>
  <si>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</si>
  <si>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</si>
  <si>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</si>
  <si>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</si>
  <si>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</si>
  <si>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</si>
  <si>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</si>
  <si>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</si>
  <si>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</si>
  <si>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</si>
  <si>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</si>
  <si>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</si>
  <si>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</si>
  <si>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</si>
  <si>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</si>
  <si>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</si>
  <si>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</si>
  <si>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</si>
  <si>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</si>
  <si>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</si>
  <si>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</si>
  <si>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</si>
  <si>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</si>
  <si>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</si>
  <si>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</si>
  <si>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</si>
  <si>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</si>
  <si>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</si>
  <si>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</si>
  <si>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</si>
  <si>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</si>
  <si>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</si>
  <si>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</si>
  <si>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</si>
  <si>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</si>
  <si>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</si>
  <si>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</si>
  <si>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</si>
  <si>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</si>
  <si>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</si>
  <si>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</si>
  <si>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</si>
  <si>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</si>
  <si>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</si>
  <si>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</si>
  <si>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</si>
  <si>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</si>
  <si>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</si>
  <si>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</si>
  <si>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</si>
  <si>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</si>
  <si>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</si>
  <si>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</si>
  <si>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</si>
  <si>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</si>
  <si>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</si>
  <si>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</si>
  <si>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</si>
  <si>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</si>
  <si>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</si>
  <si>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</si>
  <si>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</si>
  <si>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</si>
  <si>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</si>
  <si>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</si>
  <si>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</si>
  <si>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</si>
  <si>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</si>
  <si>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</si>
  <si>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</si>
  <si>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</si>
  <si>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</si>
  <si>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</si>
  <si>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</si>
  <si>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</si>
  <si>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</si>
  <si>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</si>
  <si>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</si>
  <si>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</si>
  <si>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</si>
  <si>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</si>
  <si>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</si>
  <si>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</si>
  <si>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</si>
  <si>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</si>
  <si>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</si>
  <si>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</si>
  <si>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</si>
  <si>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</si>
  <si>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</si>
  <si>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</si>
  <si>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</si>
  <si>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</si>
  <si>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</si>
  <si>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</si>
  <si>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</si>
  <si>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</si>
  <si>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</si>
  <si>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</si>
  <si>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</si>
  <si>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</si>
  <si>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</si>
  <si>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</si>
  <si>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</si>
  <si>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</si>
  <si>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</si>
  <si>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</si>
  <si>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</si>
  <si>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</si>
  <si>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</si>
  <si>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</si>
  <si>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</si>
  <si>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</si>
  <si>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</si>
  <si>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</si>
  <si>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</si>
  <si>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</si>
  <si>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</si>
  <si>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</si>
  <si>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</si>
  <si>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</si>
  <si>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</si>
  <si>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</si>
  <si>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</si>
  <si>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</si>
  <si>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</si>
  <si>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</si>
  <si>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</si>
  <si>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</si>
  <si>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</si>
  <si>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</si>
  <si>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</si>
  <si>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</si>
  <si>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</si>
  <si>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</si>
  <si>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</si>
  <si>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</si>
  <si>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</si>
  <si>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</si>
  <si>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</si>
  <si>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</si>
  <si>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</si>
  <si>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</si>
  <si>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</si>
  <si>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</si>
  <si>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</si>
  <si>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</si>
  <si>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</si>
  <si>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</si>
  <si>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</si>
  <si>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</si>
  <si>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</si>
  <si>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</si>
  <si>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</si>
  <si>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</si>
  <si>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</si>
  <si>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</si>
  <si>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</si>
  <si>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</si>
  <si>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</si>
  <si>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</si>
  <si>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</si>
  <si>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</si>
  <si>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</si>
  <si>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</si>
  <si>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</si>
  <si>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</si>
  <si>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</si>
  <si>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</si>
  <si>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</si>
  <si>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</si>
  <si>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</si>
  <si>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</si>
  <si>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</si>
  <si>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</si>
  <si>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</si>
  <si>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</si>
  <si>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</si>
  <si>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</si>
  <si>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</si>
  <si>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</si>
  <si>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</si>
  <si>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</si>
  <si>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</si>
  <si>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</si>
  <si>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</si>
  <si>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</si>
  <si>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</si>
  <si>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</si>
  <si>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</si>
  <si>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</si>
  <si>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</si>
  <si>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</si>
  <si>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</si>
  <si>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</si>
  <si>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</si>
  <si>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</si>
  <si>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</si>
  <si>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</si>
  <si>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</si>
  <si>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</si>
  <si>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</si>
  <si>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</si>
  <si>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</si>
  <si>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</si>
  <si>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</si>
  <si>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</si>
  <si>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</si>
  <si>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</si>
  <si>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</si>
  <si>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</si>
  <si>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</si>
  <si>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</si>
  <si>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</si>
  <si>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</si>
  <si>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</si>
  <si>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</si>
  <si>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</si>
  <si>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</si>
  <si>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</si>
  <si>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</si>
  <si>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</si>
  <si>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</si>
  <si>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</si>
  <si>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</si>
  <si>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</si>
  <si>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</si>
  <si>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</si>
  <si>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</si>
  <si>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</si>
  <si>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</si>
  <si>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</si>
  <si>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</si>
  <si>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</si>
  <si>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</si>
  <si>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</si>
  <si>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</si>
  <si>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</si>
  <si>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</si>
  <si>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</si>
  <si>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</si>
  <si>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</si>
  <si>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</si>
  <si>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</si>
  <si>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</si>
  <si>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</si>
  <si>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</si>
  <si>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</si>
  <si>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</si>
  <si>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</si>
  <si>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</si>
  <si>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</si>
  <si>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</si>
  <si>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</si>
  <si>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</si>
  <si>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</si>
  <si>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</si>
  <si>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</si>
  <si>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</si>
  <si>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</si>
  <si>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</si>
  <si>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</si>
  <si>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</si>
  <si>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</si>
  <si>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</si>
  <si>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</si>
  <si>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</si>
  <si>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</si>
  <si>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</si>
  <si>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</si>
  <si>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</si>
  <si>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</si>
  <si>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</si>
  <si>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</si>
  <si>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</si>
  <si>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</si>
  <si>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</si>
  <si>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</si>
  <si>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</si>
  <si>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</si>
  <si>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</si>
  <si>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</si>
  <si>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</si>
  <si>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</si>
  <si>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</si>
  <si>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</si>
  <si>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</si>
  <si>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</si>
  <si>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</si>
  <si>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</si>
  <si>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</si>
  <si>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</si>
  <si>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</si>
  <si>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</si>
  <si>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</si>
  <si>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</si>
  <si>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</si>
  <si>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</si>
  <si>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</si>
  <si>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</si>
  <si>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</si>
  <si>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</si>
  <si>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</si>
  <si>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</si>
  <si>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</si>
  <si>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</si>
  <si>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</si>
  <si>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</si>
  <si>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</si>
  <si>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</si>
  <si>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</si>
  <si>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</si>
  <si>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</si>
  <si>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</si>
  <si>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</si>
  <si>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</si>
  <si>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</si>
  <si>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</si>
  <si>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</si>
  <si>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</si>
  <si>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</si>
  <si>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</si>
  <si>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</si>
  <si>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</si>
  <si>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</si>
  <si>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</si>
  <si>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</si>
  <si>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</si>
  <si>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</si>
  <si>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</si>
  <si>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</si>
  <si>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</si>
  <si>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</si>
  <si>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</si>
  <si>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</si>
  <si>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</si>
  <si>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</si>
  <si>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</si>
  <si>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</si>
  <si>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</si>
  <si>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</si>
  <si>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</si>
  <si>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</si>
  <si>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</si>
  <si>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</si>
  <si>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</si>
  <si>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</si>
  <si>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</si>
  <si>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</si>
  <si>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</si>
  <si>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</si>
  <si>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</si>
  <si>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</si>
  <si>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</si>
  <si>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</si>
  <si>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</si>
  <si>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</si>
  <si>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</si>
  <si>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</si>
  <si>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</si>
  <si>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</si>
  <si>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</si>
  <si>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</si>
  <si>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</si>
  <si>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</si>
  <si>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</si>
  <si>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</si>
  <si>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</si>
  <si>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</si>
  <si>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</si>
  <si>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</si>
  <si>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</si>
  <si>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</si>
  <si>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</si>
  <si>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</si>
  <si>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</si>
  <si>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</si>
  <si>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</si>
  <si>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</si>
  <si>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</si>
  <si>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</si>
  <si>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</si>
  <si>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</si>
  <si>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</si>
  <si>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</si>
  <si>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</si>
  <si>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</si>
  <si>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</si>
  <si>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</si>
  <si>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</si>
  <si>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</si>
  <si>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</si>
  <si>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</si>
  <si>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</si>
  <si>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</si>
  <si>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</si>
  <si>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</si>
  <si>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</si>
  <si>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</si>
  <si>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</si>
  <si>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</si>
  <si>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</si>
  <si>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</si>
  <si>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</si>
  <si>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</si>
  <si>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</si>
  <si>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</si>
  <si>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</si>
  <si>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</si>
  <si>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</si>
  <si>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</si>
  <si>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</si>
  <si>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</si>
  <si>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</si>
  <si>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</si>
  <si>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</si>
  <si>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</si>
  <si>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</si>
  <si>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</si>
  <si>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</si>
  <si>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</si>
  <si>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</si>
  <si>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</si>
  <si>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</si>
  <si>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</si>
  <si>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</si>
  <si>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</si>
  <si>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</si>
  <si>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</si>
  <si>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</si>
  <si>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</si>
  <si>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</si>
  <si>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</si>
  <si>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</si>
  <si>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</si>
  <si>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</si>
  <si>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</si>
  <si>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</si>
  <si>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</si>
  <si>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</si>
  <si>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</si>
  <si>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</si>
  <si>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</si>
  <si>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</si>
  <si>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</si>
  <si>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</si>
  <si>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</si>
  <si>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</si>
  <si>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</si>
  <si>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</si>
  <si>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</si>
  <si>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</si>
  <si>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</si>
  <si>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</si>
  <si>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</si>
  <si>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</si>
  <si>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</si>
  <si>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</si>
  <si>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</si>
  <si>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</si>
  <si>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</si>
  <si>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</si>
  <si>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</si>
  <si>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</si>
  <si>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</si>
  <si>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</si>
  <si>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</si>
  <si>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</si>
  <si>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</si>
  <si>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</si>
  <si>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</si>
  <si>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</si>
  <si>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</si>
  <si>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</si>
  <si>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</si>
  <si>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</si>
  <si>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</si>
  <si>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</si>
  <si>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</si>
  <si>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</si>
  <si>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</si>
  <si>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</si>
  <si>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</si>
  <si>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</si>
  <si>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</si>
  <si>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</si>
  <si>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</si>
  <si>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</si>
  <si>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</si>
  <si>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</si>
  <si>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</si>
  <si>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</si>
  <si>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</si>
  <si>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</si>
  <si>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</si>
  <si>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</si>
  <si>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</si>
  <si>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</si>
  <si>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</si>
  <si>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</si>
  <si>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</si>
  <si>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</si>
  <si>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</si>
  <si>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</si>
  <si>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</si>
  <si>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</si>
  <si>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</si>
  <si>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</si>
  <si>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</si>
  <si>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</si>
  <si>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</si>
  <si>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</si>
  <si>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</si>
  <si>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</si>
  <si>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</si>
  <si>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</si>
  <si>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</si>
  <si>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</si>
  <si>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</si>
  <si>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</si>
  <si>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</si>
  <si>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</si>
  <si>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</si>
  <si>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</si>
  <si>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</si>
  <si>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</si>
  <si>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</si>
  <si>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</si>
  <si>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</si>
  <si>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</si>
  <si>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</si>
  <si>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</si>
  <si>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</si>
  <si>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</si>
  <si>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</si>
  <si>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</si>
  <si>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</si>
  <si>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</si>
  <si>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</si>
  <si>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</si>
  <si>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</si>
  <si>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</si>
  <si>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</si>
  <si>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</si>
  <si>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</si>
  <si>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</si>
  <si>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</si>
  <si>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</si>
  <si>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</si>
  <si>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</si>
  <si>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</si>
  <si>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</si>
  <si>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</si>
  <si>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</si>
  <si>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</si>
  <si>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</si>
  <si>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</si>
  <si>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</si>
  <si>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</si>
  <si>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</si>
  <si>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</si>
  <si>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</si>
  <si>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</si>
  <si>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</si>
  <si>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</si>
  <si>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</si>
  <si>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</si>
  <si>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</si>
  <si>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</si>
  <si>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</si>
  <si>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</si>
  <si>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</si>
  <si>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</si>
  <si>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</si>
  <si>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</si>
  <si>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</si>
  <si>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</si>
  <si>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</si>
  <si>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</si>
  <si>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</si>
  <si>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</si>
  <si>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</si>
  <si>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</si>
  <si>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</si>
  <si>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</si>
  <si>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</si>
  <si>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</si>
  <si>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</si>
  <si>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</si>
  <si>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</si>
  <si>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</si>
  <si>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</si>
  <si>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</si>
  <si>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</si>
  <si>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</si>
  <si>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</si>
  <si>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</si>
  <si>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</si>
  <si>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</si>
  <si>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</si>
  <si>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</si>
  <si>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</si>
  <si>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</si>
  <si>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</si>
  <si>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</si>
  <si>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</si>
  <si>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</si>
  <si>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</si>
  <si>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</si>
  <si>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</si>
  <si>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</si>
  <si>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</si>
  <si>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</si>
  <si>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</si>
  <si>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</si>
  <si>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</si>
  <si>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</si>
  <si>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</si>
  <si>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</si>
  <si>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</si>
  <si>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</si>
  <si>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</si>
  <si>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</si>
  <si>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</si>
  <si>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</si>
  <si>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</si>
  <si>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</si>
  <si>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</si>
  <si>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</si>
  <si>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</si>
  <si>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</si>
  <si>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</si>
  <si>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</si>
  <si>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</si>
  <si>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</si>
  <si>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</si>
  <si>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</si>
  <si>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</si>
  <si>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</si>
  <si>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</si>
  <si>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</si>
  <si>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</si>
  <si>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</si>
  <si>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</si>
  <si>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</si>
  <si>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</si>
  <si>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</si>
  <si>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</si>
  <si>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</si>
  <si>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</si>
  <si>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</si>
  <si>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</si>
  <si>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</si>
  <si>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</si>
  <si>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</si>
  <si>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</si>
  <si>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</si>
  <si>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</si>
  <si>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</si>
  <si>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</si>
  <si>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</si>
  <si>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</si>
  <si>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</si>
  <si>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</si>
  <si>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</si>
  <si>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</si>
  <si>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</si>
  <si>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</si>
  <si>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</si>
  <si>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</si>
  <si>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</si>
  <si>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</si>
  <si>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</si>
  <si>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</si>
  <si>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</si>
  <si>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</si>
  <si>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</si>
  <si>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</si>
  <si>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</si>
  <si>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</si>
  <si>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</si>
  <si>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</si>
  <si>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</si>
  <si>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</si>
  <si>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</si>
  <si>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</si>
  <si>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</si>
  <si>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</si>
  <si>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</si>
  <si>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</si>
  <si>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</si>
  <si>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</si>
  <si>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</si>
  <si>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</si>
  <si>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</si>
  <si>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</si>
  <si>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</si>
  <si>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</si>
  <si>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</si>
  <si>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</si>
  <si>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</si>
  <si>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</si>
  <si>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</si>
  <si>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</si>
  <si>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</si>
  <si>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</si>
  <si>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</si>
  <si>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</si>
  <si>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</si>
  <si>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</si>
  <si>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</si>
  <si>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</si>
  <si>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</si>
  <si>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</si>
  <si>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</si>
  <si>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</si>
  <si>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</si>
  <si>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</si>
  <si>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</si>
  <si>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</si>
  <si>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</si>
  <si>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</si>
  <si>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</si>
  <si>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</si>
  <si>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</si>
  <si>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</si>
  <si>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</si>
  <si>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</si>
  <si>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</si>
  <si>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</si>
  <si>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</si>
  <si>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</si>
  <si>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</si>
  <si>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</si>
  <si>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</si>
  <si>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</si>
  <si>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</si>
  <si>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</si>
  <si>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</si>
  <si>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</si>
  <si>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</si>
  <si>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</si>
  <si>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</si>
  <si>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</si>
  <si>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</si>
  <si>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</si>
  <si>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</si>
  <si>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</si>
  <si>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</si>
  <si>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</si>
  <si>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</si>
  <si>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</si>
  <si>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</si>
  <si>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</si>
  <si>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</si>
  <si>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</si>
  <si>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</si>
  <si>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</si>
  <si>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</si>
  <si>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</si>
  <si>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</si>
  <si>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</si>
  <si>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</si>
  <si>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</si>
  <si>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</si>
  <si>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</si>
  <si>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</si>
  <si>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</si>
  <si>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</si>
  <si>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</si>
  <si>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</si>
  <si>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</si>
  <si>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</si>
  <si>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</si>
  <si>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</si>
  <si>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</si>
  <si>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</si>
  <si>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</si>
  <si>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</si>
  <si>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</si>
  <si>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</si>
  <si>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</si>
  <si>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</si>
  <si>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</si>
  <si>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</si>
  <si>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</si>
  <si>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</si>
  <si>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</si>
  <si>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</si>
  <si>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</si>
  <si>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</si>
  <si>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</si>
  <si>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</si>
  <si>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</si>
  <si>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</si>
  <si>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</si>
  <si>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</si>
  <si>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</si>
  <si>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</si>
  <si>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</si>
  <si>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</si>
  <si>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</si>
  <si>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</si>
  <si>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</si>
  <si>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</si>
  <si>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</si>
  <si>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</si>
  <si>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</si>
  <si>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</si>
  <si>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</si>
  <si>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</si>
  <si>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</si>
  <si>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</si>
  <si>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</si>
  <si>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</si>
  <si>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</si>
  <si>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</si>
  <si>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</si>
  <si>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</si>
  <si>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</si>
  <si>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</si>
  <si>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</si>
  <si>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</si>
  <si>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</si>
  <si>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</si>
  <si>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</si>
  <si>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</si>
  <si>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</si>
  <si>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</si>
  <si>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</si>
  <si>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</si>
  <si>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</si>
  <si>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</si>
  <si>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</si>
  <si>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</si>
  <si>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</si>
  <si>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</si>
  <si>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</si>
  <si>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</si>
  <si>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</si>
  <si>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</si>
  <si>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</si>
  <si>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</si>
  <si>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</si>
  <si>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</si>
  <si>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</si>
  <si>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</si>
  <si>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</si>
  <si>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</si>
  <si>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</si>
  <si>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</si>
  <si>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</si>
  <si>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</si>
  <si>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</si>
  <si>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</si>
  <si>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</si>
  <si>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</si>
  <si>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</si>
  <si>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</si>
  <si>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</si>
  <si>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</si>
  <si>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</si>
  <si>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</si>
  <si>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</si>
  <si>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</si>
  <si>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</si>
  <si>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</si>
  <si>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</si>
  <si>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</si>
  <si>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</si>
  <si>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</si>
  <si>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</si>
  <si>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</si>
  <si>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</si>
  <si>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</si>
  <si>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</si>
  <si>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</si>
  <si>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</si>
  <si>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</si>
  <si>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</si>
  <si>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</si>
  <si>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</si>
  <si>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</si>
  <si>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</si>
  <si>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</si>
  <si>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</si>
  <si>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</si>
  <si>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</si>
  <si>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</si>
  <si>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</si>
  <si>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</si>
  <si>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</si>
  <si>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</si>
  <si>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</si>
  <si>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</si>
  <si>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</si>
  <si>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</si>
  <si>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</si>
  <si>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</si>
  <si>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</si>
  <si>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</si>
  <si>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</si>
  <si>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</si>
  <si>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</si>
  <si>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</si>
  <si>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</si>
  <si>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</si>
  <si>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</si>
  <si>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</si>
  <si>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</si>
  <si>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</si>
  <si>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</si>
  <si>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</si>
  <si>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</si>
  <si>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</si>
  <si>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</si>
  <si>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</si>
  <si>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</si>
  <si>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</si>
  <si>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</si>
  <si>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</si>
  <si>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</si>
  <si>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</si>
  <si>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</si>
  <si>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</si>
  <si>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</si>
  <si>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</si>
  <si>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</si>
  <si>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</si>
  <si>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</si>
  <si>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</si>
  <si>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</si>
  <si>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</si>
  <si>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</si>
  <si>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</si>
  <si>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</si>
  <si>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</si>
  <si>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</si>
  <si>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</si>
  <si>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</si>
  <si>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</si>
  <si>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</si>
  <si>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</si>
  <si>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</si>
  <si>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</si>
  <si>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</si>
  <si>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</si>
  <si>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</si>
  <si>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</si>
  <si>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</si>
  <si>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</si>
  <si>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</si>
  <si>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</si>
  <si>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</si>
  <si>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</si>
  <si>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</si>
  <si>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</si>
  <si>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</si>
  <si>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</si>
  <si>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</si>
  <si>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</si>
  <si>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</si>
  <si>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</si>
  <si>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</si>
  <si>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</si>
  <si>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</si>
  <si>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</si>
  <si>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</si>
  <si>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</si>
  <si>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</si>
  <si>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</si>
  <si>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</si>
  <si>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</si>
  <si>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</si>
  <si>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</si>
  <si>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</si>
  <si>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</si>
  <si>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</si>
  <si>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</si>
  <si>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</si>
  <si>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</si>
  <si>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</si>
  <si>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</si>
  <si>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</si>
  <si>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</si>
  <si>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</si>
  <si>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</si>
  <si>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</si>
  <si>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</si>
  <si>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</si>
  <si>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</si>
  <si>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</si>
  <si>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</si>
  <si>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</si>
  <si>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</si>
  <si>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</si>
  <si>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</si>
  <si>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</si>
  <si>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</si>
  <si>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</si>
  <si>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</si>
  <si>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</si>
  <si>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</si>
  <si>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</si>
  <si>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</si>
  <si>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</si>
  <si>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</si>
  <si>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</si>
  <si>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</si>
  <si>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</si>
  <si>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</si>
  <si>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</si>
  <si>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</si>
  <si>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</si>
  <si>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</si>
  <si>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</si>
  <si>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</si>
  <si>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</si>
  <si>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</si>
  <si>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</si>
  <si>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</si>
  <si>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</si>
  <si>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</si>
  <si>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</si>
  <si>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</si>
  <si>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</si>
  <si>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</si>
  <si>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</si>
  <si>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</si>
  <si>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</si>
  <si>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</si>
  <si>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</si>
  <si>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</si>
  <si>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</si>
  <si>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</si>
  <si>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</si>
  <si>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</si>
  <si>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</si>
  <si>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</si>
  <si>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</si>
  <si>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</si>
  <si>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</si>
  <si>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</si>
  <si>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</si>
  <si>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</si>
  <si>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</si>
  <si>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</si>
  <si>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</si>
  <si>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</si>
  <si>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</si>
  <si>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</si>
  <si>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</si>
  <si>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</si>
  <si>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</si>
  <si>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</si>
  <si>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</si>
  <si>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</si>
  <si>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</si>
  <si>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</si>
  <si>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</si>
  <si>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</si>
  <si>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</si>
  <si>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</si>
  <si>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</si>
  <si>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</si>
  <si>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</si>
  <si>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</si>
  <si>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</si>
  <si>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</si>
  <si>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</si>
  <si>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</si>
  <si>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</si>
  <si>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</si>
  <si>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</si>
  <si>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</si>
  <si>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</si>
  <si>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</si>
  <si>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</si>
  <si>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</si>
  <si>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</si>
  <si>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</si>
  <si>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</si>
  <si>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</si>
  <si>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</si>
  <si>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</si>
  <si>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</si>
  <si>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</si>
  <si>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</si>
  <si>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</si>
  <si>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</si>
  <si>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</si>
  <si>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</si>
  <si>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</si>
  <si>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</si>
  <si>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</si>
  <si>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</si>
  <si>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</si>
  <si>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</si>
  <si>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</si>
  <si>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</si>
  <si>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</si>
  <si>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</si>
  <si>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</si>
  <si>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</si>
  <si>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</si>
  <si>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</si>
  <si>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</si>
  <si>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</si>
  <si>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</si>
  <si>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</si>
  <si>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</si>
  <si>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</si>
  <si>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</si>
  <si>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</si>
  <si>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</si>
  <si>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</si>
  <si>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</si>
  <si>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</si>
  <si>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</si>
  <si>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</si>
  <si>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</si>
  <si>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</si>
  <si>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</si>
  <si>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</si>
  <si>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</si>
  <si>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</si>
  <si>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</si>
  <si>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</si>
  <si>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</si>
  <si>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</si>
  <si>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</si>
  <si>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</si>
  <si>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</si>
  <si>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</si>
  <si>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</si>
  <si>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</si>
  <si>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</si>
  <si>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</si>
  <si>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</si>
  <si>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</si>
  <si>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</si>
  <si>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</si>
  <si>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</si>
  <si>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</si>
  <si>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</si>
  <si>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</si>
  <si>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</si>
  <si>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</si>
  <si>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</si>
  <si>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</si>
  <si>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</si>
  <si>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</si>
  <si>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</si>
  <si>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</si>
  <si>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</si>
  <si>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</si>
  <si>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</si>
  <si>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</si>
  <si>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</si>
  <si>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</si>
  <si>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</si>
  <si>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</si>
  <si>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</si>
  <si>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</si>
  <si>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</si>
  <si>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</si>
  <si>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</si>
  <si>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</si>
  <si>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</si>
  <si>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</si>
  <si>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</si>
  <si>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</si>
  <si>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</si>
  <si>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</si>
  <si>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</si>
  <si>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</si>
  <si>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</si>
  <si>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</si>
  <si>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</si>
  <si>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</si>
  <si>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</si>
  <si>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</si>
  <si>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</si>
  <si>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</si>
  <si>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</si>
  <si>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</si>
  <si>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</si>
  <si>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</si>
  <si>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</si>
  <si>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</si>
  <si>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</si>
  <si>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</si>
  <si>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</si>
  <si>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</si>
  <si>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</si>
  <si>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</si>
  <si>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</si>
  <si>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</si>
  <si>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</si>
  <si>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</si>
  <si>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</si>
  <si>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</si>
  <si>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</si>
  <si>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</si>
  <si>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</si>
  <si>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</si>
  <si>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</si>
  <si>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</si>
  <si>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</si>
  <si>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</si>
  <si>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</si>
  <si>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</si>
  <si>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</si>
  <si>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</si>
  <si>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</si>
  <si>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</si>
  <si>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</si>
  <si>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</si>
  <si>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</si>
  <si>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</si>
  <si>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</si>
  <si>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</si>
  <si>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</si>
  <si>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</si>
  <si>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</si>
  <si>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</si>
  <si>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</si>
  <si>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</si>
  <si>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</si>
  <si>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</si>
  <si>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</si>
  <si>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</si>
  <si>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</si>
  <si>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</si>
  <si>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</si>
  <si>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</si>
  <si>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</si>
  <si>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</si>
  <si>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</si>
  <si>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</si>
  <si>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</si>
  <si>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</si>
  <si>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</si>
  <si>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</si>
  <si>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</si>
  <si>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</si>
  <si>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</si>
  <si>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</si>
  <si>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</si>
  <si>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</si>
  <si>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</si>
  <si>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</si>
  <si>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</si>
  <si>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</si>
  <si>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</si>
  <si>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</si>
  <si>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</si>
  <si>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</si>
  <si>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</si>
  <si>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</si>
  <si>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</si>
  <si>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</si>
  <si>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</si>
  <si>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</si>
  <si>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</si>
  <si>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</si>
  <si>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</si>
  <si>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</si>
  <si>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</si>
  <si>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</si>
  <si>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</si>
  <si>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</si>
  <si>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</si>
  <si>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</si>
  <si>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</si>
  <si>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</si>
  <si>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</si>
  <si>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</si>
  <si>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</si>
  <si>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</si>
  <si>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</si>
  <si>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</si>
  <si>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</si>
  <si>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</si>
  <si>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</si>
  <si>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</si>
  <si>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</si>
  <si>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</si>
  <si>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</si>
  <si>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</si>
  <si>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</si>
  <si>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</si>
  <si>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</si>
  <si>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</si>
  <si>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</si>
  <si>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</si>
  <si>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</si>
  <si>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</si>
  <si>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</si>
  <si>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</si>
  <si>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</si>
  <si>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</si>
  <si>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</si>
  <si>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</si>
  <si>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</si>
  <si>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</si>
  <si>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</si>
  <si>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</si>
  <si>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</si>
  <si>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</si>
  <si>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</si>
  <si>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</si>
  <si>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</si>
  <si>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</si>
  <si>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</si>
  <si>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</si>
  <si>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</si>
  <si>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</si>
  <si>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</si>
  <si>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</si>
  <si>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</si>
  <si>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</si>
  <si>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</si>
  <si>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</si>
  <si>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</si>
  <si>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</si>
  <si>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</si>
  <si>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</si>
  <si>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</si>
  <si>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</si>
  <si>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</si>
  <si>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</si>
  <si>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</si>
  <si>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</si>
  <si>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</si>
  <si>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</si>
  <si>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</si>
  <si>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</si>
  <si>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</si>
  <si>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</si>
  <si>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</si>
  <si>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</si>
  <si>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</si>
  <si>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</si>
  <si>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</si>
  <si>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</si>
  <si>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</si>
  <si>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</si>
  <si>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</si>
  <si>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</si>
  <si>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</si>
  <si>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</si>
  <si>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</si>
  <si>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</si>
  <si>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</si>
  <si>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</si>
  <si>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</si>
  <si>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</si>
  <si>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</si>
  <si>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</si>
  <si>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</si>
  <si>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</si>
  <si>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</si>
  <si>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</si>
  <si>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</si>
  <si>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</si>
  <si>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</si>
  <si>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</si>
  <si>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</si>
  <si>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</si>
  <si>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</si>
  <si>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</si>
  <si>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</si>
  <si>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</si>
  <si>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</si>
  <si>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</si>
  <si>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</si>
  <si>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</si>
  <si>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</si>
  <si>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</si>
  <si>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</si>
  <si>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</si>
  <si>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</si>
  <si>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</si>
  <si>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</si>
  <si>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</si>
  <si>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</si>
  <si>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</si>
  <si>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</si>
  <si>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</si>
  <si>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</si>
  <si>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</si>
  <si>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</si>
  <si>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</si>
  <si>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</si>
  <si>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</si>
  <si>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</si>
  <si>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</si>
  <si>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</si>
  <si>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</si>
  <si>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</si>
  <si>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</si>
  <si>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</si>
  <si>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</si>
  <si>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</si>
  <si>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</si>
  <si>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</si>
  <si>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</si>
  <si>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</si>
  <si>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</si>
  <si>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</si>
  <si>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</si>
  <si>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</si>
  <si>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</si>
  <si>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</si>
  <si>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</si>
  <si>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</si>
  <si>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</si>
  <si>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</si>
  <si>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</si>
  <si>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</si>
  <si>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</si>
  <si>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</si>
  <si>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</si>
  <si>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</si>
  <si>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</si>
  <si>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</si>
  <si>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</si>
  <si>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</si>
  <si>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</si>
  <si>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</si>
  <si>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</si>
  <si>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</si>
  <si>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</si>
  <si>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</si>
  <si>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</si>
  <si>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</si>
  <si>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</si>
  <si>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</si>
  <si>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</si>
  <si>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</si>
  <si>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</si>
  <si>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</si>
  <si>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</si>
  <si>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</si>
  <si>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</si>
  <si>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</si>
  <si>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</si>
  <si>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</si>
  <si>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</si>
  <si>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</si>
  <si>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</si>
  <si>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</si>
  <si>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</si>
  <si>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</si>
  <si>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</si>
  <si>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</si>
  <si>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</si>
  <si>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</si>
  <si>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</si>
  <si>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</si>
  <si>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</si>
  <si>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</si>
  <si>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</si>
  <si>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</si>
  <si>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</si>
  <si>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</si>
  <si>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</si>
  <si>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</si>
  <si>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</si>
  <si>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</si>
  <si>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</si>
  <si>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</si>
  <si>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</si>
  <si>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</si>
  <si>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</si>
  <si>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</si>
  <si>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</si>
  <si>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</si>
  <si>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</si>
  <si>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</si>
  <si>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</si>
  <si>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</si>
  <si>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</si>
  <si>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</si>
  <si>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</si>
  <si>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</si>
  <si>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</si>
  <si>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</si>
  <si>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</si>
  <si>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</si>
  <si>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</si>
  <si>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</si>
  <si>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</si>
  <si>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</si>
  <si>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</si>
  <si>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</si>
  <si>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</si>
  <si>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</si>
  <si>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</si>
  <si>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</si>
  <si>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</si>
  <si>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</si>
  <si>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</si>
  <si>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</si>
  <si>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</si>
  <si>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</si>
  <si>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</si>
  <si>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</si>
  <si>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</si>
  <si>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</si>
  <si>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</si>
  <si>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</si>
  <si>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</si>
  <si>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</si>
  <si>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</si>
  <si>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</si>
  <si>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</si>
  <si>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</si>
  <si>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</si>
  <si>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</si>
  <si>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</si>
  <si>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</si>
  <si>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</si>
  <si>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</si>
  <si>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</si>
  <si>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</si>
  <si>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</si>
  <si>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</si>
  <si>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</si>
  <si>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</si>
  <si>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</si>
  <si>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</si>
  <si>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</si>
  <si>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</si>
  <si>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</si>
  <si>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</si>
  <si>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</si>
  <si>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</si>
  <si>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</si>
  <si>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</si>
  <si>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</si>
  <si>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</si>
  <si>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</si>
  <si>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</si>
  <si>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</si>
  <si>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</si>
  <si>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</si>
  <si>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</si>
  <si>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</si>
  <si>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</si>
  <si>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</si>
  <si>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</si>
  <si>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</si>
  <si>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</si>
  <si>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</si>
  <si>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</si>
  <si>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</si>
  <si>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</si>
  <si>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</si>
  <si>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</si>
  <si>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</si>
  <si>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</si>
  <si>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</si>
  <si>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</si>
  <si>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</si>
  <si>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</si>
  <si>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</si>
  <si>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</si>
  <si>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</si>
  <si>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</si>
  <si>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</si>
  <si>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</si>
  <si>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</si>
  <si>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</si>
  <si>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</si>
  <si>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</si>
  <si>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</si>
  <si>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</si>
  <si>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</si>
  <si>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</si>
  <si>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</si>
  <si>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</si>
  <si>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</si>
  <si>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</si>
  <si>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</si>
  <si>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</si>
  <si>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</si>
  <si>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</si>
  <si>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</si>
  <si>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</si>
  <si>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</si>
  <si>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</si>
  <si>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</si>
  <si>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</si>
  <si>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</si>
  <si>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</si>
  <si>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</si>
  <si>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</si>
  <si>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</si>
  <si>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</si>
  <si>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</si>
  <si>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</si>
  <si>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</si>
  <si>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</si>
  <si>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</si>
  <si>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</si>
  <si>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</si>
  <si>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</si>
  <si>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</si>
  <si>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</si>
  <si>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</si>
  <si>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</si>
  <si>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</si>
  <si>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</si>
  <si>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</si>
  <si>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</si>
  <si>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</si>
  <si>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</si>
  <si>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</si>
  <si>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</si>
  <si>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</si>
  <si>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</si>
  <si>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</si>
  <si>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</si>
  <si>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</si>
  <si>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</si>
  <si>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</si>
  <si>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</si>
  <si>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</si>
  <si>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</si>
  <si>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</si>
  <si>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</si>
  <si>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</si>
  <si>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</si>
  <si>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</si>
  <si>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</si>
  <si>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</si>
  <si>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</si>
  <si>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</si>
  <si>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</si>
  <si>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</si>
  <si>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</si>
  <si>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</si>
  <si>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</si>
  <si>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</si>
  <si>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</si>
  <si>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</si>
  <si>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</si>
  <si>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</si>
  <si>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</si>
  <si>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</si>
  <si>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</si>
  <si>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</si>
  <si>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</si>
  <si>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</si>
  <si>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</si>
  <si>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</si>
  <si>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</si>
  <si>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</si>
  <si>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</si>
  <si>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</si>
  <si>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</si>
  <si>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</si>
  <si>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</si>
  <si>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</si>
  <si>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</si>
  <si>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</si>
  <si>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</si>
  <si>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</si>
  <si>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</si>
  <si>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</si>
  <si>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</si>
  <si>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</si>
  <si>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</si>
  <si>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</si>
  <si>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</si>
  <si>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</si>
  <si>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</si>
  <si>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</si>
  <si>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</si>
  <si>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</si>
  <si>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</si>
  <si>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</si>
  <si>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</si>
  <si>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</si>
  <si>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</si>
  <si>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</si>
  <si>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</si>
  <si>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</si>
  <si>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</si>
  <si>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</si>
  <si>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</si>
  <si>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</si>
  <si>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</si>
  <si>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</si>
  <si>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</si>
  <si>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</si>
  <si>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</si>
  <si>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</si>
  <si>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</si>
  <si>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</si>
  <si>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</si>
  <si>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</si>
  <si>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</si>
  <si>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</si>
  <si>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</si>
  <si>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</si>
  <si>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</si>
  <si>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</si>
  <si>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</si>
  <si>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</si>
  <si>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</si>
  <si>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</si>
  <si>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</si>
  <si>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</si>
  <si>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</si>
  <si>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</si>
  <si>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</si>
  <si>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</si>
  <si>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</si>
  <si>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</si>
  <si>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</si>
  <si>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</si>
  <si>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</si>
  <si>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</si>
  <si>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</si>
  <si>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</si>
  <si>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</si>
  <si>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</si>
  <si>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</si>
  <si>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</si>
  <si>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</si>
  <si>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</si>
  <si>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</si>
  <si>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</si>
  <si>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</si>
  <si>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</si>
  <si>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</si>
  <si>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</si>
  <si>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</si>
  <si>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</si>
  <si>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</si>
  <si>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</si>
  <si>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</si>
  <si>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</si>
  <si>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</si>
  <si>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</si>
  <si>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</si>
  <si>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</si>
  <si>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</si>
  <si>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</si>
  <si>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</si>
  <si>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</si>
  <si>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</si>
  <si>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</si>
  <si>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</si>
  <si>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</si>
  <si>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</si>
  <si>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</si>
  <si>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</si>
  <si>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</si>
  <si>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</si>
  <si>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</si>
  <si>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</si>
  <si>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</si>
  <si>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</si>
  <si>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</si>
  <si>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</si>
  <si>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</si>
  <si>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</si>
  <si>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</si>
  <si>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</si>
  <si>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</si>
  <si>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</si>
  <si>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</si>
  <si>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</si>
  <si>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</si>
  <si>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</si>
  <si>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</si>
  <si>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</si>
  <si>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</si>
  <si>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</si>
  <si>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</si>
  <si>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</si>
  <si>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</si>
  <si>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</si>
  <si>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</si>
  <si>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</si>
  <si>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</si>
  <si>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</si>
  <si>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</si>
  <si>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</si>
  <si>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</si>
  <si>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</si>
  <si>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</si>
  <si>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</si>
  <si>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</si>
  <si>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</si>
  <si>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</si>
  <si>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</si>
  <si>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</si>
  <si>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</si>
  <si>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</si>
  <si>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</si>
  <si>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</si>
  <si>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</si>
  <si>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</si>
  <si>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</si>
  <si>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</si>
  <si>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</si>
  <si>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</si>
  <si>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</si>
  <si>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</si>
  <si>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</si>
  <si>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</si>
  <si>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</si>
  <si>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</si>
  <si>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</si>
  <si>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</si>
  <si>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</si>
  <si>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</si>
  <si>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</si>
  <si>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</si>
  <si>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</si>
  <si>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</si>
  <si>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</si>
  <si>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</si>
  <si>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</si>
  <si>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</si>
  <si>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</si>
  <si>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</si>
  <si>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</si>
  <si>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</si>
  <si>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</si>
  <si>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</si>
  <si>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</si>
  <si>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</si>
  <si>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</si>
  <si>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</si>
  <si>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</si>
  <si>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</si>
  <si>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</si>
  <si>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</si>
  <si>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</si>
  <si>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</si>
  <si>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</si>
  <si>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</si>
  <si>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</si>
  <si>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</si>
  <si>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</si>
  <si>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</si>
  <si>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</si>
  <si>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</si>
  <si>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</si>
  <si>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</si>
  <si>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</si>
  <si>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</si>
  <si>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</si>
  <si>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</si>
  <si>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</si>
  <si>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</si>
  <si>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</si>
  <si>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</si>
  <si>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</si>
  <si>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</si>
  <si>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</si>
  <si>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</si>
  <si>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</si>
  <si>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</si>
  <si>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</si>
  <si>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</si>
  <si>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</si>
  <si>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</si>
  <si>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</si>
  <si>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</si>
  <si>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</si>
  <si>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</si>
  <si>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</si>
  <si>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</si>
  <si>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</si>
  <si>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</si>
  <si>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</si>
  <si>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</si>
  <si>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</si>
  <si>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</si>
  <si>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</si>
  <si>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</si>
  <si>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</si>
  <si>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</si>
  <si>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</si>
  <si>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</si>
  <si>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</si>
  <si>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</si>
  <si>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</si>
  <si>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</si>
  <si>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</si>
  <si>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</si>
  <si>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</si>
  <si>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</si>
  <si>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</si>
  <si>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</si>
  <si>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</si>
  <si>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</si>
  <si>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</si>
  <si>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</si>
  <si>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</si>
  <si>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</si>
  <si>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</si>
  <si>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</si>
  <si>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</si>
  <si>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</si>
  <si>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</si>
  <si>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</si>
  <si>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</si>
  <si>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</si>
  <si>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</si>
  <si>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</si>
  <si>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</si>
  <si>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</si>
  <si>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</si>
  <si>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</si>
  <si>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</si>
  <si>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</si>
  <si>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</si>
  <si>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</si>
  <si>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</si>
  <si>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</si>
  <si>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</si>
  <si>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</si>
  <si>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</si>
  <si>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</si>
  <si>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</si>
  <si>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</si>
  <si>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</si>
  <si>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</si>
  <si>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</si>
  <si>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</si>
  <si>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</si>
  <si>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</si>
  <si>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</si>
  <si>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</si>
  <si>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</si>
  <si>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</si>
  <si>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</si>
  <si>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</si>
  <si>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</si>
  <si>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</si>
  <si>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</si>
  <si>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</si>
  <si>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</si>
  <si>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</si>
  <si>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</si>
  <si>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</si>
  <si>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</si>
  <si>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</si>
  <si>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</si>
  <si>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</si>
  <si>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</si>
  <si>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</si>
  <si>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</si>
  <si>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</si>
  <si>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</si>
  <si>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</si>
  <si>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</si>
  <si>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</si>
  <si>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</si>
  <si>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</si>
  <si>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</si>
  <si>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</si>
  <si>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</si>
  <si>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</si>
  <si>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</si>
  <si>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</si>
  <si>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</si>
  <si>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</si>
  <si>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</si>
  <si>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</si>
  <si>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</si>
  <si>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</si>
  <si>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</si>
  <si>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</si>
  <si>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</si>
  <si>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</si>
  <si>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</si>
  <si>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</si>
  <si>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</si>
  <si>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</si>
  <si>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</si>
  <si>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</si>
  <si>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</si>
  <si>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</si>
  <si>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</si>
  <si>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</si>
  <si>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</si>
  <si>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</si>
  <si>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</si>
  <si>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</si>
  <si>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</si>
  <si>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</si>
  <si>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</si>
  <si>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</si>
  <si>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</si>
  <si>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</si>
  <si>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</si>
  <si>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</si>
  <si>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</si>
  <si>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</si>
  <si>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</si>
  <si>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</si>
  <si>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</si>
  <si>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</si>
  <si>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</si>
  <si>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</si>
  <si>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</si>
  <si>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</si>
  <si>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</si>
  <si>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</si>
  <si>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</si>
  <si>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</si>
  <si>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</si>
  <si>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</si>
  <si>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</si>
  <si>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</si>
  <si>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</si>
  <si>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</si>
  <si>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</si>
  <si>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</si>
  <si>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</si>
  <si>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</si>
  <si>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</si>
  <si>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</si>
  <si>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</si>
  <si>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</si>
  <si>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</si>
  <si>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</si>
  <si>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</si>
  <si>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</si>
  <si>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</si>
  <si>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</si>
  <si>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</si>
  <si>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</si>
  <si>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</si>
  <si>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</si>
  <si>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</si>
  <si>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</si>
  <si>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</si>
  <si>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</si>
  <si>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</si>
  <si>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</si>
  <si>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</si>
  <si>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</si>
  <si>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</si>
  <si>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</si>
  <si>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</si>
  <si>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</si>
  <si>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</si>
  <si>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</si>
  <si>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</si>
  <si>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</si>
  <si>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</si>
  <si>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</si>
  <si>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</si>
  <si>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</si>
  <si>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</si>
  <si>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</si>
  <si>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</si>
  <si>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</si>
  <si>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</si>
  <si>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</si>
  <si>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</si>
  <si>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</si>
  <si>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</si>
  <si>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</si>
  <si>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</si>
  <si>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</si>
  <si>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</si>
  <si>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</si>
  <si>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</si>
  <si>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</si>
  <si>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</si>
  <si>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</si>
  <si>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</si>
  <si>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</si>
  <si>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</si>
  <si>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</si>
  <si>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</si>
  <si>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</si>
  <si>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</si>
  <si>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</si>
  <si>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</si>
  <si>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</si>
  <si>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</si>
  <si>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</si>
  <si>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</si>
  <si>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</si>
  <si>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</si>
  <si>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</si>
  <si>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</si>
  <si>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</si>
  <si>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</si>
  <si>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</si>
  <si>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</si>
  <si>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</si>
  <si>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</si>
  <si>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</si>
  <si>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</si>
  <si>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</si>
  <si>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</si>
  <si>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</si>
  <si>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</si>
  <si>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</si>
  <si>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</si>
  <si>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</si>
  <si>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</si>
  <si>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</si>
  <si>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</si>
  <si>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</si>
  <si>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</si>
  <si>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</si>
  <si>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</si>
  <si>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</si>
  <si>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</si>
  <si>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</si>
  <si>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</si>
  <si>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</si>
  <si>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</si>
  <si>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</si>
  <si>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</si>
  <si>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</si>
  <si>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</si>
  <si>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</si>
  <si>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</si>
  <si>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</si>
  <si>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</si>
  <si>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</si>
  <si>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</si>
  <si>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</si>
  <si>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</si>
  <si>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</si>
  <si>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</si>
  <si>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</si>
  <si>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</si>
  <si>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</si>
  <si>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</si>
  <si>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</si>
  <si>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</si>
  <si>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</si>
  <si>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</si>
  <si>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</si>
  <si>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</si>
  <si>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</si>
  <si>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</si>
  <si>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</si>
  <si>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</si>
  <si>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</si>
  <si>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</si>
  <si>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</si>
  <si>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</si>
  <si>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</si>
  <si>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</si>
  <si>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</si>
  <si>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</si>
  <si>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</si>
  <si>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</si>
  <si>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</si>
  <si>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</si>
  <si>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</si>
  <si>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</si>
  <si>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</si>
  <si>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</si>
  <si>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</si>
  <si>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</si>
  <si>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</si>
  <si>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</si>
  <si>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</si>
  <si>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</si>
  <si>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</si>
  <si>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</si>
  <si>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</si>
  <si>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</si>
  <si>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</si>
  <si>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</si>
  <si>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</si>
  <si>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</si>
  <si>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</si>
  <si>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</si>
  <si>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</si>
  <si>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</si>
  <si>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</si>
  <si>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</si>
  <si>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</si>
  <si>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</si>
  <si>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</si>
  <si>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</si>
  <si>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</si>
  <si>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</si>
  <si>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</si>
  <si>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</si>
  <si>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</si>
  <si>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</si>
  <si>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</si>
  <si>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</si>
  <si>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</si>
  <si>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</si>
  <si>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</si>
  <si>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</si>
  <si>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</si>
  <si>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</si>
  <si>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</si>
  <si>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</si>
  <si>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</si>
  <si>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</si>
  <si>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</si>
  <si>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</si>
  <si>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</si>
  <si>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</si>
  <si>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</si>
  <si>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</si>
  <si>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</si>
  <si>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</si>
  <si>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</si>
  <si>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</si>
  <si>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</si>
  <si>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</si>
  <si>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</si>
  <si>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</si>
  <si>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</si>
  <si>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</si>
  <si>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</si>
  <si>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</si>
  <si>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</si>
  <si>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</si>
  <si>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</si>
  <si>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</si>
  <si>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</si>
  <si>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</si>
  <si>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</si>
  <si>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</si>
  <si>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</si>
  <si>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</si>
  <si>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</si>
  <si>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</si>
  <si>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</si>
  <si>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</si>
  <si>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</si>
  <si>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</si>
  <si>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</si>
  <si>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</si>
  <si>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</si>
  <si>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</si>
  <si>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</si>
  <si>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</si>
  <si>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</si>
  <si>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</si>
  <si>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</si>
  <si>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</si>
  <si>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</si>
  <si>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</si>
  <si>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</si>
  <si>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</si>
  <si>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</si>
  <si>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</si>
  <si>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</si>
  <si>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</si>
  <si>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</si>
  <si>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</si>
  <si>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</si>
  <si>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</si>
  <si>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</si>
  <si>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</si>
  <si>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</si>
  <si>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</si>
  <si>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</si>
  <si>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</si>
  <si>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</si>
  <si>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</si>
  <si>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</si>
  <si>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</si>
  <si>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</si>
  <si>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</si>
  <si>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</si>
  <si>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</si>
  <si>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</si>
  <si>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</si>
  <si>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</si>
  <si>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</si>
  <si>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</si>
  <si>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</si>
  <si>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</si>
  <si>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</si>
  <si>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</si>
  <si>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</si>
  <si>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</si>
  <si>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</si>
  <si>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</si>
  <si>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</si>
  <si>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</si>
  <si>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</si>
  <si>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</si>
  <si>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</si>
  <si>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</si>
  <si>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</si>
  <si>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</si>
  <si>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</si>
  <si>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</si>
  <si>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</si>
  <si>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</si>
  <si>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</si>
  <si>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</si>
  <si>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</si>
  <si>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</si>
  <si>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</si>
  <si>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</si>
  <si>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</si>
  <si>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</si>
  <si>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</si>
  <si>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</si>
  <si>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</si>
  <si>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</si>
  <si>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</si>
  <si>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</si>
  <si>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</si>
  <si>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</si>
  <si>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</si>
  <si>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</si>
  <si>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</si>
  <si>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</si>
  <si>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</si>
  <si>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</si>
  <si>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</si>
  <si>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</si>
  <si>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</si>
  <si>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</si>
  <si>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</si>
  <si>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</si>
  <si>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</si>
  <si>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</si>
  <si>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</si>
  <si>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</si>
  <si>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</si>
  <si>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</si>
  <si>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</si>
  <si>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</si>
  <si>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</si>
  <si>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</si>
  <si>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</si>
  <si>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</si>
  <si>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</si>
  <si>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</si>
  <si>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</si>
  <si>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</si>
  <si>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</si>
  <si>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</si>
  <si>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</si>
  <si>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</si>
  <si>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</si>
  <si>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</si>
  <si>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</si>
  <si>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</si>
  <si>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</si>
  <si>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</si>
  <si>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</si>
  <si>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</si>
  <si>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</si>
  <si>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</si>
  <si>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</si>
  <si>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</si>
  <si>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</si>
  <si>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</si>
  <si>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</si>
  <si>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</si>
  <si>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</si>
  <si>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</si>
  <si>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</si>
  <si>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</si>
  <si>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</si>
  <si>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</si>
  <si>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</si>
  <si>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</si>
  <si>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№151 (Кочерово)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</si>
  <si>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</si>
  <si>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</si>
  <si>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</si>
  <si>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</si>
  <si>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</si>
  <si>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</si>
  <si>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</si>
  <si>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</si>
  <si>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</si>
  <si>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</si>
  <si>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</si>
  <si>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</si>
  <si>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</si>
  <si>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</si>
  <si>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</si>
  <si>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</si>
  <si>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</si>
  <si>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</si>
  <si>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</si>
  <si>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</si>
  <si>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</si>
  <si>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</si>
  <si>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</si>
  <si>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</si>
  <si>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</si>
  <si>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</si>
  <si>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</si>
  <si>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</si>
  <si>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</si>
  <si>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</si>
  <si>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</si>
  <si>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</si>
  <si>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</si>
  <si>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</si>
  <si>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</si>
  <si>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</si>
  <si>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</si>
  <si>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</si>
  <si>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</si>
  <si>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</si>
  <si>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</si>
  <si>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</si>
  <si>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</si>
  <si>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</si>
  <si>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</si>
  <si>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</si>
  <si>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</si>
  <si>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</si>
  <si>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</si>
  <si>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</si>
  <si>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</si>
  <si>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</si>
  <si>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</si>
  <si>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</si>
  <si>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</si>
  <si>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</si>
  <si>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</si>
  <si>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</si>
  <si>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</si>
  <si>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</si>
  <si>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</si>
  <si>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</si>
  <si>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</si>
  <si>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</si>
  <si>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</si>
  <si>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</si>
  <si>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</si>
  <si>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</si>
  <si>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</si>
  <si>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</si>
  <si>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</si>
  <si>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</si>
  <si>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</si>
  <si>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</si>
  <si>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</si>
  <si>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</si>
  <si>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</si>
  <si>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</si>
  <si>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</si>
  <si>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</si>
  <si>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</si>
  <si>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</si>
  <si>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</si>
  <si>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</si>
  <si>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</si>
  <si>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</si>
  <si>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</si>
  <si>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</si>
  <si>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</si>
  <si>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</si>
  <si>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</si>
  <si>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</si>
  <si>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</si>
  <si>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</si>
  <si>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</si>
  <si>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</si>
  <si>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</si>
  <si>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</si>
  <si>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</si>
  <si>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</si>
  <si>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</si>
  <si>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</si>
  <si>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</si>
  <si>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</si>
  <si>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</si>
  <si>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</si>
  <si>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</si>
  <si>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</si>
  <si>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</si>
  <si>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</si>
  <si>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</si>
  <si>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</si>
  <si>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</si>
  <si>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</si>
  <si>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</si>
  <si>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</si>
  <si>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</si>
  <si>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</si>
  <si>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</si>
  <si>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</si>
  <si>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</si>
  <si>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</si>
  <si>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</si>
  <si>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</si>
  <si>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</si>
  <si>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</si>
  <si>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</si>
  <si>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</si>
  <si>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</si>
  <si>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</si>
  <si>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</si>
  <si>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</si>
  <si>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</si>
  <si>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</si>
  <si>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</si>
  <si>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</si>
  <si>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</si>
  <si>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</si>
  <si>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</si>
  <si>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</si>
  <si>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</si>
  <si>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</si>
  <si>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</si>
  <si>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</si>
  <si>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</si>
  <si>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</si>
  <si>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</si>
  <si>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</si>
  <si>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</si>
  <si>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</si>
  <si>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</si>
  <si>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</si>
  <si>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</si>
  <si>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</si>
  <si>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</si>
  <si>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</si>
  <si>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</si>
  <si>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</si>
  <si>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</si>
  <si>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</si>
  <si>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</si>
  <si>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</si>
  <si>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</si>
  <si>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</si>
  <si>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</si>
  <si>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</si>
  <si>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</si>
  <si>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</si>
  <si>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</si>
  <si>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</si>
  <si>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</si>
  <si>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</si>
  <si>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</si>
  <si>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</si>
  <si>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</si>
  <si>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</si>
  <si>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</si>
  <si>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</si>
  <si>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</si>
  <si>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</si>
  <si>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</si>
  <si>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</si>
  <si>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</si>
  <si>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</si>
  <si>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</si>
  <si>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</si>
  <si>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</si>
  <si>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</si>
  <si>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</si>
  <si>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</si>
  <si>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</si>
  <si>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</si>
  <si>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</si>
  <si>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</si>
  <si>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</si>
  <si>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</si>
  <si>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</si>
  <si>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</si>
  <si>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</si>
  <si>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</si>
  <si>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</si>
  <si>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</si>
  <si>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</si>
  <si>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</si>
  <si>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</si>
  <si>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</si>
  <si>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</si>
  <si>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</si>
  <si>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</si>
  <si>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</si>
  <si>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</si>
  <si>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</si>
  <si>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</si>
  <si>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</si>
  <si>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</si>
  <si>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</si>
  <si>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</si>
  <si>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</si>
  <si>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</si>
  <si>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</si>
  <si>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</si>
  <si>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</si>
  <si>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</si>
  <si>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</si>
  <si>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</si>
  <si>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</si>
  <si>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</si>
  <si>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</si>
  <si>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</si>
  <si>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</si>
  <si>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</si>
  <si>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</si>
  <si>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</si>
  <si>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</si>
  <si>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</si>
  <si>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</si>
  <si>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</si>
  <si>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</si>
  <si>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</si>
  <si>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</si>
  <si>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</si>
  <si>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</si>
  <si>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</si>
  <si>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</si>
  <si>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</si>
  <si>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</si>
  <si>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</si>
  <si>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</si>
  <si>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</si>
  <si>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</si>
  <si>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</si>
  <si>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</si>
  <si>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</si>
  <si>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</si>
  <si>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</si>
  <si>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</si>
  <si>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</si>
  <si>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</si>
  <si>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</si>
  <si>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</si>
  <si>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</si>
  <si>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</si>
  <si>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</si>
  <si>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</si>
  <si>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</si>
  <si>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</si>
  <si>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</si>
  <si>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</si>
  <si>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</si>
  <si>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</si>
  <si>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</si>
  <si>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</si>
  <si>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</si>
  <si>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</si>
  <si>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</si>
  <si>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</si>
  <si>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</si>
  <si>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</si>
  <si>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</si>
  <si>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</si>
  <si>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</si>
  <si>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</si>
  <si>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</si>
  <si>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</si>
  <si>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</si>
  <si>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</si>
  <si>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</si>
  <si>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</si>
  <si>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</si>
  <si>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</si>
  <si>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</si>
  <si>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</si>
  <si>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</si>
  <si>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</si>
  <si>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</si>
  <si>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</si>
  <si>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</si>
  <si>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</si>
  <si>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</si>
  <si>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</si>
  <si>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</si>
  <si>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</si>
  <si>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</si>
  <si>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</si>
  <si>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</si>
  <si>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</si>
  <si>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</si>
  <si>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</si>
  <si>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</si>
  <si>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</si>
  <si>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</si>
  <si>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</si>
  <si>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</si>
  <si>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</si>
  <si>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</si>
  <si>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</si>
  <si>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</si>
  <si>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</si>
  <si>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</si>
  <si>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</si>
  <si>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</si>
  <si>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</si>
  <si>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</si>
  <si>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</si>
  <si>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</si>
  <si>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</si>
  <si>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</si>
  <si>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</si>
  <si>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</si>
  <si>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</si>
  <si>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</si>
  <si>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</si>
  <si>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</si>
  <si>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</si>
  <si>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</si>
  <si>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</si>
  <si>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</si>
  <si>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</si>
  <si>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</si>
  <si>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</si>
  <si>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</si>
  <si>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</si>
  <si>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</si>
  <si>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</si>
  <si>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</si>
  <si>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</si>
  <si>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</si>
  <si>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</si>
  <si>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</si>
  <si>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</si>
  <si>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</si>
  <si>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</si>
  <si>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</si>
  <si>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</si>
  <si>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</si>
  <si>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</si>
  <si>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</si>
  <si>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</si>
  <si>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</si>
  <si>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</si>
  <si>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</si>
  <si>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</si>
  <si>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</si>
  <si>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</si>
  <si>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</si>
  <si>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</si>
  <si>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</si>
  <si>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</si>
  <si>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</si>
  <si>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</si>
  <si>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</si>
  <si>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</si>
  <si>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</si>
  <si>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</si>
  <si>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</si>
  <si>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</si>
  <si>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</si>
  <si>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</si>
  <si>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</si>
  <si>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</si>
  <si>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</si>
  <si>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</si>
  <si>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</si>
  <si>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</si>
  <si>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</si>
  <si>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</si>
  <si>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</si>
  <si>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</si>
  <si>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</si>
  <si>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</si>
  <si>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</si>
  <si>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</si>
  <si>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</si>
  <si>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</si>
  <si>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</si>
  <si>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</si>
  <si>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</si>
  <si>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</si>
  <si>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</si>
  <si>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</si>
  <si>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</si>
  <si>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</si>
  <si>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</si>
  <si>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</si>
  <si>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</si>
  <si>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</si>
  <si>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</si>
  <si>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</si>
  <si>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</si>
  <si>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</si>
  <si>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</si>
  <si>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</si>
  <si>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</si>
  <si>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</si>
  <si>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</si>
  <si>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</si>
  <si>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</si>
  <si>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</si>
  <si>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</si>
  <si>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</si>
  <si>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</si>
  <si>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</si>
  <si>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</si>
  <si>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</si>
  <si>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</si>
  <si>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</si>
  <si>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</si>
  <si>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</si>
  <si>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</si>
  <si>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</si>
  <si>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</si>
  <si>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</si>
  <si>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</si>
  <si>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</si>
  <si>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</si>
  <si>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</si>
  <si>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</si>
  <si>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</si>
  <si>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</si>
  <si>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</si>
  <si>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</si>
  <si>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</si>
  <si>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</si>
  <si>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</si>
  <si>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</si>
  <si>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</si>
  <si>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</si>
  <si>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</si>
  <si>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</si>
  <si>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</si>
  <si>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</si>
  <si>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</si>
  <si>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</si>
  <si>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</si>
  <si>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</si>
  <si>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</si>
  <si>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</si>
  <si>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</si>
  <si>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</si>
  <si>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</si>
  <si>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</si>
  <si>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</si>
  <si>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</si>
  <si>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</si>
  <si>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</si>
  <si>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</si>
  <si>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</si>
  <si>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</si>
  <si>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</si>
  <si>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</si>
  <si>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</si>
  <si>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</si>
  <si>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</si>
  <si>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</si>
  <si>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</si>
  <si>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</si>
  <si>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</si>
  <si>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</si>
  <si>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</si>
  <si>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</si>
  <si>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</si>
  <si>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</si>
  <si>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</si>
  <si>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</si>
  <si>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</si>
  <si>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</si>
  <si>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</si>
  <si>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</si>
  <si>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</si>
  <si>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</si>
  <si>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</si>
  <si>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</si>
  <si>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</si>
  <si>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</si>
  <si>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</si>
  <si>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</si>
  <si>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</si>
  <si>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</si>
  <si>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</si>
  <si>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</si>
  <si>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</si>
  <si>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</si>
  <si>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</si>
  <si>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</si>
  <si>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</si>
  <si>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</si>
  <si>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</si>
  <si>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</si>
  <si>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</si>
  <si>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</si>
  <si>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</si>
  <si>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</si>
  <si>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</si>
  <si>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</si>
  <si>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</si>
  <si>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</si>
  <si>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</si>
  <si>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</si>
  <si>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</si>
  <si>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</si>
  <si>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</si>
  <si>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</si>
  <si>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</si>
  <si>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</si>
  <si>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</si>
  <si>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</si>
  <si>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</si>
  <si>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</si>
  <si>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</si>
  <si>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</si>
  <si>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</si>
  <si>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</si>
  <si>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</si>
  <si>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</si>
  <si>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</si>
  <si>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</si>
  <si>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</si>
  <si>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</si>
  <si>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</si>
  <si>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</si>
  <si>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</si>
  <si>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</si>
  <si>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</si>
  <si>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</si>
  <si>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</si>
  <si>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</si>
  <si>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</si>
  <si>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</si>
  <si>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</si>
  <si>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</si>
  <si>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</si>
  <si>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</si>
  <si>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</si>
  <si>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</si>
  <si>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</si>
  <si>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</si>
  <si>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</si>
  <si>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</si>
  <si>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</si>
  <si>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</si>
  <si>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</si>
  <si>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</si>
  <si>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</si>
  <si>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</si>
  <si>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</si>
  <si>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</si>
  <si>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</si>
  <si>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</si>
  <si>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</si>
  <si>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</si>
  <si>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</si>
  <si>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</si>
  <si>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</si>
  <si>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</si>
  <si>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</si>
  <si>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</si>
  <si>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</si>
  <si>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</si>
  <si>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</si>
  <si>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</si>
  <si>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</si>
  <si>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</si>
  <si>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</si>
  <si>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</si>
  <si>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</si>
  <si>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</si>
  <si>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</si>
  <si>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</si>
  <si>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</si>
  <si>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</si>
  <si>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</si>
  <si>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</si>
  <si>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</si>
  <si>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</si>
  <si>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</si>
  <si>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</si>
  <si>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</si>
  <si>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</si>
  <si>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</si>
  <si>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</si>
  <si>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</si>
  <si>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</si>
  <si>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</si>
  <si>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</si>
  <si>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</si>
  <si>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</si>
  <si>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</si>
  <si>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</si>
  <si>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</si>
  <si>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</si>
  <si>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</si>
  <si>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</si>
  <si>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</si>
  <si>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</si>
  <si>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</si>
  <si>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</si>
  <si>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</si>
  <si>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</si>
  <si>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</si>
  <si>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</si>
  <si>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</si>
  <si>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</si>
  <si>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</si>
  <si>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</si>
  <si>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</si>
  <si>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</si>
  <si>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</si>
  <si>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</si>
  <si>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</si>
  <si>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</si>
  <si>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</si>
  <si>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</si>
  <si>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</si>
  <si>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</si>
  <si>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</si>
  <si>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</si>
  <si>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</si>
  <si>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</si>
  <si>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</si>
  <si>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</si>
  <si>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</si>
  <si>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</si>
  <si>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</si>
  <si>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</si>
  <si>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</si>
  <si>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</si>
  <si>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</si>
  <si>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</si>
  <si>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</si>
  <si>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</si>
  <si>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</si>
  <si>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</si>
  <si>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</si>
  <si>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</si>
  <si>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</si>
  <si>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</si>
  <si>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</si>
  <si>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</si>
  <si>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</si>
  <si>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</si>
  <si>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</si>
  <si>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</si>
  <si>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</si>
  <si>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</si>
  <si>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</si>
  <si>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</si>
  <si>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</si>
  <si>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</si>
  <si>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</si>
  <si>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</si>
  <si>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</si>
  <si>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</si>
  <si>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</si>
  <si>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</si>
  <si>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</si>
  <si>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</si>
  <si>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</si>
  <si>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</si>
  <si>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</si>
  <si>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</si>
  <si>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</si>
  <si>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</si>
  <si>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</si>
  <si>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</si>
  <si>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</si>
  <si>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</si>
  <si>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</si>
  <si>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</si>
  <si>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</si>
  <si>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</si>
  <si>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</si>
  <si>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</si>
  <si>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</si>
  <si>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</si>
  <si>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</si>
  <si>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</si>
  <si>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</si>
  <si>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</si>
  <si>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</si>
  <si>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</si>
  <si>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</si>
  <si>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</si>
  <si>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</si>
  <si>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</si>
  <si>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</si>
  <si>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</si>
  <si>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</si>
  <si>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</si>
  <si>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</si>
  <si>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</si>
  <si>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</si>
  <si>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</si>
  <si>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</si>
  <si>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</si>
  <si>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</si>
  <si>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</si>
  <si>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</si>
  <si>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</si>
  <si>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</si>
  <si>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</si>
  <si>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</si>
  <si>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</si>
  <si>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</si>
  <si>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</si>
  <si>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</si>
  <si>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</si>
  <si>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</si>
  <si>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</si>
  <si>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</si>
  <si>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</si>
  <si>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</si>
  <si>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</si>
  <si>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</si>
  <si>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</si>
  <si>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</si>
  <si>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</si>
  <si>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</si>
  <si>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</si>
  <si>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</si>
  <si>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</si>
  <si>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</si>
  <si>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</si>
  <si>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</si>
  <si>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</si>
  <si>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</si>
  <si>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</si>
  <si>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</si>
  <si>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</si>
  <si>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</si>
  <si>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</si>
  <si>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</si>
  <si>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</si>
  <si>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</si>
  <si>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</si>
  <si>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</si>
  <si>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</si>
  <si>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</si>
  <si>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</si>
  <si>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</si>
  <si>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</si>
  <si>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</si>
  <si>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</si>
  <si>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</si>
  <si>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</si>
  <si>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</si>
  <si>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</si>
  <si>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</si>
  <si>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</si>
  <si>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</si>
  <si>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</si>
  <si>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</si>
  <si>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</si>
  <si>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</si>
  <si>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</si>
  <si>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</si>
  <si>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</si>
  <si>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</si>
  <si>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</si>
  <si>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</si>
  <si>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</si>
  <si>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</si>
  <si>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</si>
  <si>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</si>
  <si>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</si>
  <si>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</si>
  <si>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</si>
  <si>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</si>
  <si>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</si>
  <si>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</si>
  <si>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</si>
  <si>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</si>
  <si>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</si>
  <si>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</si>
  <si>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</si>
  <si>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</si>
  <si>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</si>
  <si>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</si>
  <si>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</si>
  <si>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</si>
  <si>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</si>
  <si>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</si>
  <si>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</si>
  <si>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</si>
  <si>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</si>
  <si>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</si>
  <si>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</si>
  <si>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</si>
  <si>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</si>
  <si>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</si>
  <si>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</si>
  <si>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</si>
  <si>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</si>
  <si>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</si>
  <si>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</si>
  <si>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</si>
  <si>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</si>
  <si>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</si>
  <si>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</si>
  <si>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</si>
  <si>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</si>
  <si>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</si>
  <si>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</si>
  <si>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</si>
  <si>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</si>
  <si>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</si>
  <si>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</si>
  <si>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</si>
  <si>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</si>
  <si>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</si>
  <si>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</si>
  <si>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</si>
  <si>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</si>
  <si>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</si>
  <si>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</si>
  <si>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</si>
  <si>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</si>
  <si>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</si>
  <si>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</si>
  <si>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</si>
  <si>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</si>
  <si>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</si>
  <si>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</si>
  <si>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</si>
  <si>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</si>
  <si>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</si>
  <si>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</si>
  <si>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</si>
  <si>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</si>
  <si>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</si>
  <si>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</si>
  <si>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</si>
  <si>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</si>
  <si>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</si>
  <si>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</si>
  <si>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</si>
  <si>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</si>
  <si>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</si>
  <si>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</si>
  <si>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</si>
  <si>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</si>
  <si>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</si>
  <si>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</si>
  <si>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</si>
  <si>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</si>
  <si>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</si>
  <si>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</si>
  <si>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</si>
  <si>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</si>
  <si>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</si>
  <si>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</si>
  <si>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</si>
  <si>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</si>
  <si>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</si>
  <si>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</si>
  <si>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</si>
  <si>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</si>
  <si>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</si>
  <si>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</si>
  <si>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</si>
  <si>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</si>
  <si>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</si>
  <si>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</si>
  <si>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</si>
  <si>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</si>
  <si>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</si>
  <si>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</si>
  <si>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</si>
  <si>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</si>
  <si>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</si>
  <si>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</si>
  <si>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</si>
  <si>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</si>
  <si>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</si>
  <si>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</si>
  <si>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</si>
  <si>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</si>
  <si>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</si>
  <si>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</si>
  <si>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</si>
  <si>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</si>
  <si>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</si>
  <si>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</si>
  <si>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</si>
  <si>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</si>
  <si>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</si>
  <si>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</si>
  <si>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</si>
  <si>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</si>
  <si>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</si>
  <si>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</si>
  <si>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</si>
  <si>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</si>
  <si>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</si>
  <si>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</si>
  <si>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</si>
  <si>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</si>
  <si>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</si>
  <si>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</si>
  <si>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</si>
  <si>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</si>
  <si>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</si>
  <si>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</si>
  <si>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</si>
  <si>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</si>
  <si>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</si>
  <si>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</si>
  <si>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</si>
  <si>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</si>
  <si>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</si>
  <si>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</si>
  <si>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</si>
  <si>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</si>
  <si>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</si>
  <si>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</si>
  <si>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</si>
  <si>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</si>
  <si>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</si>
  <si>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</si>
  <si>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</si>
  <si>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</si>
  <si>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</si>
  <si>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</si>
  <si>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</si>
  <si>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</si>
  <si>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</si>
  <si>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</si>
  <si>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</si>
  <si>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</si>
  <si>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</si>
  <si>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</si>
  <si>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</si>
  <si>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</si>
  <si>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</si>
  <si>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</si>
  <si>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</si>
  <si>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</si>
  <si>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</si>
  <si>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</si>
  <si>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</si>
  <si>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</si>
  <si>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</si>
  <si>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</si>
  <si>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</si>
  <si>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</si>
  <si>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</si>
  <si>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</si>
  <si>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</si>
  <si>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</si>
  <si>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</si>
  <si>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</si>
  <si>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</si>
  <si>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</si>
  <si>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</si>
  <si>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</si>
  <si>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</si>
  <si>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</si>
  <si>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</si>
  <si>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</si>
  <si>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</si>
  <si>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</si>
  <si>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</si>
  <si>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</si>
  <si>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</si>
  <si>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</si>
  <si>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</si>
  <si>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</si>
  <si>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</si>
  <si>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</si>
  <si>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</si>
  <si>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</si>
  <si>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</si>
  <si>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</si>
  <si>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</si>
  <si>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</si>
  <si>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</si>
  <si>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</si>
  <si>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</si>
  <si>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</si>
  <si>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</si>
  <si>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</si>
  <si>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</si>
  <si>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</si>
  <si>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</si>
  <si>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</si>
  <si>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</si>
  <si>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</si>
  <si>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</si>
  <si>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</si>
  <si>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</si>
  <si>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</si>
  <si>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</si>
  <si>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</si>
  <si>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</si>
  <si>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</si>
  <si>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</si>
  <si>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</si>
  <si>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</si>
  <si>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</si>
  <si>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</si>
  <si>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</si>
  <si>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</si>
  <si>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</si>
  <si>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</si>
  <si>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</si>
  <si>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</si>
  <si>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</si>
  <si>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</si>
  <si>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</si>
  <si>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</si>
  <si>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</si>
  <si>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</si>
  <si>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</si>
  <si>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</si>
  <si>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</si>
  <si>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</si>
  <si>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</si>
  <si>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</si>
  <si>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</si>
  <si>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</si>
  <si>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</si>
  <si>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</si>
  <si>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</si>
  <si>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</si>
  <si>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</si>
  <si>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</si>
  <si>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</si>
  <si>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</si>
  <si>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</si>
  <si>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</si>
  <si>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</si>
  <si>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</si>
  <si>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</si>
  <si>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</si>
  <si>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</si>
  <si>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</si>
  <si>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</si>
  <si>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</si>
  <si>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</si>
  <si>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</si>
  <si>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</si>
  <si>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</si>
  <si>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</si>
  <si>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</si>
  <si>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</si>
  <si>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</si>
  <si>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</si>
  <si>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</si>
  <si>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</si>
  <si>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</si>
  <si>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</si>
  <si>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</si>
  <si>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</si>
  <si>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</si>
  <si>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</si>
  <si>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</si>
  <si>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</si>
  <si>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</si>
  <si>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</si>
  <si>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</si>
  <si>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</si>
  <si>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</si>
  <si>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</si>
  <si>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</si>
  <si>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</si>
  <si>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</si>
  <si>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</si>
  <si>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</si>
  <si>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</si>
  <si>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</si>
  <si>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</si>
  <si>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</si>
  <si>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</si>
  <si>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</si>
  <si>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</si>
  <si>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</si>
  <si>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</si>
  <si>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</si>
  <si>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</si>
  <si>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</si>
  <si>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</si>
  <si>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</si>
  <si>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</si>
  <si>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</si>
  <si>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</si>
  <si>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</si>
  <si>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</si>
  <si>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</si>
  <si>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</si>
  <si>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</si>
  <si>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</si>
  <si>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</si>
  <si>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</si>
  <si>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</si>
  <si>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</si>
  <si>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</si>
  <si>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</si>
  <si>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</si>
  <si>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</si>
  <si>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</si>
  <si>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</si>
  <si>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</si>
  <si>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</si>
  <si>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</si>
  <si>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</si>
  <si>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</si>
  <si>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</si>
  <si>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</si>
  <si>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</si>
  <si>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</si>
  <si>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</si>
  <si>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</si>
  <si>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</si>
  <si>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</si>
  <si>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</si>
  <si>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</si>
  <si>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</si>
  <si>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</si>
  <si>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</si>
  <si>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</si>
  <si>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</si>
  <si>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</si>
  <si>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</si>
  <si>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</si>
  <si>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</si>
  <si>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</si>
  <si>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</si>
  <si>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</si>
  <si>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</si>
  <si>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</si>
  <si>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</si>
  <si>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</si>
  <si>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</si>
  <si>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</si>
  <si>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</si>
  <si>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</si>
  <si>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</si>
  <si>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</si>
  <si>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</si>
  <si>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</si>
  <si>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</si>
  <si>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</si>
  <si>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</si>
  <si>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</si>
  <si>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</si>
  <si>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</si>
  <si>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</si>
  <si>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</si>
  <si>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</si>
  <si>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</si>
  <si>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</si>
  <si>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</si>
  <si>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</si>
  <si>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</si>
  <si>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</si>
  <si>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</si>
  <si>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</si>
  <si>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</si>
  <si>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</si>
  <si>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</si>
  <si>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</si>
  <si>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</si>
  <si>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</si>
  <si>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</si>
  <si>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</si>
  <si>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</si>
  <si>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</si>
  <si>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</si>
  <si>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</si>
  <si>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</si>
  <si>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</si>
  <si>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</si>
  <si>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</si>
  <si>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</si>
  <si>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</si>
  <si>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КТП 10/0,4 Вахонино 3   </t>
  </si>
  <si>
    <t xml:space="preserve"> КТП 10/0,4 Искрино ферма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</si>
  <si>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</si>
  <si>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</si>
  <si>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</si>
  <si>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</si>
  <si>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</si>
  <si>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</si>
  <si>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</si>
  <si>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</si>
  <si>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</si>
  <si>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</si>
  <si>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</si>
  <si>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</si>
  <si>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</si>
  <si>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</si>
  <si>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</si>
  <si>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</si>
  <si>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</si>
  <si>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</si>
  <si>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</si>
  <si>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</si>
  <si>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</si>
  <si>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</si>
  <si>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</si>
  <si>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</si>
  <si>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</si>
  <si>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</si>
  <si>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</si>
  <si>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</si>
  <si>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</si>
  <si>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</si>
  <si>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</si>
  <si>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</si>
  <si>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</si>
  <si>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ЗТП №168 Котельная  ф7 п/с Дм Гора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</si>
  <si>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</si>
  <si>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</si>
  <si>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</si>
  <si>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</si>
  <si>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</si>
  <si>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</si>
  <si>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</si>
  <si>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</si>
  <si>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</si>
  <si>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</si>
  <si>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</si>
  <si>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</si>
  <si>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</si>
  <si>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</si>
  <si>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</si>
  <si>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</si>
  <si>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</si>
  <si>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</si>
  <si>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</si>
  <si>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</si>
  <si>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</si>
  <si>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</si>
  <si>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</si>
  <si>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</si>
  <si>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</si>
  <si>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</si>
  <si>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</si>
  <si>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</si>
  <si>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</si>
  <si>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</si>
  <si>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</si>
  <si>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</si>
  <si>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</si>
  <si>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</si>
  <si>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</si>
  <si>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</si>
  <si>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</si>
  <si>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</si>
  <si>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</si>
  <si>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</si>
  <si>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</si>
  <si>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</si>
  <si>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</si>
  <si>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</si>
  <si>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</si>
  <si>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</si>
  <si>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</si>
  <si>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</si>
  <si>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</si>
  <si>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</si>
  <si>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</si>
  <si>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</si>
  <si>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</si>
  <si>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</si>
  <si>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</si>
  <si>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</si>
  <si>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</si>
  <si>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</si>
  <si>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</si>
  <si>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</si>
  <si>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</si>
  <si>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</si>
  <si>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</si>
  <si>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</si>
  <si>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</si>
  <si>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</si>
  <si>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</si>
  <si>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</si>
  <si>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</si>
  <si>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</si>
  <si>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</si>
  <si>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</si>
  <si>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</si>
  <si>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</si>
  <si>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</si>
  <si>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</si>
  <si>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</si>
  <si>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</si>
  <si>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</si>
  <si>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</si>
  <si>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</si>
  <si>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</si>
  <si>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</si>
  <si>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</si>
  <si>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</si>
  <si>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</si>
  <si>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</si>
  <si>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</si>
  <si>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</si>
  <si>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</si>
  <si>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</si>
  <si>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</si>
  <si>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</si>
  <si>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</si>
  <si>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</si>
  <si>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</si>
  <si>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</si>
  <si>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</si>
  <si>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</si>
  <si>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</si>
  <si>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</si>
  <si>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</si>
  <si>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</si>
  <si>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</si>
  <si>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</si>
  <si>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</si>
  <si>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</si>
  <si>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</si>
  <si>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</si>
  <si>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</si>
  <si>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</si>
  <si>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</si>
  <si>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</si>
  <si>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</si>
  <si>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</si>
  <si>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</si>
  <si>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</si>
  <si>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</si>
  <si>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</si>
  <si>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</si>
  <si>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</si>
  <si>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</si>
  <si>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</si>
  <si>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</si>
  <si>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</si>
  <si>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</si>
  <si>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</si>
  <si>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</si>
  <si>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</si>
  <si>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</si>
  <si>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</si>
  <si>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</si>
  <si>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</si>
  <si>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</si>
  <si>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</si>
  <si>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</si>
  <si>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</si>
  <si>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</si>
  <si>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</si>
  <si>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</si>
  <si>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</si>
  <si>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</si>
  <si>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</si>
  <si>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</si>
  <si>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</si>
  <si>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</si>
  <si>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</si>
  <si>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</si>
  <si>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</si>
  <si>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</si>
  <si>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</si>
  <si>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</si>
  <si>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</si>
  <si>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</si>
  <si>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</si>
  <si>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</si>
  <si>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</si>
  <si>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</si>
  <si>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</si>
  <si>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</si>
  <si>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</si>
  <si>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</si>
  <si>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</si>
  <si>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</si>
  <si>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</si>
  <si>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</si>
  <si>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</si>
  <si>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</si>
  <si>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</si>
  <si>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</si>
  <si>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</si>
  <si>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</si>
  <si>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</si>
  <si>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</si>
  <si>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</si>
  <si>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</si>
  <si>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</si>
  <si>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</si>
  <si>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</si>
  <si>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</si>
  <si>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</si>
  <si>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</si>
  <si>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</si>
  <si>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</si>
  <si>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</si>
  <si>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</si>
  <si>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</si>
  <si>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</si>
  <si>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</si>
  <si>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</si>
  <si>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</si>
  <si>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</si>
  <si>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</si>
  <si>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</si>
  <si>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</si>
  <si>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</si>
  <si>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</si>
  <si>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</si>
  <si>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</si>
  <si>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</si>
  <si>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</si>
  <si>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</si>
  <si>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</si>
  <si>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</si>
  <si>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</si>
  <si>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</si>
  <si>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</si>
  <si>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</si>
  <si>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</si>
  <si>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</si>
  <si>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</si>
  <si>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</si>
  <si>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</si>
  <si>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</si>
  <si>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</si>
  <si>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</si>
  <si>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</si>
  <si>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</si>
  <si>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</si>
  <si>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</si>
  <si>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</si>
  <si>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</si>
  <si>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</si>
  <si>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</si>
  <si>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</si>
  <si>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</si>
  <si>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</si>
  <si>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</si>
  <si>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</si>
  <si>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</si>
  <si>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</si>
  <si>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</si>
  <si>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</si>
  <si>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</si>
  <si>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</si>
  <si>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</si>
  <si>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</si>
  <si>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</si>
  <si>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</si>
  <si>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</si>
  <si>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</si>
  <si>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</si>
  <si>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</si>
  <si>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</si>
  <si>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</si>
  <si>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</si>
  <si>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</si>
  <si>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</si>
  <si>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</si>
  <si>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</si>
  <si>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</si>
  <si>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</si>
  <si>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</si>
  <si>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</si>
  <si>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</si>
  <si>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</si>
  <si>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</si>
  <si>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</si>
  <si>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</si>
  <si>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</si>
  <si>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</si>
  <si>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</si>
  <si>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</si>
  <si>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</si>
  <si>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</si>
  <si>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</si>
  <si>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</si>
  <si>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</si>
  <si>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</si>
  <si>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</si>
  <si>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</si>
  <si>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</si>
  <si>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</si>
  <si>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</si>
  <si>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</si>
  <si>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</si>
  <si>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</si>
  <si>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</si>
  <si>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</si>
  <si>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</si>
  <si>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</si>
  <si>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</si>
  <si>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</si>
  <si>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</si>
  <si>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</si>
  <si>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</si>
  <si>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</si>
  <si>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</si>
  <si>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</si>
  <si>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</si>
  <si>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</si>
  <si>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</si>
  <si>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</si>
  <si>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</si>
  <si>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</si>
  <si>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</si>
  <si>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</si>
  <si>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</si>
  <si>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</si>
  <si>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</si>
  <si>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</si>
  <si>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</si>
  <si>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</si>
  <si>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</si>
  <si>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</si>
  <si>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</si>
  <si>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</si>
  <si>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</si>
  <si>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</si>
  <si>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</si>
  <si>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</si>
  <si>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</si>
  <si>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</si>
  <si>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</si>
  <si>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</si>
  <si>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</si>
  <si>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</si>
  <si>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</si>
  <si>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</si>
  <si>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</si>
  <si>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</si>
  <si>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</si>
  <si>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</si>
  <si>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</si>
  <si>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</si>
  <si>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</si>
  <si>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</si>
  <si>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</si>
  <si>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</si>
  <si>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</si>
  <si>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</si>
  <si>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</si>
  <si>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</si>
  <si>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</si>
  <si>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</si>
  <si>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</si>
  <si>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</si>
  <si>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</si>
  <si>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</si>
  <si>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</si>
  <si>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</si>
  <si>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</si>
  <si>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</si>
  <si>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</si>
  <si>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</si>
  <si>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</si>
  <si>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</si>
  <si>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</si>
  <si>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</si>
  <si>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</si>
  <si>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</si>
  <si>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</si>
  <si>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</si>
  <si>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</si>
  <si>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</si>
  <si>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</si>
  <si>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</si>
  <si>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</si>
  <si>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</si>
  <si>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</si>
  <si>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</si>
  <si>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</si>
  <si>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</si>
  <si>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</si>
  <si>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</si>
  <si>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</si>
  <si>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</si>
  <si>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</si>
  <si>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</si>
  <si>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</si>
  <si>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</si>
  <si>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</si>
  <si>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</si>
  <si>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</si>
  <si>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</si>
  <si>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</si>
  <si>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</si>
  <si>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</si>
  <si>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</si>
  <si>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</si>
  <si>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</si>
  <si>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</si>
  <si>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</si>
  <si>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</si>
  <si>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</si>
  <si>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</si>
  <si>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</si>
  <si>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</si>
  <si>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</si>
  <si>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</si>
  <si>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</si>
  <si>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</si>
  <si>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</si>
  <si>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</si>
  <si>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</si>
  <si>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</si>
  <si>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</si>
  <si>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</si>
  <si>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</si>
  <si>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</si>
  <si>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</si>
  <si>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</si>
  <si>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</si>
  <si>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</si>
  <si>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</si>
  <si>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</si>
  <si>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</si>
  <si>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</si>
  <si>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</si>
  <si>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</si>
  <si>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</si>
  <si>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</si>
  <si>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</si>
  <si>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</si>
  <si>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</si>
  <si>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</si>
  <si>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</si>
  <si>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</si>
  <si>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</si>
  <si>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</si>
  <si>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</si>
  <si>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</si>
  <si>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</si>
  <si>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</si>
  <si>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</si>
  <si>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</si>
  <si>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</si>
  <si>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</si>
  <si>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</si>
  <si>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</si>
  <si>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</si>
  <si>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</si>
  <si>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</si>
  <si>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</si>
  <si>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</si>
  <si>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</si>
  <si>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</si>
  <si>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</si>
  <si>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</si>
  <si>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</si>
  <si>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</si>
  <si>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</si>
  <si>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</si>
  <si>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</si>
  <si>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</si>
  <si>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</si>
  <si>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</si>
  <si>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</si>
  <si>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</si>
  <si>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</si>
  <si>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</si>
  <si>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</si>
  <si>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</si>
  <si>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</si>
  <si>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</si>
  <si>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</si>
  <si>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</si>
  <si>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</si>
  <si>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</si>
  <si>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</si>
  <si>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</si>
  <si>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</si>
  <si>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</si>
  <si>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</si>
  <si>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</si>
  <si>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</si>
  <si>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</si>
  <si>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</si>
  <si>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</si>
  <si>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</si>
  <si>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</si>
  <si>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</si>
  <si>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</si>
  <si>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</si>
  <si>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</si>
  <si>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</si>
  <si>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</si>
  <si>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</si>
  <si>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</si>
  <si>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</si>
  <si>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</si>
  <si>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</si>
  <si>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</si>
  <si>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</si>
  <si>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</si>
  <si>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</si>
  <si>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</si>
  <si>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</si>
  <si>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</si>
  <si>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</si>
  <si>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</si>
  <si>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</si>
  <si>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</si>
  <si>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</si>
  <si>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</si>
  <si>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</si>
  <si>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</si>
  <si>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</si>
  <si>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</si>
  <si>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</si>
  <si>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</si>
  <si>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</si>
  <si>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</si>
  <si>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</si>
  <si>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</si>
  <si>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</si>
  <si>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</si>
  <si>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</si>
  <si>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</si>
  <si>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</si>
  <si>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</si>
  <si>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</si>
  <si>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</si>
  <si>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</si>
  <si>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</si>
  <si>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</si>
  <si>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</si>
  <si>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</si>
  <si>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</si>
  <si>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</si>
  <si>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</si>
  <si>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</si>
  <si>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</si>
  <si>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</si>
  <si>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</si>
  <si>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</si>
  <si>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</si>
  <si>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</si>
  <si>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</si>
  <si>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</si>
  <si>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</si>
  <si>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</si>
  <si>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</si>
  <si>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</si>
  <si>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</si>
  <si>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</si>
  <si>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</si>
  <si>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</si>
  <si>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</si>
  <si>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</si>
  <si>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</si>
  <si>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</si>
  <si>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</si>
  <si>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</si>
  <si>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</si>
  <si>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</si>
  <si>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</si>
  <si>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</si>
  <si>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</si>
  <si>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</si>
  <si>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</si>
  <si>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</si>
  <si>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</si>
  <si>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</si>
  <si>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</si>
  <si>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</si>
  <si>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</si>
  <si>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</si>
  <si>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</si>
  <si>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</si>
  <si>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</si>
  <si>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</si>
  <si>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</si>
  <si>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</si>
  <si>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</si>
  <si>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</si>
  <si>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</si>
  <si>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</si>
  <si>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</si>
  <si>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</si>
  <si>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</si>
  <si>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</si>
  <si>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</si>
  <si>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</si>
  <si>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</si>
  <si>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</si>
  <si>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</si>
  <si>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</si>
  <si>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</si>
  <si>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</si>
  <si>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</si>
  <si>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</si>
  <si>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</si>
  <si>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</si>
  <si>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</si>
  <si>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</si>
  <si>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</si>
  <si>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</si>
  <si>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</si>
  <si>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</si>
  <si>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</si>
  <si>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</si>
  <si>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</si>
  <si>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</si>
  <si>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</si>
  <si>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</si>
  <si>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</si>
  <si>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</si>
  <si>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</si>
  <si>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</si>
  <si>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</si>
  <si>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</si>
  <si>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</si>
  <si>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</si>
  <si>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</si>
  <si>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</si>
  <si>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</si>
  <si>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</si>
  <si>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</si>
  <si>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</si>
  <si>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</si>
  <si>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</si>
  <si>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</si>
  <si>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</si>
  <si>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</si>
  <si>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</si>
  <si>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</si>
  <si>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</si>
  <si>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</si>
  <si>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</si>
  <si>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</si>
  <si>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</si>
  <si>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</si>
  <si>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</si>
  <si>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</si>
  <si>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</si>
  <si>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</si>
  <si>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</si>
  <si>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</si>
  <si>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</si>
  <si>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</si>
  <si>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</si>
  <si>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</si>
  <si>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</si>
  <si>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</si>
  <si>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</si>
  <si>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</si>
  <si>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</si>
  <si>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</si>
  <si>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</si>
  <si>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</si>
  <si>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</si>
  <si>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</si>
  <si>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</si>
  <si>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</si>
  <si>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</si>
  <si>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</si>
  <si>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</si>
  <si>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</si>
  <si>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</si>
  <si>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</si>
  <si>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</si>
  <si>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</si>
  <si>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</si>
  <si>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</si>
  <si>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</si>
  <si>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</si>
  <si>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</si>
  <si>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</si>
  <si>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</si>
  <si>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</si>
  <si>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</si>
  <si>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</si>
  <si>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</si>
  <si>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</si>
  <si>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</si>
  <si>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</si>
  <si>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</si>
  <si>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</si>
  <si>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</si>
  <si>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</si>
  <si>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</si>
  <si>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</si>
  <si>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</si>
  <si>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</si>
  <si>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</si>
  <si>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</si>
  <si>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</si>
  <si>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</si>
  <si>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</si>
  <si>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</si>
  <si>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</si>
  <si>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</si>
  <si>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</si>
  <si>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</si>
  <si>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</si>
  <si>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</si>
  <si>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</si>
  <si>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</si>
  <si>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</si>
  <si>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</si>
  <si>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</si>
  <si>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</si>
  <si>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</si>
  <si>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</si>
  <si>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</si>
  <si>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</si>
  <si>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</si>
  <si>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</si>
  <si>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</si>
  <si>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</si>
  <si>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</si>
  <si>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</si>
  <si>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</si>
  <si>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</si>
  <si>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</si>
  <si>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</si>
  <si>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</si>
  <si>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</si>
  <si>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</si>
  <si>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</si>
  <si>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</si>
  <si>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</si>
  <si>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</si>
  <si>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</si>
  <si>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</si>
  <si>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</si>
  <si>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</si>
  <si>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</si>
  <si>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</si>
  <si>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</si>
  <si>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</si>
  <si>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</si>
  <si>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</si>
  <si>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</si>
  <si>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</si>
  <si>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</si>
  <si>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</si>
  <si>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</si>
  <si>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</si>
  <si>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</si>
  <si>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</si>
  <si>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</si>
  <si>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</si>
  <si>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</si>
  <si>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</si>
  <si>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</si>
  <si>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</si>
  <si>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</si>
  <si>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</si>
  <si>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</si>
  <si>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</si>
  <si>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</si>
  <si>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</si>
  <si>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</si>
  <si>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</si>
  <si>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</si>
  <si>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</si>
  <si>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</si>
  <si>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</si>
  <si>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</si>
  <si>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</si>
  <si>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</si>
  <si>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</si>
  <si>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</si>
  <si>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</si>
  <si>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</si>
  <si>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</si>
  <si>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</si>
  <si>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</si>
  <si>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</si>
  <si>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</si>
  <si>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</si>
  <si>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</si>
  <si>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</si>
  <si>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</si>
  <si>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</si>
  <si>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</si>
  <si>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</si>
  <si>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</si>
  <si>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</si>
  <si>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</si>
  <si>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</si>
  <si>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</si>
  <si>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</si>
  <si>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</si>
  <si>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</si>
  <si>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</si>
  <si>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</si>
  <si>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</si>
  <si>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</si>
  <si>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</si>
  <si>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</si>
  <si>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</si>
  <si>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</si>
  <si>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</si>
  <si>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</si>
  <si>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</si>
  <si>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</si>
  <si>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</si>
  <si>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</si>
  <si>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</si>
  <si>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</si>
  <si>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</si>
  <si>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</si>
  <si>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</si>
  <si>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</si>
  <si>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</si>
  <si>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</si>
  <si>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</si>
  <si>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</si>
  <si>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</si>
  <si>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</si>
  <si>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</si>
  <si>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</si>
  <si>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</si>
  <si>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</si>
  <si>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</si>
  <si>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</si>
  <si>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</si>
  <si>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</si>
  <si>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</si>
  <si>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</si>
  <si>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</si>
  <si>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</si>
  <si>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</si>
  <si>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</si>
  <si>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</si>
  <si>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</si>
  <si>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</si>
  <si>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</si>
  <si>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</si>
  <si>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</si>
  <si>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</si>
  <si>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</si>
  <si>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</si>
  <si>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</si>
  <si>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</si>
  <si>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</si>
  <si>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</si>
  <si>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</si>
  <si>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</si>
  <si>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</si>
  <si>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</si>
  <si>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</si>
  <si>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</si>
  <si>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</si>
  <si>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</si>
  <si>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</si>
  <si>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</si>
  <si>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</si>
  <si>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</si>
  <si>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</si>
  <si>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</si>
  <si>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</si>
  <si>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</si>
  <si>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</si>
  <si>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</si>
  <si>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</si>
  <si>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</si>
  <si>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</si>
  <si>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</si>
  <si>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</si>
  <si>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</si>
  <si>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</si>
  <si>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</si>
  <si>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</si>
  <si>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</si>
  <si>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</si>
  <si>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</si>
  <si>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</si>
  <si>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</si>
  <si>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</si>
  <si>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</si>
  <si>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</si>
  <si>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</si>
  <si>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</si>
  <si>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</si>
  <si>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</si>
  <si>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</si>
  <si>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</si>
  <si>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</si>
  <si>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</si>
  <si>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</si>
  <si>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д.Колесниково</t>
  </si>
  <si>
    <t>д.Столыпино</t>
  </si>
  <si>
    <t>д.Ивашково</t>
  </si>
  <si>
    <t>д.Пашутино</t>
  </si>
  <si>
    <t>д.Гнездилово</t>
  </si>
  <si>
    <t>д.Благинино</t>
  </si>
  <si>
    <t>д.Ботино</t>
  </si>
  <si>
    <t>д.Шоша</t>
  </si>
  <si>
    <t>д.Шишкино</t>
  </si>
  <si>
    <t>д.Березниково</t>
  </si>
  <si>
    <t>д.Каськово</t>
  </si>
  <si>
    <t>д.Быково</t>
  </si>
  <si>
    <t>д.Дурнево</t>
  </si>
  <si>
    <t>д.Максимково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</si>
  <si>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</si>
  <si>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</si>
  <si>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</si>
  <si>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</si>
  <si>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</si>
  <si>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</si>
  <si>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</si>
  <si>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</si>
  <si>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</si>
  <si>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</si>
  <si>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</si>
  <si>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</si>
  <si>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</si>
  <si>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</si>
  <si>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</si>
  <si>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</si>
  <si>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</si>
  <si>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</si>
  <si>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</si>
  <si>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</si>
  <si>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</si>
  <si>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</si>
  <si>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</si>
  <si>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</si>
  <si>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</si>
  <si>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</si>
  <si>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</si>
  <si>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</si>
  <si>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</si>
  <si>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</si>
  <si>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</si>
  <si>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</si>
  <si>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</si>
  <si>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</si>
  <si>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</si>
  <si>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</si>
  <si>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</si>
  <si>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</si>
  <si>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</si>
  <si>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</si>
  <si>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</si>
  <si>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</si>
  <si>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</si>
  <si>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</si>
  <si>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</si>
  <si>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</si>
  <si>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</si>
  <si>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</si>
  <si>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</si>
  <si>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</si>
  <si>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</si>
  <si>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</si>
  <si>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</si>
  <si>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</si>
  <si>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</si>
  <si>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</si>
  <si>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</si>
  <si>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</si>
  <si>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</si>
  <si>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</si>
  <si>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</si>
  <si>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</si>
  <si>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</si>
  <si>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</si>
  <si>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</si>
  <si>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</si>
  <si>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</si>
  <si>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</si>
  <si>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</si>
  <si>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</si>
  <si>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</si>
  <si>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</si>
  <si>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</si>
  <si>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</si>
  <si>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</si>
  <si>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</si>
  <si>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</si>
  <si>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</si>
  <si>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</si>
  <si>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</si>
  <si>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</si>
  <si>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</si>
  <si>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</si>
  <si>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</si>
  <si>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</si>
  <si>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</si>
  <si>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</si>
  <si>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</si>
  <si>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</si>
  <si>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</si>
  <si>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</si>
  <si>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</si>
  <si>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</si>
  <si>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</si>
  <si>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</si>
  <si>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</si>
  <si>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</si>
  <si>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</si>
  <si>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</si>
  <si>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</si>
  <si>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</si>
  <si>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</si>
  <si>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</si>
  <si>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</si>
  <si>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</si>
  <si>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</si>
  <si>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</si>
  <si>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</si>
  <si>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</si>
  <si>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</si>
  <si>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</si>
  <si>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</si>
  <si>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</si>
  <si>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</si>
  <si>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</si>
  <si>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</si>
  <si>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</si>
  <si>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</si>
  <si>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</si>
  <si>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</si>
  <si>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</si>
  <si>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</si>
  <si>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</si>
  <si>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</si>
  <si>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</si>
  <si>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</si>
  <si>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</si>
  <si>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</si>
  <si>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</si>
  <si>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</si>
  <si>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</si>
  <si>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</si>
  <si>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</si>
  <si>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</si>
  <si>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</si>
  <si>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</si>
  <si>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</si>
  <si>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</si>
  <si>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</si>
  <si>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</si>
  <si>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</si>
  <si>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</si>
  <si>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</si>
  <si>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</si>
  <si>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</si>
  <si>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</si>
  <si>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</si>
  <si>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</si>
  <si>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</si>
  <si>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</si>
  <si>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</si>
  <si>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</si>
  <si>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</si>
  <si>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</si>
  <si>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</si>
  <si>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</si>
  <si>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</si>
  <si>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</si>
  <si>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</si>
  <si>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</si>
  <si>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</si>
  <si>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</si>
  <si>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</si>
  <si>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</si>
  <si>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</si>
  <si>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</si>
  <si>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</si>
  <si>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</si>
  <si>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</si>
  <si>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</si>
  <si>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</si>
  <si>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</si>
  <si>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</si>
  <si>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</si>
  <si>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</si>
  <si>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</si>
  <si>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</si>
  <si>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</si>
  <si>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</si>
  <si>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</si>
  <si>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</si>
  <si>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</si>
  <si>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</si>
  <si>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</si>
  <si>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</si>
  <si>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</si>
  <si>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</si>
  <si>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</si>
  <si>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</si>
  <si>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</si>
  <si>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</si>
  <si>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</si>
  <si>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</si>
  <si>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</si>
  <si>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</si>
  <si>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</si>
  <si>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</si>
  <si>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</si>
  <si>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</si>
  <si>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</si>
  <si>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</si>
  <si>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</si>
  <si>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</si>
  <si>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</si>
  <si>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</si>
  <si>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</si>
  <si>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</si>
  <si>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</si>
  <si>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</si>
  <si>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</si>
  <si>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</si>
  <si>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</si>
  <si>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</si>
  <si>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</si>
  <si>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</si>
  <si>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</si>
  <si>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</si>
  <si>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</si>
  <si>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</si>
  <si>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</si>
  <si>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</si>
  <si>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</si>
  <si>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</si>
  <si>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</si>
  <si>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</si>
  <si>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</si>
  <si>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</si>
  <si>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</si>
  <si>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</si>
  <si>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</si>
  <si>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</si>
  <si>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</si>
  <si>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</si>
  <si>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</si>
  <si>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</si>
  <si>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</si>
  <si>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</si>
  <si>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</si>
  <si>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</si>
  <si>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</si>
  <si>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</si>
  <si>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</si>
  <si>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</si>
  <si>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</si>
  <si>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</si>
  <si>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</si>
  <si>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</si>
  <si>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</si>
  <si>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</si>
  <si>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</si>
  <si>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</si>
  <si>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</si>
  <si>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</si>
  <si>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</si>
  <si>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</si>
  <si>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</si>
  <si>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</si>
  <si>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</si>
  <si>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</si>
  <si>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</si>
  <si>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</si>
  <si>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</si>
  <si>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</si>
  <si>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</si>
  <si>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</si>
  <si>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</si>
  <si>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</si>
  <si>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</si>
  <si>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</si>
  <si>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</si>
  <si>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</si>
  <si>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</si>
  <si>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</si>
  <si>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</si>
  <si>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</si>
  <si>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</si>
  <si>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</si>
  <si>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</si>
  <si>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</si>
  <si>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</si>
  <si>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</si>
  <si>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</si>
  <si>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</si>
  <si>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</si>
  <si>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</si>
  <si>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</si>
  <si>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</si>
  <si>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</si>
  <si>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</si>
  <si>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</si>
  <si>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</si>
  <si>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</si>
  <si>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</si>
  <si>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</si>
  <si>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</si>
  <si>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</si>
  <si>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</si>
  <si>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</si>
  <si>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</si>
  <si>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</si>
  <si>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</si>
  <si>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</si>
  <si>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</si>
  <si>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</si>
  <si>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</si>
  <si>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</si>
  <si>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</si>
  <si>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</si>
  <si>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</si>
  <si>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</si>
  <si>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</si>
  <si>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</si>
  <si>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</si>
  <si>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</si>
  <si>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</si>
  <si>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</si>
  <si>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</si>
  <si>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</si>
  <si>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</si>
  <si>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</si>
  <si>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</si>
  <si>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</si>
  <si>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</si>
  <si>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</si>
  <si>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</si>
  <si>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</si>
  <si>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</si>
  <si>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</si>
  <si>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</si>
  <si>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</si>
  <si>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</si>
  <si>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</si>
  <si>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</si>
  <si>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</si>
  <si>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</si>
  <si>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</si>
  <si>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</si>
  <si>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</si>
  <si>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</si>
  <si>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</si>
  <si>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</si>
  <si>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</si>
  <si>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</si>
  <si>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</si>
  <si>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</si>
  <si>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</si>
  <si>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</si>
  <si>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</si>
  <si>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</si>
  <si>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</si>
  <si>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</si>
  <si>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</si>
  <si>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</si>
  <si>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</si>
  <si>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</si>
  <si>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</si>
  <si>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</si>
  <si>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</si>
  <si>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</si>
  <si>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</si>
  <si>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</si>
  <si>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</si>
  <si>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</si>
  <si>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</si>
  <si>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</si>
  <si>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</si>
  <si>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</si>
  <si>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</si>
  <si>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</si>
  <si>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</si>
  <si>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</si>
  <si>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</si>
  <si>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</si>
  <si>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</si>
  <si>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</si>
  <si>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</si>
  <si>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</si>
  <si>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</si>
  <si>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</si>
  <si>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</si>
  <si>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</si>
  <si>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</si>
  <si>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</si>
  <si>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</si>
  <si>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</si>
  <si>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</si>
  <si>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</si>
  <si>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</si>
  <si>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</si>
  <si>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</si>
  <si>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</si>
  <si>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</si>
  <si>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</si>
  <si>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</si>
  <si>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</si>
  <si>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</si>
  <si>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</si>
  <si>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</si>
  <si>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</si>
  <si>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</si>
  <si>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</si>
  <si>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</si>
  <si>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</si>
  <si>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</si>
  <si>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</si>
  <si>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</si>
  <si>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</si>
  <si>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</si>
  <si>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</si>
  <si>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</si>
  <si>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</si>
  <si>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</si>
  <si>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</si>
  <si>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</si>
  <si>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</si>
  <si>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</si>
  <si>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</si>
  <si>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</si>
  <si>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</si>
  <si>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</si>
  <si>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</si>
  <si>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</si>
  <si>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</si>
  <si>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</si>
  <si>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</si>
  <si>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</si>
  <si>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</si>
  <si>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</si>
  <si>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</si>
  <si>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</si>
  <si>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</si>
  <si>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</si>
  <si>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</si>
  <si>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</si>
  <si>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</si>
  <si>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</si>
  <si>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</si>
  <si>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</si>
  <si>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</si>
  <si>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</si>
  <si>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</si>
  <si>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</si>
  <si>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</si>
  <si>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</si>
  <si>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</si>
  <si>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</si>
  <si>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</si>
  <si>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</si>
  <si>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</si>
  <si>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</si>
  <si>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</si>
  <si>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</si>
  <si>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</si>
  <si>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</si>
  <si>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</si>
  <si>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</si>
  <si>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</si>
  <si>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</si>
  <si>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</si>
  <si>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</si>
  <si>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</si>
  <si>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</si>
  <si>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</si>
  <si>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</si>
  <si>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</si>
  <si>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</si>
  <si>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</si>
  <si>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</si>
  <si>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</si>
  <si>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</si>
  <si>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</si>
  <si>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</si>
  <si>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</si>
  <si>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</si>
  <si>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</si>
  <si>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</si>
  <si>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</si>
  <si>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</si>
  <si>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</si>
  <si>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</si>
  <si>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</si>
  <si>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</si>
  <si>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</si>
  <si>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</si>
  <si>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</si>
  <si>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</si>
  <si>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</si>
  <si>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</si>
  <si>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</si>
  <si>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</si>
  <si>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</si>
  <si>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</si>
  <si>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</si>
  <si>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</si>
  <si>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</si>
  <si>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</si>
  <si>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</si>
  <si>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</si>
  <si>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</si>
  <si>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</si>
  <si>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</si>
  <si>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</si>
  <si>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</si>
  <si>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</si>
  <si>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</si>
  <si>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</si>
  <si>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</si>
  <si>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</si>
  <si>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</si>
  <si>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</si>
  <si>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</si>
  <si>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</si>
  <si>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</si>
  <si>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</si>
  <si>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</si>
  <si>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</si>
  <si>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</si>
  <si>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</si>
  <si>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</si>
  <si>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</si>
  <si>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</si>
  <si>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</si>
  <si>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</si>
  <si>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</si>
  <si>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</si>
  <si>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</si>
  <si>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</si>
  <si>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</si>
  <si>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</si>
  <si>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</si>
  <si>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</si>
  <si>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</si>
  <si>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</si>
  <si>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</si>
  <si>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</si>
  <si>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</si>
  <si>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</si>
  <si>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</si>
  <si>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</si>
  <si>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</si>
  <si>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</si>
  <si>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</si>
  <si>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</si>
  <si>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</si>
  <si>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</si>
  <si>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</si>
  <si>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</si>
  <si>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</si>
  <si>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</si>
  <si>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</si>
  <si>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</si>
  <si>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</si>
  <si>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</si>
  <si>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</si>
  <si>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</si>
  <si>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</si>
  <si>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</si>
  <si>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</si>
  <si>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</si>
  <si>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</si>
  <si>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</si>
  <si>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</si>
  <si>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</si>
  <si>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</si>
  <si>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</si>
  <si>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</si>
  <si>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</si>
  <si>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</si>
  <si>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</si>
  <si>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</si>
  <si>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</si>
  <si>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</si>
  <si>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</si>
  <si>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</si>
  <si>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</si>
  <si>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</si>
  <si>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</si>
  <si>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</si>
  <si>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</si>
  <si>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</si>
  <si>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</si>
  <si>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</si>
  <si>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</si>
  <si>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</si>
  <si>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</si>
  <si>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</si>
  <si>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</si>
  <si>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</si>
  <si>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</si>
  <si>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</si>
  <si>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</si>
  <si>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</si>
  <si>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</si>
  <si>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</si>
  <si>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</si>
  <si>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</si>
  <si>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</si>
  <si>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</si>
  <si>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</si>
  <si>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</si>
  <si>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</si>
  <si>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</si>
  <si>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</si>
  <si>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</si>
  <si>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</si>
  <si>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</si>
  <si>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</si>
  <si>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</si>
  <si>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</si>
  <si>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</si>
  <si>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</si>
  <si>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</si>
  <si>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</si>
  <si>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</si>
  <si>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</si>
  <si>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</si>
  <si>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</si>
  <si>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</si>
  <si>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</si>
  <si>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</si>
  <si>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</si>
  <si>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</si>
  <si>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</si>
  <si>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</si>
  <si>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</si>
  <si>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</si>
  <si>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</si>
  <si>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</si>
  <si>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</si>
  <si>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</si>
  <si>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</si>
  <si>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</si>
  <si>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</si>
  <si>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</si>
  <si>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</si>
  <si>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</si>
  <si>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</si>
  <si>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</si>
  <si>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</si>
  <si>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</si>
  <si>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</si>
  <si>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</si>
  <si>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</si>
  <si>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</si>
  <si>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</si>
  <si>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</si>
  <si>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</si>
  <si>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</si>
  <si>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</si>
  <si>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</si>
  <si>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</si>
  <si>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</si>
  <si>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</si>
  <si>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</si>
  <si>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</si>
  <si>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</si>
  <si>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</si>
  <si>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</si>
  <si>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</si>
  <si>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</si>
  <si>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</si>
  <si>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</si>
  <si>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</si>
  <si>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</si>
  <si>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</si>
  <si>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</si>
  <si>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</si>
  <si>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</si>
  <si>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</si>
  <si>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</si>
  <si>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</si>
  <si>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</si>
  <si>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</si>
  <si>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</si>
  <si>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</si>
  <si>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</si>
  <si>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</si>
  <si>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</si>
  <si>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</si>
  <si>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</si>
  <si>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</si>
  <si>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</si>
  <si>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</si>
  <si>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</si>
  <si>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</si>
  <si>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</si>
  <si>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</si>
  <si>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</si>
  <si>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</si>
  <si>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</si>
  <si>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</si>
  <si>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</si>
  <si>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</si>
  <si>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</si>
  <si>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</si>
  <si>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</si>
  <si>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</si>
  <si>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</si>
  <si>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</si>
  <si>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</si>
  <si>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</si>
  <si>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</si>
  <si>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</si>
  <si>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</si>
  <si>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</si>
  <si>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</si>
  <si>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</si>
  <si>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</si>
  <si>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</si>
  <si>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</si>
  <si>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</si>
  <si>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</si>
  <si>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</si>
  <si>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</si>
  <si>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</si>
  <si>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</si>
  <si>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</si>
  <si>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</si>
  <si>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</si>
  <si>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</si>
  <si>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</si>
  <si>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</si>
  <si>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</si>
  <si>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</si>
  <si>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</si>
  <si>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</si>
  <si>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</si>
  <si>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</si>
  <si>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</si>
  <si>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</si>
  <si>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</si>
  <si>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</si>
  <si>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</si>
  <si>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</si>
  <si>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</si>
  <si>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</si>
  <si>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</si>
  <si>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</si>
  <si>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</si>
  <si>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</si>
  <si>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</si>
  <si>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</si>
  <si>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</si>
  <si>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</si>
  <si>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</si>
  <si>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</si>
  <si>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</si>
  <si>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</si>
  <si>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</si>
  <si>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</si>
  <si>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</si>
  <si>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</si>
  <si>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</si>
  <si>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</si>
  <si>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</si>
  <si>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</si>
  <si>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</si>
  <si>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</si>
  <si>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</si>
  <si>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</si>
  <si>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</si>
  <si>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</si>
  <si>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</si>
  <si>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</si>
  <si>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</si>
  <si>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</si>
  <si>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</si>
  <si>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</si>
  <si>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</si>
  <si>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</si>
  <si>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</si>
  <si>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</si>
  <si>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</si>
  <si>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</si>
  <si>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</si>
  <si>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</si>
  <si>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</si>
  <si>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</si>
  <si>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</si>
  <si>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</si>
  <si>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</si>
  <si>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</si>
  <si>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"1166 ВСУ"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</si>
  <si>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</si>
  <si>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</si>
  <si>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</si>
  <si>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</si>
  <si>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</si>
  <si>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</si>
  <si>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</si>
  <si>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</si>
  <si>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</si>
  <si>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</si>
  <si>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</si>
  <si>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</si>
  <si>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</si>
  <si>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</si>
  <si>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</si>
  <si>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Казнин Дмитрий Владимирович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</si>
  <si>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</si>
  <si>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</si>
  <si>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ООО "Восход"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</si>
  <si>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</si>
  <si>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</si>
  <si>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</si>
  <si>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</si>
  <si>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</si>
  <si>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</si>
  <si>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</si>
  <si>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</si>
  <si>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</si>
  <si>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</si>
  <si>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</si>
  <si>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</si>
  <si>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</si>
  <si>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</si>
  <si>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</si>
  <si>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</si>
  <si>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</si>
  <si>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</si>
  <si>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</si>
  <si>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</si>
  <si>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</si>
  <si>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</si>
  <si>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</si>
  <si>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</si>
  <si>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</si>
  <si>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</si>
  <si>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</si>
  <si>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</si>
  <si>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</si>
  <si>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</si>
  <si>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</si>
  <si>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</si>
  <si>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</si>
  <si>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</si>
  <si>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</si>
  <si>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</si>
  <si>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</si>
  <si>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</si>
  <si>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</si>
  <si>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</si>
  <si>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</si>
  <si>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</si>
  <si>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</si>
  <si>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</si>
  <si>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</si>
  <si>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</si>
  <si>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</si>
  <si>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</si>
  <si>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</si>
  <si>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</si>
  <si>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</si>
  <si>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</si>
  <si>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</si>
  <si>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</si>
  <si>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</si>
  <si>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</si>
  <si>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</si>
  <si>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</si>
  <si>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</si>
  <si>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</si>
  <si>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</si>
  <si>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</si>
  <si>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</si>
  <si>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</si>
  <si>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</si>
  <si>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</si>
  <si>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</si>
  <si>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</si>
  <si>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</si>
  <si>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</si>
  <si>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</si>
  <si>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</si>
  <si>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</si>
  <si>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</si>
  <si>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</si>
  <si>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</si>
  <si>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</si>
  <si>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</si>
  <si>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</si>
  <si>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</si>
  <si>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</si>
  <si>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</si>
  <si>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</si>
  <si>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</si>
  <si>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</si>
  <si>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</si>
  <si>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</si>
  <si>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</si>
  <si>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</si>
  <si>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</si>
  <si>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</si>
  <si>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</si>
  <si>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</si>
  <si>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</si>
  <si>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</si>
  <si>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</si>
  <si>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</si>
  <si>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</si>
  <si>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</si>
  <si>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</si>
  <si>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</si>
  <si>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</si>
  <si>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</si>
  <si>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</si>
  <si>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</si>
  <si>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</si>
  <si>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</si>
  <si>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</si>
  <si>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</si>
  <si>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</si>
  <si>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</si>
  <si>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</si>
  <si>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</si>
  <si>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</si>
  <si>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</si>
  <si>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</si>
  <si>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</si>
  <si>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</si>
  <si>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</si>
  <si>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</si>
  <si>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</si>
  <si>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</si>
  <si>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</si>
  <si>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</si>
  <si>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</si>
  <si>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</si>
  <si>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</si>
  <si>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</si>
  <si>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</si>
  <si>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</si>
  <si>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</si>
  <si>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</si>
  <si>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</si>
  <si>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</si>
  <si>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</si>
  <si>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</si>
  <si>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</si>
  <si>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</si>
  <si>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</si>
  <si>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</si>
  <si>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</si>
  <si>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</si>
  <si>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</si>
  <si>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</si>
  <si>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</si>
  <si>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</si>
  <si>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</si>
  <si>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</si>
  <si>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</si>
  <si>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</si>
  <si>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</si>
  <si>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</si>
  <si>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</si>
  <si>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</si>
  <si>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</si>
  <si>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</si>
  <si>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</si>
  <si>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</si>
  <si>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</si>
  <si>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</si>
  <si>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</si>
  <si>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</si>
  <si>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</si>
  <si>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</si>
  <si>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</si>
  <si>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</si>
  <si>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</si>
  <si>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</si>
  <si>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</si>
  <si>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</si>
  <si>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</si>
  <si>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</si>
  <si>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</si>
  <si>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</si>
  <si>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</si>
  <si>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</si>
  <si>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</si>
  <si>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</si>
  <si>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</si>
  <si>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</si>
  <si>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</si>
  <si>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</si>
  <si>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</si>
  <si>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</si>
  <si>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</si>
  <si>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</si>
  <si>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</si>
  <si>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</si>
  <si>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</si>
  <si>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</si>
  <si>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</si>
  <si>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</si>
  <si>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</si>
  <si>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</si>
  <si>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</si>
  <si>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</si>
  <si>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</si>
  <si>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</si>
  <si>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</si>
  <si>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</si>
  <si>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</si>
  <si>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</si>
  <si>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</si>
  <si>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</si>
  <si>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</si>
  <si>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</si>
  <si>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</si>
  <si>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</si>
  <si>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</si>
  <si>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</si>
  <si>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</si>
  <si>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</si>
  <si>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</si>
  <si>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</si>
  <si>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</si>
  <si>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</si>
  <si>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</si>
  <si>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</si>
  <si>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</si>
  <si>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</si>
  <si>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</si>
  <si>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</si>
  <si>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</si>
  <si>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</si>
  <si>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</si>
  <si>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</si>
  <si>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</si>
  <si>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</si>
  <si>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</si>
  <si>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</si>
  <si>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</si>
  <si>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</si>
  <si>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</si>
  <si>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</si>
  <si>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</si>
  <si>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</si>
  <si>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</si>
  <si>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</si>
  <si>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</si>
  <si>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</si>
  <si>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</si>
  <si>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</si>
  <si>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</si>
  <si>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</si>
  <si>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</si>
  <si>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</si>
  <si>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</si>
  <si>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</si>
  <si>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</si>
  <si>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</si>
  <si>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</si>
  <si>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</si>
  <si>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</si>
  <si>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</si>
  <si>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</si>
  <si>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</si>
  <si>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</si>
  <si>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</si>
  <si>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</si>
  <si>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</si>
  <si>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</si>
  <si>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</si>
  <si>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</si>
  <si>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</si>
  <si>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</si>
  <si>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</si>
  <si>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</si>
  <si>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</si>
  <si>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</si>
  <si>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</si>
  <si>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</si>
  <si>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</si>
  <si>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</si>
  <si>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</si>
  <si>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</si>
  <si>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</si>
  <si>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</si>
  <si>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</si>
  <si>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</si>
  <si>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</si>
  <si>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</si>
  <si>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</si>
  <si>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</si>
  <si>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</si>
  <si>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</si>
  <si>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</si>
  <si>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</si>
  <si>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</si>
  <si>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</si>
  <si>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</si>
  <si>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</si>
  <si>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</si>
  <si>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</si>
  <si>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</si>
  <si>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</si>
  <si>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</si>
  <si>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</si>
  <si>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</si>
  <si>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</si>
  <si>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</si>
  <si>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</si>
  <si>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</si>
  <si>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</si>
  <si>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</si>
  <si>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</si>
  <si>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</si>
  <si>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</si>
  <si>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</si>
  <si>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</si>
  <si>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</si>
  <si>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</si>
  <si>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</si>
  <si>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</si>
  <si>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</si>
  <si>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</si>
  <si>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</si>
  <si>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</si>
  <si>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</si>
  <si>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</si>
  <si>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</si>
  <si>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</si>
  <si>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</si>
  <si>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</si>
  <si>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</si>
  <si>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</si>
  <si>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</si>
  <si>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</si>
  <si>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</si>
  <si>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</si>
  <si>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</si>
  <si>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</si>
  <si>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</si>
  <si>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</si>
  <si>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</si>
  <si>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</si>
  <si>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</si>
  <si>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</si>
  <si>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</si>
  <si>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</si>
  <si>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</si>
  <si>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</si>
  <si>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</si>
  <si>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</si>
  <si>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</si>
  <si>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</si>
  <si>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</si>
  <si>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</si>
  <si>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</si>
  <si>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</si>
  <si>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</si>
  <si>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</si>
  <si>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</si>
  <si>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</si>
  <si>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</si>
  <si>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</si>
  <si>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</si>
  <si>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</si>
  <si>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</si>
  <si>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</si>
  <si>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</si>
  <si>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</si>
  <si>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</si>
  <si>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</si>
  <si>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</si>
  <si>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</si>
  <si>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</si>
  <si>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</si>
  <si>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</si>
  <si>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</si>
  <si>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</si>
  <si>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</si>
  <si>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</si>
  <si>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</si>
  <si>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</si>
  <si>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</si>
  <si>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</si>
  <si>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</si>
  <si>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</si>
  <si>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</si>
  <si>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</si>
  <si>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</si>
  <si>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</si>
  <si>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</si>
  <si>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</si>
  <si>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</si>
  <si>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</si>
  <si>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</si>
  <si>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</si>
  <si>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</si>
  <si>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</si>
  <si>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</si>
  <si>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</si>
  <si>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</si>
  <si>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</si>
  <si>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</si>
  <si>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</si>
  <si>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</si>
  <si>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</si>
  <si>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</si>
  <si>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</si>
  <si>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</si>
  <si>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</si>
  <si>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</si>
  <si>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</si>
  <si>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</si>
  <si>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</si>
  <si>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</si>
  <si>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</si>
  <si>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</si>
  <si>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</si>
  <si>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</si>
  <si>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</si>
  <si>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</si>
  <si>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</si>
  <si>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</si>
  <si>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</si>
  <si>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</si>
  <si>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</si>
  <si>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</si>
  <si>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</si>
  <si>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</si>
  <si>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</si>
  <si>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</si>
  <si>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</si>
  <si>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</si>
  <si>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</si>
  <si>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</si>
  <si>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</si>
  <si>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</si>
  <si>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</si>
  <si>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</si>
  <si>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</si>
  <si>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</si>
  <si>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</si>
  <si>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</si>
  <si>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</si>
  <si>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</si>
  <si>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</si>
  <si>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</si>
  <si>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</si>
  <si>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</si>
  <si>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</si>
  <si>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</si>
  <si>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</si>
  <si>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</si>
  <si>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</si>
  <si>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</si>
  <si>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</si>
  <si>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</si>
  <si>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</si>
  <si>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</si>
  <si>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</si>
  <si>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</si>
  <si>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</si>
  <si>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</si>
  <si>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</si>
  <si>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</si>
  <si>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</si>
  <si>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</si>
  <si>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</si>
  <si>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</si>
  <si>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</si>
  <si>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</si>
  <si>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</si>
  <si>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</si>
  <si>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</si>
  <si>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</si>
  <si>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</si>
  <si>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</si>
  <si>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</si>
  <si>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</si>
  <si>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</si>
  <si>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</si>
  <si>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</si>
  <si>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</si>
  <si>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</si>
  <si>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</si>
  <si>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</si>
  <si>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</si>
  <si>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</si>
  <si>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</si>
  <si>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</si>
  <si>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</si>
  <si>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</si>
  <si>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</si>
  <si>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</si>
  <si>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</si>
  <si>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</si>
  <si>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</si>
  <si>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</si>
  <si>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</si>
  <si>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</si>
  <si>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</si>
  <si>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</si>
  <si>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</si>
  <si>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</si>
  <si>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</si>
  <si>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</si>
  <si>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</si>
  <si>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</si>
  <si>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</si>
  <si>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</si>
  <si>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</si>
  <si>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</si>
  <si>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</si>
  <si>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</si>
  <si>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</si>
  <si>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</si>
  <si>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</si>
  <si>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</si>
  <si>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</si>
  <si>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</si>
  <si>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</si>
  <si>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</si>
  <si>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</si>
  <si>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</si>
  <si>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</si>
  <si>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</si>
  <si>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</si>
  <si>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</si>
  <si>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</si>
  <si>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</si>
  <si>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</si>
  <si>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</si>
  <si>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</si>
  <si>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</si>
  <si>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</si>
  <si>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</si>
  <si>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</si>
  <si>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</si>
  <si>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</si>
  <si>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</si>
  <si>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</si>
  <si>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</si>
  <si>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</si>
  <si>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</si>
  <si>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</si>
  <si>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</si>
  <si>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</si>
  <si>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</si>
  <si>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</si>
  <si>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</si>
  <si>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</si>
  <si>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</si>
  <si>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</si>
  <si>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</si>
  <si>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</si>
  <si>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</si>
  <si>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</si>
  <si>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</si>
  <si>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</si>
  <si>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</si>
  <si>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</si>
  <si>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</si>
  <si>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</si>
  <si>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</si>
  <si>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</si>
  <si>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</si>
  <si>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</si>
  <si>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</si>
  <si>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</si>
  <si>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</si>
  <si>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</si>
  <si>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</si>
  <si>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</si>
  <si>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</si>
  <si>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</si>
  <si>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</si>
  <si>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</si>
  <si>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</si>
  <si>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</si>
  <si>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</si>
  <si>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</si>
  <si>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</si>
  <si>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</si>
  <si>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</si>
  <si>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</si>
  <si>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</si>
  <si>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</si>
  <si>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</si>
  <si>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</si>
  <si>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</si>
  <si>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</si>
  <si>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</si>
  <si>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</si>
  <si>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</si>
  <si>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</si>
  <si>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</si>
  <si>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</si>
  <si>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</si>
  <si>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</si>
  <si>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</si>
  <si>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</si>
  <si>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</si>
  <si>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</si>
  <si>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</si>
  <si>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</si>
  <si>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</si>
  <si>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</si>
  <si>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</si>
  <si>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</si>
  <si>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</si>
  <si>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</si>
  <si>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</si>
  <si>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</si>
  <si>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</si>
  <si>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</si>
  <si>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</si>
  <si>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</si>
  <si>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</si>
  <si>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</si>
  <si>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</si>
  <si>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</si>
  <si>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</si>
  <si>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</si>
  <si>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</si>
  <si>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</si>
  <si>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</si>
  <si>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</si>
  <si>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</si>
  <si>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</si>
  <si>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</si>
  <si>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</si>
  <si>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</si>
  <si>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</si>
  <si>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</si>
  <si>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</si>
  <si>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</si>
  <si>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</si>
  <si>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</si>
  <si>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</si>
  <si>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</si>
  <si>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</si>
  <si>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</si>
  <si>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</si>
  <si>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</si>
  <si>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</si>
  <si>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</si>
  <si>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</si>
  <si>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</si>
  <si>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</si>
  <si>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</si>
  <si>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</si>
  <si>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</si>
  <si>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</si>
  <si>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</si>
  <si>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</si>
  <si>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</si>
  <si>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</si>
  <si>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</si>
  <si>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</si>
  <si>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</si>
  <si>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</si>
  <si>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</si>
  <si>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</si>
  <si>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</si>
  <si>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</si>
  <si>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</si>
  <si>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</si>
  <si>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</si>
  <si>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</si>
  <si>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</si>
  <si>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</si>
  <si>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</si>
  <si>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</si>
  <si>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</si>
  <si>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</si>
  <si>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</si>
  <si>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</si>
  <si>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</si>
  <si>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</si>
  <si>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</si>
  <si>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</si>
  <si>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</si>
  <si>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</si>
  <si>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</si>
  <si>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</si>
  <si>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</si>
  <si>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</si>
  <si>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</si>
  <si>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</si>
  <si>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</si>
  <si>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</si>
  <si>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</si>
  <si>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</si>
  <si>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</si>
  <si>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</si>
  <si>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</si>
  <si>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</si>
  <si>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</si>
  <si>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</si>
  <si>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</si>
  <si>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</si>
  <si>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</si>
  <si>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</si>
  <si>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</si>
  <si>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</si>
  <si>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</si>
  <si>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</si>
  <si>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</si>
  <si>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</si>
  <si>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</si>
  <si>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</si>
  <si>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</si>
  <si>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</si>
  <si>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</si>
  <si>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</si>
  <si>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</si>
  <si>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</si>
  <si>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</si>
  <si>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</si>
  <si>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</si>
  <si>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</si>
  <si>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</si>
  <si>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</si>
  <si>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</si>
  <si>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</si>
  <si>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</si>
  <si>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</si>
  <si>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</si>
  <si>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</si>
  <si>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</si>
  <si>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</si>
  <si>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</si>
  <si>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</si>
  <si>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</si>
  <si>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</si>
  <si>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</si>
  <si>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</si>
  <si>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</si>
  <si>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</si>
  <si>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</si>
  <si>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</si>
  <si>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</si>
  <si>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</si>
  <si>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</si>
  <si>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</si>
  <si>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</si>
  <si>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</si>
  <si>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</si>
  <si>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</si>
  <si>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</si>
  <si>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</si>
  <si>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</si>
  <si>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</si>
  <si>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</si>
  <si>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</si>
  <si>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</si>
  <si>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</si>
  <si>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</si>
  <si>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</si>
  <si>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</si>
  <si>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</si>
  <si>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</si>
  <si>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</si>
  <si>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</si>
  <si>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</si>
  <si>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</si>
  <si>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</si>
  <si>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</si>
  <si>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</si>
  <si>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</si>
  <si>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</si>
  <si>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</si>
  <si>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</si>
  <si>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</si>
  <si>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</si>
  <si>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</si>
  <si>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</si>
  <si>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</si>
  <si>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</si>
  <si>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</si>
  <si>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</si>
  <si>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</si>
  <si>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</si>
  <si>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</si>
  <si>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</si>
  <si>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</si>
  <si>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</si>
  <si>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</si>
  <si>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</si>
  <si>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</si>
  <si>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</si>
  <si>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</si>
  <si>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</si>
  <si>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</si>
  <si>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</si>
  <si>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</si>
  <si>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</si>
  <si>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</si>
  <si>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</si>
  <si>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</si>
  <si>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</si>
  <si>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</si>
  <si>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</si>
  <si>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</si>
  <si>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</si>
  <si>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</si>
  <si>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</si>
  <si>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</si>
  <si>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</si>
  <si>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</si>
  <si>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</si>
  <si>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</si>
  <si>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</si>
  <si>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</si>
  <si>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</si>
  <si>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</si>
  <si>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</si>
  <si>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</si>
  <si>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</si>
  <si>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</si>
  <si>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</si>
  <si>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</si>
  <si>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</si>
  <si>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</si>
  <si>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</si>
  <si>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</si>
  <si>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</si>
  <si>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</si>
  <si>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</si>
  <si>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</si>
  <si>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</si>
  <si>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</si>
  <si>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</si>
  <si>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</si>
  <si>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</si>
  <si>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</si>
  <si>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</si>
  <si>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</si>
  <si>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</si>
  <si>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</si>
  <si>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</si>
  <si>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</si>
  <si>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</si>
  <si>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</si>
  <si>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</si>
  <si>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</si>
  <si>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</si>
  <si>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</si>
  <si>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</si>
  <si>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</si>
  <si>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</si>
  <si>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</si>
  <si>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</si>
  <si>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</si>
  <si>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</si>
  <si>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</si>
  <si>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</si>
  <si>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</si>
  <si>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</si>
  <si>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</si>
  <si>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</si>
  <si>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</si>
  <si>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</si>
  <si>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</si>
  <si>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</si>
  <si>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</si>
  <si>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</si>
  <si>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</si>
  <si>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</si>
  <si>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</si>
  <si>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</si>
  <si>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</si>
  <si>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</si>
  <si>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</si>
  <si>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</si>
  <si>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</si>
  <si>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</si>
  <si>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</si>
  <si>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</si>
  <si>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</si>
  <si>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</si>
  <si>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</si>
  <si>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</si>
  <si>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</si>
  <si>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</si>
  <si>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</si>
  <si>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</si>
  <si>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</si>
  <si>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</si>
  <si>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</si>
  <si>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</si>
  <si>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</si>
  <si>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</si>
  <si>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</si>
  <si>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</si>
  <si>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</si>
  <si>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</si>
  <si>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</si>
  <si>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</si>
  <si>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</si>
  <si>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</si>
  <si>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</si>
  <si>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</si>
  <si>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</si>
  <si>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</si>
  <si>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</si>
  <si>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</si>
  <si>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</si>
  <si>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</si>
  <si>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</si>
  <si>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</si>
  <si>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</si>
  <si>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</si>
  <si>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</si>
  <si>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</si>
  <si>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</si>
  <si>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</si>
  <si>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</si>
  <si>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</si>
  <si>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</si>
  <si>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</si>
  <si>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</si>
  <si>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</si>
  <si>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</si>
  <si>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</si>
  <si>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</si>
  <si>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</si>
  <si>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</si>
  <si>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</si>
  <si>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</si>
  <si>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</si>
  <si>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</si>
  <si>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</si>
  <si>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</si>
  <si>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</si>
  <si>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</si>
  <si>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</si>
  <si>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</si>
  <si>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</si>
  <si>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</si>
  <si>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</si>
  <si>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</si>
  <si>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</si>
  <si>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</si>
  <si>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</si>
  <si>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</si>
  <si>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</si>
  <si>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</si>
  <si>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</si>
  <si>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</si>
  <si>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</si>
  <si>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</si>
  <si>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</si>
  <si>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</si>
  <si>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</si>
  <si>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</si>
  <si>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</si>
  <si>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</si>
  <si>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</si>
  <si>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</si>
  <si>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</si>
  <si>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</si>
  <si>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</si>
  <si>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</si>
  <si>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</si>
  <si>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</si>
  <si>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</si>
  <si>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</si>
  <si>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</si>
  <si>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</si>
  <si>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</si>
  <si>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</si>
  <si>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</si>
  <si>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</si>
  <si>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</si>
  <si>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</si>
  <si>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</si>
  <si>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</si>
  <si>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</si>
  <si>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</si>
  <si>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</si>
  <si>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</si>
  <si>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</si>
  <si>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</si>
  <si>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</si>
  <si>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</si>
  <si>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</si>
  <si>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</si>
  <si>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</si>
  <si>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</si>
  <si>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</si>
  <si>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</si>
  <si>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</si>
  <si>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</si>
  <si>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</si>
  <si>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</si>
  <si>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</si>
  <si>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</si>
  <si>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</si>
  <si>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</si>
  <si>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</si>
  <si>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</si>
  <si>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</si>
  <si>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</si>
  <si>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</si>
  <si>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</si>
  <si>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</si>
  <si>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</si>
  <si>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</si>
  <si>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</si>
  <si>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</si>
  <si>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</si>
  <si>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</si>
  <si>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</si>
  <si>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</si>
  <si>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</si>
  <si>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</si>
  <si>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</si>
  <si>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</si>
  <si>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</si>
  <si>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</si>
  <si>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</si>
  <si>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</si>
  <si>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</si>
  <si>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</si>
  <si>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</si>
  <si>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СТ "Родник"</t>
  </si>
  <si>
    <t>КТП дачи родник</t>
  </si>
  <si>
    <t>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</si>
  <si>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</si>
  <si>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</si>
  <si>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</si>
  <si>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</si>
  <si>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</si>
  <si>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д.Стрелица</t>
  </si>
  <si>
    <t>д.Перемут</t>
  </si>
  <si>
    <t>КТП 100 кВА д.Перемут</t>
  </si>
  <si>
    <t>КТП 63 кВА д.Раменье</t>
  </si>
  <si>
    <t>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</si>
  <si>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</si>
  <si>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</si>
  <si>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</si>
  <si>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</si>
  <si>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</si>
  <si>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</si>
  <si>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</si>
  <si>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</si>
  <si>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</si>
  <si>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</si>
  <si>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</si>
  <si>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</si>
  <si>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</si>
  <si>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</si>
  <si>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</si>
  <si>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</si>
  <si>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</si>
  <si>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</si>
  <si>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</si>
  <si>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</si>
  <si>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</si>
  <si>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</si>
  <si>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</si>
  <si>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</si>
  <si>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</si>
  <si>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</si>
  <si>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</si>
  <si>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</si>
  <si>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</si>
  <si>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</si>
  <si>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</si>
  <si>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</si>
  <si>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</si>
  <si>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</si>
  <si>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</si>
  <si>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</si>
  <si>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</si>
  <si>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</si>
  <si>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</si>
  <si>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</si>
  <si>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</si>
  <si>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</si>
  <si>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</si>
  <si>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</si>
  <si>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</si>
  <si>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</si>
  <si>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</si>
  <si>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</si>
  <si>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</si>
  <si>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</si>
  <si>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</si>
  <si>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</si>
  <si>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</si>
  <si>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</si>
  <si>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</si>
  <si>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</si>
  <si>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</si>
  <si>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</si>
  <si>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</si>
  <si>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</si>
  <si>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</si>
  <si>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</si>
  <si>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</si>
  <si>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</si>
  <si>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</si>
  <si>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</si>
  <si>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</si>
  <si>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</si>
  <si>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</si>
  <si>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</si>
  <si>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</si>
  <si>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</si>
  <si>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</si>
  <si>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</si>
  <si>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</si>
  <si>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</si>
  <si>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</si>
  <si>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</si>
  <si>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</si>
  <si>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</si>
  <si>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</si>
  <si>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</si>
  <si>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</si>
  <si>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</si>
  <si>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</si>
  <si>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</si>
  <si>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</si>
  <si>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</si>
  <si>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</si>
  <si>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</si>
  <si>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</si>
  <si>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</si>
  <si>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</si>
  <si>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</si>
  <si>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</si>
  <si>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</si>
  <si>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</si>
  <si>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</si>
  <si>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</si>
  <si>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</si>
  <si>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</si>
  <si>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</si>
  <si>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</si>
  <si>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</si>
  <si>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</si>
  <si>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</si>
  <si>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</si>
  <si>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</si>
  <si>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</si>
  <si>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</si>
  <si>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</si>
  <si>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</si>
  <si>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</si>
  <si>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</si>
  <si>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</si>
  <si>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</si>
  <si>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</si>
  <si>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</si>
  <si>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</si>
  <si>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</si>
  <si>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</si>
  <si>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</si>
  <si>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</si>
  <si>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</si>
  <si>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</si>
  <si>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</si>
  <si>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</si>
  <si>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</si>
  <si>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</si>
  <si>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</si>
  <si>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</si>
  <si>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</si>
  <si>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</si>
  <si>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</si>
  <si>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</si>
  <si>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</si>
  <si>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</si>
  <si>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</si>
  <si>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</si>
  <si>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</si>
  <si>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</si>
  <si>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</si>
  <si>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</si>
  <si>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</si>
  <si>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</si>
  <si>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</si>
  <si>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</si>
  <si>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</si>
  <si>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</si>
  <si>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</si>
  <si>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</si>
  <si>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</si>
  <si>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</si>
  <si>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</si>
  <si>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</si>
  <si>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</si>
  <si>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</si>
  <si>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</si>
  <si>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</si>
  <si>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</si>
  <si>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</si>
  <si>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</si>
  <si>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</si>
  <si>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</si>
  <si>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</si>
  <si>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</si>
  <si>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</si>
  <si>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</si>
  <si>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</si>
  <si>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</si>
  <si>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</si>
  <si>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</si>
  <si>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</si>
  <si>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</si>
  <si>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</si>
  <si>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</si>
  <si>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</si>
  <si>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</si>
  <si>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</si>
  <si>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</si>
  <si>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</si>
  <si>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</si>
  <si>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</si>
  <si>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</si>
  <si>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</si>
  <si>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</si>
  <si>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</si>
  <si>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</si>
  <si>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</si>
  <si>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</si>
  <si>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</si>
  <si>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</si>
  <si>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</si>
  <si>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</si>
  <si>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</si>
  <si>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</si>
  <si>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</si>
  <si>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</si>
  <si>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</si>
  <si>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</si>
  <si>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</si>
  <si>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</si>
  <si>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</si>
  <si>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</si>
  <si>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</si>
  <si>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</si>
  <si>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</si>
  <si>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</si>
  <si>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</si>
  <si>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</si>
  <si>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</si>
  <si>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</si>
  <si>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</si>
  <si>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</si>
  <si>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</si>
  <si>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</si>
  <si>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</si>
  <si>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</si>
  <si>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</si>
  <si>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</si>
  <si>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</si>
  <si>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</si>
  <si>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</si>
  <si>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</si>
  <si>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</si>
  <si>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</si>
  <si>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</si>
  <si>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</si>
  <si>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</si>
  <si>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</si>
  <si>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</si>
  <si>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</si>
  <si>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</si>
  <si>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</si>
  <si>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</si>
  <si>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</si>
  <si>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</si>
  <si>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</si>
  <si>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</si>
  <si>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</si>
  <si>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</si>
  <si>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</si>
  <si>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</si>
  <si>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</si>
  <si>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</si>
  <si>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</si>
  <si>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</si>
  <si>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</si>
  <si>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</si>
  <si>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</si>
  <si>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</si>
  <si>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</si>
  <si>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</si>
  <si>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</si>
  <si>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</si>
  <si>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</si>
  <si>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</si>
  <si>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</si>
  <si>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</si>
  <si>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</si>
  <si>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</si>
  <si>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</si>
  <si>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</si>
  <si>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</si>
  <si>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</si>
  <si>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</si>
  <si>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</si>
  <si>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</si>
  <si>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</si>
  <si>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</si>
  <si>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</si>
  <si>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</si>
  <si>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</si>
  <si>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ООО "Тверь-Спецбланк"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</si>
  <si>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</si>
  <si>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</si>
  <si>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</si>
  <si>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</si>
  <si>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</si>
  <si>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</si>
  <si>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</si>
  <si>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</si>
  <si>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</si>
  <si>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</si>
  <si>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</si>
  <si>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</si>
  <si>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</si>
  <si>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</si>
  <si>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</si>
  <si>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</si>
  <si>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</si>
  <si>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</si>
  <si>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</si>
  <si>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</si>
  <si>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</si>
  <si>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</si>
  <si>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</si>
  <si>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</si>
  <si>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</si>
  <si>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</si>
  <si>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СНТ "Медик"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</si>
  <si>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</si>
  <si>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</si>
  <si>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</si>
  <si>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</si>
  <si>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</si>
  <si>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</si>
  <si>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</si>
  <si>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</si>
  <si>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</si>
  <si>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</si>
  <si>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</si>
  <si>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</si>
  <si>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</si>
  <si>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</si>
  <si>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</si>
  <si>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</si>
  <si>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</si>
  <si>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</si>
  <si>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</si>
  <si>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</si>
  <si>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</si>
  <si>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</si>
  <si>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</si>
  <si>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</si>
  <si>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</si>
  <si>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</si>
  <si>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</si>
  <si>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</si>
  <si>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</si>
  <si>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</si>
  <si>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</si>
  <si>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</si>
  <si>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</si>
  <si>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</si>
  <si>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</si>
  <si>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</si>
  <si>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</si>
  <si>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</si>
  <si>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</si>
  <si>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</si>
  <si>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</si>
  <si>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</si>
  <si>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</si>
  <si>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</si>
  <si>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</si>
  <si>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</si>
  <si>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</si>
  <si>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</si>
  <si>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</si>
  <si>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</si>
  <si>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</si>
  <si>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</si>
  <si>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</si>
  <si>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</si>
  <si>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</si>
  <si>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</si>
  <si>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</si>
  <si>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</si>
  <si>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 xml:space="preserve">ПС 110/35/6 кВ Выползово 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</si>
  <si>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</si>
  <si>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</si>
  <si>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</si>
  <si>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</si>
  <si>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</si>
  <si>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</si>
  <si>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</si>
  <si>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</si>
  <si>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</si>
  <si>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</si>
  <si>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</si>
  <si>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</si>
  <si>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</si>
  <si>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</si>
  <si>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</si>
  <si>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</si>
  <si>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</si>
  <si>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</si>
  <si>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</si>
  <si>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</si>
  <si>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</si>
  <si>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</si>
  <si>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</si>
  <si>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</si>
  <si>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</si>
  <si>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</si>
  <si>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</si>
  <si>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</si>
  <si>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</si>
  <si>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</si>
  <si>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</si>
  <si>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</si>
  <si>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</si>
  <si>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</si>
  <si>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</si>
  <si>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</si>
  <si>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</si>
  <si>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</si>
  <si>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</si>
  <si>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</si>
  <si>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</si>
  <si>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</si>
  <si>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</si>
  <si>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</si>
  <si>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</si>
  <si>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</si>
  <si>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</si>
  <si>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</si>
  <si>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</si>
  <si>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</si>
  <si>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</si>
  <si>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</si>
  <si>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</si>
  <si>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</si>
  <si>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</si>
  <si>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</si>
  <si>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</si>
  <si>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</si>
  <si>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</si>
  <si>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</si>
  <si>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</si>
  <si>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</si>
  <si>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</si>
  <si>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</si>
  <si>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</si>
  <si>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</si>
  <si>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</si>
  <si>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</si>
  <si>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</si>
  <si>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</si>
  <si>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</si>
  <si>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</si>
  <si>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</si>
  <si>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</si>
  <si>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</si>
  <si>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</si>
  <si>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</si>
  <si>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</si>
  <si>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</si>
  <si>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</si>
  <si>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</si>
  <si>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</si>
  <si>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</si>
  <si>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</si>
  <si>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</si>
  <si>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</si>
  <si>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</si>
  <si>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</si>
  <si>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</si>
  <si>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</si>
  <si>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</si>
  <si>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</si>
  <si>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</si>
  <si>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</si>
  <si>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</si>
  <si>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</si>
  <si>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</si>
  <si>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</si>
  <si>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</si>
  <si>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</si>
  <si>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</si>
  <si>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</si>
  <si>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</si>
  <si>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ГКУ Тверской области "Тверьоблстройзаказчик"</t>
  </si>
  <si>
    <t>Варданян Гаяне Сурикова</t>
  </si>
  <si>
    <t>СНТ "Лесное"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</si>
  <si>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</si>
  <si>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Администрация муниципального образования "Тверской области "Калининский район"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</si>
  <si>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</si>
  <si>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</si>
  <si>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</si>
  <si>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</si>
  <si>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</si>
  <si>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</si>
  <si>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</si>
  <si>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</si>
  <si>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</si>
  <si>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</si>
  <si>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</si>
  <si>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</si>
  <si>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</si>
  <si>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</si>
  <si>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2014 г</t>
  </si>
  <si>
    <t>40811570
(договор заключен 27.01.2014)</t>
  </si>
  <si>
    <t>40825302
(договор заключен 14.01.2014)</t>
  </si>
  <si>
    <t>40827461
(договор заключен 13.01.2014)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</si>
  <si>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</si>
  <si>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</si>
  <si>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</si>
  <si>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</si>
  <si>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</si>
  <si>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</si>
  <si>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</si>
  <si>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</si>
  <si>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</si>
  <si>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</si>
  <si>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</si>
  <si>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</si>
  <si>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</si>
  <si>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</si>
  <si>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</si>
  <si>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</si>
  <si>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</si>
  <si>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</si>
  <si>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</si>
  <si>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</si>
  <si>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</si>
  <si>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</si>
  <si>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</si>
  <si>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</si>
  <si>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</si>
  <si>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</si>
  <si>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</si>
  <si>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</si>
  <si>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</si>
  <si>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</si>
  <si>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</si>
  <si>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</si>
  <si>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</si>
  <si>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</si>
  <si>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</si>
  <si>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Маркемьянова Елена Александровна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</si>
  <si>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</si>
  <si>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</si>
  <si>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</si>
  <si>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</si>
  <si>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</si>
  <si>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</si>
  <si>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</si>
  <si>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</si>
  <si>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</si>
  <si>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</si>
  <si>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</si>
  <si>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</si>
  <si>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</si>
  <si>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</si>
  <si>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</si>
  <si>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</si>
  <si>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</si>
  <si>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</si>
  <si>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</si>
  <si>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</si>
  <si>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</si>
  <si>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</si>
  <si>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</si>
  <si>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</si>
  <si>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</si>
  <si>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</si>
  <si>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</si>
  <si>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</si>
  <si>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</si>
  <si>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</si>
  <si>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КТП 10кВ Дачи</t>
  </si>
  <si>
    <t xml:space="preserve">КТП10 №277 ТП-44а-дом </t>
  </si>
  <si>
    <t xml:space="preserve">д.Щучье </t>
  </si>
  <si>
    <t>д.Крутой Ручей</t>
  </si>
  <si>
    <t>д.Кривая Лука</t>
  </si>
  <si>
    <t>д.Новый двор</t>
  </si>
  <si>
    <t>Котеджи Литвинки</t>
  </si>
  <si>
    <t>КТП-6/0,4кВ ТП № 685 Коттеджи Литвинки</t>
  </si>
  <si>
    <t>д. Безгузово</t>
  </si>
  <si>
    <t>д. Апраксино</t>
  </si>
  <si>
    <t>д. Барыково</t>
  </si>
  <si>
    <t>д. Крапивино</t>
  </si>
  <si>
    <t>д. Леушино</t>
  </si>
  <si>
    <t>д. Жуково</t>
  </si>
  <si>
    <t>д. Киселево</t>
  </si>
  <si>
    <t>д. Черемухино</t>
  </si>
  <si>
    <t>д. Сусолиха</t>
  </si>
  <si>
    <t>д. Тиволино</t>
  </si>
  <si>
    <t>д. Селихово</t>
  </si>
  <si>
    <t>д. Никулино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</si>
  <si>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</si>
  <si>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</si>
  <si>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</si>
  <si>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</si>
  <si>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</si>
  <si>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</si>
  <si>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</si>
  <si>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</si>
  <si>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</si>
  <si>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</si>
  <si>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</si>
  <si>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</si>
  <si>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</si>
  <si>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</si>
  <si>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</si>
  <si>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</si>
  <si>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</si>
  <si>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</si>
  <si>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</si>
  <si>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</si>
  <si>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</si>
  <si>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</si>
  <si>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</si>
  <si>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</si>
  <si>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</si>
  <si>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</si>
  <si>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</si>
  <si>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</si>
  <si>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</si>
  <si>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</si>
  <si>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</si>
  <si>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</si>
  <si>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</si>
  <si>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</si>
  <si>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</si>
  <si>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</si>
  <si>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</si>
  <si>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</si>
  <si>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</si>
  <si>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</si>
  <si>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</si>
  <si>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</si>
  <si>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</si>
  <si>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</si>
  <si>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</si>
  <si>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</si>
  <si>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</si>
  <si>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</si>
  <si>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</si>
  <si>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</si>
  <si>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</si>
  <si>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</si>
  <si>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</si>
  <si>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</si>
  <si>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</si>
  <si>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</si>
  <si>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</si>
  <si>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</si>
  <si>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</si>
  <si>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</si>
  <si>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</si>
  <si>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</si>
  <si>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</si>
  <si>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</si>
  <si>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</si>
  <si>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</si>
  <si>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</si>
  <si>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</si>
  <si>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</si>
  <si>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</si>
  <si>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</si>
  <si>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</si>
  <si>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</si>
  <si>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</si>
  <si>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</si>
  <si>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</si>
  <si>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</si>
  <si>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</si>
  <si>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</si>
  <si>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</si>
  <si>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</si>
  <si>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</si>
  <si>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</si>
  <si>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</si>
  <si>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</si>
  <si>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</si>
  <si>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</si>
  <si>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</si>
  <si>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</si>
  <si>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</si>
  <si>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</si>
  <si>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</si>
  <si>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</si>
  <si>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</si>
  <si>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</si>
  <si>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</si>
  <si>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</si>
  <si>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</si>
  <si>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</si>
  <si>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</si>
  <si>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</si>
  <si>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</si>
  <si>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</si>
  <si>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</si>
  <si>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</si>
  <si>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</si>
  <si>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</si>
  <si>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</si>
  <si>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</si>
  <si>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</si>
  <si>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</si>
  <si>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</si>
  <si>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</si>
  <si>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</si>
  <si>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</si>
  <si>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</si>
  <si>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</si>
  <si>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</si>
  <si>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</si>
  <si>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</si>
  <si>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</si>
  <si>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</si>
  <si>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</si>
  <si>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</si>
  <si>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</si>
  <si>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</si>
  <si>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</si>
  <si>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</si>
  <si>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</si>
  <si>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</si>
  <si>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</si>
  <si>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</si>
  <si>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База Белогородского участка (хоз.нужды)</t>
  </si>
  <si>
    <t>ц.у. АО Маяк</t>
  </si>
  <si>
    <t>д.Красная Горка-Жуковка</t>
  </si>
  <si>
    <t>п.Белый Городок</t>
  </si>
  <si>
    <t>г.Кимры ул.Борковская</t>
  </si>
  <si>
    <t>с/т Сплинкер</t>
  </si>
  <si>
    <t>с/т Полянка</t>
  </si>
  <si>
    <t>д.Троице Кочки</t>
  </si>
  <si>
    <t>д.Малое Василево</t>
  </si>
  <si>
    <t>г.Кимры, Борковское шоссе</t>
  </si>
  <si>
    <t>База Горицкого участка (хоз.нужды)</t>
  </si>
  <si>
    <t>д.Красный Выселок</t>
  </si>
  <si>
    <t xml:space="preserve"> д.Незденово</t>
  </si>
  <si>
    <t xml:space="preserve"> д.Бородино</t>
  </si>
  <si>
    <t>д. Бородино-ск.двор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</si>
  <si>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</si>
  <si>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</si>
  <si>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</si>
  <si>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</si>
  <si>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</si>
  <si>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</si>
  <si>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</si>
  <si>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</si>
  <si>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</si>
  <si>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</si>
  <si>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</si>
  <si>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</si>
  <si>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</si>
  <si>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</si>
  <si>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</si>
  <si>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 xml:space="preserve"> д.Одинцово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</si>
  <si>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</si>
  <si>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</si>
  <si>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</si>
  <si>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</si>
  <si>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</si>
  <si>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</si>
  <si>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</si>
  <si>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</si>
  <si>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</si>
  <si>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</si>
  <si>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</si>
  <si>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</si>
  <si>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</si>
  <si>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</si>
  <si>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</si>
  <si>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</si>
  <si>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</si>
  <si>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</si>
  <si>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</si>
  <si>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</si>
  <si>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</si>
  <si>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</si>
  <si>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</si>
  <si>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</si>
  <si>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</si>
  <si>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</si>
  <si>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</si>
  <si>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</si>
  <si>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</si>
  <si>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</si>
  <si>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</si>
  <si>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</si>
  <si>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</si>
  <si>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Медведицкое</t>
  </si>
  <si>
    <t>ц.у. АО Шелковка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</si>
  <si>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</si>
  <si>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</si>
  <si>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</si>
  <si>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</si>
  <si>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</si>
  <si>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</si>
  <si>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</si>
  <si>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</si>
  <si>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</si>
  <si>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</si>
  <si>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</si>
  <si>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</si>
  <si>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</si>
  <si>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</si>
  <si>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</si>
  <si>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</si>
  <si>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</si>
  <si>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</si>
  <si>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</si>
  <si>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</si>
  <si>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</si>
  <si>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</si>
  <si>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 xml:space="preserve"> д.Выркино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</si>
  <si>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</si>
  <si>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</si>
  <si>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</si>
  <si>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</si>
  <si>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</si>
  <si>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</si>
  <si>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</si>
  <si>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</si>
  <si>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</si>
  <si>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</si>
  <si>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</si>
  <si>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 xml:space="preserve"> д.Данильцево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</si>
  <si>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</si>
  <si>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</si>
  <si>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</si>
  <si>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</si>
  <si>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</si>
  <si>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</si>
  <si>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</si>
  <si>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</si>
  <si>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</si>
  <si>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</si>
  <si>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</si>
  <si>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</si>
  <si>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</si>
  <si>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</si>
  <si>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</si>
  <si>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</si>
  <si>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</si>
  <si>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</si>
  <si>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</si>
  <si>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</si>
  <si>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</si>
  <si>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</si>
  <si>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</si>
  <si>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</si>
  <si>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</si>
  <si>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</si>
  <si>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</si>
  <si>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</si>
  <si>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Каменка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</si>
  <si>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</si>
  <si>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</si>
  <si>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</si>
  <si>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</si>
  <si>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</si>
  <si>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</si>
  <si>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</si>
  <si>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</si>
  <si>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</si>
  <si>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</si>
  <si>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</si>
  <si>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</si>
  <si>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</si>
  <si>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</si>
  <si>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</si>
  <si>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</si>
  <si>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</si>
  <si>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</si>
  <si>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</si>
  <si>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</si>
  <si>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</si>
  <si>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</si>
  <si>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</si>
  <si>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</si>
  <si>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</si>
  <si>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</si>
  <si>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</si>
  <si>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</si>
  <si>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</si>
  <si>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</si>
  <si>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</si>
  <si>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</si>
  <si>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</si>
  <si>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</si>
  <si>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</si>
  <si>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</si>
  <si>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</si>
  <si>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</si>
  <si>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</si>
  <si>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</si>
  <si>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</si>
  <si>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</si>
  <si>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</si>
  <si>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</si>
  <si>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</si>
  <si>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</si>
  <si>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</si>
  <si>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</si>
  <si>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</si>
  <si>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</si>
  <si>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</si>
  <si>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</si>
  <si>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</si>
  <si>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</si>
  <si>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</si>
  <si>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</si>
  <si>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</si>
  <si>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</si>
  <si>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</si>
  <si>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</si>
  <si>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</si>
  <si>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</si>
  <si>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</si>
  <si>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</si>
  <si>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</si>
  <si>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</si>
  <si>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</si>
  <si>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</si>
  <si>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</si>
  <si>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</si>
  <si>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</si>
  <si>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</si>
  <si>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</si>
  <si>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</si>
  <si>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</si>
  <si>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</si>
  <si>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</si>
  <si>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</si>
  <si>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</si>
  <si>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</si>
  <si>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</si>
  <si>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</si>
  <si>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</si>
  <si>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</si>
  <si>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</si>
  <si>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</si>
  <si>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</si>
  <si>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</si>
  <si>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</si>
  <si>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</si>
  <si>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</si>
  <si>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</si>
  <si>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</si>
  <si>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</si>
  <si>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</si>
  <si>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</si>
  <si>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</si>
  <si>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</si>
  <si>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</si>
  <si>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</si>
  <si>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</si>
  <si>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</si>
  <si>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</si>
  <si>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</si>
  <si>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</si>
  <si>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</si>
  <si>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</si>
  <si>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</si>
  <si>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</si>
  <si>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</si>
  <si>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</si>
  <si>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</si>
  <si>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</si>
  <si>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</si>
  <si>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</si>
  <si>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</si>
  <si>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</si>
  <si>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</si>
  <si>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</si>
  <si>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</si>
  <si>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</si>
  <si>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</si>
  <si>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</si>
  <si>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</si>
  <si>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</si>
  <si>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</si>
  <si>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</si>
  <si>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</si>
  <si>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</si>
  <si>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</si>
  <si>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</si>
  <si>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</si>
  <si>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</si>
  <si>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</si>
  <si>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</si>
  <si>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</si>
  <si>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</si>
  <si>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</si>
  <si>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</si>
  <si>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</si>
  <si>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</si>
  <si>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</si>
  <si>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</si>
  <si>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</si>
  <si>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</si>
  <si>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</si>
  <si>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</si>
  <si>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</si>
  <si>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</si>
  <si>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</si>
  <si>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</si>
  <si>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</si>
  <si>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</si>
  <si>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</si>
  <si>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</si>
  <si>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</si>
  <si>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</si>
  <si>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</si>
  <si>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</si>
  <si>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</si>
  <si>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</si>
  <si>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</si>
  <si>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</si>
  <si>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</si>
  <si>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</si>
  <si>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</si>
  <si>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</si>
  <si>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</si>
  <si>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</si>
  <si>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</si>
  <si>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</si>
  <si>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</si>
  <si>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</si>
  <si>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</si>
  <si>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</si>
  <si>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</si>
  <si>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</si>
  <si>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</si>
  <si>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</si>
  <si>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</si>
  <si>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</si>
  <si>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</si>
  <si>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</si>
  <si>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</si>
  <si>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</si>
  <si>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</si>
  <si>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</si>
  <si>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</si>
  <si>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</si>
  <si>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</si>
  <si>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</si>
  <si>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</si>
  <si>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</si>
  <si>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</si>
  <si>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</si>
  <si>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</si>
  <si>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</si>
  <si>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</si>
  <si>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</si>
  <si>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</si>
  <si>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</si>
  <si>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</si>
  <si>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</si>
  <si>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</si>
  <si>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</si>
  <si>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</si>
  <si>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</si>
  <si>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</si>
  <si>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</si>
  <si>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</si>
  <si>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</si>
  <si>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</si>
  <si>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</si>
  <si>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</si>
  <si>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</si>
  <si>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</si>
  <si>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</si>
  <si>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</si>
  <si>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</si>
  <si>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</si>
  <si>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</si>
  <si>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</si>
  <si>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</si>
  <si>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</si>
  <si>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</si>
  <si>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</si>
  <si>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</si>
  <si>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</si>
  <si>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</si>
  <si>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</si>
  <si>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</si>
  <si>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</si>
  <si>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</si>
  <si>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</si>
  <si>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</si>
  <si>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</si>
  <si>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</si>
  <si>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</si>
  <si>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</si>
  <si>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</si>
  <si>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</si>
  <si>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</si>
  <si>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</si>
  <si>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</si>
  <si>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</si>
  <si>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</si>
  <si>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</si>
  <si>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</si>
  <si>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</si>
  <si>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</si>
  <si>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</si>
  <si>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</si>
  <si>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</si>
  <si>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</si>
  <si>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</si>
  <si>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</si>
  <si>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</si>
  <si>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</si>
  <si>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</si>
  <si>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</si>
  <si>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</si>
  <si>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</si>
  <si>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</si>
  <si>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</si>
  <si>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</si>
  <si>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</si>
  <si>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</si>
  <si>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</si>
  <si>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</si>
  <si>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</si>
  <si>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</si>
  <si>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</si>
  <si>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</si>
  <si>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</si>
  <si>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</si>
  <si>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</si>
  <si>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</si>
  <si>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</si>
  <si>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</si>
  <si>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</si>
  <si>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</si>
  <si>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</si>
  <si>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</si>
  <si>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</si>
  <si>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</si>
  <si>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</si>
  <si>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</si>
  <si>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</si>
  <si>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</si>
  <si>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</si>
  <si>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</si>
  <si>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</si>
  <si>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</si>
  <si>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</si>
  <si>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</si>
  <si>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</si>
  <si>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</si>
  <si>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</si>
  <si>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</si>
  <si>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</si>
  <si>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</si>
  <si>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</si>
  <si>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</si>
  <si>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</si>
  <si>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</si>
  <si>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</si>
  <si>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</si>
  <si>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</si>
  <si>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</si>
  <si>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</si>
  <si>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</si>
  <si>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</si>
  <si>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</si>
  <si>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</si>
  <si>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</si>
  <si>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</si>
  <si>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</si>
  <si>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</si>
  <si>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</si>
  <si>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</si>
  <si>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</si>
  <si>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</si>
  <si>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</si>
  <si>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</si>
  <si>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</si>
  <si>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</si>
  <si>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</si>
  <si>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</si>
  <si>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</si>
  <si>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</si>
  <si>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</si>
  <si>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</si>
  <si>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</si>
  <si>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</si>
  <si>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</si>
  <si>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</si>
  <si>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</si>
  <si>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</si>
  <si>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</si>
  <si>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</si>
  <si>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</si>
  <si>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</si>
  <si>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</si>
  <si>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</si>
  <si>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</si>
  <si>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</si>
  <si>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</si>
  <si>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</si>
  <si>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</si>
  <si>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</si>
  <si>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</si>
  <si>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</si>
  <si>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</si>
  <si>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</si>
  <si>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</si>
  <si>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</si>
  <si>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</si>
  <si>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</si>
  <si>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</si>
  <si>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</si>
  <si>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</si>
  <si>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</si>
  <si>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</si>
  <si>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</si>
  <si>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</si>
  <si>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</si>
  <si>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</si>
  <si>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</si>
  <si>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</si>
  <si>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</si>
  <si>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</si>
  <si>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</si>
  <si>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</si>
  <si>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</si>
  <si>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</si>
  <si>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</si>
  <si>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</si>
  <si>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</si>
  <si>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</si>
  <si>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</si>
  <si>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</si>
  <si>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</si>
  <si>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</si>
  <si>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</si>
  <si>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</si>
  <si>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</si>
  <si>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</si>
  <si>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</si>
  <si>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</si>
  <si>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</si>
  <si>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</si>
  <si>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</si>
  <si>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</si>
  <si>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</si>
  <si>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</si>
  <si>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</si>
  <si>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</si>
  <si>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</si>
  <si>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</si>
  <si>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</si>
  <si>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</si>
  <si>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</si>
  <si>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</si>
  <si>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</si>
  <si>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</si>
  <si>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</si>
  <si>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</si>
  <si>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</si>
  <si>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</si>
  <si>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</si>
  <si>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</si>
  <si>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</si>
  <si>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</si>
  <si>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</si>
  <si>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</si>
  <si>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</si>
  <si>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</si>
  <si>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</si>
  <si>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</si>
  <si>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</si>
  <si>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</si>
  <si>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</si>
  <si>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</si>
  <si>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</si>
  <si>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</si>
  <si>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</si>
  <si>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</si>
  <si>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</si>
  <si>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</si>
  <si>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</si>
  <si>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</si>
  <si>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</si>
  <si>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</si>
  <si>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</si>
  <si>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</si>
  <si>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</si>
  <si>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</si>
  <si>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</si>
  <si>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</si>
  <si>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</si>
  <si>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</si>
  <si>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</si>
  <si>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</si>
  <si>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</si>
  <si>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</si>
  <si>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</si>
  <si>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</si>
  <si>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</si>
  <si>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</si>
  <si>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</si>
  <si>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</si>
  <si>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</si>
  <si>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</si>
  <si>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</si>
  <si>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</si>
  <si>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</si>
  <si>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</si>
  <si>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</si>
  <si>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</si>
  <si>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</si>
  <si>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</si>
  <si>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</si>
  <si>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</si>
  <si>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</si>
  <si>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</si>
  <si>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</si>
  <si>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</si>
  <si>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</si>
  <si>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</si>
  <si>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</si>
  <si>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</si>
  <si>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</si>
  <si>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</si>
  <si>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</si>
  <si>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</si>
  <si>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</si>
  <si>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</si>
  <si>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</si>
  <si>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</si>
  <si>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</si>
  <si>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</si>
  <si>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</si>
  <si>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</si>
  <si>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</si>
  <si>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</si>
  <si>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</si>
  <si>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</si>
  <si>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</si>
  <si>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</si>
  <si>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</si>
  <si>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</si>
  <si>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</si>
  <si>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</si>
  <si>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</si>
  <si>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</si>
  <si>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</si>
  <si>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</si>
  <si>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</si>
  <si>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</si>
  <si>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</si>
  <si>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</si>
  <si>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</si>
  <si>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</si>
  <si>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</si>
  <si>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</si>
  <si>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</si>
  <si>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</si>
  <si>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</si>
  <si>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</si>
  <si>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</si>
  <si>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</si>
  <si>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</si>
  <si>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</si>
  <si>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</si>
  <si>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</si>
  <si>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</si>
  <si>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</si>
  <si>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</si>
  <si>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</si>
  <si>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</si>
  <si>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</si>
  <si>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</si>
  <si>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</si>
  <si>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</si>
  <si>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</si>
  <si>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</si>
  <si>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</si>
  <si>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</si>
  <si>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</si>
  <si>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</si>
  <si>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</si>
  <si>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</si>
  <si>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</si>
  <si>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</si>
  <si>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</si>
  <si>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</si>
  <si>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</si>
  <si>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</si>
  <si>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</si>
  <si>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</si>
  <si>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</si>
  <si>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</si>
  <si>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</si>
  <si>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</si>
  <si>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</si>
  <si>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</si>
  <si>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</si>
  <si>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</si>
  <si>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</si>
  <si>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</si>
  <si>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</si>
  <si>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</si>
  <si>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</si>
  <si>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</si>
  <si>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</si>
  <si>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</si>
  <si>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</si>
  <si>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</si>
  <si>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</si>
  <si>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</si>
  <si>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</si>
  <si>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</si>
  <si>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</si>
  <si>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</si>
  <si>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</si>
  <si>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</si>
  <si>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</si>
  <si>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</si>
  <si>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</si>
  <si>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</si>
  <si>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</si>
  <si>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</si>
  <si>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</si>
  <si>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</si>
  <si>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</si>
  <si>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</si>
  <si>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</si>
  <si>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</si>
  <si>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</si>
  <si>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</si>
  <si>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</si>
  <si>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</si>
  <si>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</si>
  <si>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</si>
  <si>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</si>
  <si>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</si>
  <si>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</si>
  <si>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</si>
  <si>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</si>
  <si>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</si>
  <si>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</si>
  <si>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</si>
  <si>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</si>
  <si>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</si>
  <si>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</si>
  <si>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</si>
  <si>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</si>
  <si>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</si>
  <si>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</si>
  <si>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</si>
  <si>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</si>
  <si>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</si>
  <si>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</si>
  <si>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</si>
  <si>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</si>
  <si>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</si>
  <si>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</si>
  <si>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</si>
  <si>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</si>
  <si>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</si>
  <si>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</si>
  <si>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</si>
  <si>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</si>
  <si>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</si>
  <si>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</si>
  <si>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</si>
  <si>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</si>
  <si>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</si>
  <si>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</si>
  <si>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</si>
  <si>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</si>
  <si>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</si>
  <si>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</si>
  <si>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</si>
  <si>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</si>
  <si>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</si>
  <si>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</si>
  <si>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</si>
  <si>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</si>
  <si>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</si>
  <si>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</si>
  <si>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</si>
  <si>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</si>
  <si>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</si>
  <si>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</si>
  <si>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</si>
  <si>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</si>
  <si>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</si>
  <si>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</si>
  <si>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</si>
  <si>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</si>
  <si>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</si>
  <si>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</si>
  <si>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</si>
  <si>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</si>
  <si>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</si>
  <si>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</si>
  <si>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</si>
  <si>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</si>
  <si>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</si>
  <si>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</si>
  <si>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</si>
  <si>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</si>
  <si>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</si>
  <si>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</si>
  <si>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</si>
  <si>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</si>
  <si>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</si>
  <si>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</si>
  <si>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</si>
  <si>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</si>
  <si>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</si>
  <si>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</si>
  <si>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</si>
  <si>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</si>
  <si>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</si>
  <si>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</si>
  <si>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</si>
  <si>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</si>
  <si>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</si>
  <si>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</si>
  <si>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</si>
  <si>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</si>
  <si>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</si>
  <si>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</si>
  <si>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</si>
  <si>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</si>
  <si>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</si>
  <si>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</si>
  <si>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</si>
  <si>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</si>
  <si>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</si>
  <si>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</si>
  <si>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</si>
  <si>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</si>
  <si>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</si>
  <si>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</si>
  <si>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</si>
  <si>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</si>
  <si>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</si>
  <si>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</si>
  <si>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</si>
  <si>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</si>
  <si>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</si>
  <si>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</si>
  <si>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</si>
  <si>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</si>
  <si>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</si>
  <si>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</si>
  <si>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</si>
  <si>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</si>
  <si>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</si>
  <si>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</si>
  <si>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</si>
  <si>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</si>
  <si>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</si>
  <si>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</si>
  <si>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</si>
  <si>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</si>
  <si>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</si>
  <si>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</si>
  <si>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</si>
  <si>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</si>
  <si>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</si>
  <si>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</si>
  <si>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</si>
  <si>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</si>
  <si>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</si>
  <si>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</si>
  <si>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</si>
  <si>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</si>
  <si>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</si>
  <si>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</si>
  <si>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</si>
  <si>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</si>
  <si>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</si>
  <si>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</si>
  <si>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</si>
  <si>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</si>
  <si>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</si>
  <si>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</si>
  <si>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</si>
  <si>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</si>
  <si>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</si>
  <si>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</si>
  <si>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</si>
  <si>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</si>
  <si>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</si>
  <si>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</si>
  <si>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</si>
  <si>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</si>
  <si>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</si>
  <si>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</si>
  <si>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</si>
  <si>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</si>
  <si>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</si>
  <si>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</si>
  <si>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</si>
  <si>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</si>
  <si>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</si>
  <si>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</si>
  <si>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</si>
  <si>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</si>
  <si>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</si>
  <si>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</si>
  <si>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</si>
  <si>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</si>
  <si>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</si>
  <si>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</si>
  <si>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</si>
  <si>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</si>
  <si>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</si>
  <si>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</si>
  <si>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</si>
  <si>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</si>
  <si>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</si>
  <si>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</si>
  <si>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</si>
  <si>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</si>
  <si>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</si>
  <si>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</si>
  <si>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</si>
  <si>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</si>
  <si>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</si>
  <si>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</si>
  <si>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>ЗТП-10кВ Новоселки школа</t>
  </si>
  <si>
    <t>д.Зубовка</t>
  </si>
  <si>
    <t>КТП 10кВ д.Зубовка</t>
  </si>
  <si>
    <t>д. Замошье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</si>
  <si>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</si>
  <si>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</si>
  <si>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</si>
  <si>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</si>
  <si>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</si>
  <si>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</si>
  <si>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</si>
  <si>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</si>
  <si>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</si>
  <si>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</si>
  <si>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</si>
  <si>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</si>
  <si>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</si>
  <si>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</si>
  <si>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</si>
  <si>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</si>
  <si>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</si>
  <si>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</si>
  <si>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</si>
  <si>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</si>
  <si>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</si>
  <si>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</si>
  <si>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</si>
  <si>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</si>
  <si>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</si>
  <si>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</si>
  <si>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</si>
  <si>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</si>
  <si>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</si>
  <si>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</si>
  <si>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</si>
  <si>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</si>
  <si>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</si>
  <si>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</si>
  <si>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</si>
  <si>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</si>
  <si>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</si>
  <si>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</si>
  <si>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</si>
  <si>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</si>
  <si>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</si>
  <si>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</si>
  <si>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</si>
  <si>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</si>
  <si>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</si>
  <si>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</si>
  <si>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</si>
  <si>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</si>
  <si>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</si>
  <si>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</si>
  <si>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</si>
  <si>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</si>
  <si>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</si>
  <si>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</si>
  <si>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</si>
  <si>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</si>
  <si>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</si>
  <si>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</si>
  <si>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</si>
  <si>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</si>
  <si>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</si>
  <si>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</si>
  <si>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</si>
  <si>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</si>
  <si>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</si>
  <si>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</si>
  <si>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</si>
  <si>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</si>
  <si>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</si>
  <si>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</si>
  <si>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</si>
  <si>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</si>
  <si>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</si>
  <si>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</si>
  <si>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</si>
  <si>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</si>
  <si>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</si>
  <si>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</si>
  <si>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</si>
  <si>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</si>
  <si>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</si>
  <si>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</si>
  <si>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</si>
  <si>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</si>
  <si>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</si>
  <si>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</si>
  <si>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</si>
  <si>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</si>
  <si>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</si>
  <si>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</si>
  <si>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</si>
  <si>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</si>
  <si>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</si>
  <si>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</si>
  <si>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</si>
  <si>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</si>
  <si>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</si>
  <si>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</si>
  <si>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</si>
  <si>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</si>
  <si>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</si>
  <si>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</si>
  <si>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</si>
  <si>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</si>
  <si>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</si>
  <si>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</si>
  <si>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</si>
  <si>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</si>
  <si>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</si>
  <si>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</si>
  <si>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</si>
  <si>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</si>
  <si>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</si>
  <si>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</si>
  <si>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</si>
  <si>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</si>
  <si>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</si>
  <si>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</si>
  <si>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</si>
  <si>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</si>
  <si>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</si>
  <si>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</si>
  <si>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</si>
  <si>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</si>
  <si>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</si>
  <si>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</si>
  <si>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</si>
  <si>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</si>
  <si>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</si>
  <si>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</si>
  <si>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</si>
  <si>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</si>
  <si>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</si>
  <si>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</si>
  <si>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</si>
  <si>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</si>
  <si>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</si>
  <si>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</si>
  <si>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</si>
  <si>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</si>
  <si>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</si>
  <si>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</si>
  <si>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</si>
  <si>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</si>
  <si>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</si>
  <si>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</si>
  <si>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</si>
  <si>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</si>
  <si>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</si>
  <si>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</si>
  <si>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</si>
  <si>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</si>
  <si>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</si>
  <si>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</si>
  <si>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</si>
  <si>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</si>
  <si>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</si>
  <si>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</si>
  <si>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</si>
  <si>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</si>
  <si>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</si>
  <si>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</si>
  <si>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</si>
  <si>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</si>
  <si>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</si>
  <si>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</si>
  <si>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</si>
  <si>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</si>
  <si>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</si>
  <si>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</si>
  <si>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</si>
  <si>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</si>
  <si>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</si>
  <si>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</si>
  <si>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</si>
  <si>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</si>
  <si>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</si>
  <si>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</si>
  <si>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</si>
  <si>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</si>
  <si>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</si>
  <si>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</si>
  <si>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</si>
  <si>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</si>
  <si>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</si>
  <si>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</si>
  <si>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</si>
  <si>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</si>
  <si>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</si>
  <si>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</si>
  <si>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</si>
  <si>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</si>
  <si>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</si>
  <si>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</si>
  <si>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</si>
  <si>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</si>
  <si>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</si>
  <si>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</si>
  <si>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</si>
  <si>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</si>
  <si>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</si>
  <si>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</si>
  <si>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</si>
  <si>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</si>
  <si>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</si>
  <si>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</si>
  <si>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</si>
  <si>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</si>
  <si>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</si>
  <si>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</si>
  <si>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</si>
  <si>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</si>
  <si>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</si>
  <si>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</si>
  <si>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</si>
  <si>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</si>
  <si>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</si>
  <si>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</si>
  <si>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</si>
  <si>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</si>
  <si>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</si>
  <si>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</si>
  <si>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</si>
  <si>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</si>
  <si>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</si>
  <si>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</si>
  <si>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</si>
  <si>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</si>
  <si>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</si>
  <si>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</si>
  <si>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</si>
  <si>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</si>
  <si>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</si>
  <si>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</si>
  <si>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</si>
  <si>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</si>
  <si>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</si>
  <si>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</si>
  <si>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</si>
  <si>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</si>
  <si>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</si>
  <si>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</si>
  <si>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</si>
  <si>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</si>
  <si>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</si>
  <si>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</si>
  <si>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</si>
  <si>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</si>
  <si>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</si>
  <si>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</si>
  <si>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</si>
  <si>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</si>
  <si>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</si>
  <si>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</si>
  <si>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</si>
  <si>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</si>
  <si>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</si>
  <si>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</si>
  <si>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</si>
  <si>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</si>
  <si>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</si>
  <si>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</si>
  <si>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</si>
  <si>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</si>
  <si>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</si>
  <si>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</si>
  <si>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</si>
  <si>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</si>
  <si>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</si>
  <si>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</si>
  <si>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</si>
  <si>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</si>
  <si>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</si>
  <si>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</si>
  <si>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</si>
  <si>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</si>
  <si>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</si>
  <si>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</si>
  <si>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</si>
  <si>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</si>
  <si>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</si>
  <si>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</si>
  <si>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</si>
  <si>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</si>
  <si>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</si>
  <si>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</si>
  <si>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</si>
  <si>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</si>
  <si>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</si>
  <si>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</si>
  <si>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</si>
  <si>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</si>
  <si>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</si>
  <si>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</si>
  <si>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</si>
  <si>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</si>
  <si>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</si>
  <si>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</si>
  <si>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</si>
  <si>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</si>
  <si>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</si>
  <si>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</si>
  <si>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</si>
  <si>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</si>
  <si>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</si>
  <si>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</si>
  <si>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</si>
  <si>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</si>
  <si>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</si>
  <si>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</si>
  <si>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</si>
  <si>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</si>
  <si>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</si>
  <si>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</si>
  <si>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</si>
  <si>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</si>
  <si>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</si>
  <si>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</si>
  <si>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</si>
  <si>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</si>
  <si>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</si>
  <si>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</si>
  <si>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</si>
  <si>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</si>
  <si>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</si>
  <si>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</si>
  <si>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</si>
  <si>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</si>
  <si>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</si>
  <si>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</si>
  <si>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</si>
  <si>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</si>
  <si>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</si>
  <si>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</si>
  <si>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</si>
  <si>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</si>
  <si>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</si>
  <si>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</si>
  <si>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</si>
  <si>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</si>
  <si>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</si>
  <si>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</si>
  <si>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</si>
  <si>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</si>
  <si>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</si>
  <si>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</si>
  <si>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</si>
  <si>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</si>
  <si>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</si>
  <si>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</si>
  <si>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</si>
  <si>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</si>
  <si>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</si>
  <si>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</si>
  <si>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</si>
  <si>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</si>
  <si>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</si>
  <si>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</si>
  <si>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</si>
  <si>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</si>
  <si>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</si>
  <si>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</si>
  <si>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</si>
  <si>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</si>
  <si>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</si>
  <si>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</si>
  <si>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</si>
  <si>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</si>
  <si>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</si>
  <si>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</si>
  <si>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</si>
  <si>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</si>
  <si>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</si>
  <si>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</si>
  <si>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</si>
  <si>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</si>
  <si>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</si>
  <si>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</si>
  <si>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</si>
  <si>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</si>
  <si>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</si>
  <si>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</si>
  <si>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</si>
  <si>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</si>
  <si>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</si>
  <si>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</si>
  <si>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</si>
  <si>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</si>
  <si>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</si>
  <si>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</si>
  <si>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</si>
  <si>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</si>
  <si>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</si>
  <si>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</si>
  <si>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</si>
  <si>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</si>
  <si>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</si>
  <si>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</si>
  <si>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</si>
  <si>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</si>
  <si>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</si>
  <si>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</si>
  <si>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</si>
  <si>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</si>
  <si>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</si>
  <si>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</si>
  <si>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</si>
  <si>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</si>
  <si>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</si>
  <si>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</si>
  <si>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</si>
  <si>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</si>
  <si>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</si>
  <si>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</si>
  <si>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</si>
  <si>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</si>
  <si>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</si>
  <si>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</si>
  <si>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</si>
  <si>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</si>
  <si>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</si>
  <si>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</si>
  <si>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</si>
  <si>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</si>
  <si>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</si>
  <si>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</si>
  <si>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</si>
  <si>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</si>
  <si>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</si>
  <si>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</si>
  <si>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</si>
  <si>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</si>
  <si>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</si>
  <si>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</si>
  <si>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</si>
  <si>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</si>
  <si>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</si>
  <si>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</si>
  <si>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</si>
  <si>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</si>
  <si>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</si>
  <si>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</si>
  <si>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</si>
  <si>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</si>
  <si>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</si>
  <si>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</si>
  <si>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</si>
  <si>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</si>
  <si>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</si>
  <si>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</si>
  <si>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</si>
  <si>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</si>
  <si>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</si>
  <si>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</si>
  <si>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</si>
  <si>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</si>
  <si>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</si>
  <si>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</si>
  <si>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</si>
  <si>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</si>
  <si>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</si>
  <si>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</si>
  <si>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</si>
  <si>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</si>
  <si>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</si>
  <si>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</si>
  <si>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</si>
  <si>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</si>
  <si>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</si>
  <si>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</si>
  <si>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</si>
  <si>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</si>
  <si>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</si>
  <si>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</si>
  <si>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</si>
  <si>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</si>
  <si>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</si>
  <si>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</si>
  <si>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</si>
  <si>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</si>
  <si>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</si>
  <si>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</si>
  <si>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</si>
  <si>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</si>
  <si>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</si>
  <si>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</si>
  <si>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</si>
  <si>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</si>
  <si>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</si>
  <si>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</si>
  <si>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</si>
  <si>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</si>
  <si>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</si>
  <si>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</si>
  <si>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</si>
  <si>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</si>
  <si>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</si>
  <si>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</si>
  <si>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</si>
  <si>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</si>
  <si>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</si>
  <si>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</si>
  <si>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</si>
  <si>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</si>
  <si>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</si>
  <si>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</si>
  <si>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</si>
  <si>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</si>
  <si>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</si>
  <si>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</si>
  <si>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</si>
  <si>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</si>
  <si>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</si>
  <si>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</si>
  <si>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</si>
  <si>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</si>
  <si>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</si>
  <si>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</si>
  <si>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</si>
  <si>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</si>
  <si>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</si>
  <si>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</si>
  <si>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</si>
  <si>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</si>
  <si>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</si>
  <si>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</si>
  <si>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</si>
  <si>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</si>
  <si>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</si>
  <si>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</si>
  <si>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</si>
  <si>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</si>
  <si>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</si>
  <si>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</si>
  <si>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</si>
  <si>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</si>
  <si>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</si>
  <si>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</si>
  <si>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</si>
  <si>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</si>
  <si>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</si>
  <si>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</si>
  <si>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</si>
  <si>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</si>
  <si>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</si>
  <si>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</si>
  <si>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</si>
  <si>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</si>
  <si>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</si>
  <si>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</si>
  <si>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</si>
  <si>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</si>
  <si>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</si>
  <si>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</si>
  <si>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</si>
  <si>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</si>
  <si>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</si>
  <si>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</si>
  <si>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</si>
  <si>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</si>
  <si>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</si>
  <si>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</si>
  <si>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</si>
  <si>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</si>
  <si>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</si>
  <si>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</si>
  <si>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</si>
  <si>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</si>
  <si>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</si>
  <si>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</si>
  <si>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</si>
  <si>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</si>
  <si>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</si>
  <si>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</si>
  <si>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</si>
  <si>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</si>
  <si>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</si>
  <si>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</si>
  <si>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</si>
  <si>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</si>
  <si>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</si>
  <si>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</si>
  <si>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</si>
  <si>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</si>
  <si>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</si>
  <si>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</si>
  <si>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</si>
  <si>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</si>
  <si>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</si>
  <si>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</si>
  <si>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</si>
  <si>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</si>
  <si>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</si>
  <si>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</si>
  <si>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</si>
  <si>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</si>
  <si>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</si>
  <si>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</si>
  <si>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</si>
  <si>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</si>
  <si>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</si>
  <si>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</si>
  <si>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</si>
  <si>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</si>
  <si>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</si>
  <si>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</si>
  <si>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</si>
  <si>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</si>
  <si>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</si>
  <si>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</si>
  <si>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</si>
  <si>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</si>
  <si>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</si>
  <si>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</si>
  <si>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</si>
  <si>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</si>
  <si>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</si>
  <si>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</si>
  <si>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</si>
  <si>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</si>
  <si>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</si>
  <si>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</si>
  <si>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</si>
  <si>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</si>
  <si>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</si>
  <si>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</si>
  <si>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</si>
  <si>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</si>
  <si>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</si>
  <si>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</si>
  <si>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</si>
  <si>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</si>
  <si>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</si>
  <si>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</si>
  <si>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</si>
  <si>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</si>
  <si>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</si>
  <si>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</si>
  <si>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</si>
  <si>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</si>
  <si>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</si>
  <si>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</si>
  <si>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</si>
  <si>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</si>
  <si>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</si>
  <si>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</si>
  <si>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</si>
  <si>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</si>
  <si>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</si>
  <si>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</si>
  <si>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</si>
  <si>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</si>
  <si>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</si>
  <si>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</si>
  <si>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</si>
  <si>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</si>
  <si>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</si>
  <si>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</si>
  <si>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</si>
  <si>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</si>
  <si>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</si>
  <si>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</si>
  <si>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</si>
  <si>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</si>
  <si>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</si>
  <si>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</si>
  <si>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</si>
  <si>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</si>
  <si>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</si>
  <si>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</si>
  <si>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</si>
  <si>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</si>
  <si>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</si>
  <si>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</si>
  <si>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</si>
  <si>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</si>
  <si>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</si>
  <si>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</si>
  <si>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</si>
  <si>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</si>
  <si>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</si>
  <si>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</si>
  <si>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</si>
  <si>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</si>
  <si>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</si>
  <si>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</si>
  <si>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</si>
  <si>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</si>
  <si>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</si>
  <si>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</si>
  <si>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</si>
  <si>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</si>
  <si>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</si>
  <si>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</si>
  <si>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</si>
  <si>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</si>
  <si>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</si>
  <si>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</si>
  <si>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</si>
  <si>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</si>
  <si>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</si>
  <si>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</si>
  <si>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</si>
  <si>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</si>
  <si>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</si>
  <si>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</si>
  <si>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</si>
  <si>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</si>
  <si>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</si>
  <si>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</si>
  <si>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</si>
  <si>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</si>
  <si>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</si>
  <si>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</si>
  <si>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</si>
  <si>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</si>
  <si>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</si>
  <si>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</si>
  <si>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</si>
  <si>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</si>
  <si>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</si>
  <si>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</si>
  <si>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</si>
  <si>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</si>
  <si>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</si>
  <si>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</si>
  <si>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</si>
  <si>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</si>
  <si>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</si>
  <si>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</si>
  <si>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</si>
  <si>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</si>
  <si>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</si>
  <si>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</si>
  <si>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</si>
  <si>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</si>
  <si>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</si>
  <si>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</si>
  <si>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</si>
  <si>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</si>
  <si>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</si>
  <si>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</si>
  <si>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</si>
  <si>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</si>
  <si>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</si>
  <si>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</si>
  <si>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</si>
  <si>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</si>
  <si>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</si>
  <si>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</si>
  <si>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</si>
  <si>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</si>
  <si>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</si>
  <si>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</si>
  <si>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</si>
  <si>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</si>
  <si>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</si>
  <si>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</si>
  <si>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</si>
  <si>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</si>
  <si>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</si>
  <si>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</si>
  <si>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</si>
  <si>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</si>
  <si>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</si>
  <si>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</si>
  <si>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</si>
  <si>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</si>
  <si>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</si>
  <si>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</si>
  <si>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</si>
  <si>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</si>
  <si>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</si>
  <si>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</si>
  <si>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</si>
  <si>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</si>
  <si>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</si>
  <si>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</si>
  <si>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</si>
  <si>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</si>
  <si>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</si>
  <si>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</si>
  <si>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</si>
  <si>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</si>
  <si>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</si>
  <si>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</si>
  <si>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</si>
  <si>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</si>
  <si>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</si>
  <si>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</si>
  <si>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</si>
  <si>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</si>
  <si>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</si>
  <si>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</si>
  <si>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</si>
  <si>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</si>
  <si>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</si>
  <si>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</si>
  <si>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</si>
  <si>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</si>
  <si>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</si>
  <si>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</si>
  <si>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</si>
  <si>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</si>
  <si>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</si>
  <si>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</si>
  <si>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</si>
  <si>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</si>
  <si>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</si>
  <si>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</si>
  <si>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</si>
  <si>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</si>
  <si>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</si>
  <si>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</si>
  <si>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</si>
  <si>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</si>
  <si>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</si>
  <si>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</si>
  <si>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</si>
  <si>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</si>
  <si>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</si>
  <si>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</si>
  <si>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</si>
  <si>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</si>
  <si>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</si>
  <si>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</si>
  <si>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</si>
  <si>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</si>
  <si>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</si>
  <si>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</si>
  <si>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</si>
  <si>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</si>
  <si>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</si>
  <si>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</si>
  <si>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</si>
  <si>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</si>
  <si>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</si>
  <si>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</si>
  <si>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</si>
  <si>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</si>
  <si>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</si>
  <si>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</si>
  <si>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</si>
  <si>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</si>
  <si>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</si>
  <si>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</si>
  <si>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</si>
  <si>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</si>
  <si>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</si>
  <si>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</si>
  <si>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</si>
  <si>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</si>
  <si>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</si>
  <si>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</si>
  <si>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</si>
  <si>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</si>
  <si>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</si>
  <si>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</si>
  <si>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</si>
  <si>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</si>
  <si>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</si>
  <si>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</si>
  <si>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</si>
  <si>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</si>
  <si>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</si>
  <si>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</si>
  <si>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</si>
  <si>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</si>
  <si>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</si>
  <si>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</si>
  <si>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</si>
  <si>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</si>
  <si>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</si>
  <si>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</si>
  <si>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</si>
  <si>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</si>
  <si>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</si>
  <si>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</si>
  <si>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</si>
  <si>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</si>
  <si>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</si>
  <si>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</si>
  <si>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</si>
  <si>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</si>
  <si>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</si>
  <si>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</si>
  <si>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</si>
  <si>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</si>
  <si>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</si>
  <si>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</si>
  <si>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</si>
  <si>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</si>
  <si>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</si>
  <si>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</si>
  <si>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</si>
  <si>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</si>
  <si>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</si>
  <si>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</si>
  <si>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</si>
  <si>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</si>
  <si>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</si>
  <si>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</si>
  <si>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</si>
  <si>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</si>
  <si>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</si>
  <si>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</si>
  <si>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</si>
  <si>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 xml:space="preserve">Порожки </t>
  </si>
  <si>
    <t xml:space="preserve">Касково </t>
  </si>
  <si>
    <t xml:space="preserve">Ряд 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</si>
  <si>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</si>
  <si>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</si>
  <si>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</si>
  <si>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</si>
  <si>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</si>
  <si>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</si>
  <si>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</si>
  <si>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</si>
  <si>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</si>
  <si>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</si>
  <si>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</si>
  <si>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</si>
  <si>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</si>
  <si>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</si>
  <si>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</si>
  <si>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</si>
  <si>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</si>
  <si>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</si>
  <si>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</si>
  <si>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</si>
  <si>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</si>
  <si>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</si>
  <si>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</si>
  <si>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</si>
  <si>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</si>
  <si>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</si>
  <si>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</si>
  <si>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</si>
  <si>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д.Петрушино</t>
  </si>
  <si>
    <t>Бельский</t>
  </si>
  <si>
    <t>ТП Петрушино</t>
  </si>
  <si>
    <t>д. Паново</t>
  </si>
  <si>
    <t>ТП Паново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</si>
  <si>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</si>
  <si>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</si>
  <si>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</si>
  <si>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</si>
  <si>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</si>
  <si>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</si>
  <si>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</si>
  <si>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</si>
  <si>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</si>
  <si>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</si>
  <si>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</si>
  <si>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</si>
  <si>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</si>
  <si>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</si>
  <si>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</si>
  <si>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</si>
  <si>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</si>
  <si>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</si>
  <si>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</si>
  <si>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</si>
  <si>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</si>
  <si>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</si>
  <si>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</si>
  <si>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</si>
  <si>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</si>
  <si>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</si>
  <si>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</si>
  <si>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</si>
  <si>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</si>
  <si>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</si>
  <si>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</si>
  <si>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</si>
  <si>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</si>
  <si>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</si>
  <si>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</si>
  <si>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</si>
  <si>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</si>
  <si>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</si>
  <si>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</si>
  <si>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</si>
  <si>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Морозово</t>
  </si>
  <si>
    <t>д.Влазнево</t>
  </si>
  <si>
    <t>ТП Влазнево</t>
  </si>
  <si>
    <t>ТП Будино</t>
  </si>
  <si>
    <t>ТП Дворище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</si>
  <si>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</si>
  <si>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</si>
  <si>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</si>
  <si>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</si>
  <si>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</si>
  <si>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</si>
  <si>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</si>
  <si>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</si>
  <si>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</si>
  <si>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</si>
  <si>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</si>
  <si>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</si>
  <si>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</si>
  <si>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</si>
  <si>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</si>
  <si>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</si>
  <si>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Котово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</si>
  <si>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</si>
  <si>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</si>
  <si>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</si>
  <si>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</si>
  <si>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</si>
  <si>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</si>
  <si>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</si>
  <si>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</si>
  <si>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</si>
  <si>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</si>
  <si>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</si>
  <si>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</si>
  <si>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</si>
  <si>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</si>
  <si>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</si>
  <si>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</si>
  <si>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</si>
  <si>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</si>
  <si>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</si>
  <si>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</si>
  <si>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</si>
  <si>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</si>
  <si>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</si>
  <si>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</si>
  <si>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</si>
  <si>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</si>
  <si>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</si>
  <si>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</si>
  <si>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</si>
  <si>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</si>
  <si>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</si>
  <si>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</si>
  <si>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</si>
  <si>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</si>
  <si>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</si>
  <si>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</si>
  <si>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</si>
  <si>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</si>
  <si>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</si>
  <si>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</si>
  <si>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Ивашково</t>
  </si>
  <si>
    <t>д.Димидки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</si>
  <si>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</si>
  <si>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</si>
  <si>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</si>
  <si>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</si>
  <si>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</si>
  <si>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</si>
  <si>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</si>
  <si>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</si>
  <si>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</si>
  <si>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</si>
  <si>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</si>
  <si>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</si>
  <si>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</si>
  <si>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</si>
  <si>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</si>
  <si>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</si>
  <si>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</si>
  <si>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</si>
  <si>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</si>
  <si>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</si>
  <si>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</si>
  <si>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</si>
  <si>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>ТП з-д Станконормаль Абон.</t>
  </si>
  <si>
    <t>ДСПМК Абон.</t>
  </si>
  <si>
    <t>ЗТП ул.Загородная Абон.</t>
  </si>
  <si>
    <t>ТП Школа</t>
  </si>
  <si>
    <t>ТП ООО Авто Абон.</t>
  </si>
  <si>
    <t>ТП Льнозавод Абон.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</si>
  <si>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</si>
  <si>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</si>
  <si>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</si>
  <si>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</si>
  <si>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</si>
  <si>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</si>
  <si>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</si>
  <si>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</si>
  <si>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</si>
  <si>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</si>
  <si>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</si>
  <si>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</si>
  <si>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</si>
  <si>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</si>
  <si>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</si>
  <si>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</si>
  <si>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</si>
  <si>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</si>
  <si>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</si>
  <si>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</si>
  <si>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</si>
  <si>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</si>
  <si>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</si>
  <si>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</si>
  <si>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</si>
  <si>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</si>
  <si>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</si>
  <si>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</si>
  <si>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</si>
  <si>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</si>
  <si>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</si>
  <si>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</si>
  <si>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</si>
  <si>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</si>
  <si>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</si>
  <si>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</si>
  <si>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</si>
  <si>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</si>
  <si>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д.Сметанино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</si>
  <si>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</si>
  <si>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</si>
  <si>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</si>
  <si>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</si>
  <si>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</si>
  <si>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</si>
  <si>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</si>
  <si>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</si>
  <si>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</si>
  <si>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</si>
  <si>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</si>
  <si>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</si>
  <si>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</si>
  <si>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</si>
  <si>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</si>
  <si>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</si>
  <si>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</si>
  <si>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</si>
  <si>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</si>
  <si>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</si>
  <si>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</si>
  <si>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</si>
  <si>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</si>
  <si>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д.Антипино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</si>
  <si>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</si>
  <si>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</si>
  <si>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</si>
  <si>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</si>
  <si>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</si>
  <si>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</si>
  <si>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</si>
  <si>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</si>
  <si>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</si>
  <si>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</si>
  <si>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</si>
  <si>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</si>
  <si>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</si>
  <si>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</si>
  <si>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</si>
  <si>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</si>
  <si>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</si>
  <si>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</si>
  <si>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</si>
  <si>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</si>
  <si>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</si>
  <si>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</si>
  <si>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</si>
  <si>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</si>
  <si>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</si>
  <si>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</si>
  <si>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</si>
  <si>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</si>
  <si>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</si>
  <si>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</si>
  <si>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</si>
  <si>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</si>
  <si>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</si>
  <si>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</si>
  <si>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</si>
  <si>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</si>
  <si>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</si>
  <si>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</si>
  <si>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</si>
  <si>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</si>
  <si>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</si>
  <si>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</si>
  <si>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</si>
  <si>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</si>
  <si>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</si>
  <si>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</si>
  <si>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</si>
  <si>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</si>
  <si>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</si>
  <si>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</si>
  <si>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</si>
  <si>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</si>
  <si>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</si>
  <si>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</si>
  <si>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</si>
  <si>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</si>
  <si>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</si>
  <si>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</si>
  <si>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</si>
  <si>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</si>
  <si>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</si>
  <si>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</si>
  <si>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</si>
  <si>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</si>
  <si>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</si>
  <si>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</si>
  <si>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</si>
  <si>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</si>
  <si>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</si>
  <si>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</si>
  <si>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</si>
  <si>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</si>
  <si>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</si>
  <si>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</si>
  <si>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</si>
  <si>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</si>
  <si>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</si>
  <si>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</si>
  <si>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</si>
  <si>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</si>
  <si>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</si>
  <si>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</si>
  <si>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</si>
  <si>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</si>
  <si>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</si>
  <si>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</si>
  <si>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</si>
  <si>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</si>
  <si>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</si>
  <si>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</si>
  <si>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</si>
  <si>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</si>
  <si>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</si>
  <si>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</si>
  <si>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</si>
  <si>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</si>
  <si>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</si>
  <si>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</si>
  <si>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</si>
  <si>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</si>
  <si>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</si>
  <si>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</si>
  <si>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</si>
  <si>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</si>
  <si>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</si>
  <si>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</si>
  <si>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</si>
  <si>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</si>
  <si>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</si>
  <si>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</si>
  <si>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</si>
  <si>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</si>
  <si>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</si>
  <si>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</si>
  <si>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</si>
  <si>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</si>
  <si>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</si>
  <si>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</si>
  <si>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</si>
  <si>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</si>
  <si>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</si>
  <si>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</si>
  <si>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</si>
  <si>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</si>
  <si>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</si>
  <si>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</si>
  <si>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</si>
  <si>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</si>
  <si>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</si>
  <si>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</si>
  <si>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</si>
  <si>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</si>
  <si>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</si>
  <si>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</si>
  <si>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</si>
  <si>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</si>
  <si>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</si>
  <si>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</si>
  <si>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</si>
  <si>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</si>
  <si>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</si>
  <si>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</si>
  <si>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</si>
  <si>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</si>
  <si>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</si>
  <si>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</si>
  <si>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</si>
  <si>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</si>
  <si>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</si>
  <si>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</si>
  <si>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</si>
  <si>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</si>
  <si>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</si>
  <si>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</si>
  <si>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</si>
  <si>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</si>
  <si>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Стишенко Владимир Витальевич</t>
  </si>
  <si>
    <t>Жилой дом_Конаковский район, Старомелковское с/п, дер. Слобода (земельный участок с кадастровым номером 69:15:0000018:593)</t>
  </si>
  <si>
    <t>40903902 (договор заключен 11.06.2014)</t>
  </si>
  <si>
    <t>ООО "Основание"</t>
  </si>
  <si>
    <t>Жилые дома_Торжокский район, г. Торжок, Калининское шоссе (земельные участки с кадастровыми номерами 69:47:0170205:50, 69:47:0170205:51)</t>
  </si>
  <si>
    <t>40879547
(договор заключен 17.06.2014)</t>
  </si>
  <si>
    <t>Баранова Инна Вячеславовна</t>
  </si>
  <si>
    <t>Жилой дом_Калининский район, Никулинское с/п, район дер. Палкино (земельный участок с кадастровым номером 69:10:0000024:3203)</t>
  </si>
  <si>
    <t>Жилищное строительсто_Конаковский район, Мокшинское с/п, дер. Архангельское (земельный участок с кадастровым номером 69:15:0000027:249)</t>
  </si>
  <si>
    <t>40840586 (договор заключен 17.04.2014)</t>
  </si>
  <si>
    <t>40908637
(договор заключен 18.06.2014)</t>
  </si>
  <si>
    <t>Коттеджный поселок_Зубцовский район, Вазузское с/п, вблизи дер. Высокино (земельный участок с кадастровым номером 69:09:0000025:357)</t>
  </si>
  <si>
    <t>40862334
(договор заключен 20.06.2014)</t>
  </si>
  <si>
    <t>Шубин Александр Леонидович</t>
  </si>
  <si>
    <t>Жилой дом_Лихославльский район, Микшинское с/п, с. Микшино, д. 4 (кадастровые номера 69:19:160301:0011, 69:19:0160301:11:7)</t>
  </si>
  <si>
    <t xml:space="preserve">40901350 (договор заключен 23.06.2014) </t>
  </si>
  <si>
    <t>Жукова Лидия Федоровна</t>
  </si>
  <si>
    <t>Деревообрабатывающее предприятие (пилорама)_Старицкий район, Степуринское с/п, дер. Степурино (земельный участок с кадастровым номером 69:32:0311203:52)</t>
  </si>
  <si>
    <t>40903936
(договор заключен 23.06.2014)</t>
  </si>
  <si>
    <t>40867525
(договор заключен 23.06.2014)</t>
  </si>
  <si>
    <t>ПО "Универсальная база"</t>
  </si>
  <si>
    <t>Здание магазина_Конаковский район, г/п Новозавидовский, пгт. Новозавидовский, ул. Новая, д. 1 (кадастровый номер 69:15:0220121:21:12)</t>
  </si>
  <si>
    <t>40896252
(договор заключен 24.06.2014)</t>
  </si>
  <si>
    <t>Кизилова Галина Васильевна</t>
  </si>
  <si>
    <t>Взлетно-посадочная полоса_Зубцовский район, Погорельское с/п, дер. Петровское (земельный участок с кадастровым номером 69:09:0000019:428)</t>
  </si>
  <si>
    <t>Крутиков Владимир Николаевич</t>
  </si>
  <si>
    <t>Ремонтные мастерские_Калязинский район, Алферовское с/п, дер. Василево, ул. Советская (земельный участок с кадастровым номером 69:11:0180101:362, ремонтные мастерские с кадастровым номером 69:11:0000018:84:5)</t>
  </si>
  <si>
    <t>Сатвалдыев Алишер Нажмутдинович</t>
  </si>
  <si>
    <t>Цех по перемолу специй_Лихославльский район, Ильинское с/п, с. Ильинское (кадастровые номера 69:19:0221001:271)</t>
  </si>
  <si>
    <t>40904933
(договор заключен 03.07.2014)</t>
  </si>
  <si>
    <t>СТ_Калининский район, Каблуковское с/п, с/т Орша-1, в районе дер. Савватьево (земельный участок с кадастровым номером 69:10:191201:0025)</t>
  </si>
  <si>
    <t>40812236
(договор заключен 07.07.2014)</t>
  </si>
  <si>
    <t>Объект "КП ТМ на км 432,4 МГ "Серпухов-Ленинград" и км 385,1 МГ "Белоусово - Ленинград" в составе объекта "Реконструкция МГ "Серпухов -Ленинград" и МГ "Белоусово -Ленинград"_Тверская область, Бологовский район, 670 м юго-западнее населенного пункта Куженкино</t>
  </si>
  <si>
    <t>40876662
(договор заключен 07.07.2014)</t>
  </si>
  <si>
    <t>ООО "Газпром-инвест"</t>
  </si>
  <si>
    <t>Объект "КП ТМ на км 426,3 МГ "Серпухов-Ленинград" и км 377,8 МГ "Белоусово - Ленинград" в составе объекта "Реконструкция МГ "Серпухов -Ленинград" и МГ "Белоусово -Ленинград"_Бологовский район, 2100 м западнее населенного пункта Хотилово</t>
  </si>
  <si>
    <t>40876665
(договор заключен 07.07.2014)</t>
  </si>
  <si>
    <t>Объект "КП ТМ на км 340 МГ "Серпухов-Ленинград" и км 341 МГ "Белоусово - Ленинград" в составе объекта "Реконструкция МГ "Серпухов -Ленинград" и МГ "Белоусово -Ленинград"_Вышневолоцкий район, 1500 м юго-восточнее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 (два объекта)</t>
  </si>
  <si>
    <t>40876667
(договор заключен 07.07.2014)</t>
  </si>
  <si>
    <t>Объект "КП ТМ на км 292 МГ "Серпухов-Ленинград" и км 234 МГ "Белоусово - Ленинград" в составе объекта "Реконструкция МГ "Серпухов -Ленинград" и МГ "Белоусово -Ленинград"_Торжокский район, 1536 м западнее населенного пункта Стружня</t>
  </si>
  <si>
    <t>40867529
(договор заключен 07.07.2014)</t>
  </si>
  <si>
    <t>ООО "Газпром - инвест"</t>
  </si>
  <si>
    <t>Объект "КП ТМ на км 262МГ "Белоусово-Ленинград" и км 262,4 МГ "Белоусово - Ленинград" в составе объекта "Реконструкция МГ "Серпухов -Ленинград" и МГ "Белоусово -Ленинград"_Тверская область, Торжокский район, 3280 м северо-западнее населенного пункта Юрьицево</t>
  </si>
  <si>
    <t>40867533 (договор заключен 07.07.2014)</t>
  </si>
  <si>
    <t>Объект "КП ТМ на км 332 МГ "Серпухов - Ленинград" и км 273 МГ "Белоусово-Ленинград" в составе объекта "Реконструкция МГ "Серпухов - Ленинград" и МГ "Белоусово - Ленинград"_Торжокский район, 600 м северо-восточнее населенного пункта Большая Киселенка</t>
  </si>
  <si>
    <t>40867528
(договор заключен 07.07.2014)</t>
  </si>
  <si>
    <t>Объект "КП ТМ на км 305,1 МГ "Серпухов - Ленинград" и км 247,9 МГ "Белоусово-Ленинград" в составе объекта "Реконструкция МГ "Серпухов - Ленинград" и МГ "Белоусово - Ленинград"_Торжокский район, 878 м юго-восточнее населенного пункта Синцово</t>
  </si>
  <si>
    <t>40867534
(договор заключен 07.07.2014)</t>
  </si>
  <si>
    <t>Объект "КП ТМ на км 279 МГ "Серпухов - Ленинград" и км 223 МГ "Белоусово-Ленинград" в составе объекта "Реконструкция МГ "Серпухов - Ленинград" и МГ "Белоусово - Ленинград"_Торжокский район, 1200 м восточнее населенного пункта Тредубье</t>
  </si>
  <si>
    <t>40867531
(договор заключен 07.07.2014)</t>
  </si>
  <si>
    <t>Объект "КП ТМ на км 313,1 МГ "Серпухов - Ленинград" и км 254,5 МГ "Белоусово-Ленинград" в составе объекта "Реконструкция МГ "Серпухов - Ленинград" и МГ "Белоусово - Ленинград"_Торжокский район, 570 м севоро-западнее населенного пункта Сафониха</t>
  </si>
  <si>
    <t>40867540
(договор заключен 07.07.2014)</t>
  </si>
  <si>
    <t>Объект "КП ТМ на км 448 МГ "Серпухов - Ленинград" и км 400 МГ "Белоусово-Ленинград" в составе объекта "Реконструкция МГ "Серпухов - Ленинград" и МГ "Белоусово - Ленинград"_Тверская область, Бологовский район, 470 м севернее населенного пункта Старый Березай</t>
  </si>
  <si>
    <t>40879486
(договор заключен 07.07.2014)</t>
  </si>
  <si>
    <t>40890743
(договор заключен 08.07.2014)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</si>
  <si>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 (земельный участок с кадастровым номером 69:15:0000015:1818) _в ОРЗТП с 03.07.2012</t>
  </si>
  <si>
    <t>ООО "ЭМО"</t>
  </si>
  <si>
    <t>Коттеджный  поселок_Торжоксткий район, Марьинское с/п, дер. Крупшево (земельный участок с кадастровым номером 69:33:0221101:1)</t>
  </si>
  <si>
    <t>МОУ "Медновская СОШ"</t>
  </si>
  <si>
    <t>Газовая котельная_Калининский район, Медновское с/п, с. Медное, ул. Школьная, д. 21 (земельный участок с кадастровым номером 69:10:0081608:5)</t>
  </si>
  <si>
    <t>40919716 
(договор заключен 11.07.2014)</t>
  </si>
  <si>
    <t>Производственная линия завода_Тверская область, г. Тверь, проезд Мелиораторов, д. 3б</t>
  </si>
  <si>
    <t>40908001
(договор заключен 15.07.2014)</t>
  </si>
  <si>
    <t>ООО "Гатчинатеплострой"</t>
  </si>
  <si>
    <t>Временное электроснабжение полевого городка_Бологовский район, Куженкинское с/п.</t>
  </si>
  <si>
    <t>40917274
(договор заключен 15.07.2014)</t>
  </si>
  <si>
    <t>Магазин_Тверская область, г. Тверь, ул. Шишково (земельный участок с кадастровым номером 69:40:0100508:11)</t>
  </si>
  <si>
    <t>40928190
(договор заключен 17.07.2014)</t>
  </si>
  <si>
    <t>СНТ "Солнышко"</t>
  </si>
  <si>
    <t>Дачные дома_Тверская область, Нелидовский район, г. Нелидово, п. Шахта 7</t>
  </si>
  <si>
    <t xml:space="preserve">40906667
(договор заключен 21.07.2014) </t>
  </si>
  <si>
    <t>49-ТП/04-07
(договор расторгнут 28.01.2014)</t>
  </si>
  <si>
    <t>40253337
(договор 24.02.2014)</t>
  </si>
  <si>
    <t>40312394
(договор расторгнут 06.02.2014)</t>
  </si>
  <si>
    <t>188-ТП/06-08
(договор расторгнут 26.05.2014)</t>
  </si>
  <si>
    <t>260-ТП/12-08
(договор расторгнут 26.05.2014)</t>
  </si>
  <si>
    <t>ТВ 323-01-ТВ от 27.02.2007г
(договор расторгнут 25.05.2014)</t>
  </si>
  <si>
    <t>ТВ 326-01-ТВ от 27.02.2007г (договор расторгнут 26.05.2014)</t>
  </si>
  <si>
    <t>ТВ 328-01-ТВ от 27.02.2007г (договор расторгнут 26.05.2014)</t>
  </si>
  <si>
    <t>ТВ 327-01-ТВ от 27.02.2007г
(договор расторгнут 26.05.2014)</t>
  </si>
  <si>
    <t>79-ТП/10/07
(договор расторгнут 26.05.14)</t>
  </si>
  <si>
    <t>71-ТП/09-07
(договор расторгнут 26.05.2014)</t>
  </si>
  <si>
    <t>40750678
(договор расторгнут 25.03.2014)</t>
  </si>
  <si>
    <t>154-ТП/03-08
(договор расторгнут 11.06.2014 г.)</t>
  </si>
  <si>
    <t>40789639
(договор расторгнут 05.06.2014)</t>
  </si>
  <si>
    <t>40519899
(договор расторгнут 20.03.2014)</t>
  </si>
  <si>
    <t>40401351
(договор расторгнут 16.01.2014)</t>
  </si>
  <si>
    <t>40620983
(договор расторгнут 30.04.14)</t>
  </si>
  <si>
    <t>40381005
(договор расторгнут 21.03.2014)</t>
  </si>
  <si>
    <t>40535337
(договор расторгнут 23.05.2014)</t>
  </si>
  <si>
    <t>40681501
(договор расторгнут 21.04.2014)</t>
  </si>
  <si>
    <t>40349956
(договор расторгнут 24.01.2014)</t>
  </si>
  <si>
    <t>40308832
(договор
расторгнут
03.03.2014)</t>
  </si>
  <si>
    <t>РЗА на стороне 10 кВ. Мероприятия по устранению: ограничивающий фактор реле РТВ на вводе. Необходима замена на МПУ.</t>
  </si>
  <si>
    <t>РЗА Т-1(10 кВ). Мероприятия по устранению: ограничивающий фактор реле РТВ на вводе. Необходима замена на МПУ.</t>
  </si>
  <si>
    <t>РЗАТ-2. Ограничений по РЗА в данный момент нет. Ограничение по ТТ (300/5)</t>
  </si>
  <si>
    <t>РЗА Т-1 на стороне 10 кВ. Мероприятия по снятию ограничения: ограничивающий фактор - реле РТВ на вводе. Необходима замена на МПУ.</t>
  </si>
  <si>
    <t>ТТ, РЗА. Ограничивающий фактор: 5,67 МВА. Ограничение по условию согласования защит с учетом нагрузки смежной стороны трансформатора. Технических мероприятий нет.</t>
  </si>
  <si>
    <t>РЗА. Ввод 35 кВ. Ограничивающий фактор: 2, 94 МВА. Ограничение по условию согласования защит с учетом нагрузки смежной стороны трансформатора. Технических мероприятий нет.</t>
  </si>
  <si>
    <t>ООО "ДСП"</t>
  </si>
  <si>
    <t>Производственная база_Торжокский район, пос. Славный (кадастровый номер 69:33:0111:501:479)</t>
  </si>
  <si>
    <t>40938928
(договор заключен 25.07.2014)</t>
  </si>
  <si>
    <t>ООО "Хольцпласт"</t>
  </si>
  <si>
    <t>Электроустановки_Тверская область, Калининский район, Эммаусское с\п, район дер. Эммаус (земельный участок с кадастровым номером 69:10:000026:0304)</t>
  </si>
  <si>
    <t>40919764
(договор заключен 25.07.2014)</t>
  </si>
  <si>
    <t>ЗАО "АВС Капитал"</t>
  </si>
  <si>
    <t xml:space="preserve">Административное здание_почтовый адрес ориентира: Тверская область, Калининский район, Эммаусское с/п, пос.Эммаусс, д. 29 (земельный участок с кадастровым номером 69:10:0260609:94) </t>
  </si>
  <si>
    <t>40888037
(договор заключен 30.07.2014)</t>
  </si>
  <si>
    <t>Лаврега Геннадий Анатольевич</t>
  </si>
  <si>
    <t>Жилой дом_почтовый адрес ориентира: Тверская область, Кашинский район, Барыковское с/п, д. Малечкино, д. 52 (земельный участок с кадастровым номером 69:12:0253301:62)</t>
  </si>
  <si>
    <t>40917256
(договор заключен 04.08.2014)</t>
  </si>
  <si>
    <t>База отдыха_Тверская область, Калининский район, Никулинское с/п, дер. Трояново (земельный участок с кадастровым номером 69:10:0000024:1384)</t>
  </si>
  <si>
    <t>40919708
(договор заключен 05.08.2014)</t>
  </si>
  <si>
    <t>ООО "СевЗаппромпроект"</t>
  </si>
  <si>
    <t>Административное здание_Тверская область, Бологовский район, Гузятинское с/п (земельный участок с кадастровым номером 69:04:0000013:214)</t>
  </si>
  <si>
    <t>40903038
(договор заключен 06.08.2014)</t>
  </si>
  <si>
    <t>СНТ "Шоша-2"</t>
  </si>
  <si>
    <t>СНТ_Местоположение ориентира: Тверская область, Зубцовский район, с/п Княжьегорское, дер. Шоша (земельный участок с кадастровым номером 69:09:0000023:237)</t>
  </si>
  <si>
    <t>40855836
(договор заключен 08.08.2014)</t>
  </si>
  <si>
    <t>Существующие две ЛЭП-10 кВ и РТП № 30_Тверская область, г. Тверь, ул. Марии Смирновой, д. 9 (кадастровый номер 69:40:0300159:27:6)</t>
  </si>
  <si>
    <t>40938944
(договор заключен 08.08.2014)</t>
  </si>
  <si>
    <t>Гренкова Екатерина Николаевна</t>
  </si>
  <si>
    <t>Магазин_г. Тверь (земельный участок с кадастровым номером 69:40:0300159:689)</t>
  </si>
  <si>
    <t>40938940
(договор заключен 08.08.2014)</t>
  </si>
  <si>
    <t>Магазин "Магнит"_почтовый адрес ориентира: Тверская область, Краснохолмский район, г. Красный Холм, ул. Калинина, д. 14/16 (кадастровый номер 69:16:0070129:70)</t>
  </si>
  <si>
    <t>40904555
(договор заключен 11.08.2014)</t>
  </si>
  <si>
    <t xml:space="preserve">2014 г. </t>
  </si>
  <si>
    <t>ЛЭП-0,4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</si>
  <si>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Магазин "Магнит"_почтовый адрес ориентира: Тверская область, Максатихинский район, пкт. Максатиха, ул. Спортивная, д. 20 б (кадастровый номер 69:20:0070123:364)</t>
  </si>
  <si>
    <t>Жилой городок ВТФ "Мостотряд-81"_почтовый адрес ориентира: Тверская область, Бологовский район, Куженкинское с/п, дер. Куженкино, в границах СПК "Хотилово"</t>
  </si>
  <si>
    <t>40908076
(договор заключен 12.08.2014)</t>
  </si>
  <si>
    <t>Яковлева Татьяна Анатольевна</t>
  </si>
  <si>
    <t>Жилой дом_Калязинский район, Нерльское с/п, вблизи деревни Коротково (земельный участок с кадастровым номером 69:11:0000020:352)</t>
  </si>
  <si>
    <t>40931763
(договор заключен 15.08.2014)</t>
  </si>
  <si>
    <t>Жилой дом_Калязинский район, Нерльское с/п, дер. Сорокино (земельный участок с кадастровым номером 69:11:0000020:678)</t>
  </si>
  <si>
    <t>40931764
(договор заключен 15.08.2014)</t>
  </si>
  <si>
    <t>Пилюшкин Андрей Анатольевич</t>
  </si>
  <si>
    <t>Торгово-офисное здание_Тверская область, г. Торжок, ул. Мира, д. 25 (кадастровый номер 1/2 части здания 69:47:0130516:95)</t>
  </si>
  <si>
    <t>40933067
(договор заключен 18.08.2014)</t>
  </si>
  <si>
    <t>Торгово-ресторанный комплекс_Тверская область, Калининский район, Эммаусское с/п, пос. Эммаусс, вдоль трассы Москва-Санкт-Петербург, 152 км + 350 м (право) (земельный участок с кадастровым номером 69:10:0260609:93)</t>
  </si>
  <si>
    <t>40941641
(договор заключен 20.08.2014)</t>
  </si>
  <si>
    <t>ООО "Экомир"</t>
  </si>
  <si>
    <t>Ферма_Тверская область, Жарковский район, Щучейское с/п, дер. Крутик (земельный участок с кадастровым номером 69:07:0141101:3)</t>
  </si>
  <si>
    <t>40918625
(договор заключен 21.08.2014)</t>
  </si>
  <si>
    <t>ООО "Дуэт"</t>
  </si>
  <si>
    <t>Овощехранилище_Тверская область, Кесовогородский район, Лисковское с/п, дер. Лисково (земельный участок с кадастровым номером 69:13:0160701:652)</t>
  </si>
  <si>
    <t>40928709
(договор заключен 22.08.2014)</t>
  </si>
  <si>
    <t>ООО "Оргтехстрой"</t>
  </si>
  <si>
    <t>Цех детского питания_Тверская область, г. Тверь, ул. Плеханова, д. 42 (кадастровые номера 69:40:0100122:904, 69:40:01:00:122:019:1\021186\37\10000\Д)</t>
  </si>
  <si>
    <t>40917276
(договор заключен 25.08.2014)</t>
  </si>
  <si>
    <t>Алипенко Станислав Николаевич</t>
  </si>
  <si>
    <t>Жилая застройка_почтовый адрес ориентира: Тверская область, Калининский район, Заволжское с/п, в районе дер. Мухино-Городище (земельный участок с кадастровым номером 69:10:0000023:550)</t>
  </si>
  <si>
    <t>40918626
(договор заключен 25.08.2014)</t>
  </si>
  <si>
    <t>СНТ "Радуга"</t>
  </si>
  <si>
    <t>Дачные дома_Тверская область, Калининский район, Аввакумовское с.п., СНТ "Радуга" в районе дер. Сокол</t>
  </si>
  <si>
    <t>40946945
(договор заключен 01.09.2014)</t>
  </si>
  <si>
    <t>Федоров Роман Игоревич</t>
  </si>
  <si>
    <t>Овощехранилище_Тверская область, Калининский район, Верхневолжское с/п, район дер. Митенево (кадастровый номер 69:10:0350601:0:29)</t>
  </si>
  <si>
    <t>40946935
(договор заключен 03.09.2014)</t>
  </si>
  <si>
    <t>Немцова Светлана Александровна</t>
  </si>
  <si>
    <t>Жилая застройка_Тверская область, Калининский район, Бурашевское с/п, дер. Красная Новь (земельный участок с кадастровым номером 69:10:0000025:2748)</t>
  </si>
  <si>
    <t>40946975
(договор заключен 03.09.2014)</t>
  </si>
  <si>
    <t>Администрация Давыдовского сельского поселения Кашинского района Тверской области</t>
  </si>
  <si>
    <t>Жилой многоквартирный дом_Тверская область, Кашинский район, Давыдовское с/п, дер. Давыдово</t>
  </si>
  <si>
    <t>40924040
(договор заключен 05.09.2014)</t>
  </si>
  <si>
    <t>Трембовельская Татьяна Глебовна</t>
  </si>
  <si>
    <t>Зерносклад_Тверская область, Зубцовский район, Зубцовское с/п, вблизи дер. Брычево (кадастровые номера 69:09:0000008:839, 69:09:0000008:704, 69:09:0000008:0:3)</t>
  </si>
  <si>
    <t>40947626
(договор заключен 05.09.2014)</t>
  </si>
  <si>
    <t>ЗАО "Агромарус"</t>
  </si>
  <si>
    <t>Детский сад_Тверская область, Калининский район, Верхневолжское с/п, с. Пушкино, д. 68 (кадастровый номер 69:10:0360401:454)</t>
  </si>
  <si>
    <t>40954454
(договор заключен 09.09.2014)</t>
  </si>
  <si>
    <t>Промышленная нагрузка_Тверская область, г. Тверь, ул. Сердюковская, д. 17 (кадастровый номер 69:40:02:00:065:0006:1\021368\37:10000\В, В1)</t>
  </si>
  <si>
    <t>40942662
(договор заключен 11.09.2014)</t>
  </si>
  <si>
    <t>Керимзаде Мехман Маил оглы</t>
  </si>
  <si>
    <t>Коммунально-бытовая нагрузка_Тверская область, г. Тверь, ул. Ткача, у дома №7 (кадастровый номер 69:40:0300097:1036)</t>
  </si>
  <si>
    <t>40961009
(договор заключен 12.09.2014)</t>
  </si>
  <si>
    <t>Агаджанян Гоар Леваевна</t>
  </si>
  <si>
    <t>Ферма_Тверская область, Конаковский район, Завидовское с/п, с. Завидово (кадастровый номер 69:15:00:00:00:0000:16-878:1000/А)</t>
  </si>
  <si>
    <t>40921040
(договор заключен 12.09.2014)</t>
  </si>
  <si>
    <t>Баранов Валерий Викторович</t>
  </si>
  <si>
    <t>Строительная площадка жилого дома_Зубцовский район, Зубцовское с/п, дер. Алексино (земельный участок с кадастровым номером 69:09:090201:0013)</t>
  </si>
  <si>
    <t>40955861
(договор заключен 12.09.2014)</t>
  </si>
  <si>
    <t>Жилая застройка , состоящая из 43 жилых домов_Вышневолоцкий район, Солнечное с/п, пос. Солнечный, ул. Молодежная</t>
  </si>
  <si>
    <t>40942999
(договор заключен 15.09.2014)</t>
  </si>
  <si>
    <t>ООО "Сельмаш Лизинг"</t>
  </si>
  <si>
    <t>24-х квартирный жилой дом_Калининский район, Каблуковское с/п, дер. Савватьево (земельный участок с кадастровым номером 69:10:0190501:39)</t>
  </si>
  <si>
    <t>40943435
(договор заключен 16.09.2014)</t>
  </si>
  <si>
    <t>Дачные дома_Тверская область, Калининский район, Каблуковское с/п, район д. Савватьево, земельные участки членов СНТ "Медик"</t>
  </si>
  <si>
    <t>40955894
(договор заключен 16.09.2014)</t>
  </si>
  <si>
    <t>Крылов Алексей Александрович</t>
  </si>
  <si>
    <t>Коттеджный поселок _Калининский район, Красногорское с/п, дер. Некрасово (кадастровый номер 69:10:000038:1215)</t>
  </si>
  <si>
    <t>40957374
(договор заключен 17.09.2014)</t>
  </si>
  <si>
    <t>Производственное здание_Калининский район, Верхневолжское с/п, дер. Арисково (кадастровые номера 69:10:29:07:01:0019:7-269:1000/А, 69:10:29:07:01:0019)</t>
  </si>
  <si>
    <t>40956019
(договор заключен 18.09.2014)</t>
  </si>
  <si>
    <t>Индустриальный парк "Раслово"_Тверская область, Калининский район, Никулинское с/п, район дер. Лебедево</t>
  </si>
  <si>
    <t>40463737
(договор заключен 28.12.2011 г.)</t>
  </si>
  <si>
    <t>Машиностроительный завод "Хитачи"</t>
  </si>
  <si>
    <t>40463758
(договор заключен 28.12.2011 г.)</t>
  </si>
  <si>
    <t>ПС 110/10 кВ Манихино</t>
  </si>
  <si>
    <t>Чепурная Наталья Георгиевна</t>
  </si>
  <si>
    <t>Жилой дом_Кимрский район, Федоровское с/о, дер. Крева, ул. Пионерская, д. 28 (земельный участок с кадастровым номером 69:14:241201:0030)</t>
  </si>
  <si>
    <t>40956040 (договор заключен 10.09.2014)</t>
  </si>
  <si>
    <t>Егоров Дмитрий Александрович</t>
  </si>
  <si>
    <t>Жилой дом_Кашинский район, Барыковское с/п, дер. Перетрясово (земельный участок с кадастровым номером 69:12:0260601:274)</t>
  </si>
  <si>
    <t xml:space="preserve">40943022
(договор заключен 18.09.2014) </t>
  </si>
  <si>
    <t>Филиал "Верхневолжский" ОАО "Оборонэнерго"</t>
  </si>
  <si>
    <t>Магазин ООО "Росток-2"_Бологовский район, п. Выползово, ул. Космонавтов, д. 1 А</t>
  </si>
  <si>
    <t>40915380
(договор заключен 24.09.2014)</t>
  </si>
  <si>
    <t>ООО "Ржевский ручеек"</t>
  </si>
  <si>
    <t>Техническая база_Ржевский район, с/п Победа, пос. Победа (земельный участок с кадастровым номером 69:27:0119301:232)</t>
  </si>
  <si>
    <t>40963294
(договор заключен 25.09.2014)</t>
  </si>
  <si>
    <t>Наружное освещение объекта "Дорога к гостинничному комплексу "Radisson Завидово"_Конаковский район, с/п "Завидово", дер. Вараксино</t>
  </si>
  <si>
    <t>40953707
(договор заключен 25.09.2014)</t>
  </si>
  <si>
    <t>Белоногов Андрей Петрович</t>
  </si>
  <si>
    <t>Хозпостройка_Кимрский район, Титовское с/п (земельный участок с кадастровым номером 69:14:0000021:2056)</t>
  </si>
  <si>
    <t>40964838
(договор заключен 29.09.2014)</t>
  </si>
  <si>
    <t>Хованский Герман Владимирович</t>
  </si>
  <si>
    <t>Жилой дом_Кимрский район, Центральное с/о, дер. Михеево (земельный участок с кадастровым номером 69:14:19:32:01:0151)</t>
  </si>
  <si>
    <t>40917350
(договор заключен 01.10.2014)</t>
  </si>
  <si>
    <t>ООО "Родина"</t>
  </si>
  <si>
    <t>Нежилое помещение_Конаковский район, Городенское с/п , дер. Кошелево, д. 7 (земельный участок с кадастровым номером 69:15:0130902:35)</t>
  </si>
  <si>
    <t>40956033
(договор заключен 02.10.2014)</t>
  </si>
  <si>
    <t>ООО "ЛПХ "Сияние"</t>
  </si>
  <si>
    <t>Электроустановки_Западнодвинский район, пос. Старая Торопа, ул. Молодежная, д. 1</t>
  </si>
  <si>
    <t>40955291
(договор заключен 03.10.2014)</t>
  </si>
  <si>
    <t>Оздоровительный комплекс_Кашинский район, Верхнетроицкое с/п (земельный участок с кадастровым номером 69:12:00:00:22:0179)</t>
  </si>
  <si>
    <t>40965139
(договор заключен 06.10.2014)</t>
  </si>
  <si>
    <t>Осипов Константин Олегович</t>
  </si>
  <si>
    <t>Жилые дома_Старицкий район, Номо-Ямское с\п, дер. Рыблово</t>
  </si>
  <si>
    <t>40957912
(договор заключен 06.10.2014)</t>
  </si>
  <si>
    <t>Галькова Людмила Вячеславовна</t>
  </si>
  <si>
    <t>Жилые дома_Калининский район, Кулицкое с/п, дер. Олбово (земельный участок с кадастровым номером 69:10:0000010:1373)</t>
  </si>
  <si>
    <t>40887942
(договор заключен 07.10.2014)</t>
  </si>
  <si>
    <t>Спортивный комплекс_Конаковский район, г/п п. Новозавидовский, пгт. Новозавидовский, ул. Мира, 1А (земельный участок с кадастровым номером 69:15:0220110:161)</t>
  </si>
  <si>
    <t>40908077
(договор заключен 08.10.2014)</t>
  </si>
  <si>
    <t>"КП ТМ на км 270 МГ "Серпухов-Ленинград" и км 211 МГ "Белоусово-Ленинград" в составе объекта "Реконструкция МГ "Серпухов - Ленинград" и МГ "Белоусово - Ленинград"_Старицкий район, 1164 м западнее населенного пункта Акишево</t>
  </si>
  <si>
    <t>40884763
(договор заключен 14.10.2014)</t>
  </si>
  <si>
    <t>"КП ТМ на км 265,3 МГ "Серпухов-Ленинград" и км 206,3 МГ "Белоусово-Ленинград" в составе объекта "Реконструкция МГ "Серпухов - Ленинград" и МГ "Белоусово - Ленинград"_Старицкий район, 860 м юго-западнее населенного пункта Кунилово</t>
  </si>
  <si>
    <t>"КП ТМ на км 268 МГ "Серпухов-Ленинград" и км 209 МГ "Белоусово-Ленинград" в составе объекта "Реконструкция МГ "Серпухов - Ленинград" и МГ "Белоусово - Ленинград"_Старицкий район, 1150 м северо-западнее населенного пункта Кунилово</t>
  </si>
  <si>
    <t>40884771
(договор заключен 14.10.2014)</t>
  </si>
  <si>
    <t>ФГУП "Госкорпорация по ОрВД"</t>
  </si>
  <si>
    <t>Нежилые помещения_Калининский район, Михайловское с/п, аэропорт "Змеево" (кадастровые номера 69:10:00:00:12:0008:17\1330\10:1001/А, 69:10:00:00:12:0008:17\1329\10:1001/В, 69:10:00:00:12:1234)</t>
  </si>
  <si>
    <t>40946930
(договор заключен 08.10.2014)</t>
  </si>
  <si>
    <t>ООО "Центр студенческих отрядов"</t>
  </si>
  <si>
    <t>Бытовые помещения_Конаковский район, Завидовское с/п (кадастровые номера 69:15:000021:0001, 69:00:00:00:0000:28:230:001:006284170)</t>
  </si>
  <si>
    <t>40981619
(договор заключен 16.10.2014)</t>
  </si>
  <si>
    <t>Томилин Владимир Александрович</t>
  </si>
  <si>
    <t>База отдыха_Зубцовский район, Погорельское с/п, дер. Старое Устиново (земельный участок с кадастровым номером 69:09:0282102:61)</t>
  </si>
  <si>
    <t>40906659
(договор заключен 16.10.2014)</t>
  </si>
  <si>
    <t>Кузнецов Сергей Анатольевич</t>
  </si>
  <si>
    <t>Жилой дом_Рамешковский район, пгт. Рамешки, ул. Бежецкая, дом 38 (земельный участок с кадастровым номером 69:26:0070126:2)</t>
  </si>
  <si>
    <t>40980175
(договор заключен 16.10.2014)</t>
  </si>
  <si>
    <t>ООО ПСК "Домострой"</t>
  </si>
  <si>
    <t>Жилой дом_Конаковский район, Первомайское с/п, пос 1-е Мая, ул. Кооперативная (земельный участок с кадастровым номером 69:15:0080101:581)</t>
  </si>
  <si>
    <t>40971795
(договор заключен 17.10.2014)</t>
  </si>
  <si>
    <t>Гренков Валерий Леонидович</t>
  </si>
  <si>
    <t>Пилорама_Бельский район, Будинское с/п, вблизи дер. Будино (земельный участок с кадастровым номером 69:03:0000015:592)</t>
  </si>
  <si>
    <t>40932007
(договор заключен 20.10.2014)</t>
  </si>
  <si>
    <t>Николаева Валентина Михайловна</t>
  </si>
  <si>
    <t>Хоз. Постройка_Калининский район, Бурашевское с/п, район дер. Боровлево (земельный участок с кадастровым номером 69:10:0000025:2292)</t>
  </si>
  <si>
    <t>40972707
(договор заключен 20.10.2014)</t>
  </si>
  <si>
    <t>ООО "Барино"</t>
  </si>
  <si>
    <t>ЛЭП и ТП_Западнодвинский район, Западнодвинское с/п, д. Барино (кадастровые номера 69:08:0000016:278,69:08:0000016:279, 69:08:0160901:26,  69:08:0160901:30,  69:08:0160901:43)</t>
  </si>
  <si>
    <t>40955864
(договор заключен 21.10.2014)</t>
  </si>
  <si>
    <t>ООО "Терминал-моб"</t>
  </si>
  <si>
    <t>Торговый павильон_Рамешковский район, пос. Рамешки, ул. Советская, д. 40 (земельный участок с кадастровым номером 69:26:0070152:17)</t>
  </si>
  <si>
    <t>40974860
(договор заключен 24.10.2014)</t>
  </si>
  <si>
    <t>СНТ "Майский"</t>
  </si>
  <si>
    <t>СНТ_Конаковский район, д. Сажино</t>
  </si>
  <si>
    <t>40967330 
(договор заключен 27.10.2014)</t>
  </si>
  <si>
    <t>Евстигнеев Алексей Геннадьевич</t>
  </si>
  <si>
    <t>Ферма_Кимрский район, Устиновское с/п, в границах СПК "Симоново" в районе дер. Бяшево (земельный участок с кадастровым номером 69:14:0000013:799)</t>
  </si>
  <si>
    <t>40967305
(договор заключен 27.10.2014)</t>
  </si>
  <si>
    <t>ООО "Инвестпрограмм"</t>
  </si>
  <si>
    <t>Торгово-офисное здание_г. Тверь, ул. Коминтерна (земельный участок с кадастровым номером 69:40:0400100:2146)</t>
  </si>
  <si>
    <t>40896136
(договор заключен 28.10.2014)</t>
  </si>
  <si>
    <t>Акопов Акоп Леванович</t>
  </si>
  <si>
    <t>Жилой дом_Тверская область, Осташковский район, Сиговское с/п, дер. Нижние Котицы, ул. Береговая, д. 3 (кадастровые номера 69:24:0171601:94, 69:24:0171601:181)</t>
  </si>
  <si>
    <t>40967317
(договор заключен 29.10.2014)</t>
  </si>
  <si>
    <t>Адаптеч Девелопмент Инк</t>
  </si>
  <si>
    <t>Жилой комплекс_Зубцовский район, Зубцовское с/п, дер. Молозвино (земельный участок с кадастровым номером  69:09:0000010:836)</t>
  </si>
  <si>
    <t>40978135
(договор заключен 29.10.2014)</t>
  </si>
  <si>
    <t>ООО "Павлушковские карьеры"</t>
  </si>
  <si>
    <t>Электроустановки_Старицкий район, с/п "Луковниково", дер. Грешнево (земельный участок с кадастровым номером  69:32:0290504:1)</t>
  </si>
  <si>
    <t>40908958
(договор заключен 29.10.2014)</t>
  </si>
  <si>
    <t>Бандурист Сергей Николаевич</t>
  </si>
  <si>
    <t>Жилой дом_Осташковский район, Свапущенское с/п , дер. Старое Село (земельный участок с кадастровым номером 69:24:0094601:141)</t>
  </si>
  <si>
    <t>40981737
(договор заключен 30.10.2014)</t>
  </si>
  <si>
    <t>Федоров Владимир Михайлович</t>
  </si>
  <si>
    <t>Административное здание_Калининский район, Каблуковское с/п, район дер. Захарьино (земельный участок с кадастровым номером 69:10:0000017:761)</t>
  </si>
  <si>
    <t>40981131
(договор заключен 05.11.2014)</t>
  </si>
  <si>
    <t>Старцев Сергей Леонидович</t>
  </si>
  <si>
    <t>Магазин_Конаковский район, г. Конаково, ул. Баскакова, д. 6А (кадастровый номен 69:43:0070535:423)</t>
  </si>
  <si>
    <t>40977368
(договор заключен 05.11.2014)</t>
  </si>
  <si>
    <t>Администрация Западнодвинского района Тверской области</t>
  </si>
  <si>
    <t>Жилой дом_Западнодвинский район, пгт. Старая Торопа, ул. Больничная, д. 12 (Земельный участок с кадастровым номером 69:08:0112433:36)</t>
  </si>
  <si>
    <t>40807792
(договор заключен 07.11.2014)</t>
  </si>
  <si>
    <t>Смирнов Валентин Иванович</t>
  </si>
  <si>
    <t>Деревоперерабатывающий цех_Селижаровский район, Ларионовское с/п, д. Большое Ларионово, д. 33а (кадастровый номер 69:29:0120601:0:3)</t>
  </si>
  <si>
    <t>40964924
(договор заключен 10.11.2014)</t>
  </si>
  <si>
    <t>Муравлев Игорь Анатольевич</t>
  </si>
  <si>
    <t>Жилой дом_Конаковский район, Юрьево-Девичьевское с/п, дер. Едимоново (земельный участок с кадастровым номером 69:15:0090601:67)</t>
  </si>
  <si>
    <t>40978800
(договор заключен 12.11.2014)</t>
  </si>
  <si>
    <t>Гордеев Леонид Алексеевич</t>
  </si>
  <si>
    <t>Жилой дом_Торопецкий район, Речанское с/п, дер. Речане (земельный участок с кадастровым номером 69:34:0221204:09)</t>
  </si>
  <si>
    <t>40963357
(договор заключен 06.10.2014)</t>
  </si>
  <si>
    <t>Промышленная нагрузка_Калининский район, г. Тверь, 1-й переулок в пос. Элеватор, д. 6</t>
  </si>
  <si>
    <t>40978169
(договор заключен 12.11.14)</t>
  </si>
  <si>
    <t>Государственное казенное учреждение Тверской области "Тверьоблстройзаказчик"</t>
  </si>
  <si>
    <t>Детская поликлиника на 150 посещений по ул. Октябрьская в г. Ржеве_г. Ржев, ул. Грацинского, д. 30 (земельный участок с кадастровым номером 69:46:0090781:7)</t>
  </si>
  <si>
    <t>40862335
(договор заключен 17.11.2014)</t>
  </si>
  <si>
    <t>МОУ ДО ДООЛ "Романтик"</t>
  </si>
  <si>
    <t>Детский оздоровительно-образовательный лагерь_Калининский район, Медновское с/п, район дер. Кобячево (кадастровый номер 69:10:00:00:09:0176:10-1864:1000/А)</t>
  </si>
  <si>
    <t>40992092
(договор заключен 17.11.2014)</t>
  </si>
  <si>
    <t>ООО "Время"</t>
  </si>
  <si>
    <t>Здание лесопильного цеха_Конаковский район, пгт. Новозавидовский, ул. Фабричная, д. 1 (кадастровый номер 69:15:00:1/1992/16:1000/А)</t>
  </si>
  <si>
    <t>40984192
(договор заключен 17.11.2014)</t>
  </si>
  <si>
    <t>ООО "Лыжный парк Гришкино"</t>
  </si>
  <si>
    <t>Спортивная база_Калининский район, Бурашевское с/п, дер. Большое Гришкино, уч. 32 "А" (земельный участок с кадастровым номером 69:10:0300201:74)</t>
  </si>
  <si>
    <t>40985358
(договор заключен 19.11.2014)</t>
  </si>
  <si>
    <t>Жилой дом с помещениями общественного назначения_Тверская олбасть, г. Тверь, ул. Хрустальная, д. 31</t>
  </si>
  <si>
    <t>40931765
(договор заключен 24.11.2014)</t>
  </si>
  <si>
    <t>Жилой дом_Тверская область, Старицкий район, Ново-Ямское с/п, дер. Сельцо (земельный участок с кадастровым номером 69:32:0000022:1459)</t>
  </si>
  <si>
    <t>40994852
(договор заключен 26.11.2014)</t>
  </si>
  <si>
    <t>ЗАО "Тракт"</t>
  </si>
  <si>
    <t>Складской комплекс_Калининский район, Бурашевское с/п, район дер. Садыково (земельный участок с кадастровым номером 69:10:000025:0318)</t>
  </si>
  <si>
    <t>40984972
(договор заключен 01.12.14)</t>
  </si>
  <si>
    <t>Самойлов Александр Иванович</t>
  </si>
  <si>
    <t>Жилой дом_Кашинский район, Карабузинское с/п, дер. Каданово (земельный участок с кадастровым номером 69:12:0110601:98)</t>
  </si>
  <si>
    <t>40990196
(договор заключен 03.12.14)</t>
  </si>
  <si>
    <t>ООО "Логос"</t>
  </si>
  <si>
    <t>Нежилые помещения_Калининский район, Бурашевское с/п, дер. Садыково, пом. 2 и пом. 1 (кадастровые номера № 69:10:0000025:271:29/1, 69:10:0000025:271:29/2)</t>
  </si>
  <si>
    <t>40999413
(договор заключен 03.12.2014)</t>
  </si>
  <si>
    <t>ООО "Мехуборка-Регион"</t>
  </si>
  <si>
    <t>Производственная площадка_Ржевский район, с/п "Итомля" (земельный участок с кадастровым номером 69:27:0000013)</t>
  </si>
  <si>
    <t>40968175
(договор заключен 03.12.2014)</t>
  </si>
  <si>
    <t>д.Губачево</t>
  </si>
  <si>
    <t>д.И.Гора</t>
  </si>
  <si>
    <t>д.Остолопово</t>
  </si>
  <si>
    <t>д.Тарычево</t>
  </si>
  <si>
    <t>д.Вяльцево</t>
  </si>
  <si>
    <t>д.Яснево</t>
  </si>
  <si>
    <t>д.Чернягино</t>
  </si>
  <si>
    <t>д.Сафрониха</t>
  </si>
  <si>
    <t>д.Ильницы</t>
  </si>
  <si>
    <t>д.Фоминское</t>
  </si>
  <si>
    <t>д.Якушино</t>
  </si>
  <si>
    <t>д.Попадино</t>
  </si>
  <si>
    <t>д Можайка</t>
  </si>
  <si>
    <t>д.Стобищи</t>
  </si>
  <si>
    <t>д. Кузьминское</t>
  </si>
  <si>
    <t>д.Мотаево</t>
  </si>
  <si>
    <t>д.Медянка</t>
  </si>
  <si>
    <t>д. Селиваново</t>
  </si>
  <si>
    <t>д.Чернецкое</t>
  </si>
  <si>
    <t>с.Кесьма</t>
  </si>
  <si>
    <t>д.Лобнево</t>
  </si>
  <si>
    <t>Зубцовский</t>
  </si>
  <si>
    <t>г. Тверь</t>
  </si>
  <si>
    <t>Тверь</t>
  </si>
  <si>
    <t>д.БольшаяПереходня</t>
  </si>
  <si>
    <t>д.БольшоеПлоское</t>
  </si>
  <si>
    <t>д.Гутты,</t>
  </si>
  <si>
    <t>д.ЛисьиГоры</t>
  </si>
  <si>
    <t>д.МалоеЗвягино</t>
  </si>
  <si>
    <t>д.МихайловаГора</t>
  </si>
  <si>
    <t>д.НикулинаГора</t>
  </si>
  <si>
    <t>д.НоваяДеревня</t>
  </si>
  <si>
    <t>д.НовыйПосёлок</t>
  </si>
  <si>
    <t>д.СтепнаяНива</t>
  </si>
  <si>
    <t>д.СухаяНива</t>
  </si>
  <si>
    <t>с.НовыйСтан</t>
  </si>
  <si>
    <t>КТП 250 кВА№180 д.Губачево</t>
  </si>
  <si>
    <t>КТП 100 кВА№184 д.Алешино</t>
  </si>
  <si>
    <t>КТП 400 кВА№181 д.И.Гора</t>
  </si>
  <si>
    <t>КТП 100 кВА №182 д.И.Гора</t>
  </si>
  <si>
    <t>КТП 100 кВА№183 д.И.Гора</t>
  </si>
  <si>
    <t>КТП 60 кВА№187 д.Противье</t>
  </si>
  <si>
    <t>КТП 250 кВА№185 д.Остолопово</t>
  </si>
  <si>
    <t>МТП 60 кВА№186 д.Остолопово</t>
  </si>
  <si>
    <t>КТП 30 кВА №188 д.Борихино</t>
  </si>
  <si>
    <t>КТП 30 кВА№190 д.Тарычево</t>
  </si>
  <si>
    <t>КТП 100 кВА№189 д.Раменье</t>
  </si>
  <si>
    <t>КТП 60 кВА№194 д.Алексино</t>
  </si>
  <si>
    <t>КТП 160 кВА№197 д.Пятницкое</t>
  </si>
  <si>
    <t>КТП 100 кВА№201 д.Тимошкино</t>
  </si>
  <si>
    <t>КТП 400 кВА№202 д.Тимошкино</t>
  </si>
  <si>
    <t>КТП 60 кВА№204 д.Вяльцево</t>
  </si>
  <si>
    <t>КТП 30кВА№205 д.Абросимово</t>
  </si>
  <si>
    <t>МТП 20кВА№206 д.Мякишево</t>
  </si>
  <si>
    <t>КТП 20кВА№207 д.Яснево</t>
  </si>
  <si>
    <t>МТП 40кВА№208 д.Чернягино</t>
  </si>
  <si>
    <t>КТП 20кВА№211 д.Сафрониха</t>
  </si>
  <si>
    <t>МТП 10кВА №198 д.Ильницы</t>
  </si>
  <si>
    <t>КТП 30кВА№193 д.Фоминское</t>
  </si>
  <si>
    <t>МТП 30кВА№210 д.Якушино</t>
  </si>
  <si>
    <t>МТП 30кВА№212 д.Попадино</t>
  </si>
  <si>
    <t>КТП 30кВА д.Шилково</t>
  </si>
  <si>
    <t>МТП 40кВА д. Крутцы</t>
  </si>
  <si>
    <t>КТП 20кВАд.Доманово</t>
  </si>
  <si>
    <t>МТП 63кВА д.Пашково</t>
  </si>
  <si>
    <t>МТП 10кВА дМожайка</t>
  </si>
  <si>
    <t>ТП №219 д. Столбищи</t>
  </si>
  <si>
    <t>ТП №216 д. Кузьминское</t>
  </si>
  <si>
    <t>ТП №213 д. Мотаево</t>
  </si>
  <si>
    <t>ТП №214 д. Медянка</t>
  </si>
  <si>
    <t>ТП №215 д. Селиваново , д.Тарачеево</t>
  </si>
  <si>
    <t>ТП №218 д. Столбищи (поселок)</t>
  </si>
  <si>
    <t>КТПП 400кВА№2 д.Столбищи (КЗС)</t>
  </si>
  <si>
    <t xml:space="preserve">ТП №217 д. Борщово </t>
  </si>
  <si>
    <t xml:space="preserve">ТП №220 д.Комлево,д.Хмельново,д.Поповка </t>
  </si>
  <si>
    <t>КТП 160кВА №221 д.Чернецкое</t>
  </si>
  <si>
    <t>КТП 250кВА№222 д.Чернецкое</t>
  </si>
  <si>
    <t>КТП 100кВА№223 д.Романцево</t>
  </si>
  <si>
    <t>ТП №224 с.Кесьма (пилорама)</t>
  </si>
  <si>
    <t>ТП №228 с.Кесьма</t>
  </si>
  <si>
    <t>ТП №230 с.Кесьма</t>
  </si>
  <si>
    <t>ТП №231 с.Кесьма (мастерские)</t>
  </si>
  <si>
    <t>ТП №233 д. Ильинское</t>
  </si>
  <si>
    <t>ТП №234 д. Старое</t>
  </si>
  <si>
    <t>ТП №235 д. Лобнево</t>
  </si>
  <si>
    <t>ТП №232 с.Кесьма</t>
  </si>
  <si>
    <t>ТП №229 с.Кесьма (школа , котельная)</t>
  </si>
  <si>
    <t>ТП №226 с.Кесьма (зернокомплекс)</t>
  </si>
  <si>
    <t>ТП №225 с.Кесьма</t>
  </si>
  <si>
    <t>КТП 400кВА№236 с.Кесьма</t>
  </si>
  <si>
    <t>КТП 400кВА№237 с.Кесьма</t>
  </si>
  <si>
    <t xml:space="preserve">КТП-10кВ ДРСУ  </t>
  </si>
  <si>
    <t xml:space="preserve">КТП-10кВ ЗРЭС </t>
  </si>
  <si>
    <t xml:space="preserve">КТП 10кВ ПСУ </t>
  </si>
  <si>
    <t xml:space="preserve">КТП-10кВ Ветлечебница  </t>
  </si>
  <si>
    <t xml:space="preserve">КТП-10кВ Аболешево-2  </t>
  </si>
  <si>
    <t xml:space="preserve">КТП-10кВ Аболешево-3 </t>
  </si>
  <si>
    <t xml:space="preserve">КТП-10кВ Аболешево  </t>
  </si>
  <si>
    <t xml:space="preserve">КТП-10кВ Абутьково-2 </t>
  </si>
  <si>
    <t xml:space="preserve">КТП-10кВ Абутьково-1  </t>
  </si>
  <si>
    <t xml:space="preserve">КТП-10кВ Акулино  </t>
  </si>
  <si>
    <t xml:space="preserve">КТП-10кВ Александровка-1  </t>
  </si>
  <si>
    <t xml:space="preserve">КТП-10кВ Александровка-2  </t>
  </si>
  <si>
    <t xml:space="preserve">КТП-10кВ Александровка-3  </t>
  </si>
  <si>
    <t xml:space="preserve">КТП-10кВ Алексино </t>
  </si>
  <si>
    <t xml:space="preserve">КТП-10кВ Аннино  </t>
  </si>
  <si>
    <t xml:space="preserve">КТП-10кВ Аннино </t>
  </si>
  <si>
    <t xml:space="preserve">МТП-10 кВ Аполево </t>
  </si>
  <si>
    <t xml:space="preserve">КТП-10кВ Б.Кобяково  </t>
  </si>
  <si>
    <t xml:space="preserve">КТП-10кВ Балашково </t>
  </si>
  <si>
    <t xml:space="preserve">КТП-10кВ Батаково </t>
  </si>
  <si>
    <t xml:space="preserve">КТП-10кВ Батино  </t>
  </si>
  <si>
    <t xml:space="preserve">КТП-10кВ Безумово  </t>
  </si>
  <si>
    <t xml:space="preserve">КТП-10кВ Белавино-3  </t>
  </si>
  <si>
    <t xml:space="preserve">КТП-10кВ Белавино-1  </t>
  </si>
  <si>
    <t xml:space="preserve">КТП-10кВ Белавино-2 </t>
  </si>
  <si>
    <t xml:space="preserve">КТП-10кВ Белавино-4  </t>
  </si>
  <si>
    <t xml:space="preserve">КТП-10кВ Белянки  </t>
  </si>
  <si>
    <t xml:space="preserve">КТП-10кВ Березниково  </t>
  </si>
  <si>
    <t xml:space="preserve">КТП-10кВ Бесикино  </t>
  </si>
  <si>
    <t xml:space="preserve">КТП-10кВ Благинино-2  </t>
  </si>
  <si>
    <t xml:space="preserve">КТП-10кВ Благинино-1 </t>
  </si>
  <si>
    <t xml:space="preserve">КТП-10кВ Благинино-3  </t>
  </si>
  <si>
    <t xml:space="preserve">КТП-10кВ Боброво-1  </t>
  </si>
  <si>
    <t xml:space="preserve">КТП-10кВ Боброво-2  </t>
  </si>
  <si>
    <t xml:space="preserve">КТП-10кВ Богуслово  </t>
  </si>
  <si>
    <t xml:space="preserve">КТП-10кВ Болотово  </t>
  </si>
  <si>
    <t xml:space="preserve">КТП-10кВ Борки-5  </t>
  </si>
  <si>
    <t xml:space="preserve">КТП-10кВ Борки-1  </t>
  </si>
  <si>
    <t xml:space="preserve">КТП-10кВ Борки-2  </t>
  </si>
  <si>
    <t xml:space="preserve">КТП-10кВ Борки-4 </t>
  </si>
  <si>
    <t xml:space="preserve">КТП-10кВ Борки-8 </t>
  </si>
  <si>
    <t xml:space="preserve">КТП-10кВ Борки-7  </t>
  </si>
  <si>
    <t xml:space="preserve">КТП-10кВ Борки-3 </t>
  </si>
  <si>
    <t xml:space="preserve">КТП-10кВ Борки-9  </t>
  </si>
  <si>
    <t xml:space="preserve">МТП-10кВ Борки-10  </t>
  </si>
  <si>
    <t xml:space="preserve">КТП-10кВ Борки-6  </t>
  </si>
  <si>
    <t xml:space="preserve">КТП-10кВ Ботино  </t>
  </si>
  <si>
    <t xml:space="preserve">КТП-10кВ Брычево-5 </t>
  </si>
  <si>
    <t xml:space="preserve">КТП-10кВ Брычево-4 </t>
  </si>
  <si>
    <t xml:space="preserve">КТП-10кВ Брычево-6  </t>
  </si>
  <si>
    <t xml:space="preserve">КТПП-10кВ Брычево-2 </t>
  </si>
  <si>
    <t xml:space="preserve">КТП-10кВ Бубново  </t>
  </si>
  <si>
    <t xml:space="preserve">КТП-10кВ Буево  </t>
  </si>
  <si>
    <t xml:space="preserve">КТП-10кВ Буевский Тракт  </t>
  </si>
  <si>
    <t xml:space="preserve">КТП-10кВ Букино </t>
  </si>
  <si>
    <t xml:space="preserve">КТП-10кВ Быково  </t>
  </si>
  <si>
    <t xml:space="preserve">КТП-10кВ Варюшино  </t>
  </si>
  <si>
    <t xml:space="preserve">КТП-10кВ Васильевское </t>
  </si>
  <si>
    <t xml:space="preserve">КТП-10кВ Вахново-3  </t>
  </si>
  <si>
    <t xml:space="preserve">МТП-10кВ Вахново-1  </t>
  </si>
  <si>
    <t xml:space="preserve">КТП-10кВ Вахново-2 </t>
  </si>
  <si>
    <t xml:space="preserve">КТП-10кВ Вахново-1  </t>
  </si>
  <si>
    <t xml:space="preserve">ЗТП-10кВ Вахново д/с  </t>
  </si>
  <si>
    <t xml:space="preserve">МТП-10кВ Вахново-2 </t>
  </si>
  <si>
    <t xml:space="preserve">КТП-10кВ Мол.завод </t>
  </si>
  <si>
    <t xml:space="preserve">КТП-10кВ Вашутино  </t>
  </si>
  <si>
    <t xml:space="preserve">КТП-10кВ Веригино </t>
  </si>
  <si>
    <t xml:space="preserve">КТП-10кВ Вершино </t>
  </si>
  <si>
    <t xml:space="preserve">КТП-10кВ Волосово   </t>
  </si>
  <si>
    <t xml:space="preserve">КТП-10кВ Воскресенское-1  </t>
  </si>
  <si>
    <t xml:space="preserve">КТП-10кВВоскресенское-2 </t>
  </si>
  <si>
    <t xml:space="preserve">КТПП-10кВ Воскресенское  </t>
  </si>
  <si>
    <t xml:space="preserve">КТП-10кВ Выгодово-1  </t>
  </si>
  <si>
    <t xml:space="preserve">КТП-10кВ Высокино-1  </t>
  </si>
  <si>
    <t xml:space="preserve">МТП-10 кВ Высокино-2  </t>
  </si>
  <si>
    <t xml:space="preserve">КТП-10кВ Большой берег  </t>
  </si>
  <si>
    <t xml:space="preserve">КТП-10кВ Гармоново  </t>
  </si>
  <si>
    <t xml:space="preserve">КТП-10кВ Глебово-1 </t>
  </si>
  <si>
    <t xml:space="preserve">КТП-10кВ Глебово-3  </t>
  </si>
  <si>
    <t xml:space="preserve">КТП-10кВ Глебово-2  </t>
  </si>
  <si>
    <t xml:space="preserve">КТП-10кВ Гнездилово  </t>
  </si>
  <si>
    <t xml:space="preserve">КТП-10кВ Головино  </t>
  </si>
  <si>
    <t xml:space="preserve">КТП-10кВ Горлово  </t>
  </si>
  <si>
    <t xml:space="preserve">КТП-10кВ Горшково  </t>
  </si>
  <si>
    <t xml:space="preserve">КТП-10кВ Гостовня  </t>
  </si>
  <si>
    <t xml:space="preserve">КТП-10кВ Григорово </t>
  </si>
  <si>
    <t xml:space="preserve">КТП-10кВ Губинка  </t>
  </si>
  <si>
    <t xml:space="preserve">КТП-10кВ Дальнее  </t>
  </si>
  <si>
    <t xml:space="preserve">КТП-10кВ Денежное </t>
  </si>
  <si>
    <t xml:space="preserve">МТП-10кВ Денисовка  </t>
  </si>
  <si>
    <t xml:space="preserve">КТП-10кВ Дерибино-5 </t>
  </si>
  <si>
    <t xml:space="preserve">КТП-10кВ Дерибино-1 </t>
  </si>
  <si>
    <t xml:space="preserve">КТП-10кВ Дерибино-2  </t>
  </si>
  <si>
    <t xml:space="preserve">КТП-10кВ Дерибино-3  </t>
  </si>
  <si>
    <t xml:space="preserve">КТП-10кВ Дерибино-4  </t>
  </si>
  <si>
    <t xml:space="preserve">КТП-10кВ Дмитрово  </t>
  </si>
  <si>
    <t xml:space="preserve">КТП-10кВ Добрынино  </t>
  </si>
  <si>
    <t xml:space="preserve">КТП-10кВ Дорожаево-5  </t>
  </si>
  <si>
    <t xml:space="preserve">КТП-10кВ Дорожаево-2  </t>
  </si>
  <si>
    <t xml:space="preserve">КТП-10кВ Дорожаево-1  </t>
  </si>
  <si>
    <t xml:space="preserve">КТП-10кВ Дорожаево-8 </t>
  </si>
  <si>
    <t xml:space="preserve">КТП-10кВ Дорожаево-9  </t>
  </si>
  <si>
    <t xml:space="preserve">КТП-10кВ Дорожаево-3  </t>
  </si>
  <si>
    <t xml:space="preserve">КТП-10кВ Дорожаево-7  </t>
  </si>
  <si>
    <t xml:space="preserve">КТП-10кВ Дорожаево-6  </t>
  </si>
  <si>
    <t xml:space="preserve">КТП-10кВ Дорожаево-4 </t>
  </si>
  <si>
    <t xml:space="preserve">КТП-10кВ Дорофеево </t>
  </si>
  <si>
    <t xml:space="preserve">КТП-10кВ Дурнево  </t>
  </si>
  <si>
    <t xml:space="preserve">КТП-10кВ Желнино  </t>
  </si>
  <si>
    <t xml:space="preserve">КТП-10кВ Желудово  </t>
  </si>
  <si>
    <t xml:space="preserve">КТП-10кВ Житново </t>
  </si>
  <si>
    <t xml:space="preserve">КТП-10кВ Жуково </t>
  </si>
  <si>
    <t xml:space="preserve">КТП-10кВ Заброво-Лужки  </t>
  </si>
  <si>
    <t xml:space="preserve">КТП-10кВ Запруднево  </t>
  </si>
  <si>
    <t xml:space="preserve">МТП-10кВ Зеленково  </t>
  </si>
  <si>
    <t xml:space="preserve">КТП-10кВ Землероб   </t>
  </si>
  <si>
    <t xml:space="preserve">КТП-10кВ Золотилово-1 </t>
  </si>
  <si>
    <t xml:space="preserve">КТП 10кВ Золотилово-2  </t>
  </si>
  <si>
    <t xml:space="preserve">КТП-10кВ Золотилово  </t>
  </si>
  <si>
    <t xml:space="preserve">КТП-10кВ Зуево-2  </t>
  </si>
  <si>
    <t xml:space="preserve">КТП-10кВ Зуево-3  </t>
  </si>
  <si>
    <t xml:space="preserve">КТП-10кВ Зуево-1  </t>
  </si>
  <si>
    <t xml:space="preserve">КТП-10кВ Ивановское-1  </t>
  </si>
  <si>
    <t xml:space="preserve">КТП-10кВ Ивановское-2  </t>
  </si>
  <si>
    <t xml:space="preserve">КТП-10кВ Иванцево </t>
  </si>
  <si>
    <t xml:space="preserve">КТП-10кВ Ивашково  </t>
  </si>
  <si>
    <t xml:space="preserve">КТП-10кВ Игнатово-1  </t>
  </si>
  <si>
    <t xml:space="preserve">КТП-10кВ Игнатово-2  </t>
  </si>
  <si>
    <t xml:space="preserve">КТП-10кВ Игнатово-4  </t>
  </si>
  <si>
    <t xml:space="preserve">МТП-10кВ Игнатово-6  </t>
  </si>
  <si>
    <t xml:space="preserve">КТП-10кВ Игнатово-7  </t>
  </si>
  <si>
    <t xml:space="preserve">ЗТП-10кВ Игуменка  </t>
  </si>
  <si>
    <t xml:space="preserve">КТП-10кВ Исаково-1 </t>
  </si>
  <si>
    <t xml:space="preserve">КТП-10кВ Истратово  </t>
  </si>
  <si>
    <t xml:space="preserve">КТП-10кВ Казаркино  </t>
  </si>
  <si>
    <t xml:space="preserve">КТП-10кВ Калачево  </t>
  </si>
  <si>
    <t xml:space="preserve">КТП-10кВ Калачёво </t>
  </si>
  <si>
    <t xml:space="preserve">КТП-10кВ Карабаново  </t>
  </si>
  <si>
    <t xml:space="preserve">КТП-10кВ Карамзино-1 </t>
  </si>
  <si>
    <t xml:space="preserve">КТП-10кВ Карамзино-2  </t>
  </si>
  <si>
    <t xml:space="preserve">КТП-10кВ Карамзино-4 </t>
  </si>
  <si>
    <t xml:space="preserve">КТП-10кВ Карамзино-3  </t>
  </si>
  <si>
    <t xml:space="preserve">ЗТП-10кВ Карамзино-1 </t>
  </si>
  <si>
    <t xml:space="preserve">КТП-10кВ Карганово  </t>
  </si>
  <si>
    <t xml:space="preserve">КТП-10кВ Каргашино-2  </t>
  </si>
  <si>
    <t xml:space="preserve">КТП-10кВ Каргашино-1 </t>
  </si>
  <si>
    <t xml:space="preserve">КТП-10кВ Каргашино-3 </t>
  </si>
  <si>
    <t xml:space="preserve">КТП-10кВ Карьер-2 </t>
  </si>
  <si>
    <t xml:space="preserve">КТП-10кВ Каськово </t>
  </si>
  <si>
    <t xml:space="preserve">КТП-10кВ Кашенцево  </t>
  </si>
  <si>
    <t xml:space="preserve">КТП-10кВ Кн. Горы  </t>
  </si>
  <si>
    <t xml:space="preserve">КТП-10кВ Кн. Горы-5  </t>
  </si>
  <si>
    <t xml:space="preserve">КТП-10кВ ЛПХ  </t>
  </si>
  <si>
    <t xml:space="preserve">КТП-10кВ Кн. Горы-1  </t>
  </si>
  <si>
    <t xml:space="preserve">КТП-10кВ Кн. Горы-2 </t>
  </si>
  <si>
    <t xml:space="preserve">МТП-10 кВ Леспромхоз </t>
  </si>
  <si>
    <t xml:space="preserve">КТП-10кВ Кн. Горы-3 </t>
  </si>
  <si>
    <t xml:space="preserve">КТП-10кВ Карпово-Козлово   </t>
  </si>
  <si>
    <t xml:space="preserve">КТП-10кВ Колесниково-1  </t>
  </si>
  <si>
    <t xml:space="preserve">КТП-10кВ Колесниково-2  </t>
  </si>
  <si>
    <t xml:space="preserve">КТП-10кВ Колчеватики  </t>
  </si>
  <si>
    <t xml:space="preserve">КТП-10кВ Коммуна  </t>
  </si>
  <si>
    <t xml:space="preserve">КТП-10кВ Кондраково </t>
  </si>
  <si>
    <t xml:space="preserve">КТП-10кВ Коньково  </t>
  </si>
  <si>
    <t xml:space="preserve">КТП-10кВ Коптево  </t>
  </si>
  <si>
    <t xml:space="preserve">МТП-10кВ Копылово </t>
  </si>
  <si>
    <t xml:space="preserve">КТП-10кВ Коробино-6  </t>
  </si>
  <si>
    <t xml:space="preserve">КТП-10кВ Коробино-3  </t>
  </si>
  <si>
    <t xml:space="preserve">КТП-10кВ Коробино-4  </t>
  </si>
  <si>
    <t xml:space="preserve">КТПП-10кВ Коробино-2  </t>
  </si>
  <si>
    <t xml:space="preserve">ЗТП-10кВ Коробино-1  </t>
  </si>
  <si>
    <t xml:space="preserve">ЗТП-10кВ Коробино-5  </t>
  </si>
  <si>
    <t xml:space="preserve">КТП-10кВ Коровкино </t>
  </si>
  <si>
    <t xml:space="preserve">КТП-10кВ Коротнево  </t>
  </si>
  <si>
    <t xml:space="preserve">КТП-10кВ Коршиково  </t>
  </si>
  <si>
    <t xml:space="preserve">КТП-10кВ Костино  </t>
  </si>
  <si>
    <t xml:space="preserve">КТП-10кВ Кр. Холм </t>
  </si>
  <si>
    <t xml:space="preserve">МТП-10кВ Красново  </t>
  </si>
  <si>
    <t xml:space="preserve">КТП-10кВ Красный Сад  </t>
  </si>
  <si>
    <t xml:space="preserve">МТП-10кВ Кузьминка </t>
  </si>
  <si>
    <t xml:space="preserve">КТП-10кВ Кулотино  </t>
  </si>
  <si>
    <t xml:space="preserve">КТП-10кВ Кульшево </t>
  </si>
  <si>
    <t xml:space="preserve">КТП-10кВ Курьково  </t>
  </si>
  <si>
    <t xml:space="preserve">МТП-10кВ Кучино  </t>
  </si>
  <si>
    <t xml:space="preserve">МТП-10кВ Леоново </t>
  </si>
  <si>
    <t xml:space="preserve">КТП-10кВ Лесково  </t>
  </si>
  <si>
    <t xml:space="preserve">КТП-10кВ Лещихино  </t>
  </si>
  <si>
    <t xml:space="preserve">КТП-10кВ Логово-1  </t>
  </si>
  <si>
    <t xml:space="preserve">КТП-10кВ Логово-2  </t>
  </si>
  <si>
    <t xml:space="preserve">МТП-10кВ Луковниково </t>
  </si>
  <si>
    <t xml:space="preserve">МТП-10кВ Лукьяново  </t>
  </si>
  <si>
    <t xml:space="preserve">КТП-10кВ Лунево-2  </t>
  </si>
  <si>
    <t xml:space="preserve">КТП-10кВ Лучково-1 </t>
  </si>
  <si>
    <t xml:space="preserve">КТП-10кВ М.Кобяково   </t>
  </si>
  <si>
    <t xml:space="preserve">КТП-10кВ М.Пищалино  </t>
  </si>
  <si>
    <t xml:space="preserve">КТП-10кВ Максимково  </t>
  </si>
  <si>
    <t xml:space="preserve">КТП-10кВ Марково  </t>
  </si>
  <si>
    <t xml:space="preserve">МТП-10 кВ Маслова гора  </t>
  </si>
  <si>
    <t xml:space="preserve">КТП-10кВ Матюково  </t>
  </si>
  <si>
    <t xml:space="preserve">КТП-10кВ Мерейкино-2 </t>
  </si>
  <si>
    <t xml:space="preserve">КТП-10кВ Мерейкино-1  </t>
  </si>
  <si>
    <t xml:space="preserve">КТП-10кВ Михальки-1 </t>
  </si>
  <si>
    <t xml:space="preserve">КТП-10кВ Мишино </t>
  </si>
  <si>
    <t xml:space="preserve">КТП-10кВ Мозгово-1   </t>
  </si>
  <si>
    <t xml:space="preserve">КТП-10кВ Мозгово-5 </t>
  </si>
  <si>
    <t xml:space="preserve">КТП-10кВ Мозжарино  </t>
  </si>
  <si>
    <t xml:space="preserve">КТП-10кВ Молозвино  </t>
  </si>
  <si>
    <t xml:space="preserve">КТП-10кВ Мотилово </t>
  </si>
  <si>
    <t xml:space="preserve">КТП-10кВ Мякотино </t>
  </si>
  <si>
    <t xml:space="preserve">КТП-10кВ Мямлино  </t>
  </si>
  <si>
    <t xml:space="preserve">КТП-10кВ Н. Пустынь-1  </t>
  </si>
  <si>
    <t xml:space="preserve">КТП-10кВ Н. Пустынь-2  </t>
  </si>
  <si>
    <t xml:space="preserve">КТП-10кВ Н. Пустынь  </t>
  </si>
  <si>
    <t xml:space="preserve">КТП-10кВ Н. Пустынь-4  </t>
  </si>
  <si>
    <t xml:space="preserve">МТП-10кВ Н.Устиново-2  </t>
  </si>
  <si>
    <t xml:space="preserve">КТП-10кВ Н.Устиново-1  </t>
  </si>
  <si>
    <t xml:space="preserve">КТП-10кВ КИП-2 </t>
  </si>
  <si>
    <t xml:space="preserve">КТП-10кВ Нефедьево  </t>
  </si>
  <si>
    <t xml:space="preserve">КТП-10кВ Никифоровское-3  </t>
  </si>
  <si>
    <t xml:space="preserve">КТП-10кВ Никифоровское-2  </t>
  </si>
  <si>
    <t xml:space="preserve">ЗТП-10кВ Никифоровское-1 </t>
  </si>
  <si>
    <t xml:space="preserve">КТП-10кВ Никольское-3 </t>
  </si>
  <si>
    <t xml:space="preserve">КТП-10кВ Никольское-2  </t>
  </si>
  <si>
    <t xml:space="preserve">КТП-10кВ Никольское-1 </t>
  </si>
  <si>
    <t xml:space="preserve">КТП-10кВ Новое </t>
  </si>
  <si>
    <t xml:space="preserve">КТП-10кВ Новоселово-3  </t>
  </si>
  <si>
    <t xml:space="preserve">КТП-10кВ Новоселово-2  </t>
  </si>
  <si>
    <t xml:space="preserve">КТП-10кВ Носово  </t>
  </si>
  <si>
    <t xml:space="preserve">КТП-10кВ АЗС "Шелл"  </t>
  </si>
  <si>
    <t xml:space="preserve">ЗТП-10кВ Овощехранилище  </t>
  </si>
  <si>
    <t xml:space="preserve">КТП-10кВ Ожибоково  </t>
  </si>
  <si>
    <t xml:space="preserve">КТП-10кВ Озерецкое </t>
  </si>
  <si>
    <t xml:space="preserve">КТП-10кВ Орловка-3 </t>
  </si>
  <si>
    <t xml:space="preserve">КТП-10кВ Орловка-2  </t>
  </si>
  <si>
    <t xml:space="preserve">КТП-10кВ Орловка-1  </t>
  </si>
  <si>
    <t xml:space="preserve">КТП-10кВ Ошурково-1 </t>
  </si>
  <si>
    <t xml:space="preserve">КТП-10кВ Ошурково-2 </t>
  </si>
  <si>
    <t xml:space="preserve">КТП-10кВ ПМК-24   </t>
  </si>
  <si>
    <t xml:space="preserve">КТП-10кВ ТП-1  </t>
  </si>
  <si>
    <t xml:space="preserve">КТП-10кВ ТП-2  </t>
  </si>
  <si>
    <t xml:space="preserve">КТП-10кВ ТП-3   </t>
  </si>
  <si>
    <t xml:space="preserve">КТП-10кВ ТП-4   </t>
  </si>
  <si>
    <t xml:space="preserve">КТП-10кВ ТП-5  </t>
  </si>
  <si>
    <t xml:space="preserve">КТП-10кВ ТП-7  </t>
  </si>
  <si>
    <t xml:space="preserve">КТП-10кВ ТП ОУП  </t>
  </si>
  <si>
    <t xml:space="preserve">КТП-10кВ ТП-1хл.Зав </t>
  </si>
  <si>
    <t xml:space="preserve">МТП-10кВ ТП-8 </t>
  </si>
  <si>
    <t xml:space="preserve">КТП-10кВ ПС  </t>
  </si>
  <si>
    <t xml:space="preserve">ЗТП-10кВ ТП-6  </t>
  </si>
  <si>
    <t xml:space="preserve">ЗТП-10кВ ПМК-24 ж/д </t>
  </si>
  <si>
    <t xml:space="preserve">КТП-10кВ АЗС Тоталойл  </t>
  </si>
  <si>
    <t xml:space="preserve">КТП-10кВ П.Городище-8  </t>
  </si>
  <si>
    <t xml:space="preserve">КТП-10кВ Панюково  </t>
  </si>
  <si>
    <t xml:space="preserve">КТП-10кВ Паршино  </t>
  </si>
  <si>
    <t xml:space="preserve">КТП-10кВ Пашутино  </t>
  </si>
  <si>
    <t xml:space="preserve">КТП-10кВ Пестово  </t>
  </si>
  <si>
    <t xml:space="preserve">КТП-10кВ ИПС  </t>
  </si>
  <si>
    <t xml:space="preserve">КТП-10кВ Пищалино-1 </t>
  </si>
  <si>
    <t xml:space="preserve">КТП-10кВ Пищалино-2  </t>
  </si>
  <si>
    <t xml:space="preserve">КТП-10кВ Пищалино-4  </t>
  </si>
  <si>
    <t xml:space="preserve">КТП-10кВ Пищалино-3 </t>
  </si>
  <si>
    <t xml:space="preserve">КТП-10кВ Пищалино-5 </t>
  </si>
  <si>
    <t xml:space="preserve">ЗТП-10кВ Пищалино-6 </t>
  </si>
  <si>
    <t xml:space="preserve">МТП-10 кВ Покров  </t>
  </si>
  <si>
    <t xml:space="preserve">КТП-10кВ Полухтино  </t>
  </si>
  <si>
    <t xml:space="preserve">КТП-10кВ Попайлово  </t>
  </si>
  <si>
    <t xml:space="preserve">КТП-10кВ Почурино </t>
  </si>
  <si>
    <t xml:space="preserve">КТП-10кВ Праслово-2  </t>
  </si>
  <si>
    <t xml:space="preserve">КТП-10кВ Праслово-1 </t>
  </si>
  <si>
    <t xml:space="preserve">КТП-10кВ Приволжье  </t>
  </si>
  <si>
    <t xml:space="preserve">КТП-10кВ Пыльниково </t>
  </si>
  <si>
    <t xml:space="preserve">КТП-10кВ Раково-6  </t>
  </si>
  <si>
    <t xml:space="preserve">КТП-10кВ Раково-4  </t>
  </si>
  <si>
    <t xml:space="preserve">КТП-10кВ Раково-7  </t>
  </si>
  <si>
    <t xml:space="preserve">КТП-10кВ Раково-1 </t>
  </si>
  <si>
    <t xml:space="preserve">КТП-10кВ Раково-2  </t>
  </si>
  <si>
    <t xml:space="preserve">КТП-10кВ Раково-8  </t>
  </si>
  <si>
    <t xml:space="preserve">КТП-10кВ Раково-5  </t>
  </si>
  <si>
    <t xml:space="preserve">КТП-10кВ Раково-3  </t>
  </si>
  <si>
    <t xml:space="preserve">КТП-10кВ Ревякино  </t>
  </si>
  <si>
    <t xml:space="preserve">КТП-10кВ Ромушково  </t>
  </si>
  <si>
    <t xml:space="preserve">МТП-10кВ Русаково  </t>
  </si>
  <si>
    <t xml:space="preserve">КТП-10кВ Рыльцево-3  </t>
  </si>
  <si>
    <t xml:space="preserve">КТП-10кВ Рыльцево-4  </t>
  </si>
  <si>
    <t xml:space="preserve">КТП-10кВ Рыльцево-1  </t>
  </si>
  <si>
    <t xml:space="preserve">КТП-10кВ Рыльцево-2  </t>
  </si>
  <si>
    <t xml:space="preserve">МТП-10 кВ Саблино  </t>
  </si>
  <si>
    <t xml:space="preserve">КТП-10кВ Салино-2  </t>
  </si>
  <si>
    <t xml:space="preserve">КТП-10кВ Салино-1  </t>
  </si>
  <si>
    <t xml:space="preserve">КТП-10кВ Салино  </t>
  </si>
  <si>
    <t xml:space="preserve">КТП-10кВ Селиванцево  </t>
  </si>
  <si>
    <t xml:space="preserve">КТП-10кВ Селяево-1 </t>
  </si>
  <si>
    <t xml:space="preserve">КТП-10кВ Селяево-2 </t>
  </si>
  <si>
    <t xml:space="preserve">КТП-10кВ Семеновское  </t>
  </si>
  <si>
    <t xml:space="preserve">КТП-10кВ Серговское  </t>
  </si>
  <si>
    <t xml:space="preserve">КТП-10кВ Сидоровка  </t>
  </si>
  <si>
    <t xml:space="preserve">КТП-10кВ Синицино  </t>
  </si>
  <si>
    <t xml:space="preserve">КТП-10кВ Слабцово  </t>
  </si>
  <si>
    <t xml:space="preserve">КТП-10кВ Сновидово </t>
  </si>
  <si>
    <t xml:space="preserve">КТП-10кВ Сосунково  </t>
  </si>
  <si>
    <t xml:space="preserve">КТП-10кВ Ст.Горки-6 </t>
  </si>
  <si>
    <t xml:space="preserve">КТП-10кВ Ст.Горки-5 </t>
  </si>
  <si>
    <t xml:space="preserve">КТП-10кВ Ст.Горки-1  </t>
  </si>
  <si>
    <t xml:space="preserve">КТП-10кВ Ст.Горки-3  </t>
  </si>
  <si>
    <t xml:space="preserve">КТП-10кВ Ст.Горки-2  </t>
  </si>
  <si>
    <t xml:space="preserve">КТП-10кВ Ст.Устиново1  </t>
  </si>
  <si>
    <t xml:space="preserve">КТП-10кВ Ст.Устиново-2 </t>
  </si>
  <si>
    <t xml:space="preserve">КТП-10кВ Ст.Устиново-3 </t>
  </si>
  <si>
    <t xml:space="preserve">КТП-10кВ Ст.Устиново-4  </t>
  </si>
  <si>
    <t xml:space="preserve">КТП-10кВ Старое-4  </t>
  </si>
  <si>
    <t xml:space="preserve">КТП-10кВ Старое-1  </t>
  </si>
  <si>
    <t xml:space="preserve">КТП-10кВ Старое-2  </t>
  </si>
  <si>
    <t xml:space="preserve">КТП-10кВ Старое-3  </t>
  </si>
  <si>
    <t xml:space="preserve">КТП-10кВ Стеклятино </t>
  </si>
  <si>
    <t xml:space="preserve">МТП-10кВ Столыпино </t>
  </si>
  <si>
    <t xml:space="preserve">КТП-10кВ Столыпино-1  </t>
  </si>
  <si>
    <t xml:space="preserve">КТП-10кВ Столыпино-3  </t>
  </si>
  <si>
    <t xml:space="preserve">КТП-10кВ Столыпино-4  </t>
  </si>
  <si>
    <t xml:space="preserve">КТП-10кВ Столыпино-2  </t>
  </si>
  <si>
    <t xml:space="preserve">ЗТП-10кВ Столыпино-5  </t>
  </si>
  <si>
    <t xml:space="preserve">КТП-10кВ Стрелки  </t>
  </si>
  <si>
    <t xml:space="preserve">КТП-10кВ С.Т. "Алмаз" </t>
  </si>
  <si>
    <t xml:space="preserve">КТП-10кВ Стрельниково  </t>
  </si>
  <si>
    <t xml:space="preserve">КТП-10кВ Тимонино  </t>
  </si>
  <si>
    <t xml:space="preserve">КТП-10кВ Троицкое  </t>
  </si>
  <si>
    <t xml:space="preserve">КТП-10кВ Тупицино  </t>
  </si>
  <si>
    <t xml:space="preserve">КТП-10кВ Ульяново-3  </t>
  </si>
  <si>
    <t xml:space="preserve">КТП-10кВ Ульяново-1  </t>
  </si>
  <si>
    <t xml:space="preserve">КТП-10кВ Ульяново-4  </t>
  </si>
  <si>
    <t xml:space="preserve">ЗТП-10кВ Ульяново-5  </t>
  </si>
  <si>
    <t xml:space="preserve">КТП-10кВ Ульяново-7 </t>
  </si>
  <si>
    <t xml:space="preserve">КТП-10кВ Устье  </t>
  </si>
  <si>
    <t xml:space="preserve">КТП-10кВ Федоровское  </t>
  </si>
  <si>
    <t xml:space="preserve">КТП-10кВ Фомино-Городище 1 </t>
  </si>
  <si>
    <t xml:space="preserve">КТП-10кВ Хл.Городище-3  </t>
  </si>
  <si>
    <t xml:space="preserve">ЗТП-10кВ Хлопово Городище  </t>
  </si>
  <si>
    <t xml:space="preserve">КТП-10кВ Хорошая </t>
  </si>
  <si>
    <t xml:space="preserve">КТП-10кВ Черенково </t>
  </si>
  <si>
    <t xml:space="preserve">КТП-10кВ Черниково  </t>
  </si>
  <si>
    <t xml:space="preserve">КТП-10кВ Чибичкино   </t>
  </si>
  <si>
    <t xml:space="preserve">КТП-10кВ Чиркуново  </t>
  </si>
  <si>
    <t xml:space="preserve">КТП-10кВ Чунегово </t>
  </si>
  <si>
    <t xml:space="preserve">КТП-10кВ Шапино-1  </t>
  </si>
  <si>
    <t xml:space="preserve">КТП-10кВ Шепелево  </t>
  </si>
  <si>
    <t xml:space="preserve">КТП-10кВ Ширкино-1  </t>
  </si>
  <si>
    <t xml:space="preserve">КТП-10кВ Ширкино-2  </t>
  </si>
  <si>
    <t xml:space="preserve">КТП-10кВ Ширкино-3 </t>
  </si>
  <si>
    <t xml:space="preserve">КТП-10кВ Ширкино-4 </t>
  </si>
  <si>
    <t xml:space="preserve">КТП-10кВ Шишкино  </t>
  </si>
  <si>
    <t xml:space="preserve">КТП-10кВ Шоша-1 </t>
  </si>
  <si>
    <t xml:space="preserve">КТП-10кВ Шоша-2 </t>
  </si>
  <si>
    <t xml:space="preserve">КТП-10кВ Щеколдино-1  </t>
  </si>
  <si>
    <t xml:space="preserve">КТПП-10кВ Щеколдино-2  </t>
  </si>
  <si>
    <t xml:space="preserve">КТП-10кВ Щеколдино-10  </t>
  </si>
  <si>
    <t xml:space="preserve">КТП-10кВ Щеколдино-5 </t>
  </si>
  <si>
    <t xml:space="preserve">КТП-10кВ Щеколдино-3  </t>
  </si>
  <si>
    <t xml:space="preserve">КТП-10кВ Щеколдино-4  </t>
  </si>
  <si>
    <t xml:space="preserve">КТП-10кВ Щеколдино-8 </t>
  </si>
  <si>
    <t xml:space="preserve">КТП-10кВ Щеколдино-7 </t>
  </si>
  <si>
    <t xml:space="preserve">КТП-10кВ Щеколдино-11 </t>
  </si>
  <si>
    <t xml:space="preserve">КТП-10кВ Щеколдино-6 </t>
  </si>
  <si>
    <t xml:space="preserve">КТП-10кВ Щеколдино-12 </t>
  </si>
  <si>
    <t xml:space="preserve">КТП-10кВ Юрино  </t>
  </si>
  <si>
    <t xml:space="preserve">КТП-10кВ Юркино-1  </t>
  </si>
  <si>
    <t xml:space="preserve">КТП-10кВ Юркино  </t>
  </si>
  <si>
    <t xml:space="preserve">КТП-10кВ Юрьевское </t>
  </si>
  <si>
    <t xml:space="preserve">КТП-10кВ Ягодино </t>
  </si>
  <si>
    <t xml:space="preserve">КТП-10кВ Яйково </t>
  </si>
  <si>
    <t xml:space="preserve">КТП-10кВ Якутино  </t>
  </si>
  <si>
    <t>ЗТП 10/0,4кВ №797 "Ул. Хрустальная"</t>
  </si>
  <si>
    <t>ЗТП 10/0,4кВ №892 "Прокуратура"</t>
  </si>
  <si>
    <t>РП "Перекресток"</t>
  </si>
  <si>
    <t>РП "ЦПС"</t>
  </si>
  <si>
    <t>КТП №796 10/0,4кВ "Ритм 2000"</t>
  </si>
  <si>
    <t>40762248
(договор заключен 16.09.2013)</t>
  </si>
  <si>
    <t>40873817(договор заключен 17.06.2014)</t>
  </si>
  <si>
    <t>счётч.</t>
  </si>
  <si>
    <t>РЗА на стороне 6 кВ. Ограничение: 19,16 МВА. Ограничение по условию согласования защит с учетом нагрузки смежной стороны трансформатора. Технических мероприятий нет.</t>
  </si>
  <si>
    <t>40759337 (договор расторгнут 03.09.2014)</t>
  </si>
  <si>
    <t>172-ТП/04-08
40200188
(договор расторгнут 07.10.2014</t>
  </si>
  <si>
    <t>40412867
(договор расторгнут 30.12.2014)</t>
  </si>
  <si>
    <t xml:space="preserve">40835765
(договор расторгнут 03.12.2014) </t>
  </si>
  <si>
    <t>40614824
(договор расторгнут 23.12.2014)</t>
  </si>
  <si>
    <t>195-ТП/07-08
(договор расторгнут 26.05.2014)</t>
  </si>
  <si>
    <t>ООО "КРХ Нефедиха"</t>
  </si>
  <si>
    <t>ООО "Крестьянское загорье"</t>
  </si>
  <si>
    <t>Договор, заключенный в 27.02.2007 г., расторгнут 26.05.2014 г.</t>
  </si>
  <si>
    <t>40639104
(договор расторгнут 18.11.2014)</t>
  </si>
  <si>
    <t>40876843
(договор расторгнут 26.11.2014)</t>
  </si>
  <si>
    <t>271-ТП/02-09
(договор расторгнут 01.08.2014)</t>
  </si>
  <si>
    <t xml:space="preserve">40831899
(договор расторгнут 16.07.2014) </t>
  </si>
  <si>
    <t>40827591
(договор расторгнут 16.07.2014)</t>
  </si>
  <si>
    <t xml:space="preserve">40827582
(договор расторгнут 16.07.2014) </t>
  </si>
  <si>
    <t>40827587
(договор расторгнут 16.07.2014)</t>
  </si>
  <si>
    <t>40827583
(договор расторгнут 16.07.2014)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</si>
  <si>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</t>
  </si>
  <si>
    <t>40692152
(договор расторгнут 17.12.2014)</t>
  </si>
  <si>
    <t>40075717
(договор расторгнут 26.11.2014)</t>
  </si>
  <si>
    <t>40785555
(договор расторгнут 14.11.2014)</t>
  </si>
  <si>
    <t>Бытовые помещения_Конаковский район, Завидовский с/о</t>
  </si>
  <si>
    <t>40903906
(договор расторгнут 16.10.2014)</t>
  </si>
  <si>
    <t>Реабилитационный центр_Лихославльский район, Вескинское с/п,д. Владычня</t>
  </si>
  <si>
    <t>Договор, заключенный 27.09.2010 г., расторгнут 21.07.2014</t>
  </si>
  <si>
    <t>Жилые дома_в г. Торжок, Тверской области</t>
  </si>
  <si>
    <t>Договор, заключенный 17.06.2014, расторгнут 26.11.2014</t>
  </si>
  <si>
    <t>ООО "Содружество Тверских Садоводов"</t>
  </si>
  <si>
    <t>Жилой комплекс "Чистый ручей"_Калининский район, Никулинское сельское поселение,д. Мотавино</t>
  </si>
  <si>
    <t>40690431
(договор расторгнут 15.10.2014)</t>
  </si>
  <si>
    <t>Дачные дома_Удомельский район, Удомельское сельское поселение, д. Елманова Горка</t>
  </si>
  <si>
    <t xml:space="preserve">Договор, заключенный 14.01.2013 г., расторгнут 27.03.2014 </t>
  </si>
  <si>
    <t>ПС 35/10 кВ Гекса</t>
  </si>
  <si>
    <t>2х400</t>
  </si>
  <si>
    <t>2х250</t>
  </si>
  <si>
    <t>2х160</t>
  </si>
  <si>
    <t>250+160</t>
  </si>
  <si>
    <t>400+630</t>
  </si>
  <si>
    <t>250+180</t>
  </si>
  <si>
    <t>2х630</t>
  </si>
  <si>
    <t>160+250</t>
  </si>
  <si>
    <t>400+160</t>
  </si>
  <si>
    <t>ТП №572 (Яковлевское-1)</t>
  </si>
  <si>
    <t>ТП №573 (Яковлевское-2)</t>
  </si>
  <si>
    <t>ТП №570 (Крюково-техник-2)</t>
  </si>
  <si>
    <t>д.Б.Киселёнка</t>
  </si>
  <si>
    <t>ТП №575 (Газпромнефть)</t>
  </si>
  <si>
    <t>Нелидовский РЭС</t>
  </si>
  <si>
    <t>д.Белая Гора</t>
  </si>
  <si>
    <t>д.Большая Каменка</t>
  </si>
  <si>
    <t xml:space="preserve"> д.Бор</t>
  </si>
  <si>
    <t>д.Максимова Гора</t>
  </si>
  <si>
    <t xml:space="preserve">п. Монино  </t>
  </si>
  <si>
    <t xml:space="preserve">д.Нивы </t>
  </si>
  <si>
    <t xml:space="preserve">д.Никулинка </t>
  </si>
  <si>
    <t>д.Пустое Подлесье</t>
  </si>
  <si>
    <t xml:space="preserve">п.Селы </t>
  </si>
  <si>
    <t>КТП-6кВ Котедж</t>
  </si>
  <si>
    <t xml:space="preserve">п.Северный </t>
  </si>
  <si>
    <t xml:space="preserve">д.Кривцово </t>
  </si>
  <si>
    <t xml:space="preserve">д.Новоселки </t>
  </si>
  <si>
    <t>д.Дятловский Тупик</t>
  </si>
  <si>
    <t>д. Макарьево</t>
  </si>
  <si>
    <t>д.Малая Хмелевка</t>
  </si>
  <si>
    <t>д. Нивы</t>
  </si>
  <si>
    <t xml:space="preserve"> 2x250</t>
  </si>
  <si>
    <t>2*250</t>
  </si>
  <si>
    <t>ТП - 10 кВ 350 п. Ривицкий</t>
  </si>
  <si>
    <t>ТП - 10 кВ 351 п. Ривицкий</t>
  </si>
  <si>
    <t>ТП - 10 кВ 352 п. Ривицкий</t>
  </si>
  <si>
    <t>ТП - 10 кВ 353 п. Ривицкий</t>
  </si>
  <si>
    <t>ТП - 10 кВ 354 п. Ривицкий</t>
  </si>
  <si>
    <t>ТП - 10 кВ 355 п. Ривицкий</t>
  </si>
  <si>
    <t>ТП - 10 кВ 356 п. Ривицкий</t>
  </si>
  <si>
    <t>ТП - 10 кВ 357 п. Ривицкий</t>
  </si>
  <si>
    <t>ЗТПП-10кВ №25 "Водозабор"п.Максатиха</t>
  </si>
  <si>
    <t>КТП-10 кВ 358 "Спорткомплекс" п.Максатиха</t>
  </si>
  <si>
    <t>РП-10 "М-район" п. Максатиха</t>
  </si>
  <si>
    <t>ЗТП-10кВ №33 "Больница"п.Максатиха</t>
  </si>
  <si>
    <t>ЗТПП-10кВ №39 "РДК"п.Максатиха</t>
  </si>
  <si>
    <t>ЗТПП-10кВ №40 "Универмаг"п.Максатиха</t>
  </si>
  <si>
    <t>320</t>
  </si>
  <si>
    <t>2х10</t>
  </si>
  <si>
    <t>КТП 100 кВА №009 крешнево</t>
  </si>
  <si>
    <t>КТП 160 кВА №3 д.Неганово</t>
  </si>
  <si>
    <t xml:space="preserve">ТП 223     </t>
  </si>
  <si>
    <t xml:space="preserve">ТП 132  </t>
  </si>
  <si>
    <t xml:space="preserve">ТП 080    </t>
  </si>
  <si>
    <t xml:space="preserve">ТП 072   </t>
  </si>
  <si>
    <t xml:space="preserve">ТП 073  </t>
  </si>
  <si>
    <t xml:space="preserve">ТП 136   </t>
  </si>
  <si>
    <t xml:space="preserve">ТП 044   </t>
  </si>
  <si>
    <t xml:space="preserve">ТП 014   </t>
  </si>
  <si>
    <t xml:space="preserve">ТП 066  </t>
  </si>
  <si>
    <t xml:space="preserve">ТП 164   </t>
  </si>
  <si>
    <t xml:space="preserve">ТП 137   </t>
  </si>
  <si>
    <t xml:space="preserve">ТП 130  </t>
  </si>
  <si>
    <t xml:space="preserve">ТП 131   </t>
  </si>
  <si>
    <t xml:space="preserve">ТП 145   </t>
  </si>
  <si>
    <t xml:space="preserve">ТП 147   </t>
  </si>
  <si>
    <t xml:space="preserve">ТП 152  </t>
  </si>
  <si>
    <t xml:space="preserve">ТП 129   </t>
  </si>
  <si>
    <t xml:space="preserve">ТП 217  </t>
  </si>
  <si>
    <t xml:space="preserve">ТП 195  </t>
  </si>
  <si>
    <t xml:space="preserve">ТП 230  </t>
  </si>
  <si>
    <t xml:space="preserve">ТП 082  </t>
  </si>
  <si>
    <t xml:space="preserve">ТП 172   </t>
  </si>
  <si>
    <t xml:space="preserve">ТП 194   </t>
  </si>
  <si>
    <t xml:space="preserve">ТП 096  </t>
  </si>
  <si>
    <t xml:space="preserve">ТП 112  </t>
  </si>
  <si>
    <t xml:space="preserve">ТП 126  </t>
  </si>
  <si>
    <t xml:space="preserve">ТП 141   </t>
  </si>
  <si>
    <t xml:space="preserve">ТП 209  </t>
  </si>
  <si>
    <t xml:space="preserve">ТП 120   </t>
  </si>
  <si>
    <t xml:space="preserve">ТП 207  </t>
  </si>
  <si>
    <t xml:space="preserve">ТП 055   </t>
  </si>
  <si>
    <t xml:space="preserve">ТП 056  </t>
  </si>
  <si>
    <t xml:space="preserve">ТП 229  </t>
  </si>
  <si>
    <t xml:space="preserve">ТП 205   </t>
  </si>
  <si>
    <t xml:space="preserve">ТП 018   </t>
  </si>
  <si>
    <t xml:space="preserve">ТП 109   </t>
  </si>
  <si>
    <t xml:space="preserve">ТП 053   </t>
  </si>
  <si>
    <t xml:space="preserve">ТП 148  </t>
  </si>
  <si>
    <t xml:space="preserve">ТП 060   </t>
  </si>
  <si>
    <t xml:space="preserve">ТП 224  </t>
  </si>
  <si>
    <t xml:space="preserve">ТП 114    </t>
  </si>
  <si>
    <t xml:space="preserve">ТП 199   </t>
  </si>
  <si>
    <t xml:space="preserve">ТП 062   </t>
  </si>
  <si>
    <t xml:space="preserve">ТП 064  </t>
  </si>
  <si>
    <t xml:space="preserve">ТП 049   </t>
  </si>
  <si>
    <t xml:space="preserve">ТП 169  </t>
  </si>
  <si>
    <t xml:space="preserve">ТП 170   </t>
  </si>
  <si>
    <t xml:space="preserve">ТП 171  </t>
  </si>
  <si>
    <t xml:space="preserve">ТП 173   </t>
  </si>
  <si>
    <t xml:space="preserve">ТП 047   </t>
  </si>
  <si>
    <t xml:space="preserve">ТП 069  </t>
  </si>
  <si>
    <t xml:space="preserve">ТП 070   </t>
  </si>
  <si>
    <t xml:space="preserve">ТП 102   </t>
  </si>
  <si>
    <t xml:space="preserve">ТП 204   </t>
  </si>
  <si>
    <t xml:space="preserve">ТП 051   </t>
  </si>
  <si>
    <t xml:space="preserve">ТП 111   </t>
  </si>
  <si>
    <t xml:space="preserve">ТП 188   </t>
  </si>
  <si>
    <t xml:space="preserve">ТП 150   </t>
  </si>
  <si>
    <t xml:space="preserve">ТП 143  </t>
  </si>
  <si>
    <t xml:space="preserve">ТП 017  </t>
  </si>
  <si>
    <t xml:space="preserve">ТП 226   </t>
  </si>
  <si>
    <t xml:space="preserve">ТП 165   </t>
  </si>
  <si>
    <t xml:space="preserve">ТП 168   </t>
  </si>
  <si>
    <t xml:space="preserve">ТП 046  </t>
  </si>
  <si>
    <t xml:space="preserve">ТП 186   </t>
  </si>
  <si>
    <t xml:space="preserve">ТП 210  </t>
  </si>
  <si>
    <t xml:space="preserve">ТП 211   </t>
  </si>
  <si>
    <t xml:space="preserve">ТП 048   </t>
  </si>
  <si>
    <t xml:space="preserve">ТП 153  </t>
  </si>
  <si>
    <t xml:space="preserve">ТП 155    </t>
  </si>
  <si>
    <t xml:space="preserve">ТП 156   </t>
  </si>
  <si>
    <t xml:space="preserve">ТП 157   </t>
  </si>
  <si>
    <t xml:space="preserve">ТП 158  </t>
  </si>
  <si>
    <t xml:space="preserve">ТП 159   </t>
  </si>
  <si>
    <t xml:space="preserve">ТП 160  </t>
  </si>
  <si>
    <t xml:space="preserve">ТП 175   </t>
  </si>
  <si>
    <t xml:space="preserve">ТП 176  </t>
  </si>
  <si>
    <t xml:space="preserve">ТП 177  </t>
  </si>
  <si>
    <t xml:space="preserve">ТП 179  </t>
  </si>
  <si>
    <t xml:space="preserve">ТП 180  </t>
  </si>
  <si>
    <t xml:space="preserve">ТП 119   </t>
  </si>
  <si>
    <t xml:space="preserve">ТП 219   </t>
  </si>
  <si>
    <t xml:space="preserve">ТП 196  </t>
  </si>
  <si>
    <t xml:space="preserve">ТП 086   </t>
  </si>
  <si>
    <t xml:space="preserve">ТП 087   </t>
  </si>
  <si>
    <t xml:space="preserve">ТП 088   </t>
  </si>
  <si>
    <t xml:space="preserve">ТП 089  </t>
  </si>
  <si>
    <t xml:space="preserve">ТП 200   </t>
  </si>
  <si>
    <t xml:space="preserve">ТП 206  </t>
  </si>
  <si>
    <t xml:space="preserve">ТП 135  </t>
  </si>
  <si>
    <t xml:space="preserve">ТП 021   </t>
  </si>
  <si>
    <t xml:space="preserve">ТП 022   </t>
  </si>
  <si>
    <t xml:space="preserve">ТП 024  </t>
  </si>
  <si>
    <t xml:space="preserve">ТП 025   </t>
  </si>
  <si>
    <t xml:space="preserve">ТП 026   </t>
  </si>
  <si>
    <t xml:space="preserve">ТП 095   </t>
  </si>
  <si>
    <t xml:space="preserve">ТП 071   </t>
  </si>
  <si>
    <t xml:space="preserve">ТП 146 </t>
  </si>
  <si>
    <t xml:space="preserve">ТП 015  </t>
  </si>
  <si>
    <t xml:space="preserve">ТП 083    </t>
  </si>
  <si>
    <t xml:space="preserve">ТП 213  </t>
  </si>
  <si>
    <t xml:space="preserve">ТП 107   </t>
  </si>
  <si>
    <t xml:space="preserve">ТП 142  </t>
  </si>
  <si>
    <t xml:space="preserve">ТП 218  </t>
  </si>
  <si>
    <t xml:space="preserve">ТП 140  </t>
  </si>
  <si>
    <t xml:space="preserve">ТП 106   </t>
  </si>
  <si>
    <t xml:space="preserve">ТП 185   </t>
  </si>
  <si>
    <t xml:space="preserve">ТП 149  </t>
  </si>
  <si>
    <t xml:space="preserve">ТП 039  </t>
  </si>
  <si>
    <t xml:space="preserve">ТП 108   </t>
  </si>
  <si>
    <t xml:space="preserve">ТП 166   </t>
  </si>
  <si>
    <t xml:space="preserve">ТП 128   </t>
  </si>
  <si>
    <t xml:space="preserve">ТП 019   </t>
  </si>
  <si>
    <t xml:space="preserve">ТП 103   </t>
  </si>
  <si>
    <t xml:space="preserve">ТП 009   </t>
  </si>
  <si>
    <t xml:space="preserve">ТП 081    </t>
  </si>
  <si>
    <t xml:space="preserve">ТП 010   </t>
  </si>
  <si>
    <t xml:space="preserve">ТП 016   </t>
  </si>
  <si>
    <t xml:space="preserve">ТП 061   </t>
  </si>
  <si>
    <t xml:space="preserve">ТП 167   </t>
  </si>
  <si>
    <t xml:space="preserve">ТП 215   </t>
  </si>
  <si>
    <t xml:space="preserve">ТП 011   </t>
  </si>
  <si>
    <t xml:space="preserve">ТП 104   </t>
  </si>
  <si>
    <t xml:space="preserve">ТП 198   </t>
  </si>
  <si>
    <t xml:space="preserve">ТП 151   </t>
  </si>
  <si>
    <t xml:space="preserve">ТП 212  </t>
  </si>
  <si>
    <t xml:space="preserve">ТП 041   </t>
  </si>
  <si>
    <t xml:space="preserve">ТП 013   </t>
  </si>
  <si>
    <t xml:space="preserve">ТП 216  </t>
  </si>
  <si>
    <t xml:space="preserve">ТП 054   </t>
  </si>
  <si>
    <t xml:space="preserve">ТП 113  </t>
  </si>
  <si>
    <t xml:space="preserve">ТП 045  </t>
  </si>
  <si>
    <t xml:space="preserve">ТП 100   </t>
  </si>
  <si>
    <t xml:space="preserve">ТП 093   </t>
  </si>
  <si>
    <t xml:space="preserve">ТП 094   </t>
  </si>
  <si>
    <t xml:space="preserve">ТП 098   </t>
  </si>
  <si>
    <t xml:space="preserve">ТП 154  </t>
  </si>
  <si>
    <t xml:space="preserve">ТП 197   </t>
  </si>
  <si>
    <t xml:space="preserve">ТП 161  </t>
  </si>
  <si>
    <t xml:space="preserve">ТП 117   </t>
  </si>
  <si>
    <t xml:space="preserve">ТП 118   </t>
  </si>
  <si>
    <t xml:space="preserve">ТП 116   </t>
  </si>
  <si>
    <t xml:space="preserve">ТП 050   </t>
  </si>
  <si>
    <t xml:space="preserve">ТП 181   </t>
  </si>
  <si>
    <t xml:space="preserve">ТП 182  </t>
  </si>
  <si>
    <t xml:space="preserve">ТП 133  </t>
  </si>
  <si>
    <t xml:space="preserve">ТП 134  </t>
  </si>
  <si>
    <t xml:space="preserve">ТП 189    </t>
  </si>
  <si>
    <t xml:space="preserve">ТП 208  </t>
  </si>
  <si>
    <t xml:space="preserve">ТП 101   </t>
  </si>
  <si>
    <t xml:space="preserve">ТП 115   </t>
  </si>
  <si>
    <t xml:space="preserve">ТП 190    </t>
  </si>
  <si>
    <t xml:space="preserve">ТП 191   </t>
  </si>
  <si>
    <t xml:space="preserve">ТП 192  </t>
  </si>
  <si>
    <t xml:space="preserve">ТП 193    </t>
  </si>
  <si>
    <t xml:space="preserve">ТП 201  </t>
  </si>
  <si>
    <t xml:space="preserve">ТП 202   </t>
  </si>
  <si>
    <t xml:space="preserve">ТП 203  </t>
  </si>
  <si>
    <t xml:space="preserve">ТП 228   </t>
  </si>
  <si>
    <t xml:space="preserve">ТП 020  </t>
  </si>
  <si>
    <t xml:space="preserve">ТП 139   </t>
  </si>
  <si>
    <t xml:space="preserve">ТП 105   </t>
  </si>
  <si>
    <t xml:space="preserve">ТП 074  </t>
  </si>
  <si>
    <t xml:space="preserve">ТП 183  </t>
  </si>
  <si>
    <t xml:space="preserve">ТП 144   </t>
  </si>
  <si>
    <t xml:space="preserve">ТП 162   </t>
  </si>
  <si>
    <t xml:space="preserve">ТП 163  </t>
  </si>
  <si>
    <t xml:space="preserve">ТП 097   </t>
  </si>
  <si>
    <t xml:space="preserve">ТП 138   </t>
  </si>
  <si>
    <t xml:space="preserve">ТП 031  </t>
  </si>
  <si>
    <t xml:space="preserve">ТП 032   </t>
  </si>
  <si>
    <t xml:space="preserve">ТП 033   </t>
  </si>
  <si>
    <t xml:space="preserve">ТП 034   </t>
  </si>
  <si>
    <t xml:space="preserve">ТП 030   </t>
  </si>
  <si>
    <t xml:space="preserve">ТП 214  </t>
  </si>
  <si>
    <t xml:space="preserve">ТП 099   </t>
  </si>
  <si>
    <t xml:space="preserve">ТП 187  </t>
  </si>
  <si>
    <t xml:space="preserve">ТП 057   </t>
  </si>
  <si>
    <t xml:space="preserve">ТП 058   </t>
  </si>
  <si>
    <t xml:space="preserve">ТП 059   </t>
  </si>
  <si>
    <t xml:space="preserve">ТП 052  </t>
  </si>
  <si>
    <t xml:space="preserve">ТП 075   </t>
  </si>
  <si>
    <t xml:space="preserve">ТП 076   </t>
  </si>
  <si>
    <t xml:space="preserve">ТП 077  </t>
  </si>
  <si>
    <t xml:space="preserve">ТП 078  </t>
  </si>
  <si>
    <t xml:space="preserve">ТП 079   </t>
  </si>
  <si>
    <t xml:space="preserve">ТП 121   </t>
  </si>
  <si>
    <t xml:space="preserve">ТП 122  </t>
  </si>
  <si>
    <t xml:space="preserve">ТП 123   </t>
  </si>
  <si>
    <t xml:space="preserve">ТП 124   </t>
  </si>
  <si>
    <t xml:space="preserve">ТП 125  </t>
  </si>
  <si>
    <t xml:space="preserve">ТП 127   </t>
  </si>
  <si>
    <t xml:space="preserve">ТП 042   </t>
  </si>
  <si>
    <t xml:space="preserve">ТП 001   </t>
  </si>
  <si>
    <t xml:space="preserve">ТП 002   </t>
  </si>
  <si>
    <t xml:space="preserve">ТП 003   </t>
  </si>
  <si>
    <t xml:space="preserve">ТП 004   </t>
  </si>
  <si>
    <t xml:space="preserve">ТП 005   </t>
  </si>
  <si>
    <t xml:space="preserve">ТП 006   </t>
  </si>
  <si>
    <t xml:space="preserve">ТП 007   </t>
  </si>
  <si>
    <t xml:space="preserve">ТП 008   </t>
  </si>
  <si>
    <t xml:space="preserve">ТП 225  </t>
  </si>
  <si>
    <t xml:space="preserve">ТП 027   </t>
  </si>
  <si>
    <t xml:space="preserve">ТП 028  </t>
  </si>
  <si>
    <t xml:space="preserve">ТП 029   </t>
  </si>
  <si>
    <t xml:space="preserve">ТП 035   </t>
  </si>
  <si>
    <t xml:space="preserve">ТП 036   </t>
  </si>
  <si>
    <t xml:space="preserve">ТП 037  </t>
  </si>
  <si>
    <t xml:space="preserve">ТП 038   </t>
  </si>
  <si>
    <t xml:space="preserve">ТП 090  </t>
  </si>
  <si>
    <t xml:space="preserve">ТП 091  </t>
  </si>
  <si>
    <t xml:space="preserve">ТП 092   </t>
  </si>
  <si>
    <t xml:space="preserve">ТП 040   </t>
  </si>
  <si>
    <t xml:space="preserve">ТП 012 </t>
  </si>
  <si>
    <t xml:space="preserve">160 </t>
  </si>
  <si>
    <t xml:space="preserve">250 </t>
  </si>
  <si>
    <t xml:space="preserve">100 </t>
  </si>
  <si>
    <t xml:space="preserve">400 </t>
  </si>
  <si>
    <t>800</t>
  </si>
  <si>
    <t>1030</t>
  </si>
  <si>
    <t>200</t>
  </si>
  <si>
    <t>500</t>
  </si>
  <si>
    <t>350</t>
  </si>
  <si>
    <t>630</t>
  </si>
  <si>
    <t xml:space="preserve">40 </t>
  </si>
  <si>
    <t xml:space="preserve">60 </t>
  </si>
  <si>
    <t>130</t>
  </si>
  <si>
    <t>180</t>
  </si>
  <si>
    <t>ООО "Строй-Мода"</t>
  </si>
  <si>
    <t>30-ти квартирные жилые дома_Тверская обл,Ржевский район, с/п "Победа",пос.Победа (земельный участок с кадастровым номером 69:27:0191310:4)</t>
  </si>
  <si>
    <t>41000225
(договор заключен 08.12.2014)</t>
  </si>
  <si>
    <t>Ефименко Геннадий Владимирович</t>
  </si>
  <si>
    <t>Хозпостройка_Кимрский район, Титовское с\п, район д. Притыкино (земельный участок с кадастровым номером 69:14:0000021:2599)</t>
  </si>
  <si>
    <t>40987163
(договор заключен 09.12.2014)</t>
  </si>
  <si>
    <t>Воеводина Наталья Юрьевна</t>
  </si>
  <si>
    <t>Жилой дом_Тверская область, Кашинский район, Фарафоновское с\п, дер. Киселево (земельный участок с кадастровым номером 69:12:0130601:39)</t>
  </si>
  <si>
    <t>40978177
(договор заключен 11.12.2014)</t>
  </si>
  <si>
    <t>ООО "Дискавери-Пено"</t>
  </si>
  <si>
    <t>Промышленная нагрузка_Пеновский район, пгт. Пено, ул. Жагренкова (кадастровые номера 69:25:0070201:18,69:25:0070201:19,69:25:0070107:1022,69:25:00:1/113/26/10001/А)</t>
  </si>
  <si>
    <t>40981878
(договор заключен 12.12.2014)</t>
  </si>
  <si>
    <t>Суслов Олег Борисович</t>
  </si>
  <si>
    <t>Жилой дом_Селижаровский район, Шуваевское с/п,дер. Колобово, ул. Приозерная, д.8 (кадастровый номер 69:29:0141001:97)</t>
  </si>
  <si>
    <t>40990583
(договор заключен 12.01.2014)</t>
  </si>
  <si>
    <t>Иванов Сергей Васильевич</t>
  </si>
  <si>
    <t>Досуговый центр_Калининский район, Бурашевское с/п,дер. Игнатово (земельный участок с кадастровым номером 69:10:0000025:1628)</t>
  </si>
  <si>
    <t>40896578
(договор заключен 15.12.2014)</t>
  </si>
  <si>
    <t>Государственное бюджетное учреждение здравоохранения Тверской области "Конаковская центральная районая больница" (ГБУЗ "КЦРБ")</t>
  </si>
  <si>
    <t>Газовая котельная и участковая больница_Конаковский район, гпп. Козлово, пгт. Козлово, ул. Речная, д. 2 (кадастровый номер 69:15:0230114:48)</t>
  </si>
  <si>
    <t>40985350
(договор заключен 14.10.2014)</t>
  </si>
  <si>
    <t>Муниципальное бюджетное дошкольное образовательное учреждение "Погорельский детский сад" (МБДОУ "Погорельский детский сад")</t>
  </si>
  <si>
    <t>Здание детского сада (для термических целей)_Зубцовский район, Погорельское с\п, с. Погорелое Городище, ул.Комсомольская, д.26 (земельный участок с кадастровым номером 69:09:0191727:0017)</t>
  </si>
  <si>
    <t>40982179
(договор заключен 19.12.2014)</t>
  </si>
  <si>
    <t>Хрущев Олег Викторович</t>
  </si>
  <si>
    <t>Жилые дома_Калининский район, Каблуковское с/п, дер. Домниково (земельный участок с кадастровым номером 69:10:0000019:311)</t>
  </si>
  <si>
    <t>40964885
(договор заключен 23.12.2014)</t>
  </si>
  <si>
    <t>ГК "Российские автомобильные дороги " Санкт-Петербургское территориальное управление</t>
  </si>
  <si>
    <t>Промышленная нагрузка_Бологовский район, на автомобильной дороге "Россия" Москва-Санкт-Петербург на участке км 329+678 - км 388+978</t>
  </si>
  <si>
    <t>40908094
(договор заключен 22.12.2014)</t>
  </si>
  <si>
    <t>ГК "Российские автомобильные дороги"</t>
  </si>
  <si>
    <t>Промышленная нагрузка_Бологовский район на скоростной автомобильной дороге Москва-Санкт-Петербург на участке  км 329+678</t>
  </si>
  <si>
    <t>40908198
(договор заключен 22.12.2014)</t>
  </si>
  <si>
    <t>Тверской ЦГМС-Филиал ФГБУ "Центральное УГМС"</t>
  </si>
  <si>
    <t>Нежилые помещения_г. Тверь, промзона Лазурная, д.35</t>
  </si>
  <si>
    <t>40967281
(договор заключен 29.12.2014)</t>
  </si>
  <si>
    <t>Ракитянская Нина Васильевна</t>
  </si>
  <si>
    <t>Жилой дом_Зубцовский район, Вазузское с\п, дер. Григорово, д.12 (земельный участок с кадастровым номером 69:09:01181001:16)</t>
  </si>
  <si>
    <t>41008134
(договор заключен 22.12.2014)</t>
  </si>
  <si>
    <t>Дундуков Сергей Николаевич</t>
  </si>
  <si>
    <t>Индустриальный парк "Корчмидово"_Зубцовский район, Погорельское с/п, дер. Старое, в границах СХП колхоза "им. Чкалова" (земельный участок с кадастровым номером 69:09:0000019:684)</t>
  </si>
  <si>
    <t>40876867
(договор заключен 13.01.2015)</t>
  </si>
  <si>
    <t>2015 г</t>
  </si>
  <si>
    <t>Каров Андрей Сергеевич</t>
  </si>
  <si>
    <t>Хозяйственные постройки_Зубцовский район, Погорельское с/п, в границах СХП "Устиновский" (земельные участки с 1/10 и 9/10 частями доли с кадастровым номером 69:09:0000028:317)</t>
  </si>
  <si>
    <t>40996511
(договор заключен 14.07.2015)</t>
  </si>
  <si>
    <t>Савватьева Мария Васильевна</t>
  </si>
  <si>
    <t>Жилой дом_Тверская область, Старицкий район, с/п Степуринское, дер. Алферово, д. 1(кадастровые номера 69:32:0310101:81,69:32:0310101:135)</t>
  </si>
  <si>
    <t>40993805
(договор заключен 22.01.2015)</t>
  </si>
  <si>
    <t>ООО "Ручьевское"</t>
  </si>
  <si>
    <t>Зона Бежецкие электрические сети</t>
  </si>
  <si>
    <t>ИТОГО:</t>
  </si>
  <si>
    <t>Зона Тверские электрические сети</t>
  </si>
  <si>
    <t>2018 г</t>
  </si>
  <si>
    <t>40676258
(договор расторгнут 28.10.2013)</t>
  </si>
  <si>
    <t xml:space="preserve"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 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</si>
  <si>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21.03.13_</t>
  </si>
  <si>
    <t>договор расторгнут 14.05.2014</t>
  </si>
  <si>
    <t>таблица1</t>
  </si>
  <si>
    <t>таблица2</t>
  </si>
  <si>
    <t>ПС 35/10 кВ Алексейково</t>
  </si>
  <si>
    <t>д Домкино</t>
  </si>
  <si>
    <t>10/0,4кВ ТП 147</t>
  </si>
  <si>
    <t>КТПП Удомельский ЖК</t>
  </si>
  <si>
    <t>Ясная поляна-2</t>
  </si>
  <si>
    <t>Бочурино</t>
  </si>
  <si>
    <t>Загорье</t>
  </si>
  <si>
    <t>СОТ Связь</t>
  </si>
  <si>
    <t>Связь</t>
  </si>
  <si>
    <t>Возрождение</t>
  </si>
  <si>
    <t>Металлист</t>
  </si>
  <si>
    <t xml:space="preserve">КТП-10кВ Обудово-2  </t>
  </si>
  <si>
    <t xml:space="preserve">ЗТП-10кВ Обудово-4 </t>
  </si>
  <si>
    <t>140</t>
  </si>
  <si>
    <t>32</t>
  </si>
  <si>
    <t>120</t>
  </si>
  <si>
    <t>46</t>
  </si>
  <si>
    <t>129</t>
  </si>
  <si>
    <t>82</t>
  </si>
  <si>
    <t>д.Озеры</t>
  </si>
  <si>
    <t xml:space="preserve">ТП 141 </t>
  </si>
  <si>
    <t>КТП Колбасино</t>
  </si>
  <si>
    <t>2х500</t>
  </si>
  <si>
    <t>2х800</t>
  </si>
  <si>
    <t>2х320</t>
  </si>
  <si>
    <t>2х650</t>
  </si>
  <si>
    <t>КТП Поповка</t>
  </si>
  <si>
    <t>КТП Лужки -2</t>
  </si>
  <si>
    <t xml:space="preserve">КТП Городище </t>
  </si>
  <si>
    <t xml:space="preserve">КТП Мехтенево </t>
  </si>
  <si>
    <t>КТП Захаркино-1</t>
  </si>
  <si>
    <t>2х100</t>
  </si>
  <si>
    <t>38.5</t>
  </si>
  <si>
    <t>320+180</t>
  </si>
  <si>
    <t>400х2</t>
  </si>
  <si>
    <t xml:space="preserve"> ТП 10/0,4 кВ.Бухлово 4 ферма</t>
  </si>
  <si>
    <t>360х340</t>
  </si>
  <si>
    <t>д.Зашишевье</t>
  </si>
  <si>
    <t>ТП 10/0.4 кВ Зашишевье</t>
  </si>
  <si>
    <t>д.Починок (Сороки)</t>
  </si>
  <si>
    <t>ТП 10/0.4 кВ Починок</t>
  </si>
  <si>
    <t>п.Кесова Гора</t>
  </si>
  <si>
    <t>КТП 10 кВ ОРТПЦ</t>
  </si>
  <si>
    <t>КТП 10 кВ Васильково быт</t>
  </si>
  <si>
    <t>10/0,4 кВ СтТП Борки-Мосты</t>
  </si>
  <si>
    <t>Количество Закрытых дефицитных двухтрансформаторных ЦП с загрузкой более 105%</t>
  </si>
  <si>
    <t xml:space="preserve">Славное </t>
  </si>
  <si>
    <t>д.Перемилово</t>
  </si>
  <si>
    <t>Перемилово</t>
  </si>
  <si>
    <t xml:space="preserve">д.Заполье </t>
  </si>
  <si>
    <t>Заполье</t>
  </si>
  <si>
    <t>Б.Кушаль №7</t>
  </si>
  <si>
    <t>д.Пантелеево</t>
  </si>
  <si>
    <t>Пантелеево</t>
  </si>
  <si>
    <t>2x400</t>
  </si>
  <si>
    <t>400+100</t>
  </si>
  <si>
    <t>320+400</t>
  </si>
  <si>
    <t>140+25</t>
  </si>
  <si>
    <t>320+250</t>
  </si>
  <si>
    <t>400+250</t>
  </si>
  <si>
    <t>400+320</t>
  </si>
  <si>
    <t>85+250</t>
  </si>
  <si>
    <t>630+400</t>
  </si>
  <si>
    <t xml:space="preserve"> ЗТП 10/0,4 Вахонино 1   </t>
  </si>
  <si>
    <t xml:space="preserve">ЗТП 10/0,4  Вахонино 2   </t>
  </si>
  <si>
    <t xml:space="preserve"> КТП 10/0,4  Вахонино 4   </t>
  </si>
  <si>
    <t xml:space="preserve"> КТП 10/0,4 Свердлово1   </t>
  </si>
  <si>
    <t>Т1-400, Т2-240</t>
  </si>
  <si>
    <t>630+530</t>
  </si>
  <si>
    <t>250+215</t>
  </si>
  <si>
    <t>190+190</t>
  </si>
  <si>
    <t>250+75</t>
  </si>
  <si>
    <t>г. Зубцов</t>
  </si>
  <si>
    <t>д. Аболешево</t>
  </si>
  <si>
    <t xml:space="preserve">д. Аболешево  </t>
  </si>
  <si>
    <t>д. Абутьково</t>
  </si>
  <si>
    <t xml:space="preserve">д. Акулино  </t>
  </si>
  <si>
    <t>д. Александровка</t>
  </si>
  <si>
    <t xml:space="preserve">д. Александровка </t>
  </si>
  <si>
    <t xml:space="preserve">д. Алексино </t>
  </si>
  <si>
    <t xml:space="preserve">д. Аннино </t>
  </si>
  <si>
    <t xml:space="preserve">д. Аннино  </t>
  </si>
  <si>
    <t xml:space="preserve">д. Аполево </t>
  </si>
  <si>
    <t xml:space="preserve">д. Б.Кобяково  </t>
  </si>
  <si>
    <t xml:space="preserve">д. Балашково </t>
  </si>
  <si>
    <t xml:space="preserve">д. Батаково </t>
  </si>
  <si>
    <t xml:space="preserve">д. Батино  </t>
  </si>
  <si>
    <t xml:space="preserve">д. Безумово  </t>
  </si>
  <si>
    <t>д. Белавино</t>
  </si>
  <si>
    <t xml:space="preserve">д. Белянки  </t>
  </si>
  <si>
    <t xml:space="preserve">д. Березниково  </t>
  </si>
  <si>
    <t xml:space="preserve">д. Бесикино  </t>
  </si>
  <si>
    <t>д. Благинино</t>
  </si>
  <si>
    <t>д. Боброво</t>
  </si>
  <si>
    <t xml:space="preserve">д. Богуслово  </t>
  </si>
  <si>
    <t xml:space="preserve">д. Болотово  </t>
  </si>
  <si>
    <t xml:space="preserve">д. Борки </t>
  </si>
  <si>
    <t xml:space="preserve">д. Ботино  </t>
  </si>
  <si>
    <t>д. Брычево</t>
  </si>
  <si>
    <t xml:space="preserve">д. Брычево </t>
  </si>
  <si>
    <t xml:space="preserve">д. Бубново  </t>
  </si>
  <si>
    <t xml:space="preserve">д. Буево  </t>
  </si>
  <si>
    <t xml:space="preserve">д. Буевский Тракт  </t>
  </si>
  <si>
    <t xml:space="preserve">д. Букино </t>
  </si>
  <si>
    <t xml:space="preserve">д. Быково  </t>
  </si>
  <si>
    <t xml:space="preserve">д. Варюшино  </t>
  </si>
  <si>
    <t xml:space="preserve">д. Васильевское </t>
  </si>
  <si>
    <t>д. Вахново</t>
  </si>
  <si>
    <t xml:space="preserve">д. Вахново </t>
  </si>
  <si>
    <t xml:space="preserve">д. Вашутино  </t>
  </si>
  <si>
    <t xml:space="preserve">д. Веригино </t>
  </si>
  <si>
    <t xml:space="preserve">д. Вершино </t>
  </si>
  <si>
    <t xml:space="preserve">д. Волосово   </t>
  </si>
  <si>
    <t>д. Воскресенское</t>
  </si>
  <si>
    <t xml:space="preserve">д. Воскресенское  </t>
  </si>
  <si>
    <t xml:space="preserve">д. Выгодово </t>
  </si>
  <si>
    <t>д. Высокино</t>
  </si>
  <si>
    <t xml:space="preserve">д. Гармоново  </t>
  </si>
  <si>
    <t xml:space="preserve">д. Гнездилово  </t>
  </si>
  <si>
    <t xml:space="preserve">д. Головино  </t>
  </si>
  <si>
    <t xml:space="preserve">д. Горлово  </t>
  </si>
  <si>
    <t xml:space="preserve">д. Горшково  </t>
  </si>
  <si>
    <t xml:space="preserve">д. Гостовня  </t>
  </si>
  <si>
    <t xml:space="preserve">д. Григорово </t>
  </si>
  <si>
    <t xml:space="preserve">д. Губинка  </t>
  </si>
  <si>
    <t xml:space="preserve">д. Дальнее  </t>
  </si>
  <si>
    <t xml:space="preserve">д. Денежное </t>
  </si>
  <si>
    <t xml:space="preserve">д. Денисовка  </t>
  </si>
  <si>
    <t>д. Дерибино</t>
  </si>
  <si>
    <t xml:space="preserve">д. Дерибино </t>
  </si>
  <si>
    <t xml:space="preserve">д. Дмитрово  </t>
  </si>
  <si>
    <t xml:space="preserve">д. Добрынино  </t>
  </si>
  <si>
    <t>д. Дорожаево</t>
  </si>
  <si>
    <t xml:space="preserve">д. Дорожаево  </t>
  </si>
  <si>
    <t xml:space="preserve">д. Дорофеево </t>
  </si>
  <si>
    <t xml:space="preserve">д. Дубровка </t>
  </si>
  <si>
    <t xml:space="preserve">д. Дурнево  </t>
  </si>
  <si>
    <t xml:space="preserve">д. Желнино  </t>
  </si>
  <si>
    <t xml:space="preserve">д. Желудово  </t>
  </si>
  <si>
    <t xml:space="preserve">д. Житново </t>
  </si>
  <si>
    <t>д. Заброво</t>
  </si>
  <si>
    <t xml:space="preserve">д. Запруднево  </t>
  </si>
  <si>
    <t xml:space="preserve">д. Зеленково  </t>
  </si>
  <si>
    <t xml:space="preserve">д. Землероб   </t>
  </si>
  <si>
    <t>д. Золотилово</t>
  </si>
  <si>
    <t xml:space="preserve">д. Золотилово  </t>
  </si>
  <si>
    <t>д. Зуево</t>
  </si>
  <si>
    <t xml:space="preserve">д. Иванцево </t>
  </si>
  <si>
    <t xml:space="preserve">д. Ивашково  </t>
  </si>
  <si>
    <t>д. Игнатово</t>
  </si>
  <si>
    <t xml:space="preserve">д. Игнатово </t>
  </si>
  <si>
    <t xml:space="preserve">д. Игуменка  </t>
  </si>
  <si>
    <t>д. Исаково</t>
  </si>
  <si>
    <t xml:space="preserve">д. Истратово  </t>
  </si>
  <si>
    <t xml:space="preserve">д. Казаркино  </t>
  </si>
  <si>
    <t xml:space="preserve">д. Калачёво </t>
  </si>
  <si>
    <t xml:space="preserve">д. Калачево  </t>
  </si>
  <si>
    <t xml:space="preserve">д. Карабаново  </t>
  </si>
  <si>
    <t>д. Карамзино</t>
  </si>
  <si>
    <t xml:space="preserve">д. Карамзино </t>
  </si>
  <si>
    <t xml:space="preserve">д. Карганово  </t>
  </si>
  <si>
    <t>д. Каргашино</t>
  </si>
  <si>
    <t xml:space="preserve">д. Каргашино </t>
  </si>
  <si>
    <t>д. Карьер</t>
  </si>
  <si>
    <t xml:space="preserve">д. Каськово </t>
  </si>
  <si>
    <t xml:space="preserve">д. Кашенцево  </t>
  </si>
  <si>
    <t>д. Кн. Горы</t>
  </si>
  <si>
    <t xml:space="preserve">д. Кн. Горы  </t>
  </si>
  <si>
    <t>д. Кн.Горы</t>
  </si>
  <si>
    <t xml:space="preserve">д. Козлово   </t>
  </si>
  <si>
    <t>д. Колесниково</t>
  </si>
  <si>
    <t xml:space="preserve">д. Колчеватики  </t>
  </si>
  <si>
    <t xml:space="preserve">д. Коммуна  </t>
  </si>
  <si>
    <t xml:space="preserve">д. Кондраково </t>
  </si>
  <si>
    <t xml:space="preserve">д. Коньково  </t>
  </si>
  <si>
    <t xml:space="preserve">д. Коптево  </t>
  </si>
  <si>
    <t xml:space="preserve">д. Копылово </t>
  </si>
  <si>
    <t xml:space="preserve">д. Коробино  </t>
  </si>
  <si>
    <t xml:space="preserve">д. Коротнево  </t>
  </si>
  <si>
    <t xml:space="preserve">д. Коршиково  </t>
  </si>
  <si>
    <t xml:space="preserve">д. Костино  </t>
  </si>
  <si>
    <t xml:space="preserve">д. Кр. Холм </t>
  </si>
  <si>
    <t xml:space="preserve">д. Красново  </t>
  </si>
  <si>
    <t xml:space="preserve">д. Красный Сад  </t>
  </si>
  <si>
    <t xml:space="preserve">д. Кузьминка </t>
  </si>
  <si>
    <t xml:space="preserve">д. Кулотино  </t>
  </si>
  <si>
    <t xml:space="preserve">д. Кульшево </t>
  </si>
  <si>
    <t xml:space="preserve">д. Курьково  </t>
  </si>
  <si>
    <t xml:space="preserve">д. Кучино  </t>
  </si>
  <si>
    <t xml:space="preserve">д. Леоново </t>
  </si>
  <si>
    <t xml:space="preserve">д. Лесково  </t>
  </si>
  <si>
    <t xml:space="preserve">д. Лещихино  </t>
  </si>
  <si>
    <t>д. Логово</t>
  </si>
  <si>
    <t xml:space="preserve">д. Луковниково </t>
  </si>
  <si>
    <t xml:space="preserve">д. Лукьяново  </t>
  </si>
  <si>
    <t>д. Лунево</t>
  </si>
  <si>
    <t>д. Лучково</t>
  </si>
  <si>
    <t xml:space="preserve">д. М.Кобяково   </t>
  </si>
  <si>
    <t xml:space="preserve">д. М.Пищалино  </t>
  </si>
  <si>
    <t xml:space="preserve">д. Максимково  </t>
  </si>
  <si>
    <t xml:space="preserve">д. Марково  </t>
  </si>
  <si>
    <t xml:space="preserve">д. Маслова гора  </t>
  </si>
  <si>
    <t xml:space="preserve">д. Матюково  </t>
  </si>
  <si>
    <t>д. Мерейкино</t>
  </si>
  <si>
    <t xml:space="preserve">д. Михальки </t>
  </si>
  <si>
    <t xml:space="preserve">д. Мишино </t>
  </si>
  <si>
    <t>д. Мозгово</t>
  </si>
  <si>
    <t xml:space="preserve">д. Мозжарино  </t>
  </si>
  <si>
    <t xml:space="preserve">д. Молозвино  </t>
  </si>
  <si>
    <t xml:space="preserve">д. Мотилово </t>
  </si>
  <si>
    <t xml:space="preserve">д. Мякотино </t>
  </si>
  <si>
    <t xml:space="preserve">д. Мямлино  </t>
  </si>
  <si>
    <t>д. Н. Пустынь</t>
  </si>
  <si>
    <t xml:space="preserve">д. Н. Пустынь  </t>
  </si>
  <si>
    <t>д. Н.Устиново</t>
  </si>
  <si>
    <t>д. Нарядово</t>
  </si>
  <si>
    <t xml:space="preserve">д. Нефедьево  </t>
  </si>
  <si>
    <t>д. Никифоровское</t>
  </si>
  <si>
    <t xml:space="preserve">д. Никифоровское </t>
  </si>
  <si>
    <t xml:space="preserve">д. Новое </t>
  </si>
  <si>
    <t>д. Новоселово</t>
  </si>
  <si>
    <t xml:space="preserve">д. Новоселово  </t>
  </si>
  <si>
    <t xml:space="preserve">д. Носово  </t>
  </si>
  <si>
    <t xml:space="preserve">д. Овощехранилище  </t>
  </si>
  <si>
    <t xml:space="preserve">д. Ожибоково  </t>
  </si>
  <si>
    <t xml:space="preserve">д. Озерецкое </t>
  </si>
  <si>
    <t>д. Орловка</t>
  </si>
  <si>
    <t>д. Ошурково</t>
  </si>
  <si>
    <t xml:space="preserve">д. Ошурково </t>
  </si>
  <si>
    <t>д. П. Городище</t>
  </si>
  <si>
    <t>д. П.Городище</t>
  </si>
  <si>
    <t xml:space="preserve">д. Панюково  </t>
  </si>
  <si>
    <t xml:space="preserve">д. Паршино  </t>
  </si>
  <si>
    <t xml:space="preserve">д. Пашутино  </t>
  </si>
  <si>
    <t xml:space="preserve">д. Пестово  </t>
  </si>
  <si>
    <t>д. Пищалино</t>
  </si>
  <si>
    <t xml:space="preserve">д. Покров  </t>
  </si>
  <si>
    <t xml:space="preserve">д. Полухтино  </t>
  </si>
  <si>
    <t xml:space="preserve">д. Попайлово  </t>
  </si>
  <si>
    <t xml:space="preserve">д. Почурино </t>
  </si>
  <si>
    <t>д. Праслово</t>
  </si>
  <si>
    <t xml:space="preserve">д. Приволжье  </t>
  </si>
  <si>
    <t xml:space="preserve">д. Пыльниково </t>
  </si>
  <si>
    <t>д. Раково</t>
  </si>
  <si>
    <t xml:space="preserve">д. Раково  </t>
  </si>
  <si>
    <t xml:space="preserve">д. Ревякино  </t>
  </si>
  <si>
    <t xml:space="preserve">д. Ромушково  </t>
  </si>
  <si>
    <t xml:space="preserve">д. Русаково  </t>
  </si>
  <si>
    <t>д. Рыльцево</t>
  </si>
  <si>
    <t xml:space="preserve">д. Саблино  </t>
  </si>
  <si>
    <t>д. Салино</t>
  </si>
  <si>
    <t xml:space="preserve">д. Салино  </t>
  </si>
  <si>
    <t xml:space="preserve">д. Селиванцево  </t>
  </si>
  <si>
    <t>д. Селяево</t>
  </si>
  <si>
    <t xml:space="preserve">д. Семеновское  </t>
  </si>
  <si>
    <t xml:space="preserve">д. Серговское  </t>
  </si>
  <si>
    <t xml:space="preserve">д. Сидоровка  </t>
  </si>
  <si>
    <t xml:space="preserve">д. Синицино  </t>
  </si>
  <si>
    <t xml:space="preserve">д. Слабцово  </t>
  </si>
  <si>
    <t xml:space="preserve">д. Сновидово </t>
  </si>
  <si>
    <t xml:space="preserve">д. Сосунково  </t>
  </si>
  <si>
    <t>д. Ст.Горки</t>
  </si>
  <si>
    <t xml:space="preserve">д. Ст.Горки  </t>
  </si>
  <si>
    <t>д. Ст.Устиново</t>
  </si>
  <si>
    <t xml:space="preserve">д. Стеклятино </t>
  </si>
  <si>
    <t>д. Столыпино</t>
  </si>
  <si>
    <t xml:space="preserve">д. Столыпино </t>
  </si>
  <si>
    <t xml:space="preserve">д. Стрелки  </t>
  </si>
  <si>
    <t xml:space="preserve">д. Стрельниково  </t>
  </si>
  <si>
    <t xml:space="preserve">д. Тимонино  </t>
  </si>
  <si>
    <t xml:space="preserve">д. Троицкое  </t>
  </si>
  <si>
    <t xml:space="preserve">д. Тупицино  </t>
  </si>
  <si>
    <t>д. Ульяново</t>
  </si>
  <si>
    <t xml:space="preserve">д. Устье  </t>
  </si>
  <si>
    <t xml:space="preserve">д. Федоровское  </t>
  </si>
  <si>
    <t xml:space="preserve">д. Фомино-Городище </t>
  </si>
  <si>
    <t>д. Харкино</t>
  </si>
  <si>
    <t>д. Хл.Городище</t>
  </si>
  <si>
    <t xml:space="preserve">д. Хлопово Городище  </t>
  </si>
  <si>
    <t xml:space="preserve">д. Хорошая </t>
  </si>
  <si>
    <t xml:space="preserve">д. Черенково </t>
  </si>
  <si>
    <t xml:space="preserve">д. Черниково  </t>
  </si>
  <si>
    <t xml:space="preserve">д. Чибичкино   </t>
  </si>
  <si>
    <t xml:space="preserve">д. Чиркуново  </t>
  </si>
  <si>
    <t xml:space="preserve">д. Чунегово </t>
  </si>
  <si>
    <t>д. Шапино</t>
  </si>
  <si>
    <t xml:space="preserve">д. Шепелево  </t>
  </si>
  <si>
    <t>д. Ширкино</t>
  </si>
  <si>
    <t xml:space="preserve">д. Ширкино  </t>
  </si>
  <si>
    <t xml:space="preserve">д. Шишкино  </t>
  </si>
  <si>
    <t>д. Шоша</t>
  </si>
  <si>
    <t>д. Щеколдино</t>
  </si>
  <si>
    <t xml:space="preserve">д. Щеколдино </t>
  </si>
  <si>
    <t xml:space="preserve">д. Юрино  </t>
  </si>
  <si>
    <t>д. Юркино</t>
  </si>
  <si>
    <t xml:space="preserve">д. Юркино  </t>
  </si>
  <si>
    <t xml:space="preserve">д. Юрьевское </t>
  </si>
  <si>
    <t xml:space="preserve">д. Ягодино </t>
  </si>
  <si>
    <t xml:space="preserve">д. Яйково </t>
  </si>
  <si>
    <t xml:space="preserve">д. Якутино  </t>
  </si>
  <si>
    <t>Производственный комплекс_Тверская область, Торопецкий район, Речанское с/п, дер. Лесная</t>
  </si>
  <si>
    <t>40112892 (договор заключен 28.06.2010)</t>
  </si>
  <si>
    <t>ООО "ЭнергоГаз - Тверь"</t>
  </si>
  <si>
    <t>Многоквартирный жилой дом_Тверская область, Калининский район, Заволжское с/п, пос. Заволжский (земельный участок с кадастровым номером 69:10:0211001:402)</t>
  </si>
  <si>
    <t>41019498
(договор заключен 12.02.2014)</t>
  </si>
  <si>
    <t>ООО "Искра"</t>
  </si>
  <si>
    <t>2015 г.</t>
  </si>
  <si>
    <t>Степанова Елена Валерьевна</t>
  </si>
  <si>
    <t>Жилой дом_Тверская область, Калязинский район, Алферовское с/п, дер. Копылово, д. 86 (земельный участок с кадастровым номером 69:11:0100601:19)</t>
  </si>
  <si>
    <t>401021651
(договор заключен 24.02.2015)</t>
  </si>
  <si>
    <t>ЛЭП 10кВ ТП 10/0,4кВ для электроснабжения объекта "КП ТМ на км 247 "Серпухов - Ленинград" и км 194 МК "Белоусово-Ленинград"_Тверская область, Калининский район, 1150 м северо-восточнее населенного пункта Базыкино</t>
  </si>
  <si>
    <t>40955241
(договор заключен 24.02.2015)</t>
  </si>
  <si>
    <t>40955265
(договор заключен 24.02.2015)</t>
  </si>
  <si>
    <t>ЛЭП 10кВ ТП 10/0,4кВ для электроснабжения объекта "КП ТМ на км 251 "Серпухов - Ленинград" и км 199 МК "Белоусово-Ленинград"_Тверская область, Калининский район, 520 м юго-западнее населенного пункта Абутьково</t>
  </si>
  <si>
    <t xml:space="preserve">2015 г. </t>
  </si>
  <si>
    <t>Муниципальное бюджетное дошкольное образовательное учреждение Детский сад №6 (МБДОУ Детский сад №6)</t>
  </si>
  <si>
    <t>Детский сад_Тверская область, Максатихинский район, Малышевское с\п, пос. Малышево, ул. Центральная, д. 1 (кадастровые номера 69:20:0191504:23, 69:20:0190000:6)</t>
  </si>
  <si>
    <t>16-ти квартирный жилой дом_Тверская область,Ржевский район, с/п "Успенское", пос. Успенское (земельный участок с кадастровым номером 69:27:0221902:120)</t>
  </si>
  <si>
    <t>41000726
(договор заключен 27.03.2015)</t>
  </si>
  <si>
    <t>Муниципальное унитарное предприятие "Максатихинские коммунальные системы"  Администрации Максатихинского района Тверской области</t>
  </si>
  <si>
    <t>Здание котельной_Максатихинский район, пос. Максатиха, ул. Красноармейская</t>
  </si>
  <si>
    <t>41049339
(договор заключен 26.03.2015)</t>
  </si>
  <si>
    <t>Пожаров Дмитрий Евгеньевич</t>
  </si>
  <si>
    <t>Жилой дом_Кашинский район, Барыковское с/п, дер. Перетрясово (земельный участок с кадастровым номером 69:12:0260601:322)</t>
  </si>
  <si>
    <t>41046281
(договор заключен 31.03.2015)</t>
  </si>
  <si>
    <t>Волков Владимир Николаевич</t>
  </si>
  <si>
    <t>Цех деревообработки_Максатихинский район, Костерецкое с.п., д. Хомутиха, здание цеха деревообработки (69:20:00000:0000:5-589:1000/А)</t>
  </si>
  <si>
    <t>41041296
(договор заключен 24.02.2015)</t>
  </si>
  <si>
    <t>Тупицын Александр Николаевич</t>
  </si>
  <si>
    <t>Жилая застройка_почтовый адрес ориентира: Тверская оболасть, Калининский район, Черногубовское с\п, дер. Городище (земельный участок с кадастровым номером 69:10:0000013:1347)</t>
  </si>
  <si>
    <t>41054671
(договор заключен 01.04.2015)</t>
  </si>
  <si>
    <t>Мещеряков Валерий Вячеславович</t>
  </si>
  <si>
    <t>Жилой дом_почтовый адрес ориентира: Тверская область, Калининский раойон, Красногорское с/п, дер. Курково (земельный участок с кадастровым номером 69:10:0000038:1936)</t>
  </si>
  <si>
    <t>41048376
(договор заключен 09.04.2015)</t>
  </si>
  <si>
    <t>ООО "ИнвестСтрой"</t>
  </si>
  <si>
    <t>Жилые дома_Тверская область, Калининский район, Михайловское с\п, дер. Глазково (земельные участки с кадастровыми номерами: 69:10:0000012:2783,69:10:0000012:2784,69:10:0000012:2785,69:10:0000012:2787,69:10:0000012:2788,69:10:0000012:2789,69:10:0000012:2790,69:10:0000012:2806,69:10:0000012:2807,69:10:0000012:2808,69:10:0000012:2809,69:10:0000012:2810,69:10:0000012:2816)</t>
  </si>
  <si>
    <t>41053301
(договор заключен 22.04.2015)</t>
  </si>
  <si>
    <t>Писарева Лидия Сергеевна</t>
  </si>
  <si>
    <t>Жилой дом_Тверская область, Калининский район, Кулицкое с\п, д. Олбово, земельный участок с кадастровым номером 69:10:0000010:3306 и земельный участок с кадастровым номером 69:10:0000010:3306</t>
  </si>
  <si>
    <t>Богомолов Андрей Алексеевич</t>
  </si>
  <si>
    <t>СНТ "Генератор"</t>
  </si>
  <si>
    <t>"КП ТМ на км 357 МГ "Серпухов-Ленинград" и км 299 МГ "Белоусово - Ленинград" в составе объекта "Реконструкция МГ "Серпухов - Ленинград" и МГ "Белоусово-Ленинград"_Тверская область, Спировский район, 716 м юго-западнее населенного пункта Выдропужск</t>
  </si>
  <si>
    <t>40981547
(договор заключен 12.05.2015)</t>
  </si>
  <si>
    <t>Болгова Нина Петровна</t>
  </si>
  <si>
    <t>Жилой дом_Тверская обл., Калининский р-н, Медновское с/п, д. Троица, д. 96</t>
  </si>
  <si>
    <t>41061465(договор заключен 08.05.2015 г.)</t>
  </si>
  <si>
    <t>ООО "ТВ-Регион"</t>
  </si>
  <si>
    <t>Многоквартирный жилой дом, Тверская обл., Максатихинский р-н, пгт Максатиха, ул. Пролетарская, д. 55</t>
  </si>
  <si>
    <t>41053477 (договор заключен 13.05.2015)</t>
  </si>
  <si>
    <t>Завод, Тверская обл., Пеновский р-н,пгт Пено, ул. Жагренкова</t>
  </si>
  <si>
    <t>41055612 временное присоединение(договора заключен 19.05.2015)</t>
  </si>
  <si>
    <t>Барткевич Дмитрий Николаевич</t>
  </si>
  <si>
    <t>Коттеджный поселок, Тверская обл., Зубцовский р-н, Вазузское с/п, вблизи д. Борщево</t>
  </si>
  <si>
    <t>Баранов Иван Владимирович</t>
  </si>
  <si>
    <t>Жилой дом, Тверская обл., Калининский р-н, Заволжское с/п, д. Савино</t>
  </si>
  <si>
    <t>жилые дома, Тверская обл., г. Тверь, ул. Левитана, д. 48</t>
  </si>
  <si>
    <t>ООО "Конаковский бетон"</t>
  </si>
  <si>
    <t>Бетонный завод, Тверская обл., Конаковский р-н, Селиховское с/п, с. Селихово</t>
  </si>
  <si>
    <t>41051331 (договор заключен 08.06.2015)</t>
  </si>
  <si>
    <t>Сергеев Николай Викторович</t>
  </si>
  <si>
    <t>Жилой дом, Тверская обл., Старицкий р-н, Васильевское с/п, д. Быльцино</t>
  </si>
  <si>
    <t>АО "Каменская БКФ"</t>
  </si>
  <si>
    <t>перераспределение, Тверская обл., Кувшиновский р-н, г. Кувшиново, ул. Проф Старикова</t>
  </si>
  <si>
    <t>Макаров В.Ф.</t>
  </si>
  <si>
    <t>Жилой дом, Тверская обл., Торжокский р-н, Будовское с/п, д. Боровое</t>
  </si>
  <si>
    <t>ООО СК "Ренессанс"</t>
  </si>
  <si>
    <t>торгово-офисный центр, г. Тверь, ул. Новоторжская, д. 12А</t>
  </si>
  <si>
    <t>41084910 (договор заключен 18.06.2015)</t>
  </si>
  <si>
    <t>Семин Владимир Борисович</t>
  </si>
  <si>
    <t>Жилой дом, Тверская обл., Калязинский р-н, Алферовское с/п, д. Конищево, д. 10</t>
  </si>
  <si>
    <t>СНТ Ягодка</t>
  </si>
  <si>
    <t>КТП 10кВ №087 Дачи-160 фид.03 Фралево</t>
  </si>
  <si>
    <t>ТП 236</t>
  </si>
  <si>
    <t>ТП 237</t>
  </si>
  <si>
    <t>ТП 240</t>
  </si>
  <si>
    <t>д.Денисова Горка</t>
  </si>
  <si>
    <t>ТП 084</t>
  </si>
  <si>
    <t>д.Озеревичи</t>
  </si>
  <si>
    <t>ТП 085</t>
  </si>
  <si>
    <t>ТП 231</t>
  </si>
  <si>
    <t>ТП 233</t>
  </si>
  <si>
    <t>ТП 232</t>
  </si>
  <si>
    <t>ТП 234</t>
  </si>
  <si>
    <t>ТП 239</t>
  </si>
  <si>
    <t>п.Дачный</t>
  </si>
  <si>
    <t>ТП 238</t>
  </si>
  <si>
    <t>КТП-6кВ 328</t>
  </si>
  <si>
    <t>КТП 331</t>
  </si>
  <si>
    <t>д.Шипухино</t>
  </si>
  <si>
    <t>КТП 133</t>
  </si>
  <si>
    <t>КТП-6кВ 082</t>
  </si>
  <si>
    <t>КТП-10/0,4 кВ 326 Замятино</t>
  </si>
  <si>
    <t>д.Горбачево, Майково</t>
  </si>
  <si>
    <t>КТП-10кВ  324 Слободка -3</t>
  </si>
  <si>
    <t>КТП-10кВ  д.Слободка-4</t>
  </si>
  <si>
    <t>КТП-10кВ  д.Долматово</t>
  </si>
  <si>
    <t xml:space="preserve"> вблизи д. Ваулино</t>
  </si>
  <si>
    <t>КТП 152  д.Тихоново</t>
  </si>
  <si>
    <t>с/т Кимрячка</t>
  </si>
  <si>
    <t>КТП 158</t>
  </si>
  <si>
    <t>с/т Мелиоратор</t>
  </si>
  <si>
    <t>КТП 307</t>
  </si>
  <si>
    <t>КТП-10кВ 332 Богунино</t>
  </si>
  <si>
    <t>КТП-10кВ 329 Крева</t>
  </si>
  <si>
    <t>КТП-10кВ 330 Крева</t>
  </si>
  <si>
    <t>КТП-10кВ 333 Крева</t>
  </si>
  <si>
    <t>КТП-10кВ 334 Крева</t>
  </si>
  <si>
    <t>КТП-10кВ 335 Крева</t>
  </si>
  <si>
    <t>КТП-10кВ 344 святье (Бахтаров)</t>
  </si>
  <si>
    <t>КТП-10кВ д.Пекуново (ООО Роса)</t>
  </si>
  <si>
    <t>КТП-10кВ  338 Соболево</t>
  </si>
  <si>
    <t>1х320+1х400</t>
  </si>
  <si>
    <t>ТП №566 (Дубровка водокачка)</t>
  </si>
  <si>
    <t>Ясная поляна-3</t>
  </si>
  <si>
    <t>Отдых</t>
  </si>
  <si>
    <t>присоединение придор.сервис</t>
  </si>
  <si>
    <t>41039233
(договор заключен 23.04.2015)</t>
  </si>
  <si>
    <t>ГК "Автодор"</t>
  </si>
  <si>
    <t>Уличное освещение, Тверская обл., Торжокский р-н, 4 этап строительства скоростной а/д Москва-Санкт-Петербург км 208- км 258 до М-10</t>
  </si>
  <si>
    <t>ИП Казнин Д.В.</t>
  </si>
  <si>
    <t>торговый комплекс, г. Тверь, пр-т Октябрьский</t>
  </si>
  <si>
    <t>Иванов О.В.</t>
  </si>
  <si>
    <t>Жилой дом, Тверская обл., Конаковский р-н,  Городенское с/п, д. Горки</t>
  </si>
  <si>
    <t>ЗАО "Никольское"</t>
  </si>
  <si>
    <t>станция тех. Обслуживания автомобилей, Тверская обл., Калининский р-н, Никулинское с/п., с. Никольское</t>
  </si>
  <si>
    <t>ООО "СЕЗОН ОХОТЫ+"</t>
  </si>
  <si>
    <t>База отдыха, Тверская обл., Зубцовский р-н, с/п Зубцовское, д. Боброво</t>
  </si>
  <si>
    <t>ООО "Велес"</t>
  </si>
  <si>
    <t>Многоквартирный жилой дом, Тверская обл., Калининский р-н, пгт Орша, ул. Школьная</t>
  </si>
  <si>
    <t>Федяев А.Н.</t>
  </si>
  <si>
    <t>Животноводческий комплекс, Тверская обл., Пеновский р-н, Ворошиловское с/п, д. Заборовье, СПК "Заборский"</t>
  </si>
  <si>
    <t>ИП Веселов В.А.</t>
  </si>
  <si>
    <t>здание пилорамы, Тверская обл., г. Красный Холм, п. Железнодорожный, д. 1а</t>
  </si>
  <si>
    <t>Костин И.В.</t>
  </si>
  <si>
    <t>жилая застройка, Тверская обл., Калининский р-н., Щербининское с/п., д. Чудово</t>
  </si>
  <si>
    <t>ООО "Геотон"</t>
  </si>
  <si>
    <t>взлетно-посадочная полоса, Тверская обл., Конаковский р-н, Завидовское с/п., д. Шестаково</t>
  </si>
  <si>
    <t>Жилой фонд, Тверская обл., Калининский р-н, Каблуковское с/п, турбаза "Лисицкий Бор"</t>
  </si>
  <si>
    <t>ООО "СТОД"</t>
  </si>
  <si>
    <t>Электроустановки, Тверская обл., Торжокскмй р-н. ,Борисцевское с/п., д. Семеновское</t>
  </si>
  <si>
    <t>Администрация 
Каблуковского сп</t>
  </si>
  <si>
    <t>СНТ "Гайново -1"</t>
  </si>
  <si>
    <t>дачные дома, Тверская обл., Удомельский р-н, д. Гайново</t>
  </si>
  <si>
    <t>СНТ "Строитель-2"</t>
  </si>
  <si>
    <t>СНТ, Тверская обл., Кимрский р-н., п. Центральный</t>
  </si>
  <si>
    <t>Администрация гп п. Пено</t>
  </si>
  <si>
    <t>2 многоквартирных жилых дома</t>
  </si>
  <si>
    <t>ООО "Юникс-строй"</t>
  </si>
  <si>
    <t>30-ти кв жилого дома, Тверская обл., Ржевский р-н., п. Победа</t>
  </si>
  <si>
    <t>АО "Агрофирма Дмитрова гора"</t>
  </si>
  <si>
    <t>строительная площадка на 6000 голов КРС, Тверская обл., Конаковский р-н., Ручьевкое с/п.</t>
  </si>
  <si>
    <t>Филиппова М.В.</t>
  </si>
  <si>
    <t>здание детского сада, Тверская обл., Калининский р-н., Эммаусское с/п., нп Эммаусская Школа Интернат, д. 9а</t>
  </si>
  <si>
    <t>ООО "Медновский молочный завод"</t>
  </si>
  <si>
    <t>Компрессор, Тверская обл., Калининский р-н, Медновское с/п, с. Медное, ул. Молокозавод, д. 2</t>
  </si>
  <si>
    <t>Детский оздоровительный лагерь, Тверская обл., Калининский р-н, п/о Мермерины, район дер. Кобячево</t>
  </si>
  <si>
    <t>Алексеев А.Н.</t>
  </si>
  <si>
    <t>Ангар, г. Тверь, ул. Борихино поле, д. 11</t>
  </si>
  <si>
    <t>Комплекс жилой застройки по Бурашевскому шоссе в г. Тверь, г. Тверь, Бурашевское шоссе</t>
  </si>
  <si>
    <t>Администрация мо Михайловское сп</t>
  </si>
  <si>
    <t>здание блочно-модульной котельной, Тверская обл., Калининский р-н., Михайловское с/п., с. Михайловское</t>
  </si>
  <si>
    <t>ООО "СК Березы"</t>
  </si>
  <si>
    <t>Животноводческий комплекс, Тверская обл., Кимрский р-н, Стоянцевское с/п, д. Русилово</t>
  </si>
  <si>
    <t>Микаелян Н.С.</t>
  </si>
  <si>
    <t>Жилой дом, Тверская обл., Торжокский р-н, Будовское с/п, д. Ушаково, д. 23</t>
  </si>
  <si>
    <t>ООО СК "ЛИДЕР"</t>
  </si>
  <si>
    <t>цех по переработке рыбы, Тверская обл., Калининский р-н., Черногубовское с/п., д. Батино</t>
  </si>
  <si>
    <t>Бакиев А.Э.</t>
  </si>
  <si>
    <t>животноводческая ферма, Тверская область, Оленинский р-н., Гришинское с/п., д. Холм</t>
  </si>
  <si>
    <t>многоквартирный жилой дом В, Тверская обл., Конаковский р-н., д. Мокшино</t>
  </si>
  <si>
    <t>Объект, Тверская обл., Вышенволоцкий р-н, 1100 м восточнее населенного пунктаБелый Омут, в районе перехода через р. Тверца</t>
  </si>
  <si>
    <t>Колхоз имени Чапаева</t>
  </si>
  <si>
    <t>Производственные помещения, Тверская обл., Кувшиновский р-н, Могилевское с/п, в районе д. Силино</t>
  </si>
  <si>
    <t>ООО "Международная академия вертолетного спорта" МАВС</t>
  </si>
  <si>
    <t>летная школа и аэродром, Тверская обл., Конаковский р-н., с/п Селиховское</t>
  </si>
  <si>
    <t>Крапивина Татьяна Алексеевна</t>
  </si>
  <si>
    <t>Жилой дом, Тверская обл., Конаковский р-н, г/п пос. Новозавидовский, в районе д. Лазурная</t>
  </si>
  <si>
    <t>ООО СК "СТРОЙЛИДЕР"</t>
  </si>
  <si>
    <t>г. Тверь, п. Мигалово</t>
  </si>
  <si>
    <t>СНТ "Заря"</t>
  </si>
  <si>
    <t>садовые дома,  Тверская обл., Калининский р-н., Аввакумовский с/о., в районе д. Лукино</t>
  </si>
  <si>
    <t>ФГКУ комбинат  "Красная заря"</t>
  </si>
  <si>
    <t>комбинат, г. Тверь, пос. Элеватор, ул. Центральная, д. 23</t>
  </si>
  <si>
    <t>Прудникова Алина Сергеевна</t>
  </si>
  <si>
    <t>Жилой дом, Тверская обл., Калязинский р-н, Нерльское с/п, д. Жуковка, д. 14</t>
  </si>
  <si>
    <t>ООО ЭСК Индустрия</t>
  </si>
  <si>
    <t>Жилая застройка, г. Тверь, Октябрьский пр-т,д.56а</t>
  </si>
  <si>
    <t>Пономарев В.П.</t>
  </si>
  <si>
    <t>Жилой дом, Тверская обл., Осташковский р-н, Сиговское с/п, д. Нижние Котицы</t>
  </si>
  <si>
    <t>Ершов Сергей Александрович</t>
  </si>
  <si>
    <t>Здание картофелехранилища, Тверская обл., Сандовский р-н, с. Лукина</t>
  </si>
  <si>
    <t>Горшков Р.Е.</t>
  </si>
  <si>
    <t>жилой дом, г. Тверь, ул. 1-я Трусова, д. 12</t>
  </si>
  <si>
    <t>ЗТП ПМК-2 Абон.</t>
  </si>
  <si>
    <t xml:space="preserve">ТП Димидки </t>
  </si>
  <si>
    <t xml:space="preserve">2х400    </t>
  </si>
  <si>
    <t xml:space="preserve">2х400   </t>
  </si>
  <si>
    <t>2х1000</t>
  </si>
  <si>
    <t>КТП Нижняя Троица  -1</t>
  </si>
  <si>
    <t>КТП Нижняя Троица  - 2</t>
  </si>
  <si>
    <t>КТП Перетрясово-2</t>
  </si>
  <si>
    <t xml:space="preserve">400+560 </t>
  </si>
  <si>
    <t xml:space="preserve">2х250 </t>
  </si>
  <si>
    <t xml:space="preserve">160+400 </t>
  </si>
  <si>
    <t>КТП-10кВ 256 Дуброво</t>
  </si>
  <si>
    <t>КТП-10кВ  258 Каменка</t>
  </si>
  <si>
    <t>ЗТП-10кВ 257 Комплекс с.Горицы</t>
  </si>
  <si>
    <t>КТПП-10кВ 263 Горожанкино</t>
  </si>
  <si>
    <t>КТП-10кВ 270 Ярославец</t>
  </si>
  <si>
    <t>КТП-10кВ 269 Кошкино</t>
  </si>
  <si>
    <t>КТП-10кВ 262 Круглица</t>
  </si>
  <si>
    <t>КТП-10кВ  266 Москвитино</t>
  </si>
  <si>
    <t>КТП-10кВ  261 Паньсково</t>
  </si>
  <si>
    <t>КТП-10кВ 271 Путышино</t>
  </si>
  <si>
    <t>КТП-10кВ 267 Яковлевское</t>
  </si>
  <si>
    <t>КТПП-10кВ 268 Яковлевское-1</t>
  </si>
  <si>
    <t>КТП-10кВ  265 Степаново</t>
  </si>
  <si>
    <t>КТП-10кВ 264 Савино</t>
  </si>
  <si>
    <t>КТП-10кВ 260 Овсевьево</t>
  </si>
  <si>
    <t>КТП-10кВ  272 Шубино</t>
  </si>
  <si>
    <t>КТП-10кВ 255 Сафоньево</t>
  </si>
  <si>
    <t>КТП-10кВ 251 Подмошье</t>
  </si>
  <si>
    <t>КТП-10кВ 254 Лазарево</t>
  </si>
  <si>
    <t>КТП-10кВ 250 Ошитково</t>
  </si>
  <si>
    <t>КТП-10кВ 249 Неверово-Бели</t>
  </si>
  <si>
    <t>КТП-10кВ 252 Правда</t>
  </si>
  <si>
    <t>КТП-10кВ 253 Сорокино</t>
  </si>
  <si>
    <t>КТП 10кВ 236 Хознужды</t>
  </si>
  <si>
    <t>КТП-10кВ 243 Копт.цех-ул.Кооп-я</t>
  </si>
  <si>
    <t>КТП-10кВ 238 ул.Совхозная</t>
  </si>
  <si>
    <t>КТПП-10кВ 245 ул.Октябрьская</t>
  </si>
  <si>
    <t>КТП-10кВ 240 ул.Калинина</t>
  </si>
  <si>
    <t>ЗТП-10кВ 246 Сельхозтехника</t>
  </si>
  <si>
    <t>КТП-10кВ 242 ул.Советская</t>
  </si>
  <si>
    <t>КТП-10кВ 237 ул.Школьная</t>
  </si>
  <si>
    <t>ЗТП-10кВ 241 Школа</t>
  </si>
  <si>
    <t xml:space="preserve">250+160 </t>
  </si>
  <si>
    <t>КТП-10кВ 283 Борисово</t>
  </si>
  <si>
    <t>КТП-10кВ 279 Наумово</t>
  </si>
  <si>
    <t>КТП-10 кВ 280 Наумово-№2</t>
  </si>
  <si>
    <t>КТП-10кВ 276 д.Колково</t>
  </si>
  <si>
    <t>КТП-10кВ 275 Дорожный Участок</t>
  </si>
  <si>
    <t>КТП-10кВ 274 Коттеджи</t>
  </si>
  <si>
    <t>КТП-10кВ 282 Глебово</t>
  </si>
  <si>
    <t>КТП-10кВ 284 Раменье</t>
  </si>
  <si>
    <t>КТП-10кВ 277 .Якимцево</t>
  </si>
  <si>
    <t>КТП-10кВ 288 Сиблово</t>
  </si>
  <si>
    <t>КТП-10кВ 286 Збыневля</t>
  </si>
  <si>
    <t>КТП-10кВ 289 Коршево</t>
  </si>
  <si>
    <t>КТП-10кВ 290 Рыбушкино</t>
  </si>
  <si>
    <t>КТП-10кВ 291 Лебзуново, Молоди</t>
  </si>
  <si>
    <t xml:space="preserve">КТП-10кВ 287 Горбачево-Майково </t>
  </si>
  <si>
    <t>КТП-10кВ 295 Больница</t>
  </si>
  <si>
    <t>КТП-10кВ 298 Вереинка</t>
  </si>
  <si>
    <t>КТП-10кВ 301 Кр.Выселок</t>
  </si>
  <si>
    <t>КТП-10кВ 299 Киселево</t>
  </si>
  <si>
    <t>КТП-10кВ 297 МСО</t>
  </si>
  <si>
    <t>КТП-10кВ 300 Соловьево</t>
  </si>
  <si>
    <t xml:space="preserve">630+400 </t>
  </si>
  <si>
    <t xml:space="preserve">2х400 </t>
  </si>
  <si>
    <t>КТП-10кВ 354 Бортниково</t>
  </si>
  <si>
    <t>КТПП-10кВ 358 Сенной сарай</t>
  </si>
  <si>
    <t>ЗТП-10кВ 355 Шевелево</t>
  </si>
  <si>
    <t>КТП-10кВ 397 .Ваулино-1</t>
  </si>
  <si>
    <t>КТП-10 кВ 399 Ваулино-№7</t>
  </si>
  <si>
    <t>КТП-10 кВ 336 Семиречье-1</t>
  </si>
  <si>
    <t>КТП-10 кВ 337 Семиречье-2</t>
  </si>
  <si>
    <t>КТП-10кВ 389 Семенково</t>
  </si>
  <si>
    <t>КТП-10кВ 393 Глазово-1</t>
  </si>
  <si>
    <t>КТП-10кВ 381 Михеево</t>
  </si>
  <si>
    <t>КТП-10кВ 382 Михеево №2</t>
  </si>
  <si>
    <t>КТП-10кВ 375 Абрамово</t>
  </si>
  <si>
    <t>КТП-10кВ 378 б/о Абрам.бор</t>
  </si>
  <si>
    <t>КТП-10кВ 377 Остров-1</t>
  </si>
  <si>
    <t>КТП-10кВ 379 Остров-2</t>
  </si>
  <si>
    <t>КТП-10 кВ 376 Остров-4</t>
  </si>
  <si>
    <t>КТП-10кВ 386 .Каюрово</t>
  </si>
  <si>
    <t>КТП-10кВ 387 Каюрово-шк</t>
  </si>
  <si>
    <t>КТП-10кВ 388 Мельгуново</t>
  </si>
  <si>
    <t>КТП-10кВ 390 Тихоново</t>
  </si>
  <si>
    <t>КТП-10 кВ 391 Тихоново-2</t>
  </si>
  <si>
    <t>КТП-10кВ 383 Скулино-2</t>
  </si>
  <si>
    <t>КТП-10кВ 384 Скулино-1</t>
  </si>
  <si>
    <t>КТП-10кВ 409 Плешково-1</t>
  </si>
  <si>
    <t>КТП-10кВ 410 Плешково-1а</t>
  </si>
  <si>
    <t>КТП-10кВ 404 Плешково-2</t>
  </si>
  <si>
    <t>КТП-10кВ 418 Плешково-6</t>
  </si>
  <si>
    <t>КТП-10кВ 402 б/о Полет</t>
  </si>
  <si>
    <t>КТП-10кВ 411 Плешково-12</t>
  </si>
  <si>
    <t>КТП-10кВ 360 Профил-рий</t>
  </si>
  <si>
    <t>КТП-10кВ 365 Клубн.пер</t>
  </si>
  <si>
    <t>ЗТП-10кВ 362  Мастерские</t>
  </si>
  <si>
    <t xml:space="preserve">ЗТП-10кВ 363 ж/д </t>
  </si>
  <si>
    <t>ЗТП-10кВ 371 Лесхоз</t>
  </si>
  <si>
    <t>КТП-10кВ 361 Телятник</t>
  </si>
  <si>
    <t>КТП-10кВ 349 ПМК-10 №153</t>
  </si>
  <si>
    <t>КТП-10кВ 350  ДРСУ</t>
  </si>
  <si>
    <t>КТП-10кВ 345 Жил.дома</t>
  </si>
  <si>
    <t xml:space="preserve">250+400 </t>
  </si>
  <si>
    <t>КТП-10кВ №122 Крева</t>
  </si>
  <si>
    <t>КТП-10кВ 428 Крева</t>
  </si>
  <si>
    <t>КТП-10кВ 342 Пекуново</t>
  </si>
  <si>
    <t>СТП-10кВ 432 Топорок</t>
  </si>
  <si>
    <t>КТП-10кВ  433 Соболево</t>
  </si>
  <si>
    <t>СТП-10кВ 429 Федоровка</t>
  </si>
  <si>
    <t>КТП-10кВ  д.Голузино</t>
  </si>
  <si>
    <t>д.Харпаево</t>
  </si>
  <si>
    <t>КТП-10кВ 334 Харпаево</t>
  </si>
  <si>
    <t>д.Журово-Слезино</t>
  </si>
  <si>
    <t>КТП-10кВ д.Журово-Слезино</t>
  </si>
  <si>
    <t>КТП-10кВ 434 Леоново</t>
  </si>
  <si>
    <t>КТП-10кВ д.Кислово</t>
  </si>
  <si>
    <t>КТП-10кВ 427 Кожухово</t>
  </si>
  <si>
    <t>КТПП-10кВ 308 Комплекс</t>
  </si>
  <si>
    <t>КТПП-10кВ 309 Федоровка-быт</t>
  </si>
  <si>
    <t>КТП-10кВ 310 Федоровка-маст.</t>
  </si>
  <si>
    <t>КТПП-10кв 312 Федоровка КЗС</t>
  </si>
  <si>
    <t>КТП-10кВ 311 Демидовка-ферм.</t>
  </si>
  <si>
    <t>КТП-10кВ 156 Ларцево</t>
  </si>
  <si>
    <t>КТП-10кВ 317 Ларцево</t>
  </si>
  <si>
    <t>КТП-10кВ  315 Игнатово</t>
  </si>
  <si>
    <t>КТП-10кВ 322 Губин Угол-2</t>
  </si>
  <si>
    <t>КТП-10кВ 320 Калинино</t>
  </si>
  <si>
    <t>КТП-10кВ 426 Калинино</t>
  </si>
  <si>
    <t>КТП-10кВ 321 Губин Угол-1</t>
  </si>
  <si>
    <t>п.Дм.Гора</t>
  </si>
  <si>
    <t>КТП 10/0,4 Гора 2</t>
  </si>
  <si>
    <t>д.Трунино</t>
  </si>
  <si>
    <t>КТП 10/0,4 Трунино</t>
  </si>
  <si>
    <t>ТП-10 кВ 335 п. Максатиха</t>
  </si>
  <si>
    <t>ТП-10 кВ Нива</t>
  </si>
  <si>
    <t>д. Ордоникольское</t>
  </si>
  <si>
    <t>Ильино-2</t>
  </si>
  <si>
    <t>ОРТПЦ</t>
  </si>
  <si>
    <t>Проказово</t>
  </si>
  <si>
    <t>д. СтарыйПочинок</t>
  </si>
  <si>
    <t>Старый Починок</t>
  </si>
  <si>
    <t>Б.Кушаль №8</t>
  </si>
  <si>
    <t>Б.Кушаль №9</t>
  </si>
  <si>
    <t>Б.Кушаль №10</t>
  </si>
  <si>
    <t>400*250</t>
  </si>
  <si>
    <t>ТП №407  Корытниково</t>
  </si>
  <si>
    <t>д.Машкино</t>
  </si>
  <si>
    <t>10/0,4кВ ТП 003</t>
  </si>
  <si>
    <t>КТП 63 кВА №059 д.Слуды</t>
  </si>
  <si>
    <t xml:space="preserve">КТП № 062 д. Слуды </t>
  </si>
  <si>
    <t xml:space="preserve">КТП №063 д. Слуды </t>
  </si>
  <si>
    <t>д. В. Устье</t>
  </si>
  <si>
    <t>КТП В. Устье</t>
  </si>
  <si>
    <t>ТП 10/0,4 кВ 334 д. Мокшицы</t>
  </si>
  <si>
    <t>д.Антохино</t>
  </si>
  <si>
    <t>ТП 317 (Антохино)</t>
  </si>
  <si>
    <t>д.Гороховка</t>
  </si>
  <si>
    <t>ТП 318 (Гороховка)</t>
  </si>
  <si>
    <t>ТП 320 (СОО Озёрный)</t>
  </si>
  <si>
    <t>Обухово, Игнатово</t>
  </si>
  <si>
    <t>ТП 1148 Обухово-2</t>
  </si>
  <si>
    <t>Ст. Чопрово</t>
  </si>
  <si>
    <t>ТП №736 Ст. Чопрово-1 160 кВА</t>
  </si>
  <si>
    <t>ТП 1150 ЖСК Слободка</t>
  </si>
  <si>
    <t>ТП №1151 Био.тех.сооружения №117</t>
  </si>
  <si>
    <t>ТП №1152 Био.тех.сооружения №5</t>
  </si>
  <si>
    <t>ТП №1153 Био.тех.сооружения №10</t>
  </si>
  <si>
    <t>ТП №1154 Био.тех.сооружения №20</t>
  </si>
  <si>
    <t>10/0,4 кВ КТП № 16 А</t>
  </si>
  <si>
    <t>ТП-10 кВ-529 Дмитрова Гора-1</t>
  </si>
  <si>
    <t>д.Заречная</t>
  </si>
  <si>
    <t>ТП-10 кВ-530 Дмитрова Гора-2</t>
  </si>
  <si>
    <t>КТП пгт Кесова Гора.ул Первомайская</t>
  </si>
  <si>
    <t>ООО "Новый город"</t>
  </si>
  <si>
    <t>10-ти этажные дома, Тверская обл., Калининский р-н., Черногубовское с/п., д. Батино</t>
  </si>
  <si>
    <t>Бойков А.В.</t>
  </si>
  <si>
    <t>Жилой дом, Тверская обл., Калининский р-н, Бурашевское с/п, д. Андрейково</t>
  </si>
  <si>
    <t>АО "Агрофирма Дмитрова Гора"</t>
  </si>
  <si>
    <t>Тверская обл., Конаковский р-н., Селиховское с/п., д. Филимоново</t>
  </si>
  <si>
    <t>41136267
(договор заключен 02.10.2015)</t>
  </si>
  <si>
    <t>Чебарь Г.А.</t>
  </si>
  <si>
    <t>жилой дом, Тверская обл., Конаковский р-н., Вахонинское с/п., д. Плоски, ул. Набережная Волги, д. 5а</t>
  </si>
  <si>
    <t>41129278
(договор заключен 05.10.2015)</t>
  </si>
  <si>
    <t>Милашевич В.М.</t>
  </si>
  <si>
    <t>Жилой дом, Тверская обл., Конаковский р-н, Дмитровогорское с/п, д. Старое Домкино, д. 17</t>
  </si>
  <si>
    <t>Передвижной объект, Тверская обл., Конаковский р-н, с/п Завидово,дер. Мокшино</t>
  </si>
  <si>
    <t>ООО "Завидово Девелопмент"</t>
  </si>
  <si>
    <t>Жилая застройка, Тверская обл., Конаковский р-н, с/п Завидово, д. Вараксино</t>
  </si>
  <si>
    <t>Тверская обл., Конаковский р-н., Завидово с/п, д. Мокшино</t>
  </si>
  <si>
    <t>ООО "Волга Кашин"</t>
  </si>
  <si>
    <t>сельхоз производство, Тверская обл., Кашинский р-н., Карабузинское с/п., д. Спасс, д. Окороково, д. Бараново</t>
  </si>
  <si>
    <t>41126699
(договор заключен 05.10.2015)</t>
  </si>
  <si>
    <t>СНТ "Мятлево"</t>
  </si>
  <si>
    <t>Тверская обл., Калининский р-н., Эммаусское с/п., Мятлево-Ошурково</t>
  </si>
  <si>
    <t>41145081
(договор заключен 08.10.2015)</t>
  </si>
  <si>
    <t>Садоводческое товарищество "Лазурный"</t>
  </si>
  <si>
    <t>СТ, Тверская обл., Бологовский р-н, у н.п. Глубочиха</t>
  </si>
  <si>
    <t>41079959
(договор заключен 09.10.2015)</t>
  </si>
  <si>
    <t>Бухарина И.А.</t>
  </si>
  <si>
    <t>Жилой дом, Тверская обл., Конаковский р-н, Юрьево-Девичьевское с/п, д. Осиновка, ул. Оршинская, д. 68</t>
  </si>
  <si>
    <t>41121933
(договор заключен 13.10.2015)</t>
  </si>
  <si>
    <t>СК "Строитель"</t>
  </si>
  <si>
    <t>Дома, Тверская обл., Кимрский р-н, с/к "Строитель"</t>
  </si>
  <si>
    <t>41145297
(договор заключен 13.10.2015)</t>
  </si>
  <si>
    <t>ДНТ "Элегия-2"</t>
  </si>
  <si>
    <t>Дачные участки, Тверская обл., Удомельский р-н, Удомельское с/п, д. Липка</t>
  </si>
  <si>
    <t>ДНП "Садовод"</t>
  </si>
  <si>
    <t>Дачные участки, Тверская обл., Удомельский р-н, Таракинское с/п, дер. Ватутино, ДНП "Садовод"</t>
  </si>
  <si>
    <t>ООО "Комплексные поставки"</t>
  </si>
  <si>
    <t>овощехранилище, Тверская обл., Калининский р-н, Верхневолжскоес/п, д. Квакшино</t>
  </si>
  <si>
    <t>Калитвянская Галина Ивановна</t>
  </si>
  <si>
    <t>Малоэтажные жилые дома, Тверская обл., Кимрский р-н, Федоровский с/о, от южной границы д. Топорок 280м</t>
  </si>
  <si>
    <t>ООО "Румянцево-Фитнес"</t>
  </si>
  <si>
    <t>спортивно-оздоровительный комплекс, г. Тверь, ул. Арсения Степанова, д. 19</t>
  </si>
  <si>
    <t>ООО "ГАЛА-Е"</t>
  </si>
  <si>
    <t>магазин, г. Тверь, ул. Дружинная, д. 5</t>
  </si>
  <si>
    <t>Бывшев В.А.</t>
  </si>
  <si>
    <t>База отдыха, Тверская обл., Осташковский р-н, Святосельское с/п, в районе д. Лежнево</t>
  </si>
  <si>
    <t>41144820
от 02.11.2015</t>
  </si>
  <si>
    <t>Русаков А.С.</t>
  </si>
  <si>
    <t>Жилой дом, Тверская обл., Торжокский р-н, Борисцевское с/п, д. Дубровка</t>
  </si>
  <si>
    <t>41156729
от 02.11.2015</t>
  </si>
  <si>
    <t>Мазуев А.С-Х.</t>
  </si>
  <si>
    <t>Кормоцех, Тверская обл., Калининский р-н, Красногорское с/п, в районе д. Колталово</t>
  </si>
  <si>
    <t>41145716
от 02.11.2015</t>
  </si>
  <si>
    <t>Админинистрация МО п. Суховерково</t>
  </si>
  <si>
    <t>локальные очистные сооружения закрытого типа, Тверская обл., Калининский р-н, пгт Суховерково</t>
  </si>
  <si>
    <t>41159167
от 05.11.2015</t>
  </si>
  <si>
    <t>Администрация гп п Пено</t>
  </si>
  <si>
    <t>два многоквартирных жилых домов, Тверская обл., Пеновский р-н., пгт Пено, ул. Парковая, д. 6а, корп. 1 и 2</t>
  </si>
  <si>
    <t>АО "МТТС"</t>
  </si>
  <si>
    <t>производственная база, Тверская обл., Торжокский р-н, Будовское с/п., д. Будово</t>
  </si>
  <si>
    <t>МБ ДОУ Детский сад № 2 п. Мирный</t>
  </si>
  <si>
    <t>41168287
от 19.11.2015</t>
  </si>
  <si>
    <t>ООО "Чихачи"</t>
  </si>
  <si>
    <t>овощехранилище, Тверская обл., Торопецкий р-н., Речанское с/п., д. Чихачи</t>
  </si>
  <si>
    <t>41120986
от 06.11.2015</t>
  </si>
  <si>
    <t>Макеев К.И.</t>
  </si>
  <si>
    <t>жилой дом, Тверская обл., Калязинский р-н, Семендяевское с/п., д. Мотино</t>
  </si>
  <si>
    <t>41157460
от 16.11.2015</t>
  </si>
  <si>
    <t>Орлов Андрей Анатольевич</t>
  </si>
  <si>
    <t>Корпус производственного здания, Тверская обл., Бежецкий р-н, Моркиногорское с/п, с. Моркины Горы, ул. Вторая Заводская, д. 6</t>
  </si>
  <si>
    <t>41165415
от 11.11.2015</t>
  </si>
  <si>
    <t>Давыдов Д.А.</t>
  </si>
  <si>
    <t>навес АВМ, Тверская область, Калининский р-н, район с. Медное</t>
  </si>
  <si>
    <t>жилищное строительство, Тверская обл., Конаковский р-н, д. Елдино</t>
  </si>
  <si>
    <t>жилищное строительство, Тверская обл., Конаковский р-н, д.Кабаново</t>
  </si>
  <si>
    <t>строительная площадка, Тверская обл., Конаковский р-н., Селиховское с/п, д. Марьино</t>
  </si>
  <si>
    <t>41178315
от 10.11.2015</t>
  </si>
  <si>
    <t>Гасилин Дмитрий Борисович</t>
  </si>
  <si>
    <t>Жилая застройка, Тверская обл., Калининский р-н, Бурашевское с/п, д. неготино</t>
  </si>
  <si>
    <t>Каибова Замила Казум кызы</t>
  </si>
  <si>
    <t>Автомойка с сауной, г. Тверь, ул. Шишкова, д. 90а</t>
  </si>
  <si>
    <t>Арсентьев В.Ф.</t>
  </si>
  <si>
    <t>Здание магазина, Тверская обл., Калининский р-н, Никулинское с/п, район д. Кривцово</t>
  </si>
  <si>
    <t>МУП "Доркомсервис"</t>
  </si>
  <si>
    <t>линия сортировки, Тверская обл., Конаковский р-н, пгт Новозавидовский</t>
  </si>
  <si>
    <t>Баранов А.Ю.</t>
  </si>
  <si>
    <t xml:space="preserve">жилого дома, Тверская обл., Конаковский р-н., гп Козлово, </t>
  </si>
  <si>
    <t>41135698
от 30.11.2015</t>
  </si>
  <si>
    <t>10/0,4кВ КТП Желено</t>
  </si>
  <si>
    <t>10/0,4кВ КТП Костюшено-2</t>
  </si>
  <si>
    <t xml:space="preserve">10/0,4кВ  ЗТП В.городок-4 </t>
  </si>
  <si>
    <t>СТП 100 кВА д.Спас-реня</t>
  </si>
  <si>
    <t>КТП 160 кВА №1 д.Стрелица</t>
  </si>
  <si>
    <t>Кимрский РЭС</t>
  </si>
  <si>
    <t>СТП-10кВ Молоди</t>
  </si>
  <si>
    <t>КТП-10кВ 430 Быково</t>
  </si>
  <si>
    <t xml:space="preserve"> д.Старово,Быково</t>
  </si>
  <si>
    <t xml:space="preserve"> д.Быково</t>
  </si>
  <si>
    <t>СТП-10кВ 431 Быково</t>
  </si>
  <si>
    <t xml:space="preserve"> д.Григорьевское</t>
  </si>
  <si>
    <t>отель Рэдисон</t>
  </si>
  <si>
    <t>ТП № 1</t>
  </si>
  <si>
    <t>п.Радченко</t>
  </si>
  <si>
    <t xml:space="preserve">КТП 6/0,4 Дружба    </t>
  </si>
  <si>
    <t xml:space="preserve">д.Муравьево         </t>
  </si>
  <si>
    <t>д.Костино-Бельково</t>
  </si>
  <si>
    <t>д.Захариха</t>
  </si>
  <si>
    <t>д.Овинище-мастерские</t>
  </si>
  <si>
    <t xml:space="preserve">д.Овинище </t>
  </si>
  <si>
    <t>д.Овинище-сушилка</t>
  </si>
  <si>
    <t>д.Селилово-Будилово</t>
  </si>
  <si>
    <t>д.Хвощино</t>
  </si>
  <si>
    <t>д.Володино</t>
  </si>
  <si>
    <t>д.Новорощино</t>
  </si>
  <si>
    <t>д.Новорощино-КРС</t>
  </si>
  <si>
    <t>д.Ивакино</t>
  </si>
  <si>
    <t>д.Черная</t>
  </si>
  <si>
    <t>д.Черная-ферма</t>
  </si>
  <si>
    <t>д.Лысково</t>
  </si>
  <si>
    <t>д.М.Погорелка</t>
  </si>
  <si>
    <t>д.Бортница</t>
  </si>
  <si>
    <t>д.Бортница-ФКРС</t>
  </si>
  <si>
    <t>д.Бортница-ПСЛВ</t>
  </si>
  <si>
    <t>д.Бортница-пилорама</t>
  </si>
  <si>
    <t>д.Старогвоздино</t>
  </si>
  <si>
    <t>д.Грудино</t>
  </si>
  <si>
    <t>д.Прокино</t>
  </si>
  <si>
    <t>д.Прокино-мастерские</t>
  </si>
  <si>
    <t>д.Барбино</t>
  </si>
  <si>
    <t>д.Барбино-ФКРС-комплекс</t>
  </si>
  <si>
    <t>д.Барбино-мастерские</t>
  </si>
  <si>
    <t>д.Барбино-ЗСП</t>
  </si>
  <si>
    <t>д.Косяково-КРС</t>
  </si>
  <si>
    <t>д.Косяково</t>
  </si>
  <si>
    <t>д.Якимиха</t>
  </si>
  <si>
    <t>д.Мокрени</t>
  </si>
  <si>
    <t>д.Глунцово</t>
  </si>
  <si>
    <t>д.Нави</t>
  </si>
  <si>
    <t>д.Коробово--посёлок</t>
  </si>
  <si>
    <t>д.Янькино</t>
  </si>
  <si>
    <t>д.Сварухино</t>
  </si>
  <si>
    <t>д.Трещевец-ферма</t>
  </si>
  <si>
    <t>д.Трещевец</t>
  </si>
  <si>
    <t>д.Трещевец-ПСЛВ-сушилка</t>
  </si>
  <si>
    <t>д.Б.Рагозино</t>
  </si>
  <si>
    <t>д.М.Рагозино</t>
  </si>
  <si>
    <t>д.Ременники-ФКРС</t>
  </si>
  <si>
    <t>д.Ременники-котеджи</t>
  </si>
  <si>
    <t>д.Юрово-картофелехр.</t>
  </si>
  <si>
    <t>д.Юрово</t>
  </si>
  <si>
    <t>д.Юрово-ФКРС (компл.)</t>
  </si>
  <si>
    <t>д.Желобни</t>
  </si>
  <si>
    <t>д.Желобни-АЗС</t>
  </si>
  <si>
    <t>д.Желобни-ЗСП</t>
  </si>
  <si>
    <t>д.Могочи</t>
  </si>
  <si>
    <t>д.Дор-льнозавод</t>
  </si>
  <si>
    <t>д.Юрицево</t>
  </si>
  <si>
    <t>д.Хабоцкое-Правление</t>
  </si>
  <si>
    <t>д.Хабоцкое-Мастерские</t>
  </si>
  <si>
    <t>д.Хабоцкое-Сушилка №3</t>
  </si>
  <si>
    <t>д.Хабоцкое-Сушилка №4</t>
  </si>
  <si>
    <t>д.Лизиково</t>
  </si>
  <si>
    <t>д.Русиново</t>
  </si>
  <si>
    <t>д.Куднево</t>
  </si>
  <si>
    <t>д.Лохово-Сушилка</t>
  </si>
  <si>
    <t>д.Лохово-ФКРС</t>
  </si>
  <si>
    <t>д.Ошуково</t>
  </si>
  <si>
    <t>д.Лихачево</t>
  </si>
  <si>
    <t>д.Лихачево-КРС</t>
  </si>
  <si>
    <t>д.Б.Погорелка</t>
  </si>
  <si>
    <t>д.Б.Погорелка-КРС</t>
  </si>
  <si>
    <t>д.Шаблыкино</t>
  </si>
  <si>
    <t>д.Ульянино-Поселок</t>
  </si>
  <si>
    <t>д.Ульянино-Школа</t>
  </si>
  <si>
    <t>д.Ульянино-ПСЛВ</t>
  </si>
  <si>
    <t>д.Ульянино-Сушилка</t>
  </si>
  <si>
    <t>д.Ульянино-КЗС</t>
  </si>
  <si>
    <t>д.Ульянино-Мастерские</t>
  </si>
  <si>
    <t>д.Токариха</t>
  </si>
  <si>
    <t>д.Слудново</t>
  </si>
  <si>
    <t>д.Слудново-КРС</t>
  </si>
  <si>
    <t>д.Скоросово-пилорама</t>
  </si>
  <si>
    <t>д.Скоросово</t>
  </si>
  <si>
    <t>д.Скоросово-мастерск.</t>
  </si>
  <si>
    <t>д.Скоросово-коттеджи</t>
  </si>
  <si>
    <t>д.Мокравици</t>
  </si>
  <si>
    <t>д.Ведерницы</t>
  </si>
  <si>
    <t>д.Кесово</t>
  </si>
  <si>
    <t>д.Кесово-ЗСП</t>
  </si>
  <si>
    <t>д.Ргени</t>
  </si>
  <si>
    <t>д.Красново</t>
  </si>
  <si>
    <t>д.Хабоцкое-школа</t>
  </si>
  <si>
    <t>д.Хабоцкое-ФКРС</t>
  </si>
  <si>
    <t>д.Хабоцкое-котеджи</t>
  </si>
  <si>
    <t>д.Хабоцкое-брод</t>
  </si>
  <si>
    <t>д.Неледино № 1</t>
  </si>
  <si>
    <t>д.Неледино № 2</t>
  </si>
  <si>
    <t>д.Глебени-КРС (комплекс)</t>
  </si>
  <si>
    <t>д.Глебени-мастерская</t>
  </si>
  <si>
    <t>д.Глебени</t>
  </si>
  <si>
    <t>д.Глебени-ЗСП</t>
  </si>
  <si>
    <t>д.Кокошкино</t>
  </si>
  <si>
    <t xml:space="preserve"> </t>
  </si>
  <si>
    <t>д.Костево,Буньково,Заполек</t>
  </si>
  <si>
    <t>д.Поповское</t>
  </si>
  <si>
    <t>д.Поповское-ферма</t>
  </si>
  <si>
    <t>д.Нивы-сушилка</t>
  </si>
  <si>
    <t>д.Дашкино</t>
  </si>
  <si>
    <t>д.Сиднева</t>
  </si>
  <si>
    <t>д.Рачево</t>
  </si>
  <si>
    <t>д.Рачево-ферма</t>
  </si>
  <si>
    <t>д.Рачево-мастерская</t>
  </si>
  <si>
    <t>д.Рачево-сушилка</t>
  </si>
  <si>
    <t>д.Бекрени</t>
  </si>
  <si>
    <t>д.Гришки</t>
  </si>
  <si>
    <t>д.Стяжки</t>
  </si>
  <si>
    <t>д.Чернуха</t>
  </si>
  <si>
    <t>д.Будакино</t>
  </si>
  <si>
    <t>д.Нива-мастерские</t>
  </si>
  <si>
    <t>д.Поляны-ферма (КРС)</t>
  </si>
  <si>
    <t>д.Поляны-сушилка</t>
  </si>
  <si>
    <t>д.Пронино</t>
  </si>
  <si>
    <t>д.Назимово</t>
  </si>
  <si>
    <t>д.Полежаиха</t>
  </si>
  <si>
    <t>д.Машино-сушилка (КРС)</t>
  </si>
  <si>
    <t>д.Машино</t>
  </si>
  <si>
    <t>д.Ждани</t>
  </si>
  <si>
    <t xml:space="preserve">д.Путилово-школа </t>
  </si>
  <si>
    <t>д.Маковеево</t>
  </si>
  <si>
    <t>д.Пальниково</t>
  </si>
  <si>
    <t>д.Хвалево</t>
  </si>
  <si>
    <t>д.Скоросово-сушилка</t>
  </si>
  <si>
    <t>д.Высокуша-поселок</t>
  </si>
  <si>
    <t xml:space="preserve">д.Высокуша-водокачка </t>
  </si>
  <si>
    <t>д.Плишкино</t>
  </si>
  <si>
    <t>д.Высокуша</t>
  </si>
  <si>
    <t>д.Васюнино-КРС</t>
  </si>
  <si>
    <t>д.Васюнино-мастерск.</t>
  </si>
  <si>
    <t>д.Васюнино</t>
  </si>
  <si>
    <t>д.Васюнино-котеджи</t>
  </si>
  <si>
    <t>д.Васюнино-КЗС</t>
  </si>
  <si>
    <t>д.Поповка-ферма (КРС)</t>
  </si>
  <si>
    <t>д.Поповка-поселок</t>
  </si>
  <si>
    <t>д.Утехово</t>
  </si>
  <si>
    <t>д.Толстиково-мастер.</t>
  </si>
  <si>
    <t>д.Поповка-мастер.</t>
  </si>
  <si>
    <t>д.Мартыново-ПСЛВ</t>
  </si>
  <si>
    <t>д.Мартыново-пилор.(мастер.)</t>
  </si>
  <si>
    <t>д.Мартыново-ФКРС</t>
  </si>
  <si>
    <t>д.Петряево</t>
  </si>
  <si>
    <t>д.Петряево-ферма</t>
  </si>
  <si>
    <t>д.Осташево-Поповка</t>
  </si>
  <si>
    <t>д.Перха</t>
  </si>
  <si>
    <t>д.Шолгирогово</t>
  </si>
  <si>
    <t>д.Лесной Холм</t>
  </si>
  <si>
    <t>д.Братское</t>
  </si>
  <si>
    <t>д.Братское-КРС</t>
  </si>
  <si>
    <t>д.Чернава</t>
  </si>
  <si>
    <t>д.Горчаково</t>
  </si>
  <si>
    <t>д.Огибалово</t>
  </si>
  <si>
    <t>д.Огибалово-суш. (КЗС)</t>
  </si>
  <si>
    <t>д.Кожанково</t>
  </si>
  <si>
    <t>д.Крапивкино</t>
  </si>
  <si>
    <t>д.Болонино</t>
  </si>
  <si>
    <t>д.Потешкино</t>
  </si>
  <si>
    <t>д.Васильки-ФКРС</t>
  </si>
  <si>
    <t>д.Васильки-мастер.</t>
  </si>
  <si>
    <t>д.Черницино</t>
  </si>
  <si>
    <t>д.Максимцы</t>
  </si>
  <si>
    <t>КТП 10/0,4кВ №47</t>
  </si>
  <si>
    <t>КТП 10/0,4кВ №51</t>
  </si>
  <si>
    <t>ЗТПП 10/0,4кВ №14</t>
  </si>
  <si>
    <t>КТП 10/0,4кВ №48</t>
  </si>
  <si>
    <t>КТП 10/0,4кВ №25</t>
  </si>
  <si>
    <t>КТП 10/0,4кВ №54</t>
  </si>
  <si>
    <t>КТП 10/0,4кВ №4</t>
  </si>
  <si>
    <t>ЗТПП 10/0,4кВ №29</t>
  </si>
  <si>
    <t>ЗТП 10/0,4кВ №33</t>
  </si>
  <si>
    <t>КТП 10/0,4кВ №39</t>
  </si>
  <si>
    <t>ЗТПП 10/0,4кВ №9</t>
  </si>
  <si>
    <t>ЗТП 10/0,4кВ №6</t>
  </si>
  <si>
    <t>ЗТП 10/0,4кВ №46</t>
  </si>
  <si>
    <t>ЗТПП 10/0,4кВ №41</t>
  </si>
  <si>
    <t>ЗТПП 10/0,4кВ №16</t>
  </si>
  <si>
    <t>ЗТП 10/0,4кВ №3</t>
  </si>
  <si>
    <t>МТП 10/0,4кВ №20</t>
  </si>
  <si>
    <t>ЗТПП 10/0,4кВ №1</t>
  </si>
  <si>
    <t>ЗТП 10/0,4кВ №49</t>
  </si>
  <si>
    <t>ЗТПП 10/0,4кВ №53</t>
  </si>
  <si>
    <t>ЗТПП 10/0,4кВ №2</t>
  </si>
  <si>
    <t>ЗТПП 10/0,4кВ №24</t>
  </si>
  <si>
    <t>ЗТПП 10/0,4кВ №7</t>
  </si>
  <si>
    <t>ЗТП 10/0,4кВ №8</t>
  </si>
  <si>
    <t>КТП 10/0,4кВ №15</t>
  </si>
  <si>
    <t>ЗТП 10/0,4кВ №40</t>
  </si>
  <si>
    <t>КТП 10/0,4кВ №27</t>
  </si>
  <si>
    <t>КТП 10/0,4кВ №28</t>
  </si>
  <si>
    <t>ЗТП 10/0,4кВ №12</t>
  </si>
  <si>
    <t>ЗТПП 10/0,4кВ №38</t>
  </si>
  <si>
    <t>д.Покровка</t>
  </si>
  <si>
    <t>Максатихинский район</t>
  </si>
  <si>
    <t>Максатихинский РЭС</t>
  </si>
  <si>
    <t>ТП 10/0,4 кВ 340 п. Малышево</t>
  </si>
  <si>
    <t>ТП-10 кВ 340 п. Максатиха</t>
  </si>
  <si>
    <t>10/0,4 кВ МТП № 20 А</t>
  </si>
  <si>
    <t>10/0,4 кВ КТП Бервенец-2</t>
  </si>
  <si>
    <t>Т1</t>
  </si>
  <si>
    <t>Т2</t>
  </si>
  <si>
    <t>цех по утилизации отходов бойни, Тверская обл., Конаковский р-н., с. Дмитрова Гора</t>
  </si>
  <si>
    <t>предприятие по пр-ву цельномолочной продукции, Тверская обл., Конаковский р-н., с . Дмитрова Гора</t>
  </si>
  <si>
    <t>Площадки откорма и репродуктор свинокомплексов на 6000 голов, Тверская обл., Конаковский р-н, Селиховское с/п, район д. Селихово</t>
  </si>
  <si>
    <t>Животноводческий комплекс на 6000 голов КРС, Тверская обл., Конаковский р-н, Ручьевское с/п</t>
  </si>
  <si>
    <t>вертолетная площадка, Тверская обл., Конаковский р-н, д. Мокшино</t>
  </si>
  <si>
    <t>41062035
01.07.2015</t>
  </si>
  <si>
    <t>ОАО племзавод "Заволжское"</t>
  </si>
  <si>
    <t>Сооружения биологической очистки сточный вод, Тверская обл., Калининский р-н, Заволжское с/п, в районе д. Дмитрово-Черкассы</t>
  </si>
  <si>
    <t>41065127
06.07.2015</t>
  </si>
  <si>
    <t>Производственная база, Тверская область, Калининский р-н, Медновское с/п, колхоз "Первомайский"</t>
  </si>
  <si>
    <t>41079436
14.07.2015</t>
  </si>
  <si>
    <t>ООО "Профреконструкция"</t>
  </si>
  <si>
    <t>бытовой строительный городок, Тверская обл., Калининский р-н, Медновское с/п, район дер. Дмитровское и дер.Букарево</t>
  </si>
  <si>
    <t>41088392
07.07.2015</t>
  </si>
  <si>
    <t>Т3</t>
  </si>
  <si>
    <t>ООО "Инженер-Сервис"</t>
  </si>
  <si>
    <t>Многоквартирный жилой дом, г. Тверь, ул. Весенняя, д. 51</t>
  </si>
  <si>
    <t>ООО "Великолукский свиноводческий комплекс"</t>
  </si>
  <si>
    <t>Продовольственный магазин, Тверская обл., Пеновский р-н, пгт Пено, ул. Советская, д. 7</t>
  </si>
  <si>
    <t>Администрация гп Пено</t>
  </si>
  <si>
    <t>трехэтажный дом МКД, Тверская обл., Пеновский р-н, пгт Пено, пр-кт Коммунаров, д. 30</t>
  </si>
  <si>
    <t>ФКУ УПРДОР "Россия"</t>
  </si>
  <si>
    <t>объект оснащение моста средствами обеспечения транспортной безопасности, Тверская обл., Конаковский р-н, д. Безбородово</t>
  </si>
  <si>
    <t>41161276
(договор заключен 03.12.2015)</t>
  </si>
  <si>
    <t>Ковалева Е.С.</t>
  </si>
  <si>
    <t>41118335
(договор заключен 03.12.2015)</t>
  </si>
  <si>
    <t>Коринев Сергей Михайлович</t>
  </si>
  <si>
    <t>Жилой дом, Тверская обл., Страицкий р-н, Васильевское с/п, вблизи д. Дерягино и д. Бутово</t>
  </si>
  <si>
    <t>объект реконструкция, Тверская обл., торжокский р-н, д. Кужлево, (участок 7)</t>
  </si>
  <si>
    <t>Скоростная дорога</t>
  </si>
  <si>
    <t>ОАО СФ Тверьагрострой</t>
  </si>
  <si>
    <t>Передвижные объекты, г. Тверь,Бурашевское шоссе</t>
  </si>
  <si>
    <t>ООО "ОМНИПАК ТВЕРЬ"</t>
  </si>
  <si>
    <t>завод по производству картонной упаковски для жидких пищевых продуктов, Тверская обл., Конаковский р-н., пгт Редкино, ул. Промышленная, д. 12</t>
  </si>
  <si>
    <t>41174155
(договор заключен 07.12.2015)</t>
  </si>
  <si>
    <t>41052779
(договор заключен 03.12.2015)</t>
  </si>
  <si>
    <t>Производственная база, Тверская обл., Калининский р-н, дер. Дмитровское</t>
  </si>
  <si>
    <t>41115098
(договор заключен 10.12.2015)</t>
  </si>
  <si>
    <t>объект реконструкция, Тверская обл., Торжокский р-н, д. Большая Киселенка, (участок 8)</t>
  </si>
  <si>
    <t>объект реконструкция, Тверская обл., Торжокский р-н, д. малая Киселенка (участок 9)</t>
  </si>
  <si>
    <t>объект реконструкция, Тверская обл., Торжокский р-н (участок 10)</t>
  </si>
  <si>
    <t>вертолетная площадка, Тверская обл., Конаковский р-н., с/п "Завидово", д. Мокшино</t>
  </si>
  <si>
    <t>Здание инструментального цеха, Тверская обл., Конаковский р-н, гпп Изоплит, пос. Озерки, Механический завод, д. 45</t>
  </si>
  <si>
    <t>41159846
(договор заключен 08.12.2015)</t>
  </si>
  <si>
    <t>ООО ПК Конаковский фаянс</t>
  </si>
  <si>
    <t>производственно-административного здания, Тверская обл., г. Конаково, район Дачного переулка</t>
  </si>
  <si>
    <t>41179535
(договор заключен 02.12.2015)</t>
  </si>
  <si>
    <t>41101757
(заключен 16.09.2015)</t>
  </si>
  <si>
    <t>Булыгин Ю.В.</t>
  </si>
  <si>
    <t>40996324
(заключен 05.02.2015)</t>
  </si>
  <si>
    <t>ООО СК "БИЛДИНГ"</t>
  </si>
  <si>
    <t>41089975
(заключен 08.06.2015)</t>
  </si>
  <si>
    <t>41106791
(заключен 20.07.2015)</t>
  </si>
  <si>
    <t>41114936
(заключен 07.09.2015)</t>
  </si>
  <si>
    <t>41102050
(заключен 16.09.2015)</t>
  </si>
  <si>
    <t>41106036
(заключен 23.09.2015)</t>
  </si>
  <si>
    <t>41165328
(заключен 08.12.2015)</t>
  </si>
  <si>
    <t>ООО "ПО СТРОЙИНДУСТРИЯ"</t>
  </si>
  <si>
    <t>Жилой дом, г. Тверь, ул. Первитинская, д. 41,43, 43а</t>
  </si>
  <si>
    <t>41024146
(заключен 21.04.2015)</t>
  </si>
  <si>
    <t>41139658
(заключен 16.11.2015)</t>
  </si>
  <si>
    <t>ООО "Инвестстрой"</t>
  </si>
  <si>
    <t>Жилые дома, Тверская обл., Калининский р-н, Михайловское с/п, в районе д. Глазково</t>
  </si>
  <si>
    <t>41177015
(заключен 28.12.2015)</t>
  </si>
  <si>
    <t>41055362
(заключен 06.08.2015)</t>
  </si>
  <si>
    <t>41026755
(заключен 10.08.2015)</t>
  </si>
  <si>
    <t>41084555
(заключен 04.09.2015)</t>
  </si>
  <si>
    <t>41139015
(заключен 19.10.2015)</t>
  </si>
  <si>
    <t>41156606
(заключен 19.11.2015)</t>
  </si>
  <si>
    <t>41141561
(заключен 28.09.2015)</t>
  </si>
  <si>
    <t>41134380
(заключен 29.10.2015)</t>
  </si>
  <si>
    <t>ООО "Рада-трейд"</t>
  </si>
  <si>
    <t>коттеджный поселок, Тверская обл., Калининский р-н., Бурашевское с/п., д. Гришкино Большое</t>
  </si>
  <si>
    <t>41032708
(заключен 16.03.2015)</t>
  </si>
  <si>
    <t>шинный центр, Тверская обл., Калининский р-н., Бурашевское с/п., д. Вишенки</t>
  </si>
  <si>
    <t>41045940
(заключен 01.04.2015)</t>
  </si>
  <si>
    <t>СНТ "Сосенки в районе д. Алексеевское"</t>
  </si>
  <si>
    <t>СНТ , Тверская обл., Калиниский р-н., Бурашевское с/п., д. Алексеевское</t>
  </si>
  <si>
    <t>41014326
(заключен 01.04.2015)</t>
  </si>
  <si>
    <t>41098430
(заключен 13.08.2015)</t>
  </si>
  <si>
    <t>41141902
(заключен 02.10.2015)</t>
  </si>
  <si>
    <t>41109355
(заключен 19.11.2015)</t>
  </si>
  <si>
    <t>овощехранилище, Тверская обл., Калининский район, Верхневолжское с/п., д. Квакшино</t>
  </si>
  <si>
    <t>41087224
(заключен 19.08.2015)</t>
  </si>
  <si>
    <t>41164845
(заключен 16.10.2015)</t>
  </si>
  <si>
    <t>животноводческий комплекс, Тверская обл., Конаковский р-н., Ручьевское с/п</t>
  </si>
  <si>
    <t>40998716
(заключен 30.01.2015)</t>
  </si>
  <si>
    <t>41019393
(заключен 08.07.2015)</t>
  </si>
  <si>
    <t>41057949
(заключен 08.07.2015)</t>
  </si>
  <si>
    <t>41094858
(заключен 21.07.2015)</t>
  </si>
  <si>
    <t>41115160
(заключен 21.07.2015)</t>
  </si>
  <si>
    <t>41125572
(заключен 01.09.2015)</t>
  </si>
  <si>
    <t>41119272
(заключен 05.10.2015)</t>
  </si>
  <si>
    <t>41135084
(заключен 18.09.2015)</t>
  </si>
  <si>
    <t>41047804
(заключен 21.05.2015)</t>
  </si>
  <si>
    <t>41107248
(заключен 02.09.2015)</t>
  </si>
  <si>
    <t>41124092
(заключен 05.11.2015)</t>
  </si>
  <si>
    <t>41124127
(заключен 11.09.2015)</t>
  </si>
  <si>
    <t>41155460
(заключен 05.10.2015)</t>
  </si>
  <si>
    <t>41081286
(заключен 13.10.2015)</t>
  </si>
  <si>
    <t>41115999
(заключен 28.10.2015)</t>
  </si>
  <si>
    <t>41097204
(заключен 18.11.2015)</t>
  </si>
  <si>
    <t>41099521
(заключен 18.11.2015)</t>
  </si>
  <si>
    <t>41184823
(заключен 25.12.2015)</t>
  </si>
  <si>
    <t>41150060
(заключен 01.10.2015)</t>
  </si>
  <si>
    <t>41157051
(заключен 25.11.2015)</t>
  </si>
  <si>
    <t>Производственная база, Тверская обл., Конаковский р-н, с/п Завидовское, район д. Шорново</t>
  </si>
  <si>
    <t>41147327
(заключен 28.12.2015)</t>
  </si>
  <si>
    <t>41095405
(заключен 18.08.2015)</t>
  </si>
  <si>
    <t>дачный дом, Тверская обл., Калининский р-н., Каблуковское с/п., район д. Савватьево</t>
  </si>
  <si>
    <t>41061455
(заключен 28.04.2015)</t>
  </si>
  <si>
    <t>41136772
(заключен 17.09.2015)</t>
  </si>
  <si>
    <t>МБДОУ Детский сад № 6</t>
  </si>
  <si>
    <t>детский сад, Тверская обл., Максатихинский р-н., пос. Малышево, ул. Центральная, д. 1</t>
  </si>
  <si>
    <t>41046787
(заключен 11.03.2015)</t>
  </si>
  <si>
    <t>41046787
(договор заключен 11.03.2015)</t>
  </si>
  <si>
    <t>41092890
(заключен 19.08.2015)</t>
  </si>
  <si>
    <t>41049385
(заключен 15.10.2015)</t>
  </si>
  <si>
    <t>41141667
(заключен 19.10.2015)</t>
  </si>
  <si>
    <t>41133664
(заключен 26.08.2015)</t>
  </si>
  <si>
    <t>41169438
(заключен 17.11.2015)</t>
  </si>
  <si>
    <t>41150489
(заключен 01.12.2015)</t>
  </si>
  <si>
    <t>41182577
(заключен 08.12.2015)</t>
  </si>
  <si>
    <t>41060641
(заключен 10.06.2015)</t>
  </si>
  <si>
    <t>Позднякова Ж.В.</t>
  </si>
  <si>
    <t>жилой дом, Тверская обл., Осташковский р-н., Замошское с/п., д. Куряево</t>
  </si>
  <si>
    <t>41031907
(заключен 30.03.2015)</t>
  </si>
  <si>
    <t>41120706
(заключен 08.09.2015)</t>
  </si>
  <si>
    <t>41169442
(заключен 03.12.2015)</t>
  </si>
  <si>
    <t>41169537
(заключен 03.12.2015)</t>
  </si>
  <si>
    <t>41052630
(заключен 03.12.2015)</t>
  </si>
  <si>
    <t>КП ТМ на км 311 МГ «Белоусово-Ленинград» в составе объекта «Реконструкция МГ «Серпухов-Ленинград» и МГ «Белоусово–Ленинград», расположенного по адресу: Тверская область, Вышневолоцкий район, 760 м юго-восточнее населенного пункта Колокольня</t>
  </si>
  <si>
    <t>40931475
(заключен 24.02.2015)</t>
  </si>
  <si>
    <t>41082108
(заключен 16.06.2015)</t>
  </si>
  <si>
    <t>41052859
(заключен 03.08.2015)</t>
  </si>
  <si>
    <t>41151779
(заключен 02.11.2015)</t>
  </si>
  <si>
    <t>41169388
(заключен 03.12.2015)</t>
  </si>
  <si>
    <t>41169437
(заключен 03.12.2015)</t>
  </si>
  <si>
    <t>41169542
(заключен 03.12.2015)</t>
  </si>
  <si>
    <t>Тверская обл., Старицкий р-н., 2460 м юго-западнее Емельяново</t>
  </si>
  <si>
    <t>40884772
(заключен 14.04.2015)</t>
  </si>
  <si>
    <t>41082313
(заключен 10.06.2015)</t>
  </si>
  <si>
    <t>41051031
(заключен 25.12.2015)</t>
  </si>
  <si>
    <t>Дундуков С.Н.</t>
  </si>
  <si>
    <t>Индустриальный парк Корчмидово, Тверская обл., Зубцовский р-н., Погорельское с/п., д. Старое</t>
  </si>
  <si>
    <t>40876867
(заключен 13.01.2015)</t>
  </si>
  <si>
    <t>Объекты на земельном участке, Тверская обл., Зубцовский р-н, Вазузское с/п, около д. Григорово</t>
  </si>
  <si>
    <t>41039743
(заключен 24.04.2015)</t>
  </si>
  <si>
    <t>41060278
(заключен 20.05.2015)</t>
  </si>
  <si>
    <t>41087067
(заключен 11.08.2015)</t>
  </si>
  <si>
    <t>Давитян Р.А.</t>
  </si>
  <si>
    <t>Растворо-бетонный блок, Тверская обл., г. Зубцов, ул. Промышленная</t>
  </si>
  <si>
    <t>41059291
(заключен 0.09.2015)</t>
  </si>
  <si>
    <t>электрустановки, Тверская обл., г. Старица, ул. Пионерская, д. 10</t>
  </si>
  <si>
    <t>40981641
(заключен 18.02.2015)</t>
  </si>
  <si>
    <t>Осипов К.О.</t>
  </si>
  <si>
    <t>жилой дом, Тверская обл., Старицкий р-н., Ново-Ямское с/п., д. Сельцо</t>
  </si>
  <si>
    <t>41031735
(заключен 10.03.2015)</t>
  </si>
  <si>
    <t>Горбун С.В.</t>
  </si>
  <si>
    <t>жилой дом, Тверская обл., Старицкий р-н., Ново-Ямское с/п., д. Сельцо, д. 62</t>
  </si>
  <si>
    <t>40985780
(заключен 25.03.2015)</t>
  </si>
  <si>
    <t>Смирнова Л.Д.</t>
  </si>
  <si>
    <t>Жилой дом, Тверская обл., Кимрский р-н, Нерльское с/п, с. Капшино</t>
  </si>
  <si>
    <t>41043617
(заключен 17.04.2015)</t>
  </si>
  <si>
    <t>Врублевский А.В.</t>
  </si>
  <si>
    <t>Жилой дом, Тверская обл., Калязинский р-н, Старобисловское с/п, д. Болдиново, ул. Речная, д. 16</t>
  </si>
  <si>
    <t>40990145
(заключен 27.04.2015)</t>
  </si>
  <si>
    <t>41070682
(заключен 25.06.2015)</t>
  </si>
  <si>
    <t>41098446
(заключен 21.09.2015)</t>
  </si>
  <si>
    <t>СНТ "НОВО-ИГНАТОВО"</t>
  </si>
  <si>
    <t>жилые дома, Тверская обл., Кимрский р-н., Федоровское с/п., район д. Игнатово</t>
  </si>
  <si>
    <t>41007511
(заключен 26.03.2015)</t>
  </si>
  <si>
    <t>АО НПП Исток им. Шокина</t>
  </si>
  <si>
    <t>41064245
(заключен 11.06.2015)</t>
  </si>
  <si>
    <t>41074231
(заключен 16.10.2015)</t>
  </si>
  <si>
    <t>40896234 
(договор заключен 01.07.2014)</t>
  </si>
  <si>
    <t>СТ "Строитель"</t>
  </si>
  <si>
    <t>СТ, Тверская обл., Калязинский р-н., Алферовское с/п, СТ "Строитель"</t>
  </si>
  <si>
    <t>40990169
(заключен 02.02.2015)</t>
  </si>
  <si>
    <t>41079959
(заключен 09.10.2015)</t>
  </si>
  <si>
    <t>ТП №1155 Био.тех.сооружения №94</t>
  </si>
  <si>
    <t>ТП №1156 Био.тех.сооружения №113</t>
  </si>
  <si>
    <t>ТП №1157 Био.тех.сооружения №102</t>
  </si>
  <si>
    <t>ТП №1158 Био.тех.сооружения №47</t>
  </si>
  <si>
    <t>ТП №1159 Био.тех.сооружения №59</t>
  </si>
  <si>
    <t>ТП №1160 Био.тех.сооружения №28</t>
  </si>
  <si>
    <t>ТП 719 АЗС БП</t>
  </si>
  <si>
    <t>ТП 795 СНТ Сосновый бор</t>
  </si>
  <si>
    <t>ТП 879 "Оазис-1"</t>
  </si>
  <si>
    <t>ТП 880 "Оазис-2"</t>
  </si>
  <si>
    <t>Разъединитель  10кВ Т1 (400А)</t>
  </si>
  <si>
    <t xml:space="preserve">Ошиновка Т-1,2, шины, разъединители 10 кВ на вводах   </t>
  </si>
  <si>
    <t>РЗА на стороне 10 кВ. Ограничение: 4,43 МВА. Ограничение по условию согласования защит с учетом нагрузки смежной стороны трансформатора. Технических мероприятий нет.</t>
  </si>
  <si>
    <t xml:space="preserve">Шины  35кВ </t>
  </si>
  <si>
    <t>Расчет пропускной способности Центров питания филиала ОАО"МРСК Центра"-"Тверьэнерго" по итогам зимнего замера максимума нагрузки в декабре 2015 г.</t>
  </si>
  <si>
    <t>40876849 
(договор заключен 10.07.2014)</t>
  </si>
  <si>
    <t>40062820
заключен 26.10.2009</t>
  </si>
  <si>
    <t>СНТ "Петушок"</t>
  </si>
  <si>
    <t>Садовые домики</t>
  </si>
  <si>
    <t>324-01-ТП 
договор расторгнут (05.02.2007)</t>
  </si>
  <si>
    <t>40086492 
(договор заключен 02.08.2010)</t>
  </si>
  <si>
    <t>40065544
заключен 15.10.2009</t>
  </si>
  <si>
    <t>40061440
07.10.2009</t>
  </si>
  <si>
    <t>СНТ</t>
  </si>
  <si>
    <t>Вера СНТ</t>
  </si>
  <si>
    <t>Сос Меружанович Оганнисян</t>
  </si>
  <si>
    <t>объект подсобного сел.хоз-ва</t>
  </si>
  <si>
    <t>2016 г</t>
  </si>
  <si>
    <t>СНТ "Патриот"</t>
  </si>
  <si>
    <t>дачные дома, Тверская обл., Калининский р-н, Каблуковское с/п, район д. Савватьево</t>
  </si>
  <si>
    <t>41168278
(заключен 18.01.2016)</t>
  </si>
  <si>
    <t>СНТ "Планета"</t>
  </si>
  <si>
    <t>Дачные дома, Тверская обл., Калининский р-н, Каблуковское с/п, СНТ "Планета" в районе д. Савватьево</t>
  </si>
  <si>
    <t>41187395
заключен 18.02.16</t>
  </si>
  <si>
    <t>Селиванов Максим Викторович</t>
  </si>
  <si>
    <t>Жилой дом, Тверская обл., Калининский р-н, Тургиновское с/п, район д. Мелечкино</t>
  </si>
  <si>
    <t>41168035
(заключен 26.01.2016)</t>
  </si>
  <si>
    <t>Игонин С.Б.</t>
  </si>
  <si>
    <t>Жилая застройка, Тверская обл., Калининский р-н, Бурашевское с/п, д. Панино</t>
  </si>
  <si>
    <t>41153266
заключен 03.02.16</t>
  </si>
  <si>
    <t>ЗАО "М-12"</t>
  </si>
  <si>
    <t>здание магазина - кафе,  Тверская обл., Конаковский р-н, пгт Козлово, ул. Октябрьская, д. 40</t>
  </si>
  <si>
    <t>41202568
заключен 08.02.16</t>
  </si>
  <si>
    <t>Сметанина Е.А.</t>
  </si>
  <si>
    <t>жилой дом, Тверская обл., Конаковский р-н, Козловское с/п, д. Бушмино</t>
  </si>
  <si>
    <t>41209035
заключен 10.02.16</t>
  </si>
  <si>
    <t>Жилые постройки, Тверская обл., Конаковский р-н, с/п Завидово, д. Вараксино</t>
  </si>
  <si>
    <t>41169351
заключен 10.02.16</t>
  </si>
  <si>
    <t>Демьянова Т.А.</t>
  </si>
  <si>
    <t>Жилой дом, Тверская обл., Конаковский р-н,Старомелковское с/п, д. Огурцово, д. 26</t>
  </si>
  <si>
    <t>41210454
заключен 19.02.16</t>
  </si>
  <si>
    <t>Пивовар Роман Ефимович</t>
  </si>
  <si>
    <t>41185321
заключен 15.02.16</t>
  </si>
  <si>
    <t>Рыжиков Сергей Игоревич</t>
  </si>
  <si>
    <t>Жилой дом, Тверская обл., Кашинский р-н, Барыковское с/п, д. Горки, д. 40</t>
  </si>
  <si>
    <t>41187307
(заключен 25.01.2016)</t>
  </si>
  <si>
    <t>2016 г.</t>
  </si>
  <si>
    <t>Трофимова Ю.В.</t>
  </si>
  <si>
    <t>Жилой дом, Тверская обл., Калязинский р-н, Алферовское с/п, д. Васюсино</t>
  </si>
  <si>
    <t>41193384
заключен 05.02.16</t>
  </si>
  <si>
    <t>Сардарян С.С.</t>
  </si>
  <si>
    <t>жилой дом, Тверская обл., Кимрский р-н, Маловасильевское с/п, д. Абатурово, д. 2</t>
  </si>
  <si>
    <t>41183215
заключен 10.02.16</t>
  </si>
  <si>
    <t>Кондратенкова Е.Н.</t>
  </si>
  <si>
    <t>Жилой дом, Тверская обл., Кимрский р-н, Федоровское с/п, д. Крева, уч. 75</t>
  </si>
  <si>
    <t>41192615
заключен 18.02.16</t>
  </si>
  <si>
    <t>Синюкова Н.А.</t>
  </si>
  <si>
    <t>Дачный дом, Тверская обл., Старицкий р-н, Архангельское с/п, д Улитино</t>
  </si>
  <si>
    <t>41180697
(заключен 22.01.2016)</t>
  </si>
  <si>
    <t>Абдулхамидов Р.М.</t>
  </si>
  <si>
    <t>жилая застройка, Тверская обл., Зубцовский р-н., д. Молозвино</t>
  </si>
  <si>
    <t>41182850
(заключен 1.01.2016)</t>
  </si>
  <si>
    <t>ИП Бакариев Г.М.</t>
  </si>
  <si>
    <t>пилорама, Тверская обл., Осташковский р-н., Святосельское с/п, с. Святое</t>
  </si>
  <si>
    <t>41177717
заключен 09.02.16</t>
  </si>
  <si>
    <t>Ильин А.Н.</t>
  </si>
  <si>
    <t>Жилой дом, Тверская обл., Торжокский р-н, Мирновское с/п, д. Спасс</t>
  </si>
  <si>
    <t>41199200
заключен 24.02.16</t>
  </si>
  <si>
    <t>30-ти квартирный жилой дом, Тверская обл., Ржевский р-н, с/п Победа, п. Победа</t>
  </si>
  <si>
    <t>41219968
заключен 09.03.16</t>
  </si>
  <si>
    <t>Двух жилых шестнадцати квартирных 2-х этажных жилых домов, Тверская обл., Ржевский р-н, сп Хорошево, д. Хорошево</t>
  </si>
  <si>
    <t>41226733
заключен 29.03.16</t>
  </si>
  <si>
    <t>Вилков А.В.</t>
  </si>
  <si>
    <t>Строительная площадка, Тверская обл., Конаковский р-н, пгт Новозавидовский, ул. Советская, д. 4</t>
  </si>
  <si>
    <t>41220553 временный
заключен 01.03.16</t>
  </si>
  <si>
    <t>ИП Пирогов С.В.</t>
  </si>
  <si>
    <t>здание мастерских, г. Тверь, ул. Академика Туполева, д. 124</t>
  </si>
  <si>
    <t>41208403
заключен 15.03.16</t>
  </si>
  <si>
    <t>Ходыкин П.В.</t>
  </si>
  <si>
    <t>жилой дом, Тверская обл., Конаковский р-н., Вахонинское с/п, д. Терехово, ул. Речная, д. 1</t>
  </si>
  <si>
    <t>41202696
заключен 18.03.16</t>
  </si>
  <si>
    <t>СНТ "Росинка"</t>
  </si>
  <si>
    <t>Дачные дома, Тверская обл., Калининский р-н, Никулинское с/п, СНТ "Росинка"</t>
  </si>
  <si>
    <t>41184871
заключен 22.03.16</t>
  </si>
  <si>
    <t>ООО "Луч свободы"</t>
  </si>
  <si>
    <t>Склад минеральных удобрений, Тверская обл.,Осташковский р-н, Сиговское с/п, д. Зехново</t>
  </si>
  <si>
    <t>41178118
заключен 24.03.16</t>
  </si>
  <si>
    <t>Остапенко Сергей Николаевич</t>
  </si>
  <si>
    <t>Жилой дом, Тверская обл.. Осташковский р-н, Замошское с/п, д. Большое Ронское, д. 31а</t>
  </si>
  <si>
    <t>41209501
заключен 28.03.16</t>
  </si>
  <si>
    <t>Семенов Юрий Петрович</t>
  </si>
  <si>
    <t>Производственная база, Тверская обл., Западнодвинский р-н, Бенецкое с/п, п. Озерки</t>
  </si>
  <si>
    <t>41204375
заключен 29.03.16</t>
  </si>
  <si>
    <t xml:space="preserve">2016 г. </t>
  </si>
  <si>
    <t>Тверская обл., Максатихинский р-н, Ривицкоес/п,пос. Ривицкий, ул. Мира</t>
  </si>
  <si>
    <t>41215132
заключен 29.03.16</t>
  </si>
  <si>
    <t>п.Бологово</t>
  </si>
  <si>
    <t>10/0,4 кВ КТП Бологово 7</t>
  </si>
  <si>
    <t>250/400</t>
  </si>
  <si>
    <t>с.Моркины Горы</t>
  </si>
  <si>
    <t>с.Градницы</t>
  </si>
  <si>
    <t>с. Моркины Горы</t>
  </si>
  <si>
    <t>с.Сукромны</t>
  </si>
  <si>
    <t>ТП №001 д.Бараново.</t>
  </si>
  <si>
    <t>КТП №005 д. Крешнево</t>
  </si>
  <si>
    <t>КТП №058 д. Бадачево</t>
  </si>
  <si>
    <t>МТП №056 д.Стрелица</t>
  </si>
  <si>
    <t>КТП №057 д.Перемут</t>
  </si>
  <si>
    <t>КТП 60 кВа григорово</t>
  </si>
  <si>
    <t>КТП №046 д. Подлесное</t>
  </si>
  <si>
    <t>МТП  №107 д.Суково</t>
  </si>
  <si>
    <t>КТП №151  с.Чамерово</t>
  </si>
  <si>
    <t>КТП №133 д.Огнишино</t>
  </si>
  <si>
    <t>МТП 40 кВА д.Козлы</t>
  </si>
  <si>
    <t xml:space="preserve"> ТП 10/0,4 кВ.Федово 2</t>
  </si>
  <si>
    <t xml:space="preserve"> ТП 10/0,4 кВ.Управление</t>
  </si>
  <si>
    <t xml:space="preserve"> ТП 10/0,4 кВ.Молокозавод</t>
  </si>
  <si>
    <t xml:space="preserve"> ТП 10/0,4 кВ.Быстрое-ферма</t>
  </si>
  <si>
    <t xml:space="preserve"> ТП 10/0,4 кВ.Гряды-2</t>
  </si>
  <si>
    <t xml:space="preserve"> ТП 10/0,4 кВ.Пилорама</t>
  </si>
  <si>
    <t xml:space="preserve"> ТП 10/0,4 кВ.Дет-сад 1</t>
  </si>
  <si>
    <t>д.Агрухино</t>
  </si>
  <si>
    <t>ТП 10/0.4 кВ Агрухино</t>
  </si>
  <si>
    <t>д.Романово-2е</t>
  </si>
  <si>
    <t>ТП 321 (Романово-Озеро)</t>
  </si>
  <si>
    <t>ТП 322 (Хвошня-Озеро)</t>
  </si>
  <si>
    <t>д. Люшино</t>
  </si>
  <si>
    <t xml:space="preserve">КТП-10кВ Люшино  </t>
  </si>
  <si>
    <t>КТП-10кВ Ожибоково - 2</t>
  </si>
  <si>
    <t xml:space="preserve">КТП-10кВ Никольское-4 </t>
  </si>
  <si>
    <t>КТП-10кВ Носово-2</t>
  </si>
  <si>
    <t>КТП-10кВ Носово-3</t>
  </si>
  <si>
    <t>КТП-10кВ Ожибоково  - 2</t>
  </si>
  <si>
    <t>КТП-10кВ Харкино</t>
  </si>
  <si>
    <t>КТП-10кВ Мозгово-6</t>
  </si>
  <si>
    <t xml:space="preserve">СНТ Кр. Холм </t>
  </si>
  <si>
    <t xml:space="preserve">КТП-10кВ СНТ Кр. Холм </t>
  </si>
  <si>
    <t>СНТ Куратор</t>
  </si>
  <si>
    <t xml:space="preserve">КТП-10кВ СНТ Куратор </t>
  </si>
  <si>
    <t xml:space="preserve">СНТ Княжеское </t>
  </si>
  <si>
    <t xml:space="preserve">КТП-10 кВ Княжеское </t>
  </si>
  <si>
    <t xml:space="preserve">СНТ Шоша </t>
  </si>
  <si>
    <t>КТП-10 кВ Шоша-3</t>
  </si>
  <si>
    <t>ТП 516 Иенево-2</t>
  </si>
  <si>
    <t>ТП 679 Красново-3</t>
  </si>
  <si>
    <t>ТП 395 Мишнево-2</t>
  </si>
  <si>
    <t>д.Непейно</t>
  </si>
  <si>
    <t>КТП 121</t>
  </si>
  <si>
    <t>КТП 123</t>
  </si>
  <si>
    <t>КТП 124</t>
  </si>
  <si>
    <t>КТП Белеутово  -2</t>
  </si>
  <si>
    <t>СТП -6кВ 511 Головино</t>
  </si>
  <si>
    <t>КТП-6кВ 512 Кадниково</t>
  </si>
  <si>
    <t>д.Новое Село</t>
  </si>
  <si>
    <t>КТП 022</t>
  </si>
  <si>
    <t>КТП - 6кВ 509 Н.Село</t>
  </si>
  <si>
    <t>д.Зверево</t>
  </si>
  <si>
    <t>КТП 057</t>
  </si>
  <si>
    <t>КТПП-10кВ 296 КЗС,АВМ</t>
  </si>
  <si>
    <t>КТП-10кВ 302 Татищево</t>
  </si>
  <si>
    <t xml:space="preserve"> д.Б.Огрызково</t>
  </si>
  <si>
    <t>КТП-10кВ д.Б.Огрызково</t>
  </si>
  <si>
    <t xml:space="preserve"> д.Покровское</t>
  </si>
  <si>
    <t>КТП-10кВ  д.Покровское</t>
  </si>
  <si>
    <t>КТП-10кВ  504 Покровское</t>
  </si>
  <si>
    <t>КТП-10 кВ 088</t>
  </si>
  <si>
    <t>СТП-10 кВ 507 Селищи</t>
  </si>
  <si>
    <t>СТП   437 Тихоново-3</t>
  </si>
  <si>
    <t>КТП-10кВ 417 "Квейл"-4</t>
  </si>
  <si>
    <t>СТП-10кВ 506 Абрамово</t>
  </si>
  <si>
    <t>д.Красиково</t>
  </si>
  <si>
    <t>СТП - 10кВ 303 Красиково</t>
  </si>
  <si>
    <t>СТП-10кВ 505 Сыркино</t>
  </si>
  <si>
    <t>д. Н. Миглощи</t>
  </si>
  <si>
    <t>КТП-10/0,4 кВ 221 Н. Миглощи</t>
  </si>
  <si>
    <t>КТП-10/0,4 кВ 513 Н. Миглощи</t>
  </si>
  <si>
    <t>СТП-10кВ 510 Селянка</t>
  </si>
  <si>
    <t>СТП-10кВ 499 Богунино</t>
  </si>
  <si>
    <t>СТП-10кВ 508 Крева</t>
  </si>
  <si>
    <t xml:space="preserve">СТП-10кВ 502 Святье </t>
  </si>
  <si>
    <t>КТП-10кВ 503 Святье</t>
  </si>
  <si>
    <t>КТП-10кВ 500 Ушаковка</t>
  </si>
  <si>
    <t>КТП-10кВ 514 Ушаковка</t>
  </si>
  <si>
    <t>КТП-10кВ 498 Топорок</t>
  </si>
  <si>
    <t>КТП-10 кВ 497 Емельяновка</t>
  </si>
  <si>
    <t>СТП   436 Паскино</t>
  </si>
  <si>
    <t>КТП-10кВ 501 Поречье</t>
  </si>
  <si>
    <t>п.Вахонино</t>
  </si>
  <si>
    <t>СТП Вахонино 5</t>
  </si>
  <si>
    <t>СТП Городня правая</t>
  </si>
  <si>
    <t>КТП Яблонька 3</t>
  </si>
  <si>
    <t>СТП  Торгимпекс 2</t>
  </si>
  <si>
    <t>п.Козлово</t>
  </si>
  <si>
    <t>КТП Козловская ЦРБ</t>
  </si>
  <si>
    <t>п.Н.Завидовский</t>
  </si>
  <si>
    <t>КТП ФОК</t>
  </si>
  <si>
    <t>СТП Победа</t>
  </si>
  <si>
    <t xml:space="preserve">КТП 10/0,4 Муравьево         </t>
  </si>
  <si>
    <t>КТП 10/0,4 Костино-Бельково</t>
  </si>
  <si>
    <t>КТП 10/0,4 Суслово</t>
  </si>
  <si>
    <t>КТП 10/0,4Захариха</t>
  </si>
  <si>
    <t>КТП 10/0,4Гущино</t>
  </si>
  <si>
    <t>КТП 10/0,4 Симоново</t>
  </si>
  <si>
    <t>КТП 10/0,4.Дмитровка</t>
  </si>
  <si>
    <t>КТП 10/0,4 Овинище-мастерские</t>
  </si>
  <si>
    <t xml:space="preserve"> КТП 10/0,4Овинище </t>
  </si>
  <si>
    <t>КТП 10/0,4.Овинище-сушилка</t>
  </si>
  <si>
    <t>МТП10/0,4.Михеево</t>
  </si>
  <si>
    <t>КТП 10/0,4Тучево</t>
  </si>
  <si>
    <t>КТП 10/0,4Селилово-Будилово</t>
  </si>
  <si>
    <t>МТП 10/0,4.Старово</t>
  </si>
  <si>
    <t>МТП 10/0,4.Хвощино</t>
  </si>
  <si>
    <t>МТП 10/0,4.Володино</t>
  </si>
  <si>
    <t>КТП 10/0,4Новорощино</t>
  </si>
  <si>
    <t>КТП 10/0,4Новорощино-КРС</t>
  </si>
  <si>
    <t>КТП 10/0,4Ивакино</t>
  </si>
  <si>
    <t>КТП 10/0,4Черная</t>
  </si>
  <si>
    <t>КТП 10/0,4.Черная-ферма</t>
  </si>
  <si>
    <t>МТП 10/0,4Рыжково</t>
  </si>
  <si>
    <t>КТП 10/0,4.Лысково</t>
  </si>
  <si>
    <t>КТП 10/0,4Турково</t>
  </si>
  <si>
    <t>МТП 10/0,4Погорелка</t>
  </si>
  <si>
    <t>КТП 10/0,4Бортница</t>
  </si>
  <si>
    <t>КТП 10/0,4Бортница-ФКРС</t>
  </si>
  <si>
    <t>КТП 10/0,4.Бортница-ПСЛВ</t>
  </si>
  <si>
    <t>КТП 10/0,4Бортница-пилорама</t>
  </si>
  <si>
    <t>КТП 10/0,4Старогвоздино</t>
  </si>
  <si>
    <t>КТП 10/0,4Каменка</t>
  </si>
  <si>
    <t>КТП 10/0,4Грудино</t>
  </si>
  <si>
    <t>КТП 10/0,4Прокино</t>
  </si>
  <si>
    <t>КТП 10/0,4Прокино-мастерские</t>
  </si>
  <si>
    <t>КТП 10/0,4Горка</t>
  </si>
  <si>
    <t>КТП 10/0,4Слобода</t>
  </si>
  <si>
    <t>ЗТП 10/0,4Барбино</t>
  </si>
  <si>
    <t>КТП 10/0,4Барбино-ФКРС-комплекс</t>
  </si>
  <si>
    <t>КТП 10/0,4Барбино-мастерские</t>
  </si>
  <si>
    <t>КТП 10/0,4Барбино-ЗСП</t>
  </si>
  <si>
    <t>КТП 10/0,4Косяково-КРС</t>
  </si>
  <si>
    <t>МТП 10/0,4.Косяково</t>
  </si>
  <si>
    <t>МТП 10/0,4.Якимиха</t>
  </si>
  <si>
    <t>КТП 10/0,4Мокрени</t>
  </si>
  <si>
    <t>КТП 10/0,4.Глунцово</t>
  </si>
  <si>
    <t>КТП 10/0,4Анисимово</t>
  </si>
  <si>
    <t>КТП 10/0,4.Нави</t>
  </si>
  <si>
    <t>МТП 10/0,4.Коробово</t>
  </si>
  <si>
    <t>ЗТП 10/0,4Коробово--посёлок</t>
  </si>
  <si>
    <t>МТП 10/0,4.Муравьево</t>
  </si>
  <si>
    <t>КТП 10/0,4Янькино</t>
  </si>
  <si>
    <t>КТП 10/0,4Сварухино</t>
  </si>
  <si>
    <t>КТП 10/0,4.Наумово</t>
  </si>
  <si>
    <t>КТП 10/0,4Трещевец-ферма</t>
  </si>
  <si>
    <t>КТП 10/0,4Трещевец</t>
  </si>
  <si>
    <t>КТП 10/0,4Трещевец-ПСЛВ-сушилка</t>
  </si>
  <si>
    <t>КТП 10/0,4Раменье</t>
  </si>
  <si>
    <t>КТП 10/0,4Б.Рагозино</t>
  </si>
  <si>
    <t>КТП 10/0,4М.Рагозино</t>
  </si>
  <si>
    <t>КТП 10/0,4Ременники-ФКРС</t>
  </si>
  <si>
    <t>КТП 10/0,4Ременники-котеджи</t>
  </si>
  <si>
    <t>КТП 10/0,4Юрово-картофелехр.</t>
  </si>
  <si>
    <t>КТП 10/0,4Юрово</t>
  </si>
  <si>
    <t>КТП 10/0,4Юрово-ФКРС (компл.)</t>
  </si>
  <si>
    <t>КТП 10/0,4Желобни</t>
  </si>
  <si>
    <t>КТП 10/0,4Желобни-АЗС</t>
  </si>
  <si>
    <t>КТП 10/0,4Желобни-ЗСП</t>
  </si>
  <si>
    <t>КТП 10/0,4Могочи</t>
  </si>
  <si>
    <t>КТП 10/0,4Дор</t>
  </si>
  <si>
    <t>ЗТП 10/0,4Дор-льнозавод</t>
  </si>
  <si>
    <t>МТП 10/0,4Филипково</t>
  </si>
  <si>
    <t>КТП 10/0,4Семеновское</t>
  </si>
  <si>
    <t>КТП 10/0,4Юрицево</t>
  </si>
  <si>
    <t>КТП 10/0,4Хабоцкое-Правление</t>
  </si>
  <si>
    <t>КТП 10/0,4Хабоцкое-Мастерские</t>
  </si>
  <si>
    <t>КТП 10/0,4Хабоцкое-Сушилка №3</t>
  </si>
  <si>
    <t>КТП 10/0,4Хабоцкое-Сушилка №4</t>
  </si>
  <si>
    <t>КТП 10/0,4Лизиково</t>
  </si>
  <si>
    <t>КТП 10/0,4Русиново</t>
  </si>
  <si>
    <t>КТП 10/0,4Струбищи</t>
  </si>
  <si>
    <t>КТП 10/0,4Куднево</t>
  </si>
  <si>
    <t>МТП 10/0,4Лохово-Сушилка</t>
  </si>
  <si>
    <t>КТП 10/0,4Лохово-ФКРС</t>
  </si>
  <si>
    <t>КТП 10/0,Лохово</t>
  </si>
  <si>
    <t>МТП 10/0,Ошуково</t>
  </si>
  <si>
    <t>КТП 10/0,Лихачево</t>
  </si>
  <si>
    <t>КТП 10/0,Лихачево-КРС</t>
  </si>
  <si>
    <t>КТП 10/0,Петрушино</t>
  </si>
  <si>
    <t>КТП 10/0,Б.Погорелка</t>
  </si>
  <si>
    <t>КТП 10/0,Б.Погорелка-КРС</t>
  </si>
  <si>
    <t>МТП 10/0,Остров</t>
  </si>
  <si>
    <t>КТП 10/0,Шаблыкино</t>
  </si>
  <si>
    <t>КТП 10/0,Ульянино-Поселок</t>
  </si>
  <si>
    <t>ЗТП 10/0,Ульянино-Школа</t>
  </si>
  <si>
    <t>КТП 10/0,.Ульянино-ПСЛВ</t>
  </si>
  <si>
    <t>КТП 10/0,Ульянино-Сушилка</t>
  </si>
  <si>
    <t>КТП 10/0,Ульянино-КЗС</t>
  </si>
  <si>
    <t>КТП 10/0,Ульянино-Мастерские</t>
  </si>
  <si>
    <t>КТП 10/0,Сутоки</t>
  </si>
  <si>
    <t>МТП 10/0,Терешково</t>
  </si>
  <si>
    <t>МТП 10/0,Токариха</t>
  </si>
  <si>
    <t>КТП 10/0,Деревково</t>
  </si>
  <si>
    <t>МТП 10/0,Слудново</t>
  </si>
  <si>
    <t>ЗТП 10/0,Слудново-КРС</t>
  </si>
  <si>
    <t>КТП 10/0,Скоросово-пилорама</t>
  </si>
  <si>
    <t>МТП 10/0,Скоросово</t>
  </si>
  <si>
    <t>КТП 10/0,Скоросово-мастерск.</t>
  </si>
  <si>
    <t>ЗТП 10/0,Скоросово-коттеджи</t>
  </si>
  <si>
    <t>КТП 10/0,Мокравици</t>
  </si>
  <si>
    <t>КТП 10/0,Ведерницы</t>
  </si>
  <si>
    <t>МТП 10/0,Кесово</t>
  </si>
  <si>
    <t>КТП 10/0,Кесово-ЗСП</t>
  </si>
  <si>
    <t>КТП 10/0,Медведево</t>
  </si>
  <si>
    <t>КТП 10/0,Ргени</t>
  </si>
  <si>
    <t>КТП 10/0,Красново</t>
  </si>
  <si>
    <t>КТП 10/0,Хабоцкое-школа</t>
  </si>
  <si>
    <t>КТП 10/0,Хабоцкое-ФКРС</t>
  </si>
  <si>
    <t>КТП 10/0,Хабоцкое-котеджи</t>
  </si>
  <si>
    <t>КТП 10/0,Хабоцкое-брод</t>
  </si>
  <si>
    <t>ЗТП 10/0,4Жил.зона ЛЭМЗ</t>
  </si>
  <si>
    <t>МТП10/0,4АЗС</t>
  </si>
  <si>
    <t>ЗТП10/0,4 Д/К №5 +кочегарка</t>
  </si>
  <si>
    <t>ЗТП10/0,4 Неледино № 1</t>
  </si>
  <si>
    <t>ЗТП10/0,4Неледино № 2</t>
  </si>
  <si>
    <t>КТП 10/0,Думино</t>
  </si>
  <si>
    <t>КТП 10/0,Глебени-КРС (комплекс)</t>
  </si>
  <si>
    <t>МТП 10/0,Глебени-мастерская</t>
  </si>
  <si>
    <t>КТП 10/0,Глебени</t>
  </si>
  <si>
    <t>ЗТП 10/0,Глебени-ЗСП</t>
  </si>
  <si>
    <t>МТП 10/0,Лаптево</t>
  </si>
  <si>
    <t>КТП 10/0,Кокошкино</t>
  </si>
  <si>
    <t>МТП 10/0,Костево,Буньково,Заполек</t>
  </si>
  <si>
    <t>КТП 10/0,Лапшино</t>
  </si>
  <si>
    <t>КТП 10/0,Поповское</t>
  </si>
  <si>
    <t>КТП 10/0,Поповское-ферма</t>
  </si>
  <si>
    <t>КТП 10/0,Нивы</t>
  </si>
  <si>
    <t>КТП 10/0,Нивы-сушилка</t>
  </si>
  <si>
    <t>КТП 10/0,Дашкино</t>
  </si>
  <si>
    <t>КТП 10/0,Сиднева</t>
  </si>
  <si>
    <t>КТП 10/0,Рачево</t>
  </si>
  <si>
    <t>КТП 10/0,Рачево-ферма</t>
  </si>
  <si>
    <t>КТП 10/0,Рачево-мастерская</t>
  </si>
  <si>
    <t>КТП 10/0,Рачево-сушилка</t>
  </si>
  <si>
    <t>КТП 10/0,Крюково</t>
  </si>
  <si>
    <t>КТП 10/0,Лопатиха</t>
  </si>
  <si>
    <t>КТП 10/0,Бекрени</t>
  </si>
  <si>
    <t>КТП 10/0,Гришки</t>
  </si>
  <si>
    <t>КТП 10/0,Васьки</t>
  </si>
  <si>
    <t>МТП 10/0,Стяжки</t>
  </si>
  <si>
    <t>КТП 10/0,Чернуха</t>
  </si>
  <si>
    <t>МТП 10/0,Будакино</t>
  </si>
  <si>
    <t>д.Воробьиха</t>
  </si>
  <si>
    <t>КТП 10/0,Воробьиха</t>
  </si>
  <si>
    <t>абонент</t>
  </si>
  <si>
    <t>МТП 10/0,Литвиново</t>
  </si>
  <si>
    <t>КТП 10/0,Нива-мастерские</t>
  </si>
  <si>
    <t>КТП 10/0,Трофимово</t>
  </si>
  <si>
    <t>КТП 10/0,Козлово</t>
  </si>
  <si>
    <t>КТП 10/0,Поляны-ферма (КРС)</t>
  </si>
  <si>
    <t>КТП 10/0,Поляны-сушилка</t>
  </si>
  <si>
    <t>КТП 10/0,Поляны</t>
  </si>
  <si>
    <t>КТП 10/0,Пронино</t>
  </si>
  <si>
    <t>КТП 10/0,Назимово</t>
  </si>
  <si>
    <t>КТП 10/0,Григорово</t>
  </si>
  <si>
    <t>КТП 10/0,Полежаиха</t>
  </si>
  <si>
    <t>КТП 10/0,Бабино</t>
  </si>
  <si>
    <t>КТП 10/0,Починок</t>
  </si>
  <si>
    <t>КТП 10/0,Машино-сушилка (КРС)</t>
  </si>
  <si>
    <t>КТП 10/0,Машино</t>
  </si>
  <si>
    <t>КТП 10/0,Ждани</t>
  </si>
  <si>
    <t xml:space="preserve">МТП 10/0,Путилово-школа </t>
  </si>
  <si>
    <t>КТП 10/0,Путилово</t>
  </si>
  <si>
    <t>КТП 10/0,Маковеево</t>
  </si>
  <si>
    <t>КТП 10/0,Пальниково</t>
  </si>
  <si>
    <t>МТП 10/0,Бибирево</t>
  </si>
  <si>
    <t>МТП 10/0,Хвалево</t>
  </si>
  <si>
    <t>КТП 10/0,Скоросово-сушилка</t>
  </si>
  <si>
    <t>КТП 10/0,Петелино</t>
  </si>
  <si>
    <t>КТП 10/0,Высокуша-поселок</t>
  </si>
  <si>
    <t xml:space="preserve">КТП 10/0,Высокуша-водокачка </t>
  </si>
  <si>
    <t>МТП 10/0,Кочерово</t>
  </si>
  <si>
    <t>МТП 10/0,Плишкино</t>
  </si>
  <si>
    <t>КТП 10/0,Лобнево</t>
  </si>
  <si>
    <t>КТП 10/0,Высокуша</t>
  </si>
  <si>
    <t>ЗТП 10/0,Васюнино-КРС</t>
  </si>
  <si>
    <t>КТП 10/0,Васюнино-мастерск.</t>
  </si>
  <si>
    <t>КТП 10/0,Васюнино</t>
  </si>
  <si>
    <t>КТП 10/0,Васюнино-котеджи</t>
  </si>
  <si>
    <t>КТП 10/0,Васюнино-КЗС</t>
  </si>
  <si>
    <t>МТП 10/0,Григорково</t>
  </si>
  <si>
    <t>МТП 10/0,Холмцы</t>
  </si>
  <si>
    <t>МТП 10/0,Завидово</t>
  </si>
  <si>
    <t>КТП 10/0,Морозово</t>
  </si>
  <si>
    <t>КТП 10/0,Пруды</t>
  </si>
  <si>
    <t>КТП 10/0,Поповка-ферма (КРС)</t>
  </si>
  <si>
    <t>КТП 10/0,Поповка-поселок</t>
  </si>
  <si>
    <t>МТП 10/0,Александровка</t>
  </si>
  <si>
    <t>КТП 10/0,Поповка</t>
  </si>
  <si>
    <t>КТП 10/0,Покровское</t>
  </si>
  <si>
    <t>МТП 10/0,Утехово</t>
  </si>
  <si>
    <t>КТП 10/0,Толстиково-мастер.</t>
  </si>
  <si>
    <t>КТП 10/0,Толстиково</t>
  </si>
  <si>
    <t>КТП 10/0,Гаврилово</t>
  </si>
  <si>
    <t>КТП 10/0,Гаврилово-суш.2</t>
  </si>
  <si>
    <t>КТП 10/0,Поповка-мастер.</t>
  </si>
  <si>
    <t>КТП 10/0,Мартыново</t>
  </si>
  <si>
    <t>КТП 10/0,Мартыново-ПСЛВ</t>
  </si>
  <si>
    <t>КТП 10/0,Мартыново-пилор.(мастер.)</t>
  </si>
  <si>
    <t>КТП 10/0,Мартыново-ФКРС</t>
  </si>
  <si>
    <t>КТП 10/0,Коровкино</t>
  </si>
  <si>
    <t>КТП 10/0,Петряево</t>
  </si>
  <si>
    <t>КТП 10/0,Петряево-ферма</t>
  </si>
  <si>
    <t>КТП 10/0,Осташево-Поповка</t>
  </si>
  <si>
    <t>КТП 10/0,Перха</t>
  </si>
  <si>
    <t>КТП 10/0,Шолгирогово</t>
  </si>
  <si>
    <t>КТП 10/0,Лесной Холм</t>
  </si>
  <si>
    <t>КТП 10/0,Братское-мастер.</t>
  </si>
  <si>
    <t>КТП 10/0,Братское</t>
  </si>
  <si>
    <t>КТП 10/0,Братское-КРС</t>
  </si>
  <si>
    <t>КТП 10/0,Чернава</t>
  </si>
  <si>
    <t>МТП 10/0,Горчаково</t>
  </si>
  <si>
    <t>КТП 10/0,Огибалово</t>
  </si>
  <si>
    <t>КТП 10/0,Огибалово-суш. (КЗС)</t>
  </si>
  <si>
    <t>КТП 10/0,Кожанково</t>
  </si>
  <si>
    <t>КТП 10/0,Крапивкино</t>
  </si>
  <si>
    <t>КТП 10/0,Болонино</t>
  </si>
  <si>
    <t>КТП 10/0,Хребтово</t>
  </si>
  <si>
    <t>КТП 10/0,Потешкино</t>
  </si>
  <si>
    <t>КТП 10/0,Васильки-ФКРС</t>
  </si>
  <si>
    <t>КТП 10/0,Васильки</t>
  </si>
  <si>
    <t>КТП 10/0,Васильки-мастер.</t>
  </si>
  <si>
    <t>КТП 10/0,Черницино</t>
  </si>
  <si>
    <t>МТП 10/0,Максимцы</t>
  </si>
  <si>
    <t>КТП 10/0,Михалево</t>
  </si>
  <si>
    <t>г. Красный Холм</t>
  </si>
  <si>
    <t>ТП 200 Полевая</t>
  </si>
  <si>
    <t>ТП 201 Хвойная</t>
  </si>
  <si>
    <t>КТП-10/0,4 кВ №268</t>
  </si>
  <si>
    <t>м-н Южный</t>
  </si>
  <si>
    <t xml:space="preserve">   Лихославльский</t>
  </si>
  <si>
    <t>Металоцех д.Вышково</t>
  </si>
  <si>
    <t>КТП-10/0,4 кВ №271</t>
  </si>
  <si>
    <t>53</t>
  </si>
  <si>
    <t>137</t>
  </si>
  <si>
    <t>322</t>
  </si>
  <si>
    <t>55</t>
  </si>
  <si>
    <t>90</t>
  </si>
  <si>
    <t>75</t>
  </si>
  <si>
    <t>ТП 219(Солнышко)</t>
  </si>
  <si>
    <t>п.Межа</t>
  </si>
  <si>
    <t>ТП 221(Межа)</t>
  </si>
  <si>
    <t>КТП-10кВ д.Карелино 2</t>
  </si>
  <si>
    <t>КТП-10кВ д.Покров</t>
  </si>
  <si>
    <t>Осташковский РЭС</t>
  </si>
  <si>
    <t>10/0,4 кВ ЗТП № 3А</t>
  </si>
  <si>
    <t>10/0,4 кВ ЗТП № 11 А</t>
  </si>
  <si>
    <t xml:space="preserve"> Ново-Михнево 2</t>
  </si>
  <si>
    <t>Наквасино-2</t>
  </si>
  <si>
    <t>Рыжково-2</t>
  </si>
  <si>
    <t>Б.Кушаль №11</t>
  </si>
  <si>
    <t>КТП-10/0,4 кВ д. Безумничено-2</t>
  </si>
  <si>
    <t>КТП-10 кВ д.Ястребиха</t>
  </si>
  <si>
    <t>КТП-10кВ д.Горки ф.4 Заднее Поле</t>
  </si>
  <si>
    <t xml:space="preserve">ТП №148 (Б.Вишенье-1) </t>
  </si>
  <si>
    <t>ТП №149 (Северный проезд)</t>
  </si>
  <si>
    <t>ТП №152 (Орехово)</t>
  </si>
  <si>
    <t>д.Сукромля</t>
  </si>
  <si>
    <t>ТП №153 (Сукромля-1)</t>
  </si>
  <si>
    <t>ТП №184 (Картхранилище ОПХ ВНИИЛ)</t>
  </si>
  <si>
    <t>ТП №185 (55 ул.Чехова)</t>
  </si>
  <si>
    <t>г.Торжок</t>
  </si>
  <si>
    <t>ТП №562 (город Октябрьская)</t>
  </si>
  <si>
    <t>ТП №563 (город Шевченко)</t>
  </si>
  <si>
    <t>ТП №564 (Семеновское СТП)</t>
  </si>
  <si>
    <t>ТП №567 (Дубровка жил.дома)</t>
  </si>
  <si>
    <t>ст.Терешкино</t>
  </si>
  <si>
    <t>ТП №568 (Терешкино В/Ч)</t>
  </si>
  <si>
    <t>ТП №569 (Будово ЖЗ)</t>
  </si>
  <si>
    <t>д.Зеленая Нива</t>
  </si>
  <si>
    <t>ТП №571 (Зеленая Нива)</t>
  </si>
  <si>
    <t>ТП №574 (Высокое Покровка)</t>
  </si>
  <si>
    <t>ТП № 576 Костромки</t>
  </si>
  <si>
    <t>ТП №577 (Машкино)</t>
  </si>
  <si>
    <t>д.Прутня</t>
  </si>
  <si>
    <t>ТП №578 (Прутня)</t>
  </si>
  <si>
    <t>д.Заполье</t>
  </si>
  <si>
    <t>ТП №579 (Заполье-2)</t>
  </si>
  <si>
    <t>ТП №580 (Дубровка)</t>
  </si>
  <si>
    <t>СОТ Дачное</t>
  </si>
  <si>
    <t>Удачное</t>
  </si>
  <si>
    <t>Меглич</t>
  </si>
  <si>
    <t>10/0,4кВ ТП 148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</si>
  <si>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I-й квартал 2016 года</t>
  </si>
  <si>
    <t>СТП - 10 кВ №-157(Солнечное)</t>
  </si>
  <si>
    <t>д. Солнечное</t>
  </si>
  <si>
    <t>КТП-10/0,4 кВ 372 Кимрячка</t>
  </si>
  <si>
    <t>ст. Чуприяновка</t>
  </si>
  <si>
    <t>ТП 595 Новая застройка</t>
  </si>
  <si>
    <t>д. Протасово</t>
  </si>
  <si>
    <t>ТП 749 Протасово-2</t>
  </si>
  <si>
    <t>д. Баламутово</t>
  </si>
  <si>
    <t>ТП 648 Баламутово-2</t>
  </si>
  <si>
    <t>ТП №717 Румос-Авто-2</t>
  </si>
  <si>
    <t>д. Бирюлино</t>
  </si>
  <si>
    <t>ТП 721 Бирюлино-2</t>
  </si>
  <si>
    <t>д. Перетрусово</t>
  </si>
  <si>
    <t>ТП № 886 Перетрусово-1</t>
  </si>
  <si>
    <t>д. Курково</t>
  </si>
  <si>
    <t>ТП 642 Курково-3</t>
  </si>
  <si>
    <t>д. Аркатово</t>
  </si>
  <si>
    <t>ТП №320 Аркатово-2</t>
  </si>
  <si>
    <t>1,6</t>
  </si>
  <si>
    <t>открыт</t>
  </si>
  <si>
    <t>2,5</t>
  </si>
  <si>
    <t>4</t>
  </si>
  <si>
    <t>1,8</t>
  </si>
  <si>
    <t>6,3</t>
  </si>
  <si>
    <t>16</t>
  </si>
  <si>
    <t>5,6</t>
  </si>
  <si>
    <t>1+1</t>
  </si>
  <si>
    <t>2,5+4</t>
  </si>
  <si>
    <t>6,3+4</t>
  </si>
  <si>
    <t>4+2,5</t>
  </si>
  <si>
    <t>2,5+2,5</t>
  </si>
  <si>
    <t>1,6+2,5</t>
  </si>
  <si>
    <t>4+3,2</t>
  </si>
  <si>
    <t>6,3+6,3</t>
  </si>
  <si>
    <t>25+25</t>
  </si>
  <si>
    <t>10+10</t>
  </si>
  <si>
    <t>1+1,6</t>
  </si>
  <si>
    <t>6,3+10</t>
  </si>
  <si>
    <t>3,2+4</t>
  </si>
  <si>
    <t>1,6+1,8</t>
  </si>
  <si>
    <t>3,2+3,2</t>
  </si>
  <si>
    <t>2,5+1,6</t>
  </si>
  <si>
    <t>1,6+1,6</t>
  </si>
  <si>
    <t>4+4</t>
  </si>
  <si>
    <t>1,8+2,5</t>
  </si>
  <si>
    <t>1,8+4</t>
  </si>
  <si>
    <t>1,8+1,6</t>
  </si>
  <si>
    <t>2,5+1</t>
  </si>
  <si>
    <t>7,5+10</t>
  </si>
  <si>
    <t>40+40</t>
  </si>
  <si>
    <t>25+20</t>
  </si>
  <si>
    <t>16+16</t>
  </si>
  <si>
    <t>5,6+6,3</t>
  </si>
  <si>
    <t>2,5+1,8</t>
  </si>
  <si>
    <t>40+25</t>
  </si>
  <si>
    <t>1+2,5</t>
  </si>
  <si>
    <t>5,6+5,6</t>
  </si>
  <si>
    <t>16+10</t>
  </si>
  <si>
    <t>2,5+3,2</t>
  </si>
  <si>
    <t>40,5+40</t>
  </si>
  <si>
    <t>2,5+6,3</t>
  </si>
  <si>
    <t>10+3,2</t>
  </si>
  <si>
    <t>4+6,3</t>
  </si>
  <si>
    <t>5,6+4</t>
  </si>
  <si>
    <t>1,8+1,8</t>
  </si>
  <si>
    <t>10+6,3</t>
  </si>
  <si>
    <t>10+16</t>
  </si>
  <si>
    <t>16+10+10</t>
  </si>
  <si>
    <t>10+10+10</t>
  </si>
  <si>
    <t>20+20</t>
  </si>
  <si>
    <t>40+40+40</t>
  </si>
  <si>
    <t>40+40,5</t>
  </si>
  <si>
    <t>0,56</t>
  </si>
  <si>
    <t>63+63</t>
  </si>
  <si>
    <t>1989/-</t>
  </si>
  <si>
    <t>1984/2012</t>
  </si>
  <si>
    <t>1985/-</t>
  </si>
  <si>
    <t>1982/2011</t>
  </si>
  <si>
    <t>1983/-</t>
  </si>
  <si>
    <t>1979/-</t>
  </si>
  <si>
    <t>1982/-</t>
  </si>
  <si>
    <t>1968/-</t>
  </si>
  <si>
    <t>1981/2013</t>
  </si>
  <si>
    <t>1985/2012</t>
  </si>
  <si>
    <t>1976/-</t>
  </si>
  <si>
    <t>1964/-</t>
  </si>
  <si>
    <t>1980/-</t>
  </si>
  <si>
    <t>1991/-</t>
  </si>
  <si>
    <t>1980/2012</t>
  </si>
  <si>
    <t>1969/2011</t>
  </si>
  <si>
    <t>1994/-</t>
  </si>
  <si>
    <t>1981/-</t>
  </si>
  <si>
    <t>1979/2012</t>
  </si>
  <si>
    <t>1978/-</t>
  </si>
  <si>
    <t>1998/-</t>
  </si>
  <si>
    <t>1966/-</t>
  </si>
  <si>
    <t>1967/-</t>
  </si>
  <si>
    <t>1990/-</t>
  </si>
  <si>
    <t>1967/2011</t>
  </si>
  <si>
    <t>1964/2011</t>
  </si>
  <si>
    <t>1961/-</t>
  </si>
  <si>
    <t>1975/-</t>
  </si>
  <si>
    <t>1984/-</t>
  </si>
  <si>
    <t>1960/-</t>
  </si>
  <si>
    <t>1978/2011</t>
  </si>
  <si>
    <t>1962/-</t>
  </si>
  <si>
    <t>1970/-</t>
  </si>
  <si>
    <t>1972/-</t>
  </si>
  <si>
    <t>1986/-</t>
  </si>
  <si>
    <t>1968/2014</t>
  </si>
  <si>
    <t>1988/-</t>
  </si>
  <si>
    <t>1975/2013</t>
  </si>
  <si>
    <t>1988/2011</t>
  </si>
  <si>
    <t>1973/-</t>
  </si>
  <si>
    <t>1974/2012</t>
  </si>
  <si>
    <t>1971/2011</t>
  </si>
  <si>
    <t>1983/2014</t>
  </si>
  <si>
    <t>1987/-</t>
  </si>
  <si>
    <t>1974/-</t>
  </si>
  <si>
    <t>1957/-</t>
  </si>
  <si>
    <t>1959/-</t>
  </si>
  <si>
    <t>1977/-</t>
  </si>
  <si>
    <t>1963/-</t>
  </si>
  <si>
    <t>1992/-</t>
  </si>
  <si>
    <t>1954/-</t>
  </si>
  <si>
    <t>1963/2011</t>
  </si>
  <si>
    <t>1969/-</t>
  </si>
  <si>
    <t>2014/-</t>
  </si>
  <si>
    <t>1968/2013</t>
  </si>
  <si>
    <t>1987/2011</t>
  </si>
  <si>
    <t>1988/2013</t>
  </si>
  <si>
    <t>1965/2011</t>
  </si>
  <si>
    <t>1989/2011</t>
  </si>
  <si>
    <t>1971/-</t>
  </si>
  <si>
    <t>1949/-</t>
  </si>
  <si>
    <t>1939/-</t>
  </si>
  <si>
    <t>1939/2013</t>
  </si>
  <si>
    <t>1955/-</t>
  </si>
  <si>
    <t>1995/-</t>
  </si>
  <si>
    <t>1981/2014</t>
  </si>
  <si>
    <t>1947/-</t>
  </si>
  <si>
    <t>1956/-</t>
  </si>
  <si>
    <t>1965/-</t>
  </si>
  <si>
    <t>1966/2013</t>
  </si>
  <si>
    <t>1970/2012</t>
  </si>
  <si>
    <t>1969/2014</t>
  </si>
  <si>
    <t>1975/2011</t>
  </si>
  <si>
    <t>1958/2012</t>
  </si>
  <si>
    <t>1953/2010</t>
  </si>
  <si>
    <t>1953/2014</t>
  </si>
  <si>
    <t>1946/-</t>
  </si>
  <si>
    <t>1963/2012</t>
  </si>
  <si>
    <t>1976/2012</t>
  </si>
  <si>
    <t>1980/2013</t>
  </si>
  <si>
    <t>1957/2013</t>
  </si>
  <si>
    <t>1951/-</t>
  </si>
  <si>
    <t>1973/2014</t>
  </si>
  <si>
    <t>1976/2013</t>
  </si>
  <si>
    <t>2005/-</t>
  </si>
  <si>
    <t>1980/2015</t>
  </si>
  <si>
    <t>1964/2012</t>
  </si>
  <si>
    <t>1983/2012</t>
  </si>
  <si>
    <t xml:space="preserve">Год ввода/Год реконструкции (при изменении установленной мощности) </t>
  </si>
  <si>
    <t>Резерв мощности на основании замеров режимного дня, МВА</t>
  </si>
  <si>
    <t>Мощность по актам об осуществлении ТП, МВА</t>
  </si>
  <si>
    <t>Мощность по договорам ТП, находящимся на исполнении, МВА</t>
  </si>
  <si>
    <t>Резерв мощности для технологического присоединения, МВт</t>
  </si>
  <si>
    <t xml:space="preserve">Планируемые сроки снятия ограничения 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</si>
  <si>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</si>
  <si>
    <t>* Для потребителей 3 категории надежности; для потребителей 1 и 2 категории надежности расчет производится при проектировании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</si>
</sst>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0.0_)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i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i/>
      <sz val="11"/>
      <color theme="0"/>
      <name val="Calibri"/>
      <family val="2"/>
      <charset val="204"/>
    </font>
    <font>
      <sz val="1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color indexed="51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8"/>
      <name val="Arial"/>
      <family val="2"/>
      <charset val="204"/>
    </font>
    <font>
      <sz val="10"/>
      <name val="Helv"/>
      <charset val="204"/>
    </font>
    <font>
      <b/>
      <sz val="11"/>
      <color theme="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CCCFF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5A5A5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7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4" fillId="0" borderId="0" applyNumberFormat="0" applyFont="0" applyFill="0" applyBorder="0" applyAlignment="0" applyProtection="0">
      <alignment vertical="top"/>
    </xf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  <xf numFmtId="0" fontId="24" fillId="0" borderId="0"/>
    <xf numFmtId="0" fontId="28" fillId="0" borderId="0"/>
    <xf numFmtId="0" fontId="24" fillId="0" borderId="0"/>
    <xf numFmtId="0" fontId="32" fillId="11" borderId="0" applyNumberFormat="0" applyBorder="0" applyAlignment="0" applyProtection="0"/>
    <xf numFmtId="0" fontId="24" fillId="0" borderId="0"/>
    <xf numFmtId="0" fontId="32" fillId="0" borderId="0"/>
    <xf numFmtId="0" fontId="8" fillId="0" borderId="0"/>
    <xf numFmtId="0" fontId="2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1" fillId="0" borderId="0"/>
    <xf numFmtId="0" fontId="1" fillId="0" borderId="0"/>
    <xf numFmtId="0" fontId="24" fillId="0" borderId="0" applyNumberFormat="0" applyFont="0" applyFill="0" applyBorder="0" applyAlignment="0" applyProtection="0">
      <alignment vertical="top"/>
    </xf>
    <xf numFmtId="0" fontId="8" fillId="0" borderId="0"/>
    <xf numFmtId="0" fontId="35" fillId="0" borderId="0"/>
    <xf numFmtId="0" fontId="51" fillId="0" borderId="0"/>
    <xf numFmtId="0" fontId="52" fillId="0" borderId="0"/>
    <xf numFmtId="0" fontId="53" fillId="15" borderId="62" applyAlignment="0">
      <alignment horizontal="center" vertical="top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</cellStyleXfs>
  <cellXfs count="1255">
    <xf numFmtId="0" fontId="0" fillId="0" borderId="0" xfId="0"/>
    <xf numFmtId="0" fontId="6" fillId="0" borderId="1" xfId="0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165" fontId="6" fillId="0" borderId="1" xfId="2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right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21" xfId="0" applyFont="1" applyFill="1" applyBorder="1" applyAlignment="1" applyProtection="1">
      <alignment horizontal="right" vertical="center" wrapText="1"/>
      <protection locked="0"/>
    </xf>
    <xf numFmtId="0" fontId="6" fillId="0" borderId="27" xfId="0" applyFont="1" applyFill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165" fontId="7" fillId="0" borderId="25" xfId="0" applyNumberFormat="1" applyFont="1" applyFill="1" applyBorder="1" applyAlignment="1">
      <alignment horizontal="center" vertical="center" wrapText="1"/>
    </xf>
    <xf numFmtId="165" fontId="12" fillId="0" borderId="20" xfId="0" applyNumberFormat="1" applyFont="1" applyFill="1" applyBorder="1" applyAlignment="1">
      <alignment horizontal="center" vertical="center" wrapText="1"/>
    </xf>
    <xf numFmtId="165" fontId="12" fillId="0" borderId="14" xfId="0" applyNumberFormat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6" xfId="2" applyNumberFormat="1" applyFont="1" applyFill="1" applyBorder="1" applyAlignment="1">
      <alignment horizontal="center" vertical="center" wrapText="1"/>
    </xf>
    <xf numFmtId="2" fontId="6" fillId="0" borderId="21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3" applyNumberFormat="1" applyFont="1" applyFill="1" applyBorder="1" applyAlignment="1">
      <alignment horizontal="center" vertical="center" wrapText="1"/>
    </xf>
    <xf numFmtId="2" fontId="6" fillId="0" borderId="1" xfId="3" applyNumberFormat="1" applyFont="1" applyFill="1" applyBorder="1" applyAlignment="1">
      <alignment horizontal="center" vertical="center"/>
    </xf>
    <xf numFmtId="164" fontId="7" fillId="0" borderId="28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right" vertical="center" wrapText="1"/>
    </xf>
    <xf numFmtId="2" fontId="6" fillId="0" borderId="24" xfId="0" applyNumberFormat="1" applyFont="1" applyFill="1" applyBorder="1" applyAlignment="1">
      <alignment horizontal="center" vertical="center" wrapText="1"/>
    </xf>
    <xf numFmtId="0" fontId="14" fillId="8" borderId="0" xfId="0" applyFont="1" applyFill="1"/>
    <xf numFmtId="0" fontId="14" fillId="0" borderId="0" xfId="0" applyFont="1" applyFill="1" applyBorder="1"/>
    <xf numFmtId="49" fontId="14" fillId="0" borderId="0" xfId="0" applyNumberFormat="1" applyFont="1" applyFill="1" applyAlignment="1">
      <alignment horizontal="center" vertical="center" wrapText="1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14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165" fontId="6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49" fontId="6" fillId="0" borderId="21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165" fontId="6" fillId="0" borderId="22" xfId="0" applyNumberFormat="1" applyFont="1" applyFill="1" applyBorder="1"/>
    <xf numFmtId="0" fontId="6" fillId="0" borderId="22" xfId="0" applyFont="1" applyFill="1" applyBorder="1" applyAlignment="1">
      <alignment wrapText="1"/>
    </xf>
    <xf numFmtId="0" fontId="6" fillId="0" borderId="14" xfId="0" applyFont="1" applyFill="1" applyBorder="1"/>
    <xf numFmtId="49" fontId="6" fillId="0" borderId="41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right" vertical="center" wrapText="1"/>
    </xf>
    <xf numFmtId="0" fontId="7" fillId="0" borderId="23" xfId="0" applyFont="1" applyFill="1" applyBorder="1" applyAlignment="1">
      <alignment horizontal="right" vertical="center" wrapText="1"/>
    </xf>
    <xf numFmtId="0" fontId="7" fillId="0" borderId="27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vertical="center" wrapText="1"/>
    </xf>
    <xf numFmtId="0" fontId="7" fillId="0" borderId="42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6" fillId="0" borderId="27" xfId="0" applyFont="1" applyFill="1" applyBorder="1" applyAlignment="1">
      <alignment horizontal="right" vertical="center" wrapText="1"/>
    </xf>
    <xf numFmtId="0" fontId="6" fillId="0" borderId="27" xfId="0" applyFont="1" applyFill="1" applyBorder="1" applyAlignment="1">
      <alignment vertical="center" wrapText="1"/>
    </xf>
    <xf numFmtId="2" fontId="7" fillId="0" borderId="27" xfId="0" applyNumberFormat="1" applyFont="1" applyFill="1" applyBorder="1" applyAlignment="1">
      <alignment vertical="center" wrapText="1"/>
    </xf>
    <xf numFmtId="165" fontId="6" fillId="0" borderId="27" xfId="0" applyNumberFormat="1" applyFont="1" applyFill="1" applyBorder="1"/>
    <xf numFmtId="0" fontId="6" fillId="0" borderId="27" xfId="0" applyFont="1" applyFill="1" applyBorder="1" applyAlignment="1">
      <alignment wrapText="1"/>
    </xf>
    <xf numFmtId="0" fontId="6" fillId="0" borderId="16" xfId="0" applyFont="1" applyFill="1" applyBorder="1"/>
    <xf numFmtId="49" fontId="6" fillId="0" borderId="43" xfId="0" applyNumberFormat="1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right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right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vertical="center" wrapText="1"/>
    </xf>
    <xf numFmtId="165" fontId="6" fillId="0" borderId="39" xfId="0" applyNumberFormat="1" applyFont="1" applyFill="1" applyBorder="1"/>
    <xf numFmtId="0" fontId="6" fillId="0" borderId="39" xfId="0" applyFont="1" applyFill="1" applyBorder="1" applyAlignment="1">
      <alignment wrapText="1"/>
    </xf>
    <xf numFmtId="0" fontId="6" fillId="0" borderId="46" xfId="0" applyFont="1" applyFill="1" applyBorder="1"/>
    <xf numFmtId="49" fontId="6" fillId="0" borderId="47" xfId="0" applyNumberFormat="1" applyFont="1" applyFill="1" applyBorder="1" applyAlignment="1">
      <alignment horizontal="center" vertical="center" wrapText="1"/>
    </xf>
    <xf numFmtId="0" fontId="6" fillId="0" borderId="22" xfId="0" applyFont="1" applyFill="1" applyBorder="1"/>
    <xf numFmtId="0" fontId="6" fillId="0" borderId="27" xfId="0" applyFont="1" applyFill="1" applyBorder="1"/>
    <xf numFmtId="0" fontId="6" fillId="0" borderId="39" xfId="0" applyFont="1" applyFill="1" applyBorder="1"/>
    <xf numFmtId="0" fontId="6" fillId="0" borderId="0" xfId="0" applyFont="1" applyFill="1" applyBorder="1" applyAlignment="1">
      <alignment horizontal="right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64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/>
    <xf numFmtId="49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/>
    <xf numFmtId="0" fontId="6" fillId="0" borderId="0" xfId="0" applyFont="1" applyFill="1" applyAlignment="1">
      <alignment horizontal="right" vertical="center" wrapText="1"/>
    </xf>
    <xf numFmtId="2" fontId="6" fillId="0" borderId="0" xfId="0" applyNumberFormat="1" applyFont="1" applyFill="1" applyAlignment="1">
      <alignment horizontal="center" vertical="center" wrapText="1"/>
    </xf>
    <xf numFmtId="1" fontId="14" fillId="0" borderId="0" xfId="0" applyNumberFormat="1" applyFont="1" applyFill="1" applyBorder="1"/>
    <xf numFmtId="0" fontId="14" fillId="0" borderId="0" xfId="0" applyFont="1" applyFill="1" applyAlignment="1">
      <alignment wrapText="1"/>
    </xf>
    <xf numFmtId="0" fontId="14" fillId="0" borderId="1" xfId="0" applyFont="1" applyFill="1" applyBorder="1"/>
    <xf numFmtId="2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21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vertical="center"/>
    </xf>
    <xf numFmtId="2" fontId="18" fillId="0" borderId="1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right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9" borderId="1" xfId="2" applyFont="1" applyFill="1" applyBorder="1" applyAlignment="1">
      <alignment horizontal="center" vertical="center" wrapText="1"/>
    </xf>
    <xf numFmtId="0" fontId="6" fillId="9" borderId="21" xfId="0" applyFont="1" applyFill="1" applyBorder="1" applyAlignment="1">
      <alignment horizontal="right" vertical="center" wrapText="1"/>
    </xf>
    <xf numFmtId="0" fontId="6" fillId="9" borderId="27" xfId="0" applyFont="1" applyFill="1" applyBorder="1" applyAlignment="1">
      <alignment horizontal="center" vertical="center" wrapText="1"/>
    </xf>
    <xf numFmtId="2" fontId="6" fillId="9" borderId="21" xfId="0" applyNumberFormat="1" applyFont="1" applyFill="1" applyBorder="1" applyAlignment="1">
      <alignment horizontal="center" vertical="center" wrapText="1"/>
    </xf>
    <xf numFmtId="2" fontId="6" fillId="9" borderId="1" xfId="2" applyNumberFormat="1" applyFont="1" applyFill="1" applyBorder="1" applyAlignment="1">
      <alignment horizontal="center" vertical="center" wrapText="1"/>
    </xf>
    <xf numFmtId="0" fontId="6" fillId="9" borderId="1" xfId="2" applyNumberFormat="1" applyFont="1" applyFill="1" applyBorder="1" applyAlignment="1">
      <alignment horizontal="center" vertical="center" wrapText="1"/>
    </xf>
    <xf numFmtId="2" fontId="6" fillId="9" borderId="16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2" fontId="6" fillId="9" borderId="1" xfId="3" applyNumberFormat="1" applyFont="1" applyFill="1" applyBorder="1" applyAlignment="1">
      <alignment horizontal="center" vertical="center" wrapText="1"/>
    </xf>
    <xf numFmtId="0" fontId="6" fillId="9" borderId="1" xfId="3" applyFont="1" applyFill="1" applyBorder="1" applyAlignment="1">
      <alignment horizontal="center" vertical="center" wrapText="1"/>
    </xf>
    <xf numFmtId="2" fontId="6" fillId="9" borderId="1" xfId="3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2" fontId="19" fillId="0" borderId="0" xfId="0" applyNumberFormat="1" applyFont="1" applyFill="1" applyAlignment="1">
      <alignment horizontal="center" vertical="center" wrapText="1"/>
    </xf>
    <xf numFmtId="0" fontId="27" fillId="0" borderId="0" xfId="0" applyFont="1" applyFill="1"/>
    <xf numFmtId="0" fontId="27" fillId="0" borderId="0" xfId="0" applyFont="1" applyFill="1" applyBorder="1"/>
    <xf numFmtId="49" fontId="27" fillId="0" borderId="0" xfId="0" applyNumberFormat="1" applyFont="1" applyFill="1" applyAlignment="1">
      <alignment horizontal="center" vertical="center" wrapText="1"/>
    </xf>
    <xf numFmtId="1" fontId="19" fillId="0" borderId="0" xfId="0" applyNumberFormat="1" applyFont="1" applyFill="1" applyAlignment="1">
      <alignment horizontal="center" vertical="center" wrapText="1"/>
    </xf>
    <xf numFmtId="165" fontId="27" fillId="0" borderId="0" xfId="0" applyNumberFormat="1" applyFont="1" applyFill="1"/>
    <xf numFmtId="0" fontId="22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0" fontId="6" fillId="9" borderId="16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1" fillId="0" borderId="0" xfId="0" applyFont="1" applyFill="1"/>
    <xf numFmtId="0" fontId="6" fillId="9" borderId="1" xfId="0" applyFont="1" applyFill="1" applyBorder="1" applyAlignment="1" applyProtection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49" fontId="6" fillId="9" borderId="2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21" xfId="0" applyFont="1" applyFill="1" applyBorder="1" applyAlignment="1">
      <alignment horizontal="center" vertical="center" wrapText="1"/>
    </xf>
    <xf numFmtId="2" fontId="18" fillId="9" borderId="1" xfId="0" applyNumberFormat="1" applyFont="1" applyFill="1" applyBorder="1" applyAlignment="1">
      <alignment horizontal="center" vertical="center" wrapText="1"/>
    </xf>
    <xf numFmtId="0" fontId="12" fillId="10" borderId="2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2" fontId="6" fillId="1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5" fontId="6" fillId="1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/>
    <xf numFmtId="49" fontId="6" fillId="10" borderId="1" xfId="0" applyNumberFormat="1" applyFont="1" applyFill="1" applyBorder="1" applyAlignment="1">
      <alignment horizontal="center" vertical="center" wrapText="1"/>
    </xf>
    <xf numFmtId="0" fontId="14" fillId="10" borderId="0" xfId="0" applyFont="1" applyFill="1"/>
    <xf numFmtId="0" fontId="6" fillId="10" borderId="0" xfId="0" applyFont="1" applyFill="1" applyBorder="1"/>
    <xf numFmtId="2" fontId="12" fillId="10" borderId="1" xfId="0" applyNumberFormat="1" applyFont="1" applyFill="1" applyBorder="1" applyAlignment="1">
      <alignment horizontal="center" vertical="center" wrapText="1"/>
    </xf>
    <xf numFmtId="165" fontId="12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8" borderId="0" xfId="0" applyFont="1" applyFill="1"/>
    <xf numFmtId="0" fontId="30" fillId="0" borderId="0" xfId="0" applyFont="1"/>
    <xf numFmtId="2" fontId="3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/>
    </xf>
    <xf numFmtId="1" fontId="21" fillId="0" borderId="0" xfId="0" applyNumberFormat="1" applyFont="1" applyFill="1"/>
    <xf numFmtId="0" fontId="0" fillId="0" borderId="0" xfId="0" applyFill="1" applyAlignment="1"/>
    <xf numFmtId="0" fontId="21" fillId="0" borderId="0" xfId="0" applyFont="1" applyFill="1" applyAlignment="1"/>
    <xf numFmtId="0" fontId="35" fillId="0" borderId="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2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 wrapText="1"/>
    </xf>
    <xf numFmtId="1" fontId="36" fillId="0" borderId="10" xfId="0" applyNumberFormat="1" applyFont="1" applyBorder="1" applyAlignment="1">
      <alignment horizontal="center" vertical="center" wrapText="1"/>
    </xf>
    <xf numFmtId="0" fontId="36" fillId="0" borderId="10" xfId="0" applyNumberFormat="1" applyFont="1" applyBorder="1" applyAlignment="1">
      <alignment horizontal="center" vertical="center" wrapText="1"/>
    </xf>
    <xf numFmtId="1" fontId="36" fillId="0" borderId="10" xfId="0" applyNumberFormat="1" applyFont="1" applyFill="1" applyBorder="1" applyAlignment="1">
      <alignment horizontal="center" vertical="center" wrapText="1"/>
    </xf>
    <xf numFmtId="0" fontId="35" fillId="5" borderId="38" xfId="2" applyFont="1" applyFill="1" applyBorder="1" applyAlignment="1">
      <alignment horizontal="center" vertical="center" wrapText="1"/>
    </xf>
    <xf numFmtId="164" fontId="35" fillId="5" borderId="28" xfId="2" applyNumberFormat="1" applyFont="1" applyFill="1" applyBorder="1" applyAlignment="1">
      <alignment horizontal="center" vertical="center" wrapText="1"/>
    </xf>
    <xf numFmtId="164" fontId="35" fillId="5" borderId="34" xfId="2" applyNumberFormat="1" applyFont="1" applyFill="1" applyBorder="1" applyAlignment="1">
      <alignment horizontal="center" vertical="center" wrapText="1"/>
    </xf>
    <xf numFmtId="164" fontId="35" fillId="5" borderId="25" xfId="2" applyNumberFormat="1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11" xfId="0" applyNumberFormat="1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164" fontId="35" fillId="5" borderId="15" xfId="2" applyNumberFormat="1" applyFont="1" applyFill="1" applyBorder="1" applyAlignment="1">
      <alignment horizontal="center" vertical="center" wrapText="1"/>
    </xf>
    <xf numFmtId="164" fontId="35" fillId="5" borderId="0" xfId="2" applyNumberFormat="1" applyFont="1" applyFill="1" applyBorder="1" applyAlignment="1">
      <alignment horizontal="center" vertical="center" wrapText="1"/>
    </xf>
    <xf numFmtId="164" fontId="35" fillId="5" borderId="13" xfId="2" applyNumberFormat="1" applyFont="1" applyFill="1" applyBorder="1" applyAlignment="1">
      <alignment horizontal="center" vertical="center" wrapText="1"/>
    </xf>
    <xf numFmtId="2" fontId="36" fillId="7" borderId="1" xfId="0" applyNumberFormat="1" applyFont="1" applyFill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2" fontId="36" fillId="0" borderId="12" xfId="0" applyNumberFormat="1" applyFont="1" applyBorder="1" applyAlignment="1">
      <alignment horizontal="center" vertical="center" wrapText="1"/>
    </xf>
    <xf numFmtId="2" fontId="36" fillId="0" borderId="60" xfId="0" applyNumberFormat="1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3" borderId="10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3" borderId="18" xfId="0" applyNumberFormat="1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0" fontId="35" fillId="5" borderId="34" xfId="2" applyFont="1" applyFill="1" applyBorder="1" applyAlignment="1">
      <alignment horizontal="center" vertical="center" wrapText="1"/>
    </xf>
    <xf numFmtId="0" fontId="35" fillId="5" borderId="25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2" fontId="36" fillId="0" borderId="1" xfId="0" applyNumberFormat="1" applyFont="1" applyFill="1" applyBorder="1" applyAlignment="1">
      <alignment horizontal="center" vertical="center" wrapText="1"/>
    </xf>
    <xf numFmtId="2" fontId="36" fillId="0" borderId="4" xfId="0" applyNumberFormat="1" applyFont="1" applyFill="1" applyBorder="1" applyAlignment="1">
      <alignment horizontal="center" vertical="center" wrapText="1"/>
    </xf>
    <xf numFmtId="0" fontId="35" fillId="5" borderId="37" xfId="0" applyFont="1" applyFill="1" applyBorder="1" applyAlignment="1">
      <alignment horizontal="center" vertical="center" wrapText="1"/>
    </xf>
    <xf numFmtId="0" fontId="35" fillId="5" borderId="30" xfId="0" applyFont="1" applyFill="1" applyBorder="1" applyAlignment="1">
      <alignment horizontal="center" vertical="center" wrapText="1"/>
    </xf>
    <xf numFmtId="0" fontId="35" fillId="5" borderId="31" xfId="0" applyFont="1" applyFill="1" applyBorder="1" applyAlignment="1">
      <alignment horizontal="center" vertical="center" wrapText="1"/>
    </xf>
    <xf numFmtId="0" fontId="35" fillId="5" borderId="32" xfId="0" applyFont="1" applyFill="1" applyBorder="1" applyAlignment="1">
      <alignment horizontal="center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2" fontId="36" fillId="3" borderId="5" xfId="0" applyNumberFormat="1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2" fontId="36" fillId="3" borderId="6" xfId="0" applyNumberFormat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2" fontId="36" fillId="0" borderId="57" xfId="0" applyNumberFormat="1" applyFont="1" applyFill="1" applyBorder="1" applyAlignment="1">
      <alignment horizontal="center" vertical="center" wrapText="1"/>
    </xf>
    <xf numFmtId="166" fontId="35" fillId="5" borderId="34" xfId="2" applyNumberFormat="1" applyFont="1" applyFill="1" applyBorder="1" applyAlignment="1">
      <alignment horizontal="center" vertical="center" wrapText="1"/>
    </xf>
    <xf numFmtId="166" fontId="35" fillId="5" borderId="25" xfId="2" applyNumberFormat="1" applyFont="1" applyFill="1" applyBorder="1" applyAlignment="1">
      <alignment horizontal="center" vertical="center" wrapText="1"/>
    </xf>
    <xf numFmtId="166" fontId="35" fillId="5" borderId="0" xfId="2" applyNumberFormat="1" applyFont="1" applyFill="1" applyBorder="1" applyAlignment="1">
      <alignment horizontal="center" vertical="center" wrapText="1"/>
    </xf>
    <xf numFmtId="166" fontId="35" fillId="5" borderId="13" xfId="2" applyNumberFormat="1" applyFont="1" applyFill="1" applyBorder="1" applyAlignment="1">
      <alignment horizontal="center" vertical="center" wrapText="1"/>
    </xf>
    <xf numFmtId="166" fontId="35" fillId="5" borderId="15" xfId="2" applyNumberFormat="1" applyFont="1" applyFill="1" applyBorder="1" applyAlignment="1">
      <alignment horizontal="center" vertical="center" wrapText="1"/>
    </xf>
    <xf numFmtId="2" fontId="36" fillId="0" borderId="18" xfId="0" applyNumberFormat="1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2" fontId="36" fillId="5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0" fontId="33" fillId="5" borderId="1" xfId="18" applyFont="1" applyFill="1" applyBorder="1" applyAlignment="1">
      <alignment horizontal="center" vertical="center"/>
    </xf>
    <xf numFmtId="0" fontId="33" fillId="5" borderId="1" xfId="18" applyFont="1" applyFill="1" applyBorder="1" applyAlignment="1">
      <alignment horizontal="center" vertical="center" wrapText="1"/>
    </xf>
    <xf numFmtId="2" fontId="33" fillId="5" borderId="1" xfId="18" applyNumberFormat="1" applyFont="1" applyFill="1" applyBorder="1" applyAlignment="1">
      <alignment horizontal="center" vertical="center"/>
    </xf>
    <xf numFmtId="2" fontId="33" fillId="5" borderId="1" xfId="18" applyNumberFormat="1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14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vertical="center" wrapText="1"/>
    </xf>
    <xf numFmtId="2" fontId="36" fillId="0" borderId="1" xfId="0" applyNumberFormat="1" applyFont="1" applyFill="1" applyBorder="1" applyAlignment="1">
      <alignment vertical="center" wrapText="1"/>
    </xf>
    <xf numFmtId="14" fontId="36" fillId="0" borderId="10" xfId="0" applyNumberFormat="1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2" fontId="33" fillId="0" borderId="4" xfId="0" applyNumberFormat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1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35" fillId="0" borderId="1" xfId="0" applyFont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 wrapText="1"/>
    </xf>
    <xf numFmtId="0" fontId="36" fillId="0" borderId="19" xfId="0" applyFont="1" applyBorder="1" applyAlignment="1">
      <alignment vertical="center" wrapText="1"/>
    </xf>
    <xf numFmtId="0" fontId="36" fillId="0" borderId="23" xfId="0" applyFont="1" applyBorder="1" applyAlignment="1">
      <alignment vertical="center" wrapText="1"/>
    </xf>
    <xf numFmtId="0" fontId="36" fillId="0" borderId="58" xfId="0" applyFont="1" applyBorder="1" applyAlignment="1">
      <alignment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vertical="center" wrapText="1"/>
    </xf>
    <xf numFmtId="0" fontId="36" fillId="0" borderId="10" xfId="0" applyFont="1" applyFill="1" applyBorder="1" applyAlignment="1">
      <alignment vertical="center" wrapText="1"/>
    </xf>
    <xf numFmtId="0" fontId="36" fillId="0" borderId="18" xfId="0" applyFont="1" applyFill="1" applyBorder="1" applyAlignment="1">
      <alignment vertical="center" wrapText="1"/>
    </xf>
    <xf numFmtId="0" fontId="37" fillId="0" borderId="1" xfId="2" applyFont="1" applyFill="1" applyBorder="1" applyAlignment="1" applyProtection="1">
      <alignment horizontal="center" vertical="center" wrapText="1"/>
    </xf>
    <xf numFmtId="2" fontId="36" fillId="0" borderId="4" xfId="0" applyNumberFormat="1" applyFont="1" applyBorder="1" applyAlignment="1">
      <alignment horizontal="center" vertical="center" wrapText="1"/>
    </xf>
    <xf numFmtId="2" fontId="36" fillId="0" borderId="1" xfId="0" applyNumberFormat="1" applyFont="1" applyBorder="1" applyAlignment="1">
      <alignment vertical="center" wrapText="1"/>
    </xf>
    <xf numFmtId="2" fontId="36" fillId="0" borderId="4" xfId="0" applyNumberFormat="1" applyFont="1" applyBorder="1" applyAlignment="1">
      <alignment vertical="center" wrapText="1"/>
    </xf>
    <xf numFmtId="0" fontId="36" fillId="0" borderId="10" xfId="0" applyFont="1" applyBorder="1" applyAlignment="1">
      <alignment vertical="center" wrapText="1"/>
    </xf>
    <xf numFmtId="2" fontId="36" fillId="0" borderId="10" xfId="0" applyNumberFormat="1" applyFont="1" applyBorder="1" applyAlignment="1">
      <alignment vertical="center" wrapText="1"/>
    </xf>
    <xf numFmtId="2" fontId="36" fillId="0" borderId="18" xfId="0" applyNumberFormat="1" applyFont="1" applyBorder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2" fontId="35" fillId="0" borderId="1" xfId="0" applyNumberFormat="1" applyFont="1" applyFill="1" applyBorder="1" applyAlignment="1">
      <alignment horizontal="center" vertical="center" wrapText="1"/>
    </xf>
    <xf numFmtId="2" fontId="35" fillId="0" borderId="4" xfId="0" applyNumberFormat="1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2" fontId="35" fillId="0" borderId="18" xfId="0" applyNumberFormat="1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top" wrapText="1"/>
    </xf>
    <xf numFmtId="2" fontId="35" fillId="0" borderId="10" xfId="0" applyNumberFormat="1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0" xfId="0" applyFont="1" applyFill="1" applyBorder="1" applyAlignment="1">
      <alignment horizontal="center" vertical="center" wrapText="1"/>
    </xf>
    <xf numFmtId="0" fontId="36" fillId="5" borderId="13" xfId="0" applyFont="1" applyFill="1" applyBorder="1" applyAlignment="1">
      <alignment horizontal="center" vertical="center" wrapText="1"/>
    </xf>
    <xf numFmtId="0" fontId="35" fillId="0" borderId="36" xfId="2" applyFont="1" applyFill="1" applyBorder="1" applyAlignment="1">
      <alignment horizontal="center" vertical="center" wrapText="1"/>
    </xf>
    <xf numFmtId="0" fontId="35" fillId="0" borderId="15" xfId="2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center" vertical="center" wrapText="1"/>
    </xf>
    <xf numFmtId="0" fontId="35" fillId="0" borderId="13" xfId="2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0" fontId="35" fillId="5" borderId="38" xfId="0" applyFont="1" applyFill="1" applyBorder="1" applyAlignment="1">
      <alignment horizontal="center" vertical="center" wrapText="1"/>
    </xf>
    <xf numFmtId="0" fontId="35" fillId="5" borderId="28" xfId="0" applyFont="1" applyFill="1" applyBorder="1" applyAlignment="1">
      <alignment horizontal="center" vertical="center" wrapText="1"/>
    </xf>
    <xf numFmtId="0" fontId="35" fillId="5" borderId="34" xfId="0" applyFont="1" applyFill="1" applyBorder="1" applyAlignment="1">
      <alignment horizontal="center" vertical="center" wrapText="1"/>
    </xf>
    <xf numFmtId="0" fontId="35" fillId="5" borderId="25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vertical="center" wrapText="1"/>
    </xf>
    <xf numFmtId="0" fontId="4" fillId="0" borderId="31" xfId="0" applyFont="1" applyFill="1" applyBorder="1" applyAlignment="1">
      <alignment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2" fontId="36" fillId="0" borderId="31" xfId="0" applyNumberFormat="1" applyFont="1" applyBorder="1" applyAlignment="1">
      <alignment horizontal="center" vertical="center"/>
    </xf>
    <xf numFmtId="2" fontId="36" fillId="0" borderId="53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2" fontId="36" fillId="0" borderId="0" xfId="0" applyNumberFormat="1" applyFont="1" applyAlignment="1">
      <alignment horizontal="center" vertical="center" wrapText="1"/>
    </xf>
    <xf numFmtId="2" fontId="36" fillId="0" borderId="0" xfId="0" applyNumberFormat="1" applyFont="1" applyFill="1" applyAlignment="1">
      <alignment horizontal="center" vertical="center" wrapText="1"/>
    </xf>
    <xf numFmtId="0" fontId="36" fillId="0" borderId="1" xfId="0" applyFont="1" applyFill="1" applyBorder="1" applyAlignment="1">
      <alignment vertical="center"/>
    </xf>
    <xf numFmtId="2" fontId="35" fillId="7" borderId="1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wrapText="1"/>
    </xf>
    <xf numFmtId="2" fontId="38" fillId="0" borderId="1" xfId="0" applyNumberFormat="1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6" fillId="0" borderId="1" xfId="0" applyNumberFormat="1" applyFont="1" applyBorder="1" applyAlignment="1">
      <alignment horizontal="center" vertical="center" wrapText="1"/>
    </xf>
    <xf numFmtId="0" fontId="36" fillId="0" borderId="10" xfId="0" applyNumberFormat="1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/>
    </xf>
    <xf numFmtId="2" fontId="36" fillId="5" borderId="4" xfId="0" applyNumberFormat="1" applyFont="1" applyFill="1" applyBorder="1" applyAlignment="1">
      <alignment horizontal="center" vertical="center" wrapText="1"/>
    </xf>
    <xf numFmtId="0" fontId="33" fillId="5" borderId="1" xfId="0" applyNumberFormat="1" applyFont="1" applyFill="1" applyBorder="1" applyAlignment="1">
      <alignment horizontal="center" vertical="center" wrapText="1"/>
    </xf>
    <xf numFmtId="0" fontId="36" fillId="5" borderId="10" xfId="0" applyNumberFormat="1" applyFont="1" applyFill="1" applyBorder="1" applyAlignment="1">
      <alignment horizontal="center" vertical="center" wrapText="1"/>
    </xf>
    <xf numFmtId="2" fontId="36" fillId="5" borderId="10" xfId="0" applyNumberFormat="1" applyFont="1" applyFill="1" applyBorder="1" applyAlignment="1">
      <alignment horizontal="center" vertical="center" wrapText="1"/>
    </xf>
    <xf numFmtId="2" fontId="36" fillId="5" borderId="18" xfId="0" applyNumberFormat="1" applyFont="1" applyFill="1" applyBorder="1" applyAlignment="1">
      <alignment horizontal="center" vertical="center" wrapText="1"/>
    </xf>
    <xf numFmtId="2" fontId="35" fillId="5" borderId="1" xfId="2" applyNumberFormat="1" applyFont="1" applyFill="1" applyBorder="1" applyAlignment="1">
      <alignment horizontal="center" vertical="center" wrapText="1"/>
    </xf>
    <xf numFmtId="0" fontId="35" fillId="0" borderId="10" xfId="2" applyNumberFormat="1" applyFont="1" applyFill="1" applyBorder="1" applyAlignment="1">
      <alignment horizontal="center" vertical="center" wrapText="1"/>
    </xf>
    <xf numFmtId="0" fontId="36" fillId="0" borderId="2" xfId="0" applyNumberFormat="1" applyFont="1" applyBorder="1" applyAlignment="1">
      <alignment horizontal="center" vertical="center" wrapText="1"/>
    </xf>
    <xf numFmtId="0" fontId="35" fillId="5" borderId="1" xfId="0" applyNumberFormat="1" applyFont="1" applyFill="1" applyBorder="1" applyAlignment="1">
      <alignment horizontal="center" vertical="center" wrapText="1"/>
    </xf>
    <xf numFmtId="2" fontId="35" fillId="5" borderId="1" xfId="0" applyNumberFormat="1" applyFont="1" applyFill="1" applyBorder="1" applyAlignment="1">
      <alignment horizontal="center" vertical="center" wrapText="1"/>
    </xf>
    <xf numFmtId="2" fontId="35" fillId="5" borderId="4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5" borderId="10" xfId="0" applyNumberFormat="1" applyFont="1" applyFill="1" applyBorder="1" applyAlignment="1">
      <alignment horizontal="center" vertical="center" wrapText="1"/>
    </xf>
    <xf numFmtId="2" fontId="35" fillId="5" borderId="10" xfId="0" applyNumberFormat="1" applyFont="1" applyFill="1" applyBorder="1" applyAlignment="1">
      <alignment horizontal="center" vertical="center" wrapText="1"/>
    </xf>
    <xf numFmtId="2" fontId="35" fillId="5" borderId="18" xfId="0" applyNumberFormat="1" applyFont="1" applyFill="1" applyBorder="1" applyAlignment="1">
      <alignment horizontal="center" vertical="center" wrapText="1"/>
    </xf>
    <xf numFmtId="0" fontId="38" fillId="5" borderId="1" xfId="0" applyNumberFormat="1" applyFont="1" applyFill="1" applyBorder="1" applyAlignment="1">
      <alignment horizontal="center" vertical="center" wrapText="1"/>
    </xf>
    <xf numFmtId="2" fontId="38" fillId="5" borderId="1" xfId="0" applyNumberFormat="1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>
      <alignment horizontal="center" vertical="center" wrapText="1"/>
    </xf>
    <xf numFmtId="2" fontId="36" fillId="5" borderId="2" xfId="0" applyNumberFormat="1" applyFont="1" applyFill="1" applyBorder="1" applyAlignment="1">
      <alignment horizontal="center" vertical="center" wrapText="1"/>
    </xf>
    <xf numFmtId="2" fontId="36" fillId="5" borderId="1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 wrapText="1"/>
    </xf>
    <xf numFmtId="0" fontId="33" fillId="5" borderId="10" xfId="0" applyNumberFormat="1" applyFont="1" applyFill="1" applyBorder="1" applyAlignment="1">
      <alignment horizontal="center" vertical="center" wrapText="1"/>
    </xf>
    <xf numFmtId="0" fontId="36" fillId="0" borderId="12" xfId="0" applyNumberFormat="1" applyFont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/>
    </xf>
    <xf numFmtId="2" fontId="36" fillId="0" borderId="1" xfId="0" applyNumberFormat="1" applyFont="1" applyFill="1" applyBorder="1" applyAlignment="1">
      <alignment horizontal="center" vertical="center"/>
    </xf>
    <xf numFmtId="0" fontId="36" fillId="5" borderId="1" xfId="0" applyNumberFormat="1" applyFont="1" applyFill="1" applyBorder="1" applyAlignment="1">
      <alignment horizontal="center" vertical="center"/>
    </xf>
    <xf numFmtId="2" fontId="36" fillId="0" borderId="12" xfId="0" applyNumberFormat="1" applyFont="1" applyFill="1" applyBorder="1" applyAlignment="1">
      <alignment horizontal="center" vertical="center" wrapText="1"/>
    </xf>
    <xf numFmtId="2" fontId="38" fillId="5" borderId="4" xfId="0" applyNumberFormat="1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vertical="center" wrapText="1"/>
    </xf>
    <xf numFmtId="0" fontId="36" fillId="5" borderId="4" xfId="0" applyNumberFormat="1" applyFont="1" applyFill="1" applyBorder="1" applyAlignment="1">
      <alignment vertical="center" wrapText="1"/>
    </xf>
    <xf numFmtId="0" fontId="35" fillId="5" borderId="1" xfId="1" applyNumberFormat="1" applyFont="1" applyFill="1" applyBorder="1" applyAlignment="1" applyProtection="1">
      <alignment horizontal="center" vertical="center" wrapText="1"/>
    </xf>
    <xf numFmtId="0" fontId="39" fillId="5" borderId="1" xfId="1" applyNumberFormat="1" applyFont="1" applyFill="1" applyBorder="1" applyAlignment="1" applyProtection="1">
      <alignment horizontal="center" vertical="center" wrapText="1"/>
    </xf>
    <xf numFmtId="0" fontId="39" fillId="5" borderId="10" xfId="1" applyNumberFormat="1" applyFont="1" applyFill="1" applyBorder="1" applyAlignment="1" applyProtection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2" fontId="4" fillId="0" borderId="55" xfId="0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 vertical="center"/>
    </xf>
    <xf numFmtId="0" fontId="40" fillId="0" borderId="55" xfId="0" applyFont="1" applyFill="1" applyBorder="1" applyAlignment="1">
      <alignment horizontal="center" vertical="center"/>
    </xf>
    <xf numFmtId="0" fontId="33" fillId="0" borderId="55" xfId="0" applyFont="1" applyBorder="1" applyAlignment="1">
      <alignment horizontal="center" vertical="center"/>
    </xf>
    <xf numFmtId="2" fontId="33" fillId="0" borderId="55" xfId="0" applyNumberFormat="1" applyFont="1" applyBorder="1" applyAlignment="1">
      <alignment horizontal="center" vertical="center"/>
    </xf>
    <xf numFmtId="2" fontId="33" fillId="0" borderId="56" xfId="0" applyNumberFormat="1" applyFont="1" applyBorder="1" applyAlignment="1">
      <alignment horizontal="center" vertical="center"/>
    </xf>
    <xf numFmtId="0" fontId="35" fillId="2" borderId="29" xfId="2" applyFont="1" applyFill="1" applyBorder="1" applyAlignment="1">
      <alignment horizontal="center" vertical="center" wrapText="1"/>
    </xf>
    <xf numFmtId="166" fontId="35" fillId="2" borderId="30" xfId="2" applyNumberFormat="1" applyFont="1" applyFill="1" applyBorder="1" applyAlignment="1">
      <alignment horizontal="center" vertical="center" wrapText="1"/>
    </xf>
    <xf numFmtId="166" fontId="35" fillId="2" borderId="31" xfId="2" applyNumberFormat="1" applyFont="1" applyFill="1" applyBorder="1" applyAlignment="1">
      <alignment horizontal="center" vertical="center" wrapText="1"/>
    </xf>
    <xf numFmtId="166" fontId="35" fillId="2" borderId="32" xfId="2" applyNumberFormat="1" applyFont="1" applyFill="1" applyBorder="1" applyAlignment="1">
      <alignment horizontal="center" vertical="center" wrapText="1"/>
    </xf>
    <xf numFmtId="0" fontId="35" fillId="0" borderId="29" xfId="2" applyFont="1" applyFill="1" applyBorder="1" applyAlignment="1">
      <alignment horizontal="center" vertical="center" wrapText="1"/>
    </xf>
    <xf numFmtId="0" fontId="35" fillId="2" borderId="30" xfId="2" applyFont="1" applyFill="1" applyBorder="1" applyAlignment="1">
      <alignment horizontal="center" vertical="center" wrapText="1"/>
    </xf>
    <xf numFmtId="0" fontId="35" fillId="2" borderId="31" xfId="2" applyFont="1" applyFill="1" applyBorder="1" applyAlignment="1">
      <alignment horizontal="center" vertical="center" wrapText="1"/>
    </xf>
    <xf numFmtId="0" fontId="35" fillId="2" borderId="32" xfId="2" applyFont="1" applyFill="1" applyBorder="1" applyAlignment="1">
      <alignment horizontal="center" vertical="center" wrapText="1"/>
    </xf>
    <xf numFmtId="0" fontId="41" fillId="5" borderId="15" xfId="2" applyFont="1" applyFill="1" applyBorder="1" applyAlignment="1">
      <alignment horizontal="center" vertical="center" wrapText="1"/>
    </xf>
    <xf numFmtId="0" fontId="41" fillId="5" borderId="0" xfId="2" applyFont="1" applyFill="1" applyBorder="1" applyAlignment="1">
      <alignment horizontal="center" vertical="center" wrapText="1"/>
    </xf>
    <xf numFmtId="0" fontId="41" fillId="5" borderId="13" xfId="2" applyFont="1" applyFill="1" applyBorder="1" applyAlignment="1">
      <alignment horizontal="center" vertical="center" wrapText="1"/>
    </xf>
    <xf numFmtId="0" fontId="35" fillId="2" borderId="33" xfId="2" applyFont="1" applyFill="1" applyBorder="1" applyAlignment="1">
      <alignment horizontal="center" vertical="center" wrapText="1"/>
    </xf>
    <xf numFmtId="0" fontId="35" fillId="5" borderId="37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35" fillId="5" borderId="32" xfId="2" applyFont="1" applyFill="1" applyBorder="1" applyAlignment="1">
      <alignment horizontal="center" vertical="center" wrapText="1"/>
    </xf>
    <xf numFmtId="0" fontId="35" fillId="2" borderId="37" xfId="2" applyFont="1" applyFill="1" applyBorder="1" applyAlignment="1">
      <alignment horizontal="center" vertical="center" wrapText="1"/>
    </xf>
    <xf numFmtId="0" fontId="35" fillId="2" borderId="35" xfId="2" applyFont="1" applyFill="1" applyBorder="1" applyAlignment="1">
      <alignment horizontal="center" vertical="center" wrapText="1"/>
    </xf>
    <xf numFmtId="0" fontId="35" fillId="2" borderId="38" xfId="2" applyFont="1" applyFill="1" applyBorder="1" applyAlignment="1">
      <alignment horizontal="center" vertical="center" wrapText="1"/>
    </xf>
    <xf numFmtId="0" fontId="35" fillId="2" borderId="36" xfId="2" applyFont="1" applyFill="1" applyBorder="1" applyAlignment="1">
      <alignment horizontal="center" vertical="center" wrapText="1"/>
    </xf>
    <xf numFmtId="2" fontId="35" fillId="0" borderId="1" xfId="2" applyNumberFormat="1" applyFont="1" applyFill="1" applyBorder="1" applyAlignment="1">
      <alignment horizontal="center" vertical="center" wrapText="1"/>
    </xf>
    <xf numFmtId="2" fontId="35" fillId="5" borderId="1" xfId="1" applyNumberFormat="1" applyFont="1" applyFill="1" applyBorder="1" applyAlignment="1" applyProtection="1">
      <alignment horizontal="center" vertical="center" wrapText="1"/>
    </xf>
    <xf numFmtId="2" fontId="39" fillId="5" borderId="1" xfId="1" applyNumberFormat="1" applyFont="1" applyFill="1" applyBorder="1" applyAlignment="1" applyProtection="1">
      <alignment horizontal="center" vertical="center" wrapText="1"/>
    </xf>
    <xf numFmtId="0" fontId="35" fillId="5" borderId="10" xfId="1" applyNumberFormat="1" applyFont="1" applyFill="1" applyBorder="1" applyAlignment="1" applyProtection="1">
      <alignment horizontal="center" vertical="center" wrapText="1"/>
    </xf>
    <xf numFmtId="2" fontId="35" fillId="5" borderId="10" xfId="1" applyNumberFormat="1" applyFont="1" applyFill="1" applyBorder="1" applyAlignment="1" applyProtection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vertical="center" wrapText="1"/>
    </xf>
    <xf numFmtId="2" fontId="36" fillId="0" borderId="2" xfId="0" applyNumberFormat="1" applyFont="1" applyBorder="1" applyAlignment="1">
      <alignment vertical="center" wrapText="1"/>
    </xf>
    <xf numFmtId="2" fontId="36" fillId="0" borderId="11" xfId="0" applyNumberFormat="1" applyFont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2" fontId="36" fillId="0" borderId="12" xfId="0" applyNumberFormat="1" applyFont="1" applyBorder="1" applyAlignment="1">
      <alignment vertical="center" wrapText="1"/>
    </xf>
    <xf numFmtId="2" fontId="36" fillId="0" borderId="60" xfId="0" applyNumberFormat="1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center" wrapText="1"/>
    </xf>
    <xf numFmtId="0" fontId="35" fillId="0" borderId="1" xfId="0" applyNumberFormat="1" applyFont="1" applyBorder="1" applyAlignment="1">
      <alignment horizontal="center" vertical="center" wrapText="1"/>
    </xf>
    <xf numFmtId="0" fontId="35" fillId="0" borderId="10" xfId="0" applyNumberFormat="1" applyFont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 wrapText="1"/>
    </xf>
    <xf numFmtId="14" fontId="36" fillId="5" borderId="1" xfId="0" applyNumberFormat="1" applyFont="1" applyFill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3" borderId="10" xfId="0" applyFont="1" applyFill="1" applyBorder="1" applyAlignment="1">
      <alignment horizontal="center" vertical="center" wrapText="1"/>
    </xf>
    <xf numFmtId="0" fontId="36" fillId="3" borderId="18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0" fontId="36" fillId="0" borderId="11" xfId="0" applyFont="1" applyFill="1" applyBorder="1" applyAlignment="1">
      <alignment vertical="center" wrapText="1"/>
    </xf>
    <xf numFmtId="0" fontId="36" fillId="0" borderId="60" xfId="0" applyFont="1" applyFill="1" applyBorder="1" applyAlignment="1">
      <alignment horizontal="center" vertical="center" wrapText="1"/>
    </xf>
    <xf numFmtId="165" fontId="36" fillId="0" borderId="1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vertical="center" wrapText="1"/>
    </xf>
    <xf numFmtId="165" fontId="36" fillId="3" borderId="5" xfId="0" applyNumberFormat="1" applyFont="1" applyFill="1" applyBorder="1" applyAlignment="1">
      <alignment horizontal="center" vertical="center" wrapText="1"/>
    </xf>
    <xf numFmtId="0" fontId="36" fillId="0" borderId="17" xfId="0" applyFont="1" applyFill="1" applyBorder="1" applyAlignment="1">
      <alignment vertical="center" wrapText="1"/>
    </xf>
    <xf numFmtId="0" fontId="36" fillId="0" borderId="16" xfId="0" applyFont="1" applyFill="1" applyBorder="1" applyAlignment="1">
      <alignment vertical="center" wrapText="1"/>
    </xf>
    <xf numFmtId="0" fontId="36" fillId="0" borderId="9" xfId="0" applyFont="1" applyFill="1" applyBorder="1" applyAlignment="1">
      <alignment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3" borderId="9" xfId="0" applyFont="1" applyFill="1" applyBorder="1" applyAlignment="1">
      <alignment horizontal="center" vertical="center" wrapText="1"/>
    </xf>
    <xf numFmtId="0" fontId="36" fillId="3" borderId="11" xfId="0" applyFont="1" applyFill="1" applyBorder="1" applyAlignment="1">
      <alignment horizontal="center" vertical="center" wrapText="1"/>
    </xf>
    <xf numFmtId="2" fontId="35" fillId="3" borderId="5" xfId="0" applyNumberFormat="1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 wrapText="1"/>
    </xf>
    <xf numFmtId="2" fontId="35" fillId="0" borderId="2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8" xfId="0" applyFont="1" applyFill="1" applyBorder="1" applyAlignment="1">
      <alignment horizontal="center" vertical="center" wrapText="1"/>
    </xf>
    <xf numFmtId="165" fontId="36" fillId="0" borderId="5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6" fillId="0" borderId="57" xfId="0" applyFont="1" applyFill="1" applyBorder="1" applyAlignment="1">
      <alignment horizontal="center" vertical="center" wrapText="1"/>
    </xf>
    <xf numFmtId="0" fontId="35" fillId="0" borderId="1" xfId="1" applyFont="1" applyFill="1" applyBorder="1" applyAlignment="1" applyProtection="1">
      <alignment horizontal="center" vertical="center" wrapText="1"/>
    </xf>
    <xf numFmtId="0" fontId="36" fillId="0" borderId="31" xfId="0" applyFont="1" applyBorder="1" applyAlignment="1">
      <alignment vertical="center" wrapText="1"/>
    </xf>
    <xf numFmtId="0" fontId="36" fillId="0" borderId="53" xfId="0" applyFont="1" applyBorder="1" applyAlignment="1">
      <alignment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vertical="center" wrapText="1"/>
    </xf>
    <xf numFmtId="2" fontId="36" fillId="0" borderId="11" xfId="0" applyNumberFormat="1" applyFont="1" applyFill="1" applyBorder="1" applyAlignment="1">
      <alignment vertical="center" wrapText="1"/>
    </xf>
    <xf numFmtId="0" fontId="36" fillId="0" borderId="0" xfId="0" applyFont="1" applyFill="1" applyAlignment="1">
      <alignment horizontal="center" vertical="center" wrapText="1"/>
    </xf>
    <xf numFmtId="2" fontId="36" fillId="0" borderId="4" xfId="0" applyNumberFormat="1" applyFont="1" applyFill="1" applyBorder="1" applyAlignment="1">
      <alignment vertical="center" wrapText="1"/>
    </xf>
    <xf numFmtId="0" fontId="35" fillId="0" borderId="2" xfId="0" applyFont="1" applyFill="1" applyBorder="1" applyAlignment="1">
      <alignment vertical="center" wrapText="1"/>
    </xf>
    <xf numFmtId="2" fontId="35" fillId="0" borderId="2" xfId="0" applyNumberFormat="1" applyFont="1" applyFill="1" applyBorder="1" applyAlignment="1">
      <alignment vertical="center" wrapText="1"/>
    </xf>
    <xf numFmtId="2" fontId="35" fillId="0" borderId="11" xfId="0" applyNumberFormat="1" applyFont="1" applyFill="1" applyBorder="1" applyAlignment="1">
      <alignment vertical="center" wrapText="1"/>
    </xf>
    <xf numFmtId="0" fontId="35" fillId="0" borderId="1" xfId="0" applyFont="1" applyFill="1" applyBorder="1" applyAlignment="1">
      <alignment vertical="center" wrapText="1"/>
    </xf>
    <xf numFmtId="2" fontId="35" fillId="0" borderId="1" xfId="0" applyNumberFormat="1" applyFont="1" applyFill="1" applyBorder="1" applyAlignment="1">
      <alignment vertical="center" wrapText="1"/>
    </xf>
    <xf numFmtId="2" fontId="35" fillId="0" borderId="4" xfId="0" applyNumberFormat="1" applyFont="1" applyFill="1" applyBorder="1" applyAlignment="1">
      <alignment vertical="center" wrapText="1"/>
    </xf>
    <xf numFmtId="0" fontId="35" fillId="0" borderId="10" xfId="0" applyFont="1" applyFill="1" applyBorder="1" applyAlignment="1">
      <alignment vertical="center" wrapText="1"/>
    </xf>
    <xf numFmtId="2" fontId="35" fillId="0" borderId="10" xfId="0" applyNumberFormat="1" applyFont="1" applyFill="1" applyBorder="1" applyAlignment="1">
      <alignment vertical="center" wrapText="1"/>
    </xf>
    <xf numFmtId="2" fontId="35" fillId="0" borderId="18" xfId="0" applyNumberFormat="1" applyFont="1" applyFill="1" applyBorder="1" applyAlignment="1">
      <alignment vertical="center" wrapText="1"/>
    </xf>
    <xf numFmtId="2" fontId="36" fillId="0" borderId="18" xfId="0" applyNumberFormat="1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2" fontId="36" fillId="3" borderId="5" xfId="0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2" fontId="36" fillId="3" borderId="4" xfId="0" applyNumberFormat="1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vertical="center" wrapText="1"/>
    </xf>
    <xf numFmtId="2" fontId="36" fillId="0" borderId="31" xfId="0" applyNumberFormat="1" applyFont="1" applyBorder="1" applyAlignment="1">
      <alignment vertical="center" wrapText="1"/>
    </xf>
    <xf numFmtId="2" fontId="36" fillId="0" borderId="53" xfId="0" applyNumberFormat="1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2" fontId="36" fillId="0" borderId="0" xfId="0" applyNumberFormat="1" applyFont="1" applyBorder="1" applyAlignment="1">
      <alignment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164" fontId="6" fillId="5" borderId="1" xfId="0" applyNumberFormat="1" applyFont="1" applyFill="1" applyBorder="1" applyAlignment="1" applyProtection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0" fontId="6" fillId="0" borderId="1" xfId="2" applyFont="1" applyFill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9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2" fontId="6" fillId="5" borderId="16" xfId="0" applyNumberFormat="1" applyFont="1" applyFill="1" applyBorder="1" applyAlignment="1">
      <alignment horizontal="center" vertical="center" wrapText="1"/>
    </xf>
    <xf numFmtId="2" fontId="36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2" fontId="36" fillId="0" borderId="12" xfId="0" applyNumberFormat="1" applyFont="1" applyBorder="1" applyAlignment="1">
      <alignment horizontal="center" vertical="center"/>
    </xf>
    <xf numFmtId="2" fontId="36" fillId="0" borderId="12" xfId="0" applyNumberFormat="1" applyFont="1" applyFill="1" applyBorder="1" applyAlignment="1">
      <alignment horizontal="center" vertical="center"/>
    </xf>
    <xf numFmtId="2" fontId="36" fillId="0" borderId="5" xfId="0" applyNumberFormat="1" applyFont="1" applyBorder="1" applyAlignment="1">
      <alignment horizontal="center" vertical="center"/>
    </xf>
    <xf numFmtId="2" fontId="36" fillId="5" borderId="3" xfId="0" applyNumberFormat="1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3" fillId="5" borderId="3" xfId="18" applyFont="1" applyFill="1" applyBorder="1" applyAlignment="1">
      <alignment horizontal="center" vertical="center"/>
    </xf>
    <xf numFmtId="0" fontId="33" fillId="5" borderId="3" xfId="18" applyFont="1" applyFill="1" applyBorder="1" applyAlignment="1">
      <alignment horizontal="center" vertical="center" wrapText="1"/>
    </xf>
    <xf numFmtId="2" fontId="33" fillId="5" borderId="3" xfId="18" applyNumberFormat="1" applyFont="1" applyFill="1" applyBorder="1" applyAlignment="1">
      <alignment horizontal="center" vertical="center"/>
    </xf>
    <xf numFmtId="2" fontId="33" fillId="5" borderId="3" xfId="18" applyNumberFormat="1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4" xfId="0" applyFont="1" applyFill="1" applyBorder="1" applyAlignment="1">
      <alignment horizontal="center" vertical="center" wrapText="1"/>
    </xf>
    <xf numFmtId="0" fontId="36" fillId="5" borderId="0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42" fillId="5" borderId="34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3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5" fillId="5" borderId="34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5" borderId="25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5" fillId="5" borderId="33" xfId="0" applyFont="1" applyFill="1" applyBorder="1" applyAlignment="1">
      <alignment horizontal="center" vertical="center" wrapText="1"/>
    </xf>
    <xf numFmtId="0" fontId="35" fillId="5" borderId="35" xfId="0" applyFont="1" applyFill="1" applyBorder="1" applyAlignment="1">
      <alignment horizontal="center" vertical="center" wrapText="1"/>
    </xf>
    <xf numFmtId="0" fontId="35" fillId="5" borderId="28" xfId="0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35" fillId="5" borderId="38" xfId="0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0" fontId="36" fillId="0" borderId="5" xfId="0" applyNumberFormat="1" applyFont="1" applyBorder="1" applyAlignment="1">
      <alignment horizontal="center" vertical="center" wrapText="1"/>
    </xf>
    <xf numFmtId="0" fontId="36" fillId="5" borderId="2" xfId="0" applyNumberFormat="1" applyFont="1" applyFill="1" applyBorder="1" applyAlignment="1">
      <alignment horizontal="center" vertical="center" wrapText="1"/>
    </xf>
    <xf numFmtId="0" fontId="35" fillId="5" borderId="1" xfId="2" applyNumberFormat="1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35" fillId="0" borderId="1" xfId="2" applyNumberFormat="1" applyFont="1" applyFill="1" applyBorder="1" applyAlignment="1">
      <alignment horizontal="center" vertical="center" wrapText="1"/>
    </xf>
    <xf numFmtId="0" fontId="35" fillId="5" borderId="34" xfId="2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35" fillId="5" borderId="35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35" fillId="5" borderId="38" xfId="2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0" fontId="35" fillId="5" borderId="25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0" fontId="36" fillId="0" borderId="2" xfId="0" applyNumberFormat="1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1" fontId="36" fillId="0" borderId="9" xfId="0" applyNumberFormat="1" applyFont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166" fontId="35" fillId="5" borderId="34" xfId="2" applyNumberFormat="1" applyFont="1" applyFill="1" applyBorder="1" applyAlignment="1">
      <alignment horizontal="center" vertical="center" wrapText="1"/>
    </xf>
    <xf numFmtId="166" fontId="35" fillId="5" borderId="0" xfId="2" applyNumberFormat="1" applyFont="1" applyFill="1" applyBorder="1" applyAlignment="1">
      <alignment horizontal="center" vertical="center" wrapText="1"/>
    </xf>
    <xf numFmtId="166" fontId="35" fillId="5" borderId="28" xfId="2" applyNumberFormat="1" applyFont="1" applyFill="1" applyBorder="1" applyAlignment="1">
      <alignment horizontal="center" vertical="center" wrapText="1"/>
    </xf>
    <xf numFmtId="166" fontId="35" fillId="5" borderId="15" xfId="2" applyNumberFormat="1" applyFont="1" applyFill="1" applyBorder="1" applyAlignment="1">
      <alignment horizontal="center" vertical="center" wrapText="1"/>
    </xf>
    <xf numFmtId="166" fontId="35" fillId="5" borderId="25" xfId="2" applyNumberFormat="1" applyFont="1" applyFill="1" applyBorder="1" applyAlignment="1">
      <alignment horizontal="center" vertical="center" wrapText="1"/>
    </xf>
    <xf numFmtId="166" fontId="35" fillId="5" borderId="13" xfId="2" applyNumberFormat="1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1" fontId="35" fillId="5" borderId="10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1" fontId="35" fillId="0" borderId="8" xfId="0" applyNumberFormat="1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2" fontId="35" fillId="0" borderId="10" xfId="0" applyNumberFormat="1" applyFont="1" applyFill="1" applyBorder="1" applyAlignment="1">
      <alignment horizontal="center" vertical="center" wrapText="1"/>
    </xf>
    <xf numFmtId="1" fontId="35" fillId="0" borderId="26" xfId="0" applyNumberFormat="1" applyFont="1" applyBorder="1" applyAlignment="1">
      <alignment horizontal="center" vertical="center" wrapText="1"/>
    </xf>
    <xf numFmtId="0" fontId="35" fillId="0" borderId="10" xfId="0" applyNumberFormat="1" applyFont="1" applyFill="1" applyBorder="1" applyAlignment="1">
      <alignment horizontal="center" vertical="center" wrapText="1"/>
    </xf>
    <xf numFmtId="1" fontId="35" fillId="0" borderId="10" xfId="0" applyNumberFormat="1" applyFont="1" applyFill="1" applyBorder="1" applyAlignment="1">
      <alignment horizontal="center" vertical="center" wrapText="1"/>
    </xf>
    <xf numFmtId="0" fontId="46" fillId="0" borderId="1" xfId="1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2" fontId="35" fillId="2" borderId="1" xfId="0" applyNumberFormat="1" applyFont="1" applyFill="1" applyBorder="1" applyAlignment="1">
      <alignment horizontal="center" vertical="center" wrapText="1"/>
    </xf>
    <xf numFmtId="0" fontId="46" fillId="0" borderId="10" xfId="1" applyFont="1" applyFill="1" applyBorder="1" applyAlignment="1" applyProtection="1">
      <alignment horizontal="center" vertical="center" wrapText="1"/>
    </xf>
    <xf numFmtId="2" fontId="35" fillId="0" borderId="5" xfId="0" applyNumberFormat="1" applyFont="1" applyBorder="1" applyAlignment="1">
      <alignment horizontal="center" vertical="center" wrapText="1"/>
    </xf>
    <xf numFmtId="2" fontId="35" fillId="0" borderId="5" xfId="0" applyNumberFormat="1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2" fontId="35" fillId="3" borderId="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2" fontId="33" fillId="0" borderId="1" xfId="18" applyNumberFormat="1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vertical="center" wrapText="1"/>
    </xf>
    <xf numFmtId="0" fontId="35" fillId="0" borderId="18" xfId="0" applyFont="1" applyFill="1" applyBorder="1" applyAlignment="1">
      <alignment vertical="center" wrapText="1"/>
    </xf>
    <xf numFmtId="2" fontId="35" fillId="0" borderId="10" xfId="0" applyNumberFormat="1" applyFont="1" applyBorder="1" applyAlignment="1">
      <alignment horizontal="center" vertical="center" wrapText="1"/>
    </xf>
    <xf numFmtId="2" fontId="35" fillId="0" borderId="12" xfId="0" applyNumberFormat="1" applyFont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2" fontId="35" fillId="0" borderId="60" xfId="0" applyNumberFormat="1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vertical="center" wrapText="1"/>
    </xf>
    <xf numFmtId="2" fontId="35" fillId="0" borderId="1" xfId="1" applyNumberFormat="1" applyFont="1" applyBorder="1" applyAlignment="1" applyProtection="1">
      <alignment horizontal="center" vertical="center" wrapText="1"/>
    </xf>
    <xf numFmtId="2" fontId="35" fillId="0" borderId="1" xfId="1" applyNumberFormat="1" applyFont="1" applyFill="1" applyBorder="1" applyAlignment="1" applyProtection="1">
      <alignment horizontal="center" vertical="center" wrapText="1"/>
    </xf>
    <xf numFmtId="0" fontId="35" fillId="5" borderId="28" xfId="0" applyFont="1" applyFill="1" applyBorder="1" applyAlignment="1">
      <alignment vertical="center" wrapText="1"/>
    </xf>
    <xf numFmtId="0" fontId="35" fillId="5" borderId="30" xfId="0" applyFont="1" applyFill="1" applyBorder="1" applyAlignment="1">
      <alignment vertical="center" wrapText="1"/>
    </xf>
    <xf numFmtId="0" fontId="47" fillId="5" borderId="1" xfId="18" applyFont="1" applyFill="1" applyBorder="1" applyAlignment="1">
      <alignment horizontal="center" vertical="center"/>
    </xf>
    <xf numFmtId="0" fontId="47" fillId="5" borderId="1" xfId="18" applyFont="1" applyFill="1" applyBorder="1" applyAlignment="1">
      <alignment horizontal="center" vertical="center" wrapText="1"/>
    </xf>
    <xf numFmtId="2" fontId="47" fillId="5" borderId="1" xfId="18" applyNumberFormat="1" applyFont="1" applyFill="1" applyBorder="1" applyAlignment="1">
      <alignment horizontal="center" vertical="center" wrapText="1"/>
    </xf>
    <xf numFmtId="2" fontId="47" fillId="0" borderId="10" xfId="18" applyNumberFormat="1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vertical="center" wrapText="1"/>
    </xf>
    <xf numFmtId="2" fontId="42" fillId="0" borderId="1" xfId="0" applyNumberFormat="1" applyFont="1" applyFill="1" applyBorder="1" applyAlignment="1">
      <alignment vertical="center" wrapText="1"/>
    </xf>
    <xf numFmtId="2" fontId="35" fillId="3" borderId="10" xfId="0" applyNumberFormat="1" applyFont="1" applyFill="1" applyBorder="1" applyAlignment="1">
      <alignment horizontal="center" vertical="center" wrapText="1"/>
    </xf>
    <xf numFmtId="2" fontId="35" fillId="3" borderId="18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vertical="center" wrapText="1"/>
    </xf>
    <xf numFmtId="2" fontId="35" fillId="2" borderId="1" xfId="1" applyNumberFormat="1" applyFont="1" applyFill="1" applyBorder="1" applyAlignment="1" applyProtection="1">
      <alignment horizontal="center" vertical="center" wrapText="1"/>
    </xf>
    <xf numFmtId="0" fontId="35" fillId="2" borderId="1" xfId="1" applyFont="1" applyFill="1" applyBorder="1" applyAlignment="1" applyProtection="1">
      <alignment horizontal="center" vertical="center" wrapText="1"/>
    </xf>
    <xf numFmtId="0" fontId="35" fillId="5" borderId="0" xfId="0" applyFont="1" applyFill="1" applyBorder="1" applyAlignment="1">
      <alignment vertical="center" wrapText="1"/>
    </xf>
    <xf numFmtId="0" fontId="48" fillId="0" borderId="1" xfId="0" applyFont="1" applyBorder="1" applyAlignment="1">
      <alignment horizontal="center" vertical="center" wrapText="1"/>
    </xf>
    <xf numFmtId="2" fontId="48" fillId="0" borderId="1" xfId="0" applyNumberFormat="1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5" fillId="5" borderId="49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5" fillId="5" borderId="9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2" fontId="35" fillId="2" borderId="10" xfId="0" applyNumberFormat="1" applyFont="1" applyFill="1" applyBorder="1" applyAlignment="1">
      <alignment horizontal="center" vertical="center" wrapText="1"/>
    </xf>
    <xf numFmtId="0" fontId="35" fillId="5" borderId="50" xfId="0" applyFont="1" applyFill="1" applyBorder="1" applyAlignment="1">
      <alignment horizontal="center" vertical="center" wrapText="1"/>
    </xf>
    <xf numFmtId="0" fontId="35" fillId="5" borderId="19" xfId="0" applyFont="1" applyFill="1" applyBorder="1" applyAlignment="1">
      <alignment horizontal="center" vertical="center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17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35" fillId="0" borderId="2" xfId="1" applyFont="1" applyBorder="1" applyAlignment="1" applyProtection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2" fontId="35" fillId="0" borderId="2" xfId="1" applyNumberFormat="1" applyFont="1" applyBorder="1" applyAlignment="1" applyProtection="1">
      <alignment horizontal="center" vertical="center" wrapText="1"/>
    </xf>
    <xf numFmtId="2" fontId="35" fillId="0" borderId="2" xfId="1" applyNumberFormat="1" applyFont="1" applyFill="1" applyBorder="1" applyAlignment="1" applyProtection="1">
      <alignment horizontal="center" vertical="center" wrapText="1"/>
    </xf>
    <xf numFmtId="2" fontId="35" fillId="0" borderId="10" xfId="1" applyNumberFormat="1" applyFont="1" applyBorder="1" applyAlignment="1" applyProtection="1">
      <alignment horizontal="center" vertical="center" wrapText="1"/>
    </xf>
    <xf numFmtId="2" fontId="35" fillId="0" borderId="10" xfId="1" applyNumberFormat="1" applyFont="1" applyFill="1" applyBorder="1" applyAlignment="1" applyProtection="1">
      <alignment horizontal="center" vertical="center" wrapText="1"/>
    </xf>
    <xf numFmtId="2" fontId="35" fillId="2" borderId="2" xfId="0" applyNumberFormat="1" applyFont="1" applyFill="1" applyBorder="1" applyAlignment="1">
      <alignment horizontal="center" vertical="center" wrapText="1"/>
    </xf>
    <xf numFmtId="2" fontId="33" fillId="0" borderId="10" xfId="18" applyNumberFormat="1" applyFont="1" applyFill="1" applyBorder="1" applyAlignment="1">
      <alignment horizontal="center" vertical="center" wrapText="1"/>
    </xf>
    <xf numFmtId="0" fontId="35" fillId="0" borderId="1" xfId="1" applyFont="1" applyBorder="1" applyAlignment="1" applyProtection="1">
      <alignment horizontal="center" vertical="center" wrapText="1"/>
    </xf>
    <xf numFmtId="0" fontId="33" fillId="0" borderId="1" xfId="1" applyFont="1" applyBorder="1" applyAlignment="1" applyProtection="1">
      <alignment horizontal="center" vertical="center" wrapText="1"/>
    </xf>
    <xf numFmtId="2" fontId="47" fillId="5" borderId="1" xfId="18" applyNumberFormat="1" applyFont="1" applyFill="1" applyBorder="1" applyAlignment="1">
      <alignment horizontal="center" vertical="center"/>
    </xf>
    <xf numFmtId="0" fontId="38" fillId="5" borderId="36" xfId="0" applyFont="1" applyFill="1" applyBorder="1" applyAlignment="1">
      <alignment horizontal="center" vertical="center" wrapText="1"/>
    </xf>
    <xf numFmtId="2" fontId="35" fillId="0" borderId="16" xfId="0" applyNumberFormat="1" applyFont="1" applyFill="1" applyBorder="1" applyAlignment="1">
      <alignment horizontal="center" vertical="center" wrapText="1"/>
    </xf>
    <xf numFmtId="0" fontId="35" fillId="0" borderId="10" xfId="1" applyFont="1" applyFill="1" applyBorder="1" applyAlignment="1" applyProtection="1">
      <alignment horizontal="center" vertical="center" wrapText="1"/>
    </xf>
    <xf numFmtId="2" fontId="35" fillId="0" borderId="9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left" vertical="center" wrapText="1"/>
    </xf>
    <xf numFmtId="14" fontId="35" fillId="0" borderId="10" xfId="0" applyNumberFormat="1" applyFont="1" applyFill="1" applyBorder="1" applyAlignment="1">
      <alignment horizontal="center" vertical="center" wrapText="1"/>
    </xf>
    <xf numFmtId="0" fontId="35" fillId="5" borderId="31" xfId="0" applyFont="1" applyFill="1" applyBorder="1" applyAlignment="1">
      <alignment vertical="center" wrapText="1"/>
    </xf>
    <xf numFmtId="2" fontId="35" fillId="0" borderId="3" xfId="0" applyNumberFormat="1" applyFont="1" applyBorder="1" applyAlignment="1">
      <alignment horizontal="center" vertical="center" wrapText="1"/>
    </xf>
    <xf numFmtId="2" fontId="35" fillId="0" borderId="3" xfId="0" applyNumberFormat="1" applyFont="1" applyFill="1" applyBorder="1" applyAlignment="1">
      <alignment horizontal="center" vertical="center" wrapText="1"/>
    </xf>
    <xf numFmtId="2" fontId="35" fillId="0" borderId="57" xfId="0" applyNumberFormat="1" applyFont="1" applyFill="1" applyBorder="1" applyAlignment="1">
      <alignment horizontal="center" vertical="center" wrapText="1"/>
    </xf>
    <xf numFmtId="0" fontId="35" fillId="2" borderId="10" xfId="1" applyFont="1" applyFill="1" applyBorder="1" applyAlignment="1" applyProtection="1">
      <alignment horizontal="center" vertical="center" wrapText="1"/>
    </xf>
    <xf numFmtId="2" fontId="35" fillId="2" borderId="10" xfId="1" applyNumberFormat="1" applyFont="1" applyFill="1" applyBorder="1" applyAlignment="1" applyProtection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2" fontId="36" fillId="0" borderId="31" xfId="0" applyNumberFormat="1" applyFont="1" applyBorder="1" applyAlignment="1">
      <alignment horizontal="center" vertical="center" wrapText="1"/>
    </xf>
    <xf numFmtId="2" fontId="36" fillId="0" borderId="31" xfId="0" applyNumberFormat="1" applyFont="1" applyFill="1" applyBorder="1" applyAlignment="1">
      <alignment horizontal="center" vertical="center" wrapText="1"/>
    </xf>
    <xf numFmtId="2" fontId="36" fillId="0" borderId="53" xfId="0" applyNumberFormat="1" applyFont="1" applyBorder="1" applyAlignment="1">
      <alignment horizontal="center" vertical="center" wrapText="1"/>
    </xf>
    <xf numFmtId="2" fontId="35" fillId="0" borderId="0" xfId="0" applyNumberFormat="1" applyFont="1" applyAlignment="1">
      <alignment horizontal="center" vertical="center" wrapText="1"/>
    </xf>
    <xf numFmtId="2" fontId="35" fillId="0" borderId="0" xfId="0" applyNumberFormat="1" applyFont="1" applyFill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2" fontId="36" fillId="7" borderId="1" xfId="0" applyNumberFormat="1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5" fillId="5" borderId="35" xfId="0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5" fillId="5" borderId="35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35" fillId="5" borderId="38" xfId="2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2" fontId="35" fillId="0" borderId="10" xfId="0" applyNumberFormat="1" applyFont="1" applyFill="1" applyBorder="1" applyAlignment="1">
      <alignment horizontal="center" vertical="center" wrapText="1"/>
    </xf>
    <xf numFmtId="0" fontId="35" fillId="5" borderId="30" xfId="0" applyFont="1" applyFill="1" applyBorder="1" applyAlignment="1">
      <alignment horizontal="center" vertical="center" wrapText="1"/>
    </xf>
    <xf numFmtId="0" fontId="35" fillId="5" borderId="31" xfId="0" applyFont="1" applyFill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 wrapText="1"/>
    </xf>
    <xf numFmtId="166" fontId="35" fillId="5" borderId="0" xfId="2" applyNumberFormat="1" applyFont="1" applyFill="1" applyBorder="1" applyAlignment="1">
      <alignment horizontal="center" vertical="center" wrapText="1"/>
    </xf>
    <xf numFmtId="166" fontId="35" fillId="5" borderId="15" xfId="2" applyNumberFormat="1" applyFont="1" applyFill="1" applyBorder="1" applyAlignment="1">
      <alignment horizontal="center" vertical="center" wrapText="1"/>
    </xf>
    <xf numFmtId="166" fontId="35" fillId="5" borderId="13" xfId="2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0" fontId="35" fillId="0" borderId="1" xfId="2" applyNumberFormat="1" applyFont="1" applyFill="1" applyBorder="1" applyAlignment="1">
      <alignment vertical="center" wrapText="1"/>
    </xf>
    <xf numFmtId="0" fontId="35" fillId="5" borderId="1" xfId="2" applyNumberFormat="1" applyFont="1" applyFill="1" applyBorder="1" applyAlignment="1">
      <alignment vertical="center" wrapText="1"/>
    </xf>
    <xf numFmtId="0" fontId="10" fillId="2" borderId="33" xfId="2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1" fillId="0" borderId="60" xfId="0" applyFont="1" applyFill="1" applyBorder="1" applyAlignment="1">
      <alignment horizontal="center" vertical="center" wrapText="1"/>
    </xf>
    <xf numFmtId="2" fontId="36" fillId="0" borderId="5" xfId="0" applyNumberFormat="1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vertical="center" wrapText="1"/>
    </xf>
    <xf numFmtId="0" fontId="36" fillId="0" borderId="27" xfId="0" applyFont="1" applyFill="1" applyBorder="1" applyAlignment="1">
      <alignment vertical="center" wrapText="1"/>
    </xf>
    <xf numFmtId="0" fontId="36" fillId="0" borderId="42" xfId="0" applyFont="1" applyFill="1" applyBorder="1" applyAlignment="1">
      <alignment vertical="center" wrapText="1"/>
    </xf>
    <xf numFmtId="0" fontId="14" fillId="14" borderId="0" xfId="0" applyFont="1" applyFill="1"/>
    <xf numFmtId="0" fontId="36" fillId="0" borderId="1" xfId="0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5" fillId="5" borderId="35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35" fillId="0" borderId="1" xfId="2" applyNumberFormat="1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2" fontId="35" fillId="0" borderId="10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2" fontId="35" fillId="0" borderId="1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49" fontId="22" fillId="0" borderId="21" xfId="0" applyNumberFormat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22" fillId="5" borderId="1" xfId="0" applyFont="1" applyFill="1" applyBorder="1" applyAlignment="1">
      <alignment horizontal="left" vertical="center"/>
    </xf>
    <xf numFmtId="49" fontId="22" fillId="5" borderId="1" xfId="0" applyNumberFormat="1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2" fillId="5" borderId="1" xfId="0" applyFont="1" applyFill="1" applyBorder="1" applyAlignment="1">
      <alignment horizontal="left" vertical="center" wrapText="1"/>
    </xf>
    <xf numFmtId="1" fontId="22" fillId="0" borderId="1" xfId="0" applyNumberFormat="1" applyFont="1" applyFill="1" applyBorder="1" applyAlignment="1">
      <alignment horizontal="left" vertical="center"/>
    </xf>
    <xf numFmtId="49" fontId="22" fillId="0" borderId="1" xfId="0" applyNumberFormat="1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/>
    </xf>
    <xf numFmtId="2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33" fillId="0" borderId="1" xfId="0" applyNumberFormat="1" applyFont="1" applyBorder="1" applyAlignment="1">
      <alignment horizontal="left" vertical="center"/>
    </xf>
    <xf numFmtId="49" fontId="22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49" fontId="0" fillId="5" borderId="1" xfId="0" applyNumberFormat="1" applyFill="1" applyBorder="1" applyAlignment="1" applyProtection="1">
      <alignment horizontal="left" vertical="center"/>
    </xf>
    <xf numFmtId="0" fontId="10" fillId="5" borderId="1" xfId="0" applyFont="1" applyFill="1" applyBorder="1" applyAlignment="1">
      <alignment horizontal="left" vertical="center" wrapText="1"/>
    </xf>
    <xf numFmtId="49" fontId="0" fillId="5" borderId="1" xfId="0" applyNumberFormat="1" applyFill="1" applyBorder="1" applyAlignment="1">
      <alignment horizontal="left" vertical="center"/>
    </xf>
    <xf numFmtId="0" fontId="0" fillId="5" borderId="1" xfId="0" applyNumberFormat="1" applyFont="1" applyFill="1" applyBorder="1" applyAlignment="1">
      <alignment horizontal="left" vertical="center"/>
    </xf>
    <xf numFmtId="0" fontId="10" fillId="5" borderId="16" xfId="0" applyFont="1" applyFill="1" applyBorder="1" applyAlignment="1">
      <alignment horizontal="left" vertical="center" wrapText="1"/>
    </xf>
    <xf numFmtId="0" fontId="2" fillId="5" borderId="1" xfId="0" applyNumberFormat="1" applyFont="1" applyFill="1" applyBorder="1" applyAlignment="1">
      <alignment horizontal="left" vertical="center"/>
    </xf>
    <xf numFmtId="49" fontId="0" fillId="5" borderId="1" xfId="0" applyNumberFormat="1" applyFont="1" applyFill="1" applyBorder="1" applyAlignment="1" applyProtection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1" fontId="22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" fontId="0" fillId="0" borderId="1" xfId="0" applyNumberForma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 wrapText="1"/>
    </xf>
    <xf numFmtId="1" fontId="22" fillId="0" borderId="12" xfId="0" applyNumberFormat="1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 wrapText="1"/>
    </xf>
    <xf numFmtId="0" fontId="22" fillId="5" borderId="21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left" vertical="center" wrapText="1"/>
    </xf>
    <xf numFmtId="0" fontId="22" fillId="0" borderId="61" xfId="0" applyFont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5" fontId="36" fillId="0" borderId="1" xfId="0" applyNumberFormat="1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64" fontId="6" fillId="0" borderId="10" xfId="0" applyNumberFormat="1" applyFont="1" applyFill="1" applyBorder="1" applyAlignment="1" applyProtection="1">
      <alignment horizontal="center" vertical="center" wrapText="1"/>
    </xf>
    <xf numFmtId="164" fontId="6" fillId="0" borderId="12" xfId="0" applyNumberFormat="1" applyFont="1" applyFill="1" applyBorder="1" applyAlignment="1" applyProtection="1">
      <alignment horizontal="center" vertical="center" wrapText="1"/>
    </xf>
    <xf numFmtId="164" fontId="6" fillId="0" borderId="3" xfId="0" applyNumberFormat="1" applyFont="1" applyFill="1" applyBorder="1" applyAlignment="1" applyProtection="1">
      <alignment horizontal="center" vertical="center" wrapText="1"/>
    </xf>
    <xf numFmtId="164" fontId="6" fillId="5" borderId="1" xfId="0" applyNumberFormat="1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164" fontId="6" fillId="9" borderId="1" xfId="0" applyNumberFormat="1" applyFont="1" applyFill="1" applyBorder="1" applyAlignment="1" applyProtection="1">
      <alignment horizontal="center" vertical="center" wrapText="1"/>
    </xf>
    <xf numFmtId="164" fontId="6" fillId="9" borderId="10" xfId="0" applyNumberFormat="1" applyFont="1" applyFill="1" applyBorder="1" applyAlignment="1" applyProtection="1">
      <alignment horizontal="center" vertical="center" wrapText="1"/>
    </xf>
    <xf numFmtId="164" fontId="6" fillId="9" borderId="12" xfId="0" applyNumberFormat="1" applyFont="1" applyFill="1" applyBorder="1" applyAlignment="1" applyProtection="1">
      <alignment horizontal="center" vertical="center" wrapText="1"/>
    </xf>
    <xf numFmtId="164" fontId="6" fillId="9" borderId="3" xfId="0" applyNumberFormat="1" applyFont="1" applyFill="1" applyBorder="1" applyAlignment="1" applyProtection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9" borderId="1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 applyProtection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2" fontId="6" fillId="0" borderId="10" xfId="2" applyNumberFormat="1" applyFont="1" applyFill="1" applyBorder="1" applyAlignment="1">
      <alignment horizontal="center" vertical="center" wrapText="1"/>
    </xf>
    <xf numFmtId="2" fontId="6" fillId="0" borderId="12" xfId="2" applyNumberFormat="1" applyFont="1" applyFill="1" applyBorder="1" applyAlignment="1">
      <alignment horizontal="center" vertical="center" wrapText="1"/>
    </xf>
    <xf numFmtId="2" fontId="6" fillId="0" borderId="3" xfId="2" applyNumberFormat="1" applyFont="1" applyFill="1" applyBorder="1" applyAlignment="1">
      <alignment horizontal="center" vertical="center" wrapText="1"/>
    </xf>
    <xf numFmtId="0" fontId="6" fillId="9" borderId="16" xfId="2" applyFont="1" applyFill="1" applyBorder="1" applyAlignment="1">
      <alignment horizontal="center" vertical="center" wrapText="1"/>
    </xf>
    <xf numFmtId="2" fontId="6" fillId="9" borderId="10" xfId="2" applyNumberFormat="1" applyFont="1" applyFill="1" applyBorder="1" applyAlignment="1">
      <alignment horizontal="center" vertical="center" wrapText="1"/>
    </xf>
    <xf numFmtId="2" fontId="6" fillId="9" borderId="12" xfId="2" applyNumberFormat="1" applyFont="1" applyFill="1" applyBorder="1" applyAlignment="1">
      <alignment horizontal="center" vertical="center" wrapText="1"/>
    </xf>
    <xf numFmtId="2" fontId="6" fillId="9" borderId="3" xfId="2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2" fontId="7" fillId="0" borderId="21" xfId="0" applyNumberFormat="1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12" fillId="10" borderId="27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0" fontId="12" fillId="10" borderId="16" xfId="0" applyFont="1" applyFill="1" applyBorder="1" applyAlignment="1">
      <alignment horizontal="center" vertical="center" wrapText="1"/>
    </xf>
    <xf numFmtId="2" fontId="7" fillId="0" borderId="44" xfId="0" applyNumberFormat="1" applyFont="1" applyFill="1" applyBorder="1" applyAlignment="1">
      <alignment horizontal="center" vertical="center" wrapText="1"/>
    </xf>
    <xf numFmtId="2" fontId="7" fillId="0" borderId="46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6" fillId="10" borderId="27" xfId="0" applyFont="1" applyFill="1" applyBorder="1" applyAlignment="1">
      <alignment horizontal="center" vertical="center" wrapText="1"/>
    </xf>
    <xf numFmtId="0" fontId="7" fillId="10" borderId="21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0" xfId="0" applyNumberFormat="1" applyFont="1" applyFill="1" applyBorder="1" applyAlignment="1">
      <alignment horizontal="center" vertical="center" wrapText="1"/>
    </xf>
    <xf numFmtId="164" fontId="6" fillId="0" borderId="12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center" vertical="center" wrapText="1"/>
    </xf>
    <xf numFmtId="2" fontId="6" fillId="9" borderId="10" xfId="0" applyNumberFormat="1" applyFont="1" applyFill="1" applyBorder="1" applyAlignment="1">
      <alignment horizontal="center" vertical="center" wrapText="1"/>
    </xf>
    <xf numFmtId="2" fontId="6" fillId="9" borderId="12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164" fontId="6" fillId="9" borderId="10" xfId="0" applyNumberFormat="1" applyFont="1" applyFill="1" applyBorder="1" applyAlignment="1">
      <alignment horizontal="center" vertical="center" wrapText="1"/>
    </xf>
    <xf numFmtId="164" fontId="6" fillId="9" borderId="12" xfId="0" applyNumberFormat="1" applyFont="1" applyFill="1" applyBorder="1" applyAlignment="1">
      <alignment horizontal="center" vertical="center" wrapText="1"/>
    </xf>
    <xf numFmtId="164" fontId="6" fillId="9" borderId="3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0" fontId="21" fillId="0" borderId="3" xfId="0" applyFont="1" applyFill="1" applyBorder="1"/>
    <xf numFmtId="0" fontId="12" fillId="0" borderId="19" xfId="0" applyFont="1" applyFill="1" applyBorder="1" applyAlignment="1">
      <alignment horizontal="right" vertical="center" wrapText="1"/>
    </xf>
    <xf numFmtId="0" fontId="12" fillId="0" borderId="23" xfId="0" applyFont="1" applyFill="1" applyBorder="1" applyAlignment="1">
      <alignment horizontal="right" vertical="center" wrapText="1"/>
    </xf>
    <xf numFmtId="0" fontId="12" fillId="0" borderId="17" xfId="0" applyFont="1" applyFill="1" applyBorder="1" applyAlignment="1">
      <alignment horizontal="right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right"/>
    </xf>
    <xf numFmtId="165" fontId="6" fillId="9" borderId="10" xfId="0" applyNumberFormat="1" applyFont="1" applyFill="1" applyBorder="1" applyAlignment="1">
      <alignment horizontal="center" vertical="center" wrapText="1"/>
    </xf>
    <xf numFmtId="165" fontId="6" fillId="9" borderId="12" xfId="0" applyNumberFormat="1" applyFont="1" applyFill="1" applyBorder="1" applyAlignment="1">
      <alignment horizontal="center" vertical="center" wrapText="1"/>
    </xf>
    <xf numFmtId="165" fontId="6" fillId="9" borderId="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49" fontId="14" fillId="0" borderId="8" xfId="0" applyNumberFormat="1" applyFont="1" applyFill="1" applyBorder="1" applyAlignment="1">
      <alignment horizontal="center" vertical="center" wrapText="1"/>
    </xf>
    <xf numFmtId="49" fontId="14" fillId="0" borderId="15" xfId="0" applyNumberFormat="1" applyFont="1" applyFill="1" applyBorder="1" applyAlignment="1">
      <alignment horizontal="center" vertical="center" wrapText="1"/>
    </xf>
    <xf numFmtId="49" fontId="14" fillId="0" borderId="19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3" fillId="0" borderId="21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2" fontId="35" fillId="12" borderId="1" xfId="0" applyNumberFormat="1" applyFont="1" applyFill="1" applyBorder="1" applyAlignment="1">
      <alignment horizontal="center" vertical="center" wrapText="1"/>
    </xf>
    <xf numFmtId="2" fontId="33" fillId="12" borderId="1" xfId="0" applyNumberFormat="1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36" fillId="5" borderId="36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6" fillId="12" borderId="2" xfId="0" applyFont="1" applyFill="1" applyBorder="1" applyAlignment="1">
      <alignment horizontal="center" vertical="center" wrapText="1"/>
    </xf>
    <xf numFmtId="2" fontId="36" fillId="7" borderId="1" xfId="0" applyNumberFormat="1" applyFont="1" applyFill="1" applyBorder="1" applyAlignment="1">
      <alignment horizontal="center" vertical="center" wrapText="1"/>
    </xf>
    <xf numFmtId="2" fontId="36" fillId="7" borderId="21" xfId="0" applyNumberFormat="1" applyFont="1" applyFill="1" applyBorder="1" applyAlignment="1">
      <alignment horizontal="center" vertical="center" wrapText="1"/>
    </xf>
    <xf numFmtId="2" fontId="36" fillId="7" borderId="16" xfId="0" applyNumberFormat="1" applyFont="1" applyFill="1" applyBorder="1" applyAlignment="1">
      <alignment horizontal="center" vertical="center" wrapText="1"/>
    </xf>
    <xf numFmtId="0" fontId="36" fillId="12" borderId="1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 wrapText="1"/>
    </xf>
    <xf numFmtId="0" fontId="36" fillId="5" borderId="0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3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horizontal="center" vertical="center" wrapText="1"/>
    </xf>
    <xf numFmtId="0" fontId="36" fillId="5" borderId="34" xfId="0" applyFont="1" applyFill="1" applyBorder="1" applyAlignment="1">
      <alignment horizontal="center" vertical="center" wrapText="1"/>
    </xf>
    <xf numFmtId="0" fontId="42" fillId="5" borderId="3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1" fontId="36" fillId="0" borderId="8" xfId="0" applyNumberFormat="1" applyFont="1" applyBorder="1" applyAlignment="1">
      <alignment horizontal="center" vertical="center" wrapText="1"/>
    </xf>
    <xf numFmtId="1" fontId="36" fillId="0" borderId="24" xfId="0" applyNumberFormat="1" applyFont="1" applyBorder="1" applyAlignment="1">
      <alignment horizontal="center" vertical="center" wrapText="1"/>
    </xf>
    <xf numFmtId="1" fontId="36" fillId="0" borderId="9" xfId="0" applyNumberFormat="1" applyFont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5" fillId="5" borderId="21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5" fillId="5" borderId="9" xfId="0" applyFont="1" applyFill="1" applyBorder="1" applyAlignment="1">
      <alignment horizontal="center" vertical="center" wrapText="1"/>
    </xf>
    <xf numFmtId="0" fontId="35" fillId="5" borderId="15" xfId="0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5" fillId="5" borderId="19" xfId="0" applyFont="1" applyFill="1" applyBorder="1" applyAlignment="1">
      <alignment horizontal="center" vertical="center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17" xfId="0" applyFont="1" applyFill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2" fontId="36" fillId="0" borderId="5" xfId="0" applyNumberFormat="1" applyFont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2" fontId="36" fillId="7" borderId="21" xfId="0" applyNumberFormat="1" applyFont="1" applyFill="1" applyBorder="1" applyAlignment="1">
      <alignment horizontal="center" vertical="center"/>
    </xf>
    <xf numFmtId="2" fontId="36" fillId="7" borderId="16" xfId="0" applyNumberFormat="1" applyFont="1" applyFill="1" applyBorder="1" applyAlignment="1">
      <alignment horizontal="center" vertical="center"/>
    </xf>
    <xf numFmtId="0" fontId="36" fillId="0" borderId="33" xfId="0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5" borderId="29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2" fontId="36" fillId="7" borderId="1" xfId="0" applyNumberFormat="1" applyFont="1" applyFill="1" applyBorder="1" applyAlignment="1">
      <alignment horizontal="center" vertical="center"/>
    </xf>
    <xf numFmtId="2" fontId="35" fillId="12" borderId="1" xfId="0" applyNumberFormat="1" applyFont="1" applyFill="1" applyBorder="1" applyAlignment="1">
      <alignment horizontal="center" vertical="center"/>
    </xf>
    <xf numFmtId="2" fontId="33" fillId="12" borderId="1" xfId="0" applyNumberFormat="1" applyFont="1" applyFill="1" applyBorder="1" applyAlignment="1">
      <alignment horizontal="center" vertical="center"/>
    </xf>
    <xf numFmtId="0" fontId="36" fillId="12" borderId="16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6" fillId="7" borderId="1" xfId="0" applyNumberFormat="1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5" borderId="34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5" fillId="5" borderId="33" xfId="0" applyFont="1" applyFill="1" applyBorder="1" applyAlignment="1">
      <alignment horizontal="center" vertical="center" wrapText="1"/>
    </xf>
    <xf numFmtId="0" fontId="35" fillId="5" borderId="35" xfId="0" applyFont="1" applyFill="1" applyBorder="1" applyAlignment="1">
      <alignment horizontal="center" vertical="center" wrapText="1"/>
    </xf>
    <xf numFmtId="0" fontId="35" fillId="5" borderId="28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12" borderId="21" xfId="0" applyFont="1" applyFill="1" applyBorder="1" applyAlignment="1">
      <alignment horizontal="center" vertical="center"/>
    </xf>
    <xf numFmtId="0" fontId="36" fillId="6" borderId="27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35" fillId="0" borderId="38" xfId="0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1" fontId="36" fillId="5" borderId="8" xfId="0" applyNumberFormat="1" applyFont="1" applyFill="1" applyBorder="1" applyAlignment="1">
      <alignment horizontal="center" vertical="center" wrapText="1"/>
    </xf>
    <xf numFmtId="1" fontId="36" fillId="5" borderId="24" xfId="0" applyNumberFormat="1" applyFont="1" applyFill="1" applyBorder="1" applyAlignment="1">
      <alignment horizontal="center" vertical="center" wrapText="1"/>
    </xf>
    <xf numFmtId="1" fontId="36" fillId="5" borderId="9" xfId="0" applyNumberFormat="1" applyFont="1" applyFill="1" applyBorder="1" applyAlignment="1">
      <alignment horizontal="center" vertical="center" wrapText="1"/>
    </xf>
    <xf numFmtId="0" fontId="35" fillId="5" borderId="28" xfId="0" applyFont="1" applyFill="1" applyBorder="1" applyAlignment="1">
      <alignment horizontal="left" vertical="center" wrapText="1"/>
    </xf>
    <xf numFmtId="0" fontId="35" fillId="5" borderId="34" xfId="0" applyFont="1" applyFill="1" applyBorder="1" applyAlignment="1">
      <alignment horizontal="left" vertical="center" wrapText="1"/>
    </xf>
    <xf numFmtId="0" fontId="35" fillId="5" borderId="25" xfId="0" applyFont="1" applyFill="1" applyBorder="1" applyAlignment="1">
      <alignment horizontal="left" vertical="center" wrapText="1"/>
    </xf>
    <xf numFmtId="0" fontId="35" fillId="5" borderId="15" xfId="0" applyFont="1" applyFill="1" applyBorder="1" applyAlignment="1">
      <alignment horizontal="left" vertical="center" wrapText="1"/>
    </xf>
    <xf numFmtId="0" fontId="35" fillId="5" borderId="0" xfId="0" applyFont="1" applyFill="1" applyBorder="1" applyAlignment="1">
      <alignment horizontal="left" vertical="center" wrapText="1"/>
    </xf>
    <xf numFmtId="0" fontId="35" fillId="5" borderId="13" xfId="0" applyFont="1" applyFill="1" applyBorder="1" applyAlignment="1">
      <alignment horizontal="left" vertical="center" wrapText="1"/>
    </xf>
    <xf numFmtId="0" fontId="35" fillId="5" borderId="25" xfId="0" applyFont="1" applyFill="1" applyBorder="1" applyAlignment="1">
      <alignment horizontal="center" vertical="center" wrapText="1"/>
    </xf>
    <xf numFmtId="0" fontId="35" fillId="5" borderId="38" xfId="0" applyFont="1" applyFill="1" applyBorder="1" applyAlignment="1">
      <alignment horizontal="center" vertical="center" wrapText="1"/>
    </xf>
    <xf numFmtId="0" fontId="35" fillId="5" borderId="36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0" fontId="36" fillId="0" borderId="5" xfId="0" applyNumberFormat="1" applyFont="1" applyBorder="1" applyAlignment="1">
      <alignment horizontal="center" vertical="center" wrapText="1"/>
    </xf>
    <xf numFmtId="0" fontId="36" fillId="12" borderId="1" xfId="0" applyNumberFormat="1" applyFont="1" applyFill="1" applyBorder="1" applyAlignment="1">
      <alignment horizontal="center" vertical="center" wrapText="1"/>
    </xf>
    <xf numFmtId="0" fontId="36" fillId="6" borderId="1" xfId="0" applyNumberFormat="1" applyFont="1" applyFill="1" applyBorder="1" applyAlignment="1">
      <alignment horizontal="center" vertical="center" wrapText="1"/>
    </xf>
    <xf numFmtId="0" fontId="35" fillId="7" borderId="1" xfId="2" applyNumberFormat="1" applyFont="1" applyFill="1" applyBorder="1" applyAlignment="1">
      <alignment horizontal="center" vertical="center" wrapText="1"/>
    </xf>
    <xf numFmtId="0" fontId="35" fillId="12" borderId="2" xfId="2" applyNumberFormat="1" applyFont="1" applyFill="1" applyBorder="1" applyAlignment="1">
      <alignment horizontal="center" vertical="center" wrapText="1"/>
    </xf>
    <xf numFmtId="0" fontId="35" fillId="6" borderId="2" xfId="2" applyNumberFormat="1" applyFont="1" applyFill="1" applyBorder="1" applyAlignment="1">
      <alignment horizontal="center" vertical="center" wrapText="1"/>
    </xf>
    <xf numFmtId="0" fontId="35" fillId="12" borderId="1" xfId="2" applyNumberFormat="1" applyFont="1" applyFill="1" applyBorder="1" applyAlignment="1">
      <alignment horizontal="center" vertical="center" wrapText="1"/>
    </xf>
    <xf numFmtId="0" fontId="35" fillId="6" borderId="1" xfId="2" applyNumberFormat="1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0" fontId="35" fillId="0" borderId="1" xfId="2" applyNumberFormat="1" applyFont="1" applyFill="1" applyBorder="1" applyAlignment="1">
      <alignment horizontal="center" vertical="center" wrapText="1"/>
    </xf>
    <xf numFmtId="0" fontId="36" fillId="12" borderId="2" xfId="0" applyNumberFormat="1" applyFont="1" applyFill="1" applyBorder="1" applyAlignment="1">
      <alignment horizontal="center" vertical="center" wrapText="1"/>
    </xf>
    <xf numFmtId="0" fontId="36" fillId="6" borderId="2" xfId="0" applyNumberFormat="1" applyFont="1" applyFill="1" applyBorder="1" applyAlignment="1">
      <alignment horizontal="center" vertical="center" wrapText="1"/>
    </xf>
    <xf numFmtId="0" fontId="33" fillId="7" borderId="1" xfId="0" applyNumberFormat="1" applyFont="1" applyFill="1" applyBorder="1" applyAlignment="1">
      <alignment horizontal="center" vertical="center" wrapText="1"/>
    </xf>
    <xf numFmtId="0" fontId="35" fillId="5" borderId="34" xfId="2" applyFont="1" applyFill="1" applyBorder="1" applyAlignment="1">
      <alignment horizontal="center" vertical="center" wrapText="1"/>
    </xf>
    <xf numFmtId="0" fontId="35" fillId="5" borderId="0" xfId="2" applyFont="1" applyFill="1" applyBorder="1" applyAlignment="1">
      <alignment horizontal="center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35" fillId="5" borderId="35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0" fontId="35" fillId="5" borderId="15" xfId="2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35" fillId="5" borderId="38" xfId="2" applyFont="1" applyFill="1" applyBorder="1" applyAlignment="1">
      <alignment horizontal="center" vertical="center" wrapText="1"/>
    </xf>
    <xf numFmtId="0" fontId="35" fillId="5" borderId="36" xfId="2" applyFont="1" applyFill="1" applyBorder="1" applyAlignment="1">
      <alignment horizontal="center" vertical="center" wrapText="1"/>
    </xf>
    <xf numFmtId="0" fontId="35" fillId="5" borderId="25" xfId="2" applyFont="1" applyFill="1" applyBorder="1" applyAlignment="1">
      <alignment horizontal="center" vertical="center" wrapText="1"/>
    </xf>
    <xf numFmtId="0" fontId="35" fillId="5" borderId="13" xfId="2" applyFont="1" applyFill="1" applyBorder="1" applyAlignment="1">
      <alignment horizontal="center" vertical="center" wrapText="1"/>
    </xf>
    <xf numFmtId="0" fontId="36" fillId="5" borderId="2" xfId="0" applyNumberFormat="1" applyFont="1" applyFill="1" applyBorder="1" applyAlignment="1">
      <alignment horizontal="center" vertical="center" wrapText="1"/>
    </xf>
    <xf numFmtId="0" fontId="36" fillId="5" borderId="11" xfId="0" applyNumberFormat="1" applyFont="1" applyFill="1" applyBorder="1" applyAlignment="1">
      <alignment horizontal="center" vertical="center" wrapText="1"/>
    </xf>
    <xf numFmtId="0" fontId="36" fillId="6" borderId="11" xfId="0" applyNumberFormat="1" applyFont="1" applyFill="1" applyBorder="1" applyAlignment="1">
      <alignment horizontal="center" vertical="center" wrapText="1"/>
    </xf>
    <xf numFmtId="0" fontId="36" fillId="5" borderId="4" xfId="0" applyNumberFormat="1" applyFont="1" applyFill="1" applyBorder="1" applyAlignment="1">
      <alignment horizontal="center" vertical="center" wrapText="1"/>
    </xf>
    <xf numFmtId="0" fontId="36" fillId="6" borderId="4" xfId="0" applyNumberFormat="1" applyFont="1" applyFill="1" applyBorder="1" applyAlignment="1">
      <alignment horizontal="center" vertical="center" wrapText="1"/>
    </xf>
    <xf numFmtId="0" fontId="35" fillId="5" borderId="2" xfId="2" applyNumberFormat="1" applyFont="1" applyFill="1" applyBorder="1" applyAlignment="1">
      <alignment horizontal="center" vertical="center" wrapText="1"/>
    </xf>
    <xf numFmtId="0" fontId="35" fillId="5" borderId="11" xfId="2" applyNumberFormat="1" applyFont="1" applyFill="1" applyBorder="1" applyAlignment="1">
      <alignment horizontal="center" vertical="center" wrapText="1"/>
    </xf>
    <xf numFmtId="0" fontId="35" fillId="6" borderId="11" xfId="2" applyNumberFormat="1" applyFont="1" applyFill="1" applyBorder="1" applyAlignment="1">
      <alignment horizontal="center" vertical="center" wrapText="1"/>
    </xf>
    <xf numFmtId="0" fontId="35" fillId="6" borderId="4" xfId="2" applyNumberFormat="1" applyFont="1" applyFill="1" applyBorder="1" applyAlignment="1">
      <alignment horizontal="center" vertical="center" wrapText="1"/>
    </xf>
    <xf numFmtId="0" fontId="35" fillId="5" borderId="1" xfId="2" applyNumberFormat="1" applyFont="1" applyFill="1" applyBorder="1" applyAlignment="1">
      <alignment horizontal="center" vertical="center" wrapText="1"/>
    </xf>
    <xf numFmtId="0" fontId="35" fillId="5" borderId="4" xfId="2" applyNumberFormat="1" applyFont="1" applyFill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35" fillId="0" borderId="50" xfId="0" applyFont="1" applyBorder="1" applyAlignment="1">
      <alignment horizontal="center" vertical="center" wrapText="1"/>
    </xf>
    <xf numFmtId="0" fontId="35" fillId="5" borderId="38" xfId="2" applyFont="1" applyFill="1" applyBorder="1" applyAlignment="1">
      <alignment horizontal="center" vertical="top" wrapText="1"/>
    </xf>
    <xf numFmtId="0" fontId="35" fillId="5" borderId="36" xfId="2" applyFont="1" applyFill="1" applyBorder="1" applyAlignment="1">
      <alignment horizontal="center" vertical="top" wrapText="1"/>
    </xf>
    <xf numFmtId="0" fontId="35" fillId="13" borderId="1" xfId="2" applyNumberFormat="1" applyFont="1" applyFill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5" fillId="12" borderId="1" xfId="0" applyNumberFormat="1" applyFont="1" applyFill="1" applyBorder="1" applyAlignment="1">
      <alignment horizontal="center" vertical="center" wrapText="1"/>
    </xf>
    <xf numFmtId="0" fontId="35" fillId="6" borderId="1" xfId="0" applyNumberFormat="1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center" vertical="center" wrapText="1"/>
    </xf>
    <xf numFmtId="0" fontId="45" fillId="0" borderId="0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36" fillId="0" borderId="2" xfId="0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6" fillId="4" borderId="21" xfId="0" applyFont="1" applyFill="1" applyBorder="1" applyAlignment="1">
      <alignment horizontal="center" vertical="center" wrapText="1"/>
    </xf>
    <xf numFmtId="0" fontId="36" fillId="4" borderId="27" xfId="0" applyFont="1" applyFill="1" applyBorder="1" applyAlignment="1">
      <alignment horizontal="center" vertical="center" wrapText="1"/>
    </xf>
    <xf numFmtId="0" fontId="36" fillId="4" borderId="16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6" fillId="4" borderId="2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 wrapText="1"/>
    </xf>
    <xf numFmtId="2" fontId="35" fillId="7" borderId="21" xfId="0" applyNumberFormat="1" applyFont="1" applyFill="1" applyBorder="1" applyAlignment="1">
      <alignment horizontal="center" vertical="center" wrapText="1"/>
    </xf>
    <xf numFmtId="2" fontId="35" fillId="7" borderId="16" xfId="0" applyNumberFormat="1" applyFont="1" applyFill="1" applyBorder="1" applyAlignment="1">
      <alignment horizontal="center" vertical="center" wrapText="1"/>
    </xf>
    <xf numFmtId="0" fontId="36" fillId="4" borderId="11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4" borderId="11" xfId="0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36" fillId="4" borderId="20" xfId="0" applyFont="1" applyFill="1" applyBorder="1" applyAlignment="1">
      <alignment horizontal="center" vertical="center" wrapText="1"/>
    </xf>
    <xf numFmtId="0" fontId="36" fillId="4" borderId="22" xfId="0" applyFont="1" applyFill="1" applyBorder="1" applyAlignment="1">
      <alignment horizontal="center" vertical="center" wrapText="1"/>
    </xf>
    <xf numFmtId="0" fontId="36" fillId="4" borderId="14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5" fillId="12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35" fillId="6" borderId="1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164" fontId="35" fillId="0" borderId="0" xfId="0" applyNumberFormat="1" applyFont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5" fillId="4" borderId="21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35" fillId="4" borderId="16" xfId="0" applyFont="1" applyFill="1" applyBorder="1" applyAlignment="1">
      <alignment horizontal="center" vertical="center" wrapText="1"/>
    </xf>
    <xf numFmtId="2" fontId="35" fillId="7" borderId="27" xfId="0" applyNumberFormat="1" applyFont="1" applyFill="1" applyBorder="1" applyAlignment="1">
      <alignment horizontal="center" vertical="center" wrapText="1"/>
    </xf>
    <xf numFmtId="2" fontId="35" fillId="0" borderId="10" xfId="0" applyNumberFormat="1" applyFont="1" applyFill="1" applyBorder="1" applyAlignment="1">
      <alignment horizontal="center" vertical="center" wrapText="1"/>
    </xf>
    <xf numFmtId="2" fontId="35" fillId="0" borderId="3" xfId="0" applyNumberFormat="1" applyFont="1" applyFill="1" applyBorder="1" applyAlignment="1">
      <alignment horizontal="center" vertical="center" wrapText="1"/>
    </xf>
    <xf numFmtId="2" fontId="35" fillId="0" borderId="9" xfId="0" applyNumberFormat="1" applyFont="1" applyFill="1" applyBorder="1" applyAlignment="1">
      <alignment horizontal="center" vertical="center" wrapText="1"/>
    </xf>
    <xf numFmtId="2" fontId="35" fillId="0" borderId="17" xfId="0" applyNumberFormat="1" applyFont="1" applyFill="1" applyBorder="1" applyAlignment="1">
      <alignment horizontal="center" vertical="center" wrapText="1"/>
    </xf>
    <xf numFmtId="0" fontId="35" fillId="4" borderId="1" xfId="1" applyFont="1" applyFill="1" applyBorder="1" applyAlignment="1" applyProtection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5" fillId="4" borderId="59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57" xfId="0" applyFont="1" applyFill="1" applyBorder="1" applyAlignment="1">
      <alignment horizontal="center" vertical="center" wrapText="1"/>
    </xf>
    <xf numFmtId="0" fontId="35" fillId="4" borderId="4" xfId="1" applyFont="1" applyFill="1" applyBorder="1" applyAlignment="1" applyProtection="1">
      <alignment horizontal="center" vertical="center" wrapText="1"/>
    </xf>
    <xf numFmtId="0" fontId="35" fillId="7" borderId="21" xfId="0" applyFont="1" applyFill="1" applyBorder="1" applyAlignment="1">
      <alignment horizontal="center" vertical="center" wrapText="1"/>
    </xf>
    <xf numFmtId="0" fontId="35" fillId="7" borderId="27" xfId="0" applyFont="1" applyFill="1" applyBorder="1" applyAlignment="1">
      <alignment horizontal="center" vertical="center" wrapText="1"/>
    </xf>
    <xf numFmtId="0" fontId="35" fillId="7" borderId="16" xfId="0" applyFont="1" applyFill="1" applyBorder="1" applyAlignment="1">
      <alignment horizontal="center" vertical="center" wrapText="1"/>
    </xf>
    <xf numFmtId="0" fontId="35" fillId="5" borderId="38" xfId="0" applyFont="1" applyFill="1" applyBorder="1" applyAlignment="1">
      <alignment horizontal="center" vertical="top" wrapText="1"/>
    </xf>
    <xf numFmtId="0" fontId="35" fillId="5" borderId="36" xfId="0" applyFont="1" applyFill="1" applyBorder="1" applyAlignment="1">
      <alignment horizontal="center" vertical="top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30" xfId="0" applyFont="1" applyFill="1" applyBorder="1" applyAlignment="1">
      <alignment horizontal="center" vertical="center" wrapText="1"/>
    </xf>
    <xf numFmtId="0" fontId="35" fillId="5" borderId="31" xfId="0" applyFont="1" applyFill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1" fontId="35" fillId="0" borderId="8" xfId="0" applyNumberFormat="1" applyFont="1" applyBorder="1" applyAlignment="1">
      <alignment horizontal="center" vertical="center" wrapText="1"/>
    </xf>
    <xf numFmtId="1" fontId="35" fillId="0" borderId="24" xfId="0" applyNumberFormat="1" applyFont="1" applyBorder="1" applyAlignment="1">
      <alignment horizontal="center" vertical="center" wrapText="1"/>
    </xf>
    <xf numFmtId="1" fontId="35" fillId="0" borderId="9" xfId="0" applyNumberFormat="1" applyFont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2" fontId="35" fillId="7" borderId="1" xfId="0" applyNumberFormat="1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6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4" borderId="14" xfId="0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top" wrapText="1"/>
    </xf>
    <xf numFmtId="0" fontId="35" fillId="0" borderId="36" xfId="0" applyFont="1" applyFill="1" applyBorder="1" applyAlignment="1">
      <alignment horizontal="center" vertical="top" wrapText="1"/>
    </xf>
    <xf numFmtId="0" fontId="35" fillId="0" borderId="37" xfId="0" applyFont="1" applyFill="1" applyBorder="1" applyAlignment="1">
      <alignment horizontal="center" vertical="top" wrapText="1"/>
    </xf>
    <xf numFmtId="0" fontId="36" fillId="7" borderId="21" xfId="0" applyFont="1" applyFill="1" applyBorder="1" applyAlignment="1">
      <alignment horizontal="center" vertical="center" wrapText="1"/>
    </xf>
    <xf numFmtId="0" fontId="36" fillId="7" borderId="27" xfId="0" applyFont="1" applyFill="1" applyBorder="1" applyAlignment="1">
      <alignment horizontal="center" vertical="center" wrapText="1"/>
    </xf>
    <xf numFmtId="0" fontId="36" fillId="7" borderId="16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166" fontId="35" fillId="5" borderId="34" xfId="2" applyNumberFormat="1" applyFont="1" applyFill="1" applyBorder="1" applyAlignment="1">
      <alignment horizontal="center" vertical="center" wrapText="1"/>
    </xf>
    <xf numFmtId="166" fontId="35" fillId="5" borderId="0" xfId="2" applyNumberFormat="1" applyFont="1" applyFill="1" applyBorder="1" applyAlignment="1">
      <alignment horizontal="center" vertical="center" wrapText="1"/>
    </xf>
    <xf numFmtId="166" fontId="35" fillId="5" borderId="25" xfId="2" applyNumberFormat="1" applyFont="1" applyFill="1" applyBorder="1" applyAlignment="1">
      <alignment horizontal="center" vertical="center" wrapText="1"/>
    </xf>
    <xf numFmtId="166" fontId="35" fillId="5" borderId="13" xfId="2" applyNumberFormat="1" applyFont="1" applyFill="1" applyBorder="1" applyAlignment="1">
      <alignment horizontal="center" vertical="center" wrapText="1"/>
    </xf>
    <xf numFmtId="0" fontId="35" fillId="0" borderId="0" xfId="2" applyFont="1" applyBorder="1" applyAlignment="1">
      <alignment horizontal="center" vertical="center" wrapText="1"/>
    </xf>
    <xf numFmtId="166" fontId="35" fillId="5" borderId="28" xfId="2" applyNumberFormat="1" applyFont="1" applyFill="1" applyBorder="1" applyAlignment="1">
      <alignment horizontal="center" vertical="center" wrapText="1"/>
    </xf>
    <xf numFmtId="166" fontId="35" fillId="5" borderId="15" xfId="2" applyNumberFormat="1" applyFont="1" applyFill="1" applyBorder="1" applyAlignment="1">
      <alignment horizontal="center" vertical="center" wrapText="1"/>
    </xf>
    <xf numFmtId="0" fontId="30" fillId="0" borderId="0" xfId="0" applyFont="1" applyFill="1"/>
    <xf numFmtId="0" fontId="20" fillId="0" borderId="1" xfId="0" applyFont="1" applyFill="1" applyBorder="1"/>
    <xf numFmtId="0" fontId="20" fillId="0" borderId="1" xfId="0" applyFont="1" applyBorder="1"/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top" wrapText="1"/>
    </xf>
  </cellXfs>
  <cellStyles count="47">
    <cellStyle name="20% - Акцент5" xfId="18" builtinId="46"/>
    <cellStyle name="Гиперссылка" xfId="1" builtinId="8"/>
    <cellStyle name="Гиперссылка 2" xfId="13"/>
    <cellStyle name="Гиперссылка 3" xfId="22"/>
    <cellStyle name="Денежный 2" xfId="23"/>
    <cellStyle name="Обычный" xfId="0" builtinId="0"/>
    <cellStyle name="Обычный 10" xfId="5"/>
    <cellStyle name="Обычный 108 3" xfId="24"/>
    <cellStyle name="Обычный 11" xfId="15"/>
    <cellStyle name="Обычный 12" xfId="16"/>
    <cellStyle name="Обычный 12 2" xfId="46"/>
    <cellStyle name="Обычный 158" xfId="25"/>
    <cellStyle name="Обычный 199" xfId="26"/>
    <cellStyle name="Обычный 2" xfId="2"/>
    <cellStyle name="Обычный 2 10" xfId="27"/>
    <cellStyle name="Обычный 2 10 2" xfId="28"/>
    <cellStyle name="Обычный 2 10 3" xfId="29"/>
    <cellStyle name="Обычный 2 2" xfId="30"/>
    <cellStyle name="Обычный 2 3" xfId="31"/>
    <cellStyle name="Обычный 2 4" xfId="32"/>
    <cellStyle name="Обычный 2 5" xfId="19"/>
    <cellStyle name="Обычный 2 60" xfId="33"/>
    <cellStyle name="Обычный 2 91" xfId="34"/>
    <cellStyle name="Обычный 2_Заключенные ДТП СЭС 2008 год" xfId="35"/>
    <cellStyle name="Обычный 3" xfId="6"/>
    <cellStyle name="Обычный 3 2" xfId="36"/>
    <cellStyle name="Обычный 3 3" xfId="21"/>
    <cellStyle name="Обычный 3 3 2" xfId="37"/>
    <cellStyle name="Обычный 3 4" xfId="38"/>
    <cellStyle name="Обычный 3 5" xfId="20"/>
    <cellStyle name="Обычный 4" xfId="7"/>
    <cellStyle name="Обычный 5" xfId="8"/>
    <cellStyle name="Обычный 6" xfId="12"/>
    <cellStyle name="Обычный 6 2" xfId="17"/>
    <cellStyle name="Обычный 6 3" xfId="39"/>
    <cellStyle name="Обычный 7" xfId="9"/>
    <cellStyle name="Обычный 8" xfId="10"/>
    <cellStyle name="Обычный 9" xfId="11"/>
    <cellStyle name="Обычный_Лист1" xfId="3"/>
    <cellStyle name="Стиль 1" xfId="40"/>
    <cellStyle name="Стиль 2" xfId="41"/>
    <cellStyle name="Финансовый 2" xfId="4"/>
    <cellStyle name="Финансовый 2 2" xfId="43"/>
    <cellStyle name="Финансовый 2 3" xfId="44"/>
    <cellStyle name="Финансовый 2 4" xfId="42"/>
    <cellStyle name="Финансовый 3" xfId="14"/>
    <cellStyle name="Финансовый 3 2" xfId="45"/>
  </cellStyles>
  <dxfs count="11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CCCCFF"/>
      <color rgb="FFCCC0DA"/>
      <color rgb="FFCC99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470"/>
  <sheetViews>
    <sheetView zoomScale="80" zoomScaleNormal="80" workbookViewId="0">
      <pane ySplit="8" topLeftCell="A9" activePane="bottomLeft" state="frozen"/>
      <selection pane="bottomLeft" sqref="A1:AS1048576"/>
    </sheetView>
  </sheetViews>
  <sheetFormatPr defaultRowHeight="15" x14ac:dyDescent="0.25"/>
  <cols>
    <col min="1" max="1" width="10.7109375" style="38" customWidth="1"/>
    <col min="2" max="2" width="6" style="17" customWidth="1"/>
    <col min="3" max="3" width="36.7109375" style="17" customWidth="1"/>
    <col min="4" max="4" width="5.7109375" style="109" customWidth="1"/>
    <col min="5" max="5" width="3.28515625" style="17" customWidth="1"/>
    <col min="6" max="6" width="5.7109375" style="17" customWidth="1"/>
    <col min="7" max="7" width="3.28515625" style="17" customWidth="1"/>
    <col min="8" max="8" width="5.7109375" style="17" customWidth="1"/>
    <col min="9" max="9" width="18" style="17" customWidth="1"/>
    <col min="10" max="11" width="10.7109375" style="17" customWidth="1"/>
    <col min="12" max="12" width="10.5703125" style="17" customWidth="1"/>
    <col min="13" max="13" width="10.7109375" style="110" customWidth="1"/>
    <col min="14" max="14" width="10.7109375" style="17" customWidth="1"/>
    <col min="15" max="15" width="18.42578125" style="17" customWidth="1"/>
    <col min="16" max="19" width="10.7109375" style="17" customWidth="1"/>
    <col min="20" max="20" width="13.7109375" style="17" customWidth="1"/>
    <col min="21" max="22" width="13.5703125" style="17" customWidth="1"/>
    <col min="23" max="23" width="12.42578125" style="17" customWidth="1"/>
    <col min="24" max="24" width="2.28515625" style="38" customWidth="1"/>
    <col min="25" max="25" width="10.7109375" style="44" customWidth="1"/>
    <col min="26" max="26" width="9.140625" style="45" customWidth="1"/>
    <col min="27" max="27" width="32.140625" style="38" customWidth="1"/>
    <col min="28" max="28" width="5.7109375" style="38" customWidth="1"/>
    <col min="29" max="29" width="3.28515625" style="38" customWidth="1"/>
    <col min="30" max="30" width="5.7109375" style="38" customWidth="1"/>
    <col min="31" max="31" width="3.28515625" style="38" customWidth="1"/>
    <col min="32" max="32" width="5.7109375" style="38" customWidth="1"/>
    <col min="33" max="33" width="10.7109375" style="38" customWidth="1"/>
    <col min="34" max="35" width="10.7109375" style="46" customWidth="1"/>
    <col min="36" max="40" width="10.7109375" style="38" customWidth="1"/>
    <col min="41" max="43" width="10.7109375" style="46" customWidth="1"/>
    <col min="44" max="44" width="19.28515625" style="112" customWidth="1"/>
    <col min="45" max="45" width="17.85546875" style="38" customWidth="1"/>
    <col min="46" max="46" width="37.5703125" style="113" hidden="1" customWidth="1"/>
    <col min="47" max="47" width="20.140625" style="38" hidden="1" customWidth="1"/>
    <col min="48" max="50" width="9.140625" style="38" hidden="1" customWidth="1"/>
    <col min="51" max="51" width="9.140625" style="38" customWidth="1"/>
    <col min="52" max="16384" width="9.140625" style="38"/>
  </cols>
  <sheetData>
    <row r="1" spans="1:50" x14ac:dyDescent="0.25">
      <c r="B1" s="39"/>
      <c r="C1" s="40"/>
      <c r="D1" s="41"/>
      <c r="E1" s="40"/>
      <c r="F1" s="40"/>
      <c r="G1" s="40"/>
      <c r="H1" s="40"/>
      <c r="I1" s="40"/>
      <c r="J1" s="122"/>
      <c r="K1" s="122"/>
      <c r="L1" s="122"/>
      <c r="M1" s="42"/>
      <c r="N1" s="40"/>
      <c r="O1" s="40"/>
      <c r="P1" s="40"/>
      <c r="Q1" s="889"/>
      <c r="R1" s="889"/>
      <c r="S1" s="40"/>
      <c r="T1" s="16"/>
      <c r="X1" s="43"/>
      <c r="AP1" s="47"/>
      <c r="AQ1" s="47"/>
      <c r="AR1" s="48"/>
      <c r="AS1" s="44"/>
      <c r="AT1" s="44"/>
    </row>
    <row r="2" spans="1:50" ht="30" customHeight="1" x14ac:dyDescent="0.25">
      <c r="B2" s="968" t="s">
        <v>19706</v>
      </c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69"/>
      <c r="R2" s="969"/>
      <c r="S2" s="969"/>
      <c r="T2" s="970"/>
      <c r="X2" s="43"/>
      <c r="Z2" s="49"/>
      <c r="AA2" s="49"/>
      <c r="AB2" s="49"/>
      <c r="AC2" s="49"/>
      <c r="AD2" s="49"/>
      <c r="AE2" s="49"/>
      <c r="AF2" s="49"/>
      <c r="AG2" s="49"/>
      <c r="AH2" s="50"/>
      <c r="AI2" s="50"/>
      <c r="AJ2" s="49"/>
      <c r="AK2" s="49"/>
      <c r="AL2" s="49"/>
      <c r="AM2" s="49"/>
      <c r="AN2" s="49"/>
      <c r="AO2" s="50"/>
      <c r="AP2" s="50"/>
      <c r="AQ2" s="50"/>
      <c r="AR2" s="49"/>
      <c r="AS2" s="44"/>
      <c r="AT2" s="44"/>
    </row>
    <row r="3" spans="1:50" ht="15" customHeight="1" x14ac:dyDescent="0.25">
      <c r="B3" s="159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1"/>
      <c r="X3" s="43"/>
      <c r="Z3" s="49"/>
      <c r="AA3" s="49"/>
      <c r="AB3" s="49"/>
      <c r="AC3" s="49"/>
      <c r="AD3" s="49"/>
      <c r="AE3" s="49"/>
      <c r="AF3" s="49"/>
      <c r="AG3" s="49"/>
      <c r="AH3" s="50"/>
      <c r="AI3" s="50"/>
      <c r="AJ3" s="49"/>
      <c r="AK3" s="49"/>
      <c r="AL3" s="49"/>
      <c r="AM3" s="49"/>
      <c r="AN3" s="49"/>
      <c r="AO3" s="50"/>
      <c r="AP3" s="50"/>
      <c r="AQ3" s="50"/>
      <c r="AR3" s="49"/>
      <c r="AS3" s="44"/>
      <c r="AT3" s="44"/>
    </row>
    <row r="4" spans="1:50" ht="15" customHeight="1" x14ac:dyDescent="0.25">
      <c r="B4" s="960" t="s">
        <v>18534</v>
      </c>
      <c r="C4" s="961"/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2"/>
      <c r="X4" s="43"/>
      <c r="AO4" s="964" t="s">
        <v>18535</v>
      </c>
      <c r="AP4" s="964"/>
      <c r="AQ4" s="964"/>
      <c r="AR4" s="964"/>
      <c r="AS4" s="964"/>
      <c r="AT4" s="964"/>
    </row>
    <row r="5" spans="1:50" ht="15" customHeight="1" x14ac:dyDescent="0.25">
      <c r="A5" s="875" t="s">
        <v>1140</v>
      </c>
      <c r="B5" s="875" t="s">
        <v>1140</v>
      </c>
      <c r="C5" s="871" t="s">
        <v>244</v>
      </c>
      <c r="D5" s="868" t="s">
        <v>245</v>
      </c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4"/>
      <c r="S5" s="875" t="s">
        <v>1146</v>
      </c>
      <c r="T5" s="875" t="s">
        <v>1146</v>
      </c>
      <c r="U5" s="874" t="s">
        <v>1182</v>
      </c>
      <c r="V5" s="892" t="s">
        <v>2021</v>
      </c>
      <c r="W5" s="874" t="s">
        <v>2022</v>
      </c>
      <c r="X5" s="194"/>
      <c r="Y5" s="874" t="s">
        <v>1140</v>
      </c>
      <c r="Z5" s="874" t="s">
        <v>1140</v>
      </c>
      <c r="AA5" s="875" t="s">
        <v>244</v>
      </c>
      <c r="AB5" s="868" t="s">
        <v>1149</v>
      </c>
      <c r="AC5" s="876"/>
      <c r="AD5" s="876"/>
      <c r="AE5" s="876"/>
      <c r="AF5" s="876"/>
      <c r="AG5" s="876"/>
      <c r="AH5" s="876"/>
      <c r="AI5" s="876"/>
      <c r="AJ5" s="876"/>
      <c r="AK5" s="876"/>
      <c r="AL5" s="876"/>
      <c r="AM5" s="876"/>
      <c r="AN5" s="876"/>
      <c r="AO5" s="876"/>
      <c r="AP5" s="874"/>
      <c r="AQ5" s="871" t="s">
        <v>1146</v>
      </c>
      <c r="AR5" s="871" t="s">
        <v>1146</v>
      </c>
      <c r="AS5" s="871" t="s">
        <v>1182</v>
      </c>
      <c r="AT5" s="975" t="s">
        <v>1186</v>
      </c>
      <c r="AU5" s="978" t="s">
        <v>2141</v>
      </c>
      <c r="AV5" s="979" t="s">
        <v>2142</v>
      </c>
      <c r="AW5" s="974" t="s">
        <v>2146</v>
      </c>
      <c r="AX5" s="974" t="s">
        <v>2147</v>
      </c>
    </row>
    <row r="6" spans="1:50" ht="30" customHeight="1" x14ac:dyDescent="0.25">
      <c r="A6" s="875"/>
      <c r="B6" s="875"/>
      <c r="C6" s="872"/>
      <c r="D6" s="888" t="s">
        <v>1136</v>
      </c>
      <c r="E6" s="889"/>
      <c r="F6" s="889"/>
      <c r="G6" s="889"/>
      <c r="H6" s="885"/>
      <c r="I6" s="868" t="s">
        <v>1136</v>
      </c>
      <c r="J6" s="875" t="s">
        <v>1137</v>
      </c>
      <c r="K6" s="875" t="s">
        <v>1135</v>
      </c>
      <c r="L6" s="875"/>
      <c r="M6" s="877" t="s">
        <v>246</v>
      </c>
      <c r="N6" s="875" t="s">
        <v>1138</v>
      </c>
      <c r="O6" s="871" t="s">
        <v>2020</v>
      </c>
      <c r="P6" s="874" t="s">
        <v>249</v>
      </c>
      <c r="Q6" s="875" t="s">
        <v>1151</v>
      </c>
      <c r="R6" s="875"/>
      <c r="S6" s="875"/>
      <c r="T6" s="875"/>
      <c r="U6" s="874"/>
      <c r="V6" s="874"/>
      <c r="W6" s="874"/>
      <c r="X6" s="194"/>
      <c r="Y6" s="874"/>
      <c r="Z6" s="874"/>
      <c r="AA6" s="875"/>
      <c r="AB6" s="888" t="s">
        <v>1136</v>
      </c>
      <c r="AC6" s="889"/>
      <c r="AD6" s="889"/>
      <c r="AE6" s="889"/>
      <c r="AF6" s="885"/>
      <c r="AG6" s="875" t="s">
        <v>1144</v>
      </c>
      <c r="AH6" s="887" t="s">
        <v>1145</v>
      </c>
      <c r="AI6" s="887" t="s">
        <v>1148</v>
      </c>
      <c r="AJ6" s="875" t="s">
        <v>1147</v>
      </c>
      <c r="AK6" s="875"/>
      <c r="AL6" s="875" t="s">
        <v>1143</v>
      </c>
      <c r="AM6" s="875" t="s">
        <v>1138</v>
      </c>
      <c r="AN6" s="885" t="s">
        <v>249</v>
      </c>
      <c r="AO6" s="875" t="s">
        <v>1150</v>
      </c>
      <c r="AP6" s="875"/>
      <c r="AQ6" s="872"/>
      <c r="AR6" s="872"/>
      <c r="AS6" s="872"/>
      <c r="AT6" s="976"/>
      <c r="AU6" s="978"/>
      <c r="AV6" s="979"/>
      <c r="AW6" s="974"/>
      <c r="AX6" s="974"/>
    </row>
    <row r="7" spans="1:50" ht="120.75" customHeight="1" x14ac:dyDescent="0.25">
      <c r="A7" s="875"/>
      <c r="B7" s="875"/>
      <c r="C7" s="873"/>
      <c r="D7" s="890"/>
      <c r="E7" s="891"/>
      <c r="F7" s="891"/>
      <c r="G7" s="891"/>
      <c r="H7" s="886"/>
      <c r="I7" s="868"/>
      <c r="J7" s="875"/>
      <c r="K7" s="193" t="s">
        <v>247</v>
      </c>
      <c r="L7" s="193" t="s">
        <v>973</v>
      </c>
      <c r="M7" s="877"/>
      <c r="N7" s="875"/>
      <c r="O7" s="873"/>
      <c r="P7" s="874"/>
      <c r="Q7" s="875"/>
      <c r="R7" s="875"/>
      <c r="S7" s="875"/>
      <c r="T7" s="875"/>
      <c r="U7" s="874"/>
      <c r="V7" s="874"/>
      <c r="W7" s="874"/>
      <c r="X7" s="194"/>
      <c r="Y7" s="874"/>
      <c r="Z7" s="874"/>
      <c r="AA7" s="875"/>
      <c r="AB7" s="890"/>
      <c r="AC7" s="891"/>
      <c r="AD7" s="891"/>
      <c r="AE7" s="891"/>
      <c r="AF7" s="886"/>
      <c r="AG7" s="875"/>
      <c r="AH7" s="887"/>
      <c r="AI7" s="887"/>
      <c r="AJ7" s="193" t="s">
        <v>247</v>
      </c>
      <c r="AK7" s="193" t="s">
        <v>973</v>
      </c>
      <c r="AL7" s="875"/>
      <c r="AM7" s="875"/>
      <c r="AN7" s="886"/>
      <c r="AO7" s="875"/>
      <c r="AP7" s="875"/>
      <c r="AQ7" s="873"/>
      <c r="AR7" s="873"/>
      <c r="AS7" s="873"/>
      <c r="AT7" s="977"/>
      <c r="AU7" s="978"/>
      <c r="AV7" s="979"/>
      <c r="AW7" s="974"/>
      <c r="AX7" s="974"/>
    </row>
    <row r="8" spans="1:50" ht="15" customHeight="1" x14ac:dyDescent="0.25">
      <c r="A8" s="51">
        <v>1</v>
      </c>
      <c r="B8" s="143">
        <v>1</v>
      </c>
      <c r="C8" s="143">
        <v>2</v>
      </c>
      <c r="D8" s="888">
        <v>3</v>
      </c>
      <c r="E8" s="889"/>
      <c r="F8" s="889"/>
      <c r="G8" s="889"/>
      <c r="H8" s="885"/>
      <c r="I8" s="150">
        <v>3</v>
      </c>
      <c r="J8" s="151">
        <v>4</v>
      </c>
      <c r="K8" s="143">
        <v>5</v>
      </c>
      <c r="L8" s="143">
        <v>6</v>
      </c>
      <c r="M8" s="52">
        <v>7</v>
      </c>
      <c r="N8" s="143">
        <v>8</v>
      </c>
      <c r="O8" s="152"/>
      <c r="P8" s="152">
        <v>9</v>
      </c>
      <c r="Q8" s="143">
        <v>10</v>
      </c>
      <c r="R8" s="143">
        <v>11</v>
      </c>
      <c r="S8" s="143">
        <v>12</v>
      </c>
      <c r="T8" s="143">
        <v>13</v>
      </c>
      <c r="U8" s="152">
        <v>13</v>
      </c>
      <c r="V8" s="143">
        <v>15</v>
      </c>
      <c r="W8" s="143">
        <v>16</v>
      </c>
      <c r="X8" s="43"/>
      <c r="Y8" s="53">
        <v>1</v>
      </c>
      <c r="Z8" s="152">
        <v>1</v>
      </c>
      <c r="AA8" s="52">
        <v>2</v>
      </c>
      <c r="AB8" s="888">
        <v>3</v>
      </c>
      <c r="AC8" s="889"/>
      <c r="AD8" s="889"/>
      <c r="AE8" s="889"/>
      <c r="AF8" s="885"/>
      <c r="AG8" s="52">
        <v>3</v>
      </c>
      <c r="AH8" s="52">
        <v>4</v>
      </c>
      <c r="AI8" s="52">
        <v>5</v>
      </c>
      <c r="AJ8" s="52">
        <v>6</v>
      </c>
      <c r="AK8" s="52">
        <v>7</v>
      </c>
      <c r="AL8" s="52">
        <v>8</v>
      </c>
      <c r="AM8" s="52">
        <v>9</v>
      </c>
      <c r="AN8" s="54">
        <v>10</v>
      </c>
      <c r="AO8" s="52">
        <v>11</v>
      </c>
      <c r="AP8" s="52">
        <v>12</v>
      </c>
      <c r="AQ8" s="52">
        <v>13</v>
      </c>
      <c r="AR8" s="52">
        <v>13</v>
      </c>
      <c r="AS8" s="55">
        <v>14</v>
      </c>
      <c r="AT8" s="115">
        <v>15</v>
      </c>
      <c r="AU8" s="118"/>
      <c r="AV8" s="149"/>
      <c r="AW8" s="119"/>
      <c r="AX8" s="119"/>
    </row>
    <row r="9" spans="1:50" ht="15" customHeight="1" x14ac:dyDescent="0.25">
      <c r="A9" s="143">
        <v>1</v>
      </c>
      <c r="B9" s="143">
        <v>1</v>
      </c>
      <c r="C9" s="150" t="s">
        <v>18536</v>
      </c>
      <c r="D9" s="9">
        <v>1.6</v>
      </c>
      <c r="E9" s="503"/>
      <c r="F9" s="503"/>
      <c r="G9" s="503"/>
      <c r="H9" s="501"/>
      <c r="I9" s="151" t="s">
        <v>20210</v>
      </c>
      <c r="J9" s="31">
        <v>0.61</v>
      </c>
      <c r="K9" s="504">
        <v>0.9</v>
      </c>
      <c r="L9" s="502" t="s">
        <v>248</v>
      </c>
      <c r="M9" s="144">
        <v>0.9</v>
      </c>
      <c r="N9" s="504">
        <v>0</v>
      </c>
      <c r="O9" s="29"/>
      <c r="P9" s="29">
        <v>0.9</v>
      </c>
      <c r="Q9" s="144">
        <v>0.29000000000000004</v>
      </c>
      <c r="R9" s="144">
        <v>0.29000000000000004</v>
      </c>
      <c r="S9" s="142" t="s">
        <v>20211</v>
      </c>
      <c r="T9" s="146" t="s">
        <v>20211</v>
      </c>
      <c r="U9" s="145">
        <v>36.309523809523803</v>
      </c>
      <c r="V9" s="505">
        <v>0.9</v>
      </c>
      <c r="W9" s="505" t="s">
        <v>2260</v>
      </c>
      <c r="X9" s="43"/>
      <c r="Y9" s="143">
        <v>1</v>
      </c>
      <c r="Z9" s="152">
        <v>1</v>
      </c>
      <c r="AA9" s="150" t="s">
        <v>18536</v>
      </c>
      <c r="AB9" s="9">
        <v>1.6</v>
      </c>
      <c r="AC9" s="151"/>
      <c r="AD9" s="151"/>
      <c r="AE9" s="151"/>
      <c r="AF9" s="152"/>
      <c r="AG9" s="143" t="s">
        <v>20210</v>
      </c>
      <c r="AH9" s="144">
        <v>2.4652173913043477E-2</v>
      </c>
      <c r="AI9" s="144">
        <v>0.63465217391304352</v>
      </c>
      <c r="AJ9" s="144">
        <v>0.9</v>
      </c>
      <c r="AK9" s="143" t="s">
        <v>248</v>
      </c>
      <c r="AL9" s="144">
        <v>0.9</v>
      </c>
      <c r="AM9" s="144">
        <v>0</v>
      </c>
      <c r="AN9" s="29">
        <v>0.9</v>
      </c>
      <c r="AO9" s="144">
        <v>0.26534782608695651</v>
      </c>
      <c r="AP9" s="144">
        <v>0.26534782608695651</v>
      </c>
      <c r="AQ9" s="153" t="s">
        <v>20211</v>
      </c>
      <c r="AR9" s="146" t="s">
        <v>20211</v>
      </c>
      <c r="AS9" s="56">
        <v>37.776915113871631</v>
      </c>
      <c r="AT9" s="58" t="s">
        <v>500</v>
      </c>
      <c r="AU9" s="118">
        <v>1989</v>
      </c>
      <c r="AV9" s="149" t="s">
        <v>2143</v>
      </c>
      <c r="AW9" s="120">
        <v>58.168580612302598</v>
      </c>
      <c r="AX9" s="120">
        <v>35.465545045961903</v>
      </c>
    </row>
    <row r="10" spans="1:50" ht="15" customHeight="1" x14ac:dyDescent="0.25">
      <c r="A10" s="143">
        <v>2</v>
      </c>
      <c r="B10" s="143">
        <v>2</v>
      </c>
      <c r="C10" s="143" t="s">
        <v>610</v>
      </c>
      <c r="D10" s="9">
        <v>1.6</v>
      </c>
      <c r="E10" s="503"/>
      <c r="F10" s="503"/>
      <c r="G10" s="503"/>
      <c r="H10" s="501"/>
      <c r="I10" s="151" t="s">
        <v>20210</v>
      </c>
      <c r="J10" s="31">
        <v>0.63</v>
      </c>
      <c r="K10" s="504">
        <v>1.44</v>
      </c>
      <c r="L10" s="502" t="s">
        <v>248</v>
      </c>
      <c r="M10" s="144">
        <v>1.44</v>
      </c>
      <c r="N10" s="504">
        <v>0</v>
      </c>
      <c r="O10" s="29"/>
      <c r="P10" s="29">
        <v>1.44</v>
      </c>
      <c r="Q10" s="144">
        <v>0.80999999999999994</v>
      </c>
      <c r="R10" s="144">
        <v>0.80999999999999994</v>
      </c>
      <c r="S10" s="143" t="s">
        <v>20211</v>
      </c>
      <c r="T10" s="146" t="s">
        <v>20211</v>
      </c>
      <c r="U10" s="145">
        <v>37.499999999999993</v>
      </c>
      <c r="V10" s="506"/>
      <c r="W10" s="505" t="s">
        <v>2023</v>
      </c>
      <c r="X10" s="43"/>
      <c r="Y10" s="143">
        <v>2</v>
      </c>
      <c r="Z10" s="152">
        <v>2</v>
      </c>
      <c r="AA10" s="143" t="s">
        <v>610</v>
      </c>
      <c r="AB10" s="9">
        <v>1.6</v>
      </c>
      <c r="AC10" s="151"/>
      <c r="AD10" s="151"/>
      <c r="AE10" s="151"/>
      <c r="AF10" s="152"/>
      <c r="AG10" s="143" t="s">
        <v>20210</v>
      </c>
      <c r="AH10" s="144">
        <v>1.0565217391304347E-2</v>
      </c>
      <c r="AI10" s="144">
        <v>0.64056521739130434</v>
      </c>
      <c r="AJ10" s="144">
        <v>1.44</v>
      </c>
      <c r="AK10" s="143" t="s">
        <v>248</v>
      </c>
      <c r="AL10" s="144">
        <v>1.44</v>
      </c>
      <c r="AM10" s="144">
        <v>0</v>
      </c>
      <c r="AN10" s="29">
        <v>1.44</v>
      </c>
      <c r="AO10" s="144">
        <v>0.7994347826086956</v>
      </c>
      <c r="AP10" s="144">
        <v>0.7994347826086956</v>
      </c>
      <c r="AQ10" s="153" t="s">
        <v>20211</v>
      </c>
      <c r="AR10" s="146" t="s">
        <v>20211</v>
      </c>
      <c r="AS10" s="56">
        <v>38.128881987577635</v>
      </c>
      <c r="AT10" s="58" t="s">
        <v>500</v>
      </c>
      <c r="AU10" s="118">
        <v>1984</v>
      </c>
      <c r="AV10" s="149">
        <v>2012</v>
      </c>
      <c r="AW10" s="120">
        <v>57.6981012133975</v>
      </c>
      <c r="AX10" s="120">
        <v>36.979231133964397</v>
      </c>
    </row>
    <row r="11" spans="1:50" ht="15" customHeight="1" x14ac:dyDescent="0.25">
      <c r="A11" s="143">
        <v>3</v>
      </c>
      <c r="B11" s="143">
        <v>3</v>
      </c>
      <c r="C11" s="143" t="s">
        <v>611</v>
      </c>
      <c r="D11" s="9">
        <v>1</v>
      </c>
      <c r="E11" s="503"/>
      <c r="F11" s="503"/>
      <c r="G11" s="503"/>
      <c r="H11" s="501"/>
      <c r="I11" s="151" t="s">
        <v>2043</v>
      </c>
      <c r="J11" s="31">
        <v>7.0000000000000007E-2</v>
      </c>
      <c r="K11" s="504">
        <v>0</v>
      </c>
      <c r="L11" s="502">
        <v>0</v>
      </c>
      <c r="M11" s="144">
        <v>0</v>
      </c>
      <c r="N11" s="504">
        <v>0</v>
      </c>
      <c r="O11" s="29"/>
      <c r="P11" s="29">
        <v>0</v>
      </c>
      <c r="Q11" s="144">
        <v>-7.0000000000000007E-2</v>
      </c>
      <c r="R11" s="144">
        <v>-7.0000000000000007E-2</v>
      </c>
      <c r="S11" s="143" t="s">
        <v>2217</v>
      </c>
      <c r="T11" s="146" t="s">
        <v>2217</v>
      </c>
      <c r="U11" s="145">
        <v>6.666666666666667</v>
      </c>
      <c r="V11" s="505"/>
      <c r="W11" s="505" t="s">
        <v>2023</v>
      </c>
      <c r="X11" s="43"/>
      <c r="Y11" s="143">
        <v>3</v>
      </c>
      <c r="Z11" s="152">
        <v>3</v>
      </c>
      <c r="AA11" s="143" t="s">
        <v>611</v>
      </c>
      <c r="AB11" s="9">
        <v>1</v>
      </c>
      <c r="AC11" s="151"/>
      <c r="AD11" s="151"/>
      <c r="AE11" s="151"/>
      <c r="AF11" s="152"/>
      <c r="AG11" s="143" t="s">
        <v>2043</v>
      </c>
      <c r="AH11" s="144">
        <v>1.173913043478261E-2</v>
      </c>
      <c r="AI11" s="144">
        <v>8.173913043478262E-2</v>
      </c>
      <c r="AJ11" s="144">
        <v>0</v>
      </c>
      <c r="AK11" s="143">
        <v>0</v>
      </c>
      <c r="AL11" s="144">
        <v>0</v>
      </c>
      <c r="AM11" s="144">
        <v>0</v>
      </c>
      <c r="AN11" s="29">
        <v>0</v>
      </c>
      <c r="AO11" s="144">
        <v>-8.173913043478262E-2</v>
      </c>
      <c r="AP11" s="144">
        <v>-8.173913043478262E-2</v>
      </c>
      <c r="AQ11" s="153" t="s">
        <v>2217</v>
      </c>
      <c r="AR11" s="146" t="s">
        <v>2217</v>
      </c>
      <c r="AS11" s="56">
        <v>7.7846790890269153</v>
      </c>
      <c r="AT11" s="58" t="s">
        <v>500</v>
      </c>
      <c r="AU11" s="118">
        <v>1985</v>
      </c>
      <c r="AV11" s="149" t="s">
        <v>2143</v>
      </c>
      <c r="AW11" s="120">
        <v>58.2387265109776</v>
      </c>
      <c r="AX11" s="120">
        <v>35.952724157647097</v>
      </c>
    </row>
    <row r="12" spans="1:50" ht="15" customHeight="1" x14ac:dyDescent="0.25">
      <c r="A12" s="143">
        <v>4</v>
      </c>
      <c r="B12" s="143">
        <v>4</v>
      </c>
      <c r="C12" s="143" t="s">
        <v>612</v>
      </c>
      <c r="D12" s="9">
        <v>1.6</v>
      </c>
      <c r="E12" s="503"/>
      <c r="F12" s="503"/>
      <c r="G12" s="503"/>
      <c r="H12" s="501"/>
      <c r="I12" s="151" t="s">
        <v>20210</v>
      </c>
      <c r="J12" s="31">
        <v>0.12</v>
      </c>
      <c r="K12" s="504">
        <v>0.87</v>
      </c>
      <c r="L12" s="502" t="s">
        <v>248</v>
      </c>
      <c r="M12" s="144">
        <v>0.87</v>
      </c>
      <c r="N12" s="504">
        <v>0</v>
      </c>
      <c r="O12" s="29"/>
      <c r="P12" s="29">
        <v>0.87</v>
      </c>
      <c r="Q12" s="144">
        <v>0.75</v>
      </c>
      <c r="R12" s="144">
        <v>0.75</v>
      </c>
      <c r="S12" s="143" t="s">
        <v>20211</v>
      </c>
      <c r="T12" s="146" t="s">
        <v>20211</v>
      </c>
      <c r="U12" s="145">
        <v>7.1428571428571423</v>
      </c>
      <c r="V12" s="505">
        <v>1.2</v>
      </c>
      <c r="W12" s="505" t="s">
        <v>2260</v>
      </c>
      <c r="X12" s="43"/>
      <c r="Y12" s="143">
        <v>4</v>
      </c>
      <c r="Z12" s="152">
        <v>4</v>
      </c>
      <c r="AA12" s="143" t="s">
        <v>612</v>
      </c>
      <c r="AB12" s="9">
        <v>1.6</v>
      </c>
      <c r="AC12" s="151"/>
      <c r="AD12" s="151"/>
      <c r="AE12" s="151"/>
      <c r="AF12" s="152"/>
      <c r="AG12" s="143" t="s">
        <v>20210</v>
      </c>
      <c r="AH12" s="144">
        <v>0</v>
      </c>
      <c r="AI12" s="144">
        <v>0.12</v>
      </c>
      <c r="AJ12" s="144">
        <v>0.87</v>
      </c>
      <c r="AK12" s="143" t="s">
        <v>248</v>
      </c>
      <c r="AL12" s="144">
        <v>0.87</v>
      </c>
      <c r="AM12" s="144">
        <v>0</v>
      </c>
      <c r="AN12" s="29">
        <v>0.87</v>
      </c>
      <c r="AO12" s="144">
        <v>0.75</v>
      </c>
      <c r="AP12" s="144">
        <v>0.75</v>
      </c>
      <c r="AQ12" s="153" t="s">
        <v>20211</v>
      </c>
      <c r="AR12" s="146" t="s">
        <v>20211</v>
      </c>
      <c r="AS12" s="56">
        <v>7.1428571428571423</v>
      </c>
      <c r="AT12" s="58" t="s">
        <v>500</v>
      </c>
      <c r="AU12" s="118">
        <v>1982</v>
      </c>
      <c r="AV12" s="150">
        <v>2011</v>
      </c>
      <c r="AW12" s="120">
        <v>58.029169559542403</v>
      </c>
      <c r="AX12" s="120">
        <v>36.993628392820199</v>
      </c>
    </row>
    <row r="13" spans="1:50" ht="15" customHeight="1" x14ac:dyDescent="0.25">
      <c r="A13" s="143">
        <v>5</v>
      </c>
      <c r="B13" s="143">
        <v>5</v>
      </c>
      <c r="C13" s="143" t="s">
        <v>613</v>
      </c>
      <c r="D13" s="9">
        <v>1.6</v>
      </c>
      <c r="E13" s="503"/>
      <c r="F13" s="503"/>
      <c r="G13" s="503"/>
      <c r="H13" s="501"/>
      <c r="I13" s="151" t="s">
        <v>20210</v>
      </c>
      <c r="J13" s="31">
        <v>0.21</v>
      </c>
      <c r="K13" s="504">
        <v>0</v>
      </c>
      <c r="L13" s="502">
        <v>0</v>
      </c>
      <c r="M13" s="144">
        <v>0</v>
      </c>
      <c r="N13" s="504">
        <v>0</v>
      </c>
      <c r="O13" s="29"/>
      <c r="P13" s="29">
        <v>0</v>
      </c>
      <c r="Q13" s="144">
        <v>-0.21</v>
      </c>
      <c r="R13" s="144">
        <v>-0.21</v>
      </c>
      <c r="S13" s="143" t="s">
        <v>2217</v>
      </c>
      <c r="T13" s="146" t="s">
        <v>2217</v>
      </c>
      <c r="U13" s="145">
        <v>12.499999999999998</v>
      </c>
      <c r="V13" s="505"/>
      <c r="W13" s="505" t="s">
        <v>2023</v>
      </c>
      <c r="X13" s="43"/>
      <c r="Y13" s="143">
        <v>5</v>
      </c>
      <c r="Z13" s="152">
        <v>5</v>
      </c>
      <c r="AA13" s="143" t="s">
        <v>613</v>
      </c>
      <c r="AB13" s="9">
        <v>1.6</v>
      </c>
      <c r="AC13" s="151"/>
      <c r="AD13" s="151"/>
      <c r="AE13" s="151"/>
      <c r="AF13" s="152"/>
      <c r="AG13" s="143" t="s">
        <v>20210</v>
      </c>
      <c r="AH13" s="144">
        <v>0</v>
      </c>
      <c r="AI13" s="144">
        <v>0.21</v>
      </c>
      <c r="AJ13" s="144">
        <v>0</v>
      </c>
      <c r="AK13" s="143">
        <v>0</v>
      </c>
      <c r="AL13" s="144">
        <v>0</v>
      </c>
      <c r="AM13" s="144">
        <v>0</v>
      </c>
      <c r="AN13" s="29">
        <v>0</v>
      </c>
      <c r="AO13" s="144">
        <v>-0.21</v>
      </c>
      <c r="AP13" s="144">
        <v>-0.21</v>
      </c>
      <c r="AQ13" s="153" t="s">
        <v>2217</v>
      </c>
      <c r="AR13" s="146" t="s">
        <v>2217</v>
      </c>
      <c r="AS13" s="56">
        <v>12.499999999999998</v>
      </c>
      <c r="AT13" s="58" t="s">
        <v>500</v>
      </c>
      <c r="AU13" s="118">
        <v>1983</v>
      </c>
      <c r="AV13" s="149" t="s">
        <v>2143</v>
      </c>
      <c r="AW13" s="120">
        <v>58.048253501405398</v>
      </c>
      <c r="AX13" s="120">
        <v>36.117193294308798</v>
      </c>
    </row>
    <row r="14" spans="1:50" ht="15" customHeight="1" x14ac:dyDescent="0.25">
      <c r="A14" s="143">
        <v>6</v>
      </c>
      <c r="B14" s="143">
        <v>6</v>
      </c>
      <c r="C14" s="143" t="s">
        <v>614</v>
      </c>
      <c r="D14" s="9">
        <v>2.5</v>
      </c>
      <c r="E14" s="503"/>
      <c r="F14" s="503"/>
      <c r="G14" s="503"/>
      <c r="H14" s="501"/>
      <c r="I14" s="151" t="s">
        <v>20212</v>
      </c>
      <c r="J14" s="31">
        <v>0.31</v>
      </c>
      <c r="K14" s="504">
        <v>0.8</v>
      </c>
      <c r="L14" s="502" t="s">
        <v>248</v>
      </c>
      <c r="M14" s="144">
        <v>0.8</v>
      </c>
      <c r="N14" s="504">
        <v>0</v>
      </c>
      <c r="O14" s="29"/>
      <c r="P14" s="29">
        <v>0.8</v>
      </c>
      <c r="Q14" s="144">
        <v>0.49000000000000005</v>
      </c>
      <c r="R14" s="144">
        <v>0.49000000000000005</v>
      </c>
      <c r="S14" s="143" t="s">
        <v>20211</v>
      </c>
      <c r="T14" s="146" t="s">
        <v>20211</v>
      </c>
      <c r="U14" s="145">
        <v>11.80952380952381</v>
      </c>
      <c r="V14" s="505"/>
      <c r="W14" s="505" t="s">
        <v>2023</v>
      </c>
      <c r="X14" s="43"/>
      <c r="Y14" s="143">
        <v>6</v>
      </c>
      <c r="Z14" s="152">
        <v>6</v>
      </c>
      <c r="AA14" s="143" t="s">
        <v>614</v>
      </c>
      <c r="AB14" s="9">
        <v>2.5</v>
      </c>
      <c r="AC14" s="151"/>
      <c r="AD14" s="151"/>
      <c r="AE14" s="151"/>
      <c r="AF14" s="152"/>
      <c r="AG14" s="143" t="s">
        <v>20212</v>
      </c>
      <c r="AH14" s="144">
        <v>6.2217391304347822E-2</v>
      </c>
      <c r="AI14" s="144">
        <v>0.37221739130434783</v>
      </c>
      <c r="AJ14" s="144">
        <v>0.8</v>
      </c>
      <c r="AK14" s="143" t="s">
        <v>248</v>
      </c>
      <c r="AL14" s="144">
        <v>0.8</v>
      </c>
      <c r="AM14" s="144">
        <v>0</v>
      </c>
      <c r="AN14" s="29">
        <v>0.8</v>
      </c>
      <c r="AO14" s="144">
        <v>0.42778260869565221</v>
      </c>
      <c r="AP14" s="144">
        <v>0.42778260869565221</v>
      </c>
      <c r="AQ14" s="153" t="s">
        <v>20211</v>
      </c>
      <c r="AR14" s="146" t="s">
        <v>20211</v>
      </c>
      <c r="AS14" s="56">
        <v>14.179710144927537</v>
      </c>
      <c r="AT14" s="58" t="s">
        <v>500</v>
      </c>
      <c r="AU14" s="118">
        <v>1979</v>
      </c>
      <c r="AV14" s="149" t="s">
        <v>2143</v>
      </c>
      <c r="AW14" s="120">
        <v>58.694497246865701</v>
      </c>
      <c r="AX14" s="120">
        <v>36.936407331081497</v>
      </c>
    </row>
    <row r="15" spans="1:50" ht="15" customHeight="1" x14ac:dyDescent="0.25">
      <c r="A15" s="143">
        <v>7</v>
      </c>
      <c r="B15" s="143">
        <v>7</v>
      </c>
      <c r="C15" s="143" t="s">
        <v>615</v>
      </c>
      <c r="D15" s="9">
        <v>4</v>
      </c>
      <c r="E15" s="503"/>
      <c r="F15" s="503"/>
      <c r="G15" s="503"/>
      <c r="H15" s="501"/>
      <c r="I15" s="151" t="s">
        <v>20213</v>
      </c>
      <c r="J15" s="31">
        <v>0.14000000000000001</v>
      </c>
      <c r="K15" s="504">
        <v>0.66</v>
      </c>
      <c r="L15" s="502" t="s">
        <v>248</v>
      </c>
      <c r="M15" s="144">
        <v>0.66</v>
      </c>
      <c r="N15" s="504">
        <v>0</v>
      </c>
      <c r="O15" s="29"/>
      <c r="P15" s="29">
        <v>0.66</v>
      </c>
      <c r="Q15" s="144">
        <v>0.52</v>
      </c>
      <c r="R15" s="144">
        <v>0.52</v>
      </c>
      <c r="S15" s="143" t="s">
        <v>20211</v>
      </c>
      <c r="T15" s="146" t="s">
        <v>20211</v>
      </c>
      <c r="U15" s="145">
        <v>3.3333333333333335</v>
      </c>
      <c r="V15" s="505">
        <v>1.8</v>
      </c>
      <c r="W15" s="505" t="s">
        <v>2260</v>
      </c>
      <c r="X15" s="43"/>
      <c r="Y15" s="143">
        <v>7</v>
      </c>
      <c r="Z15" s="152">
        <v>7</v>
      </c>
      <c r="AA15" s="143" t="s">
        <v>615</v>
      </c>
      <c r="AB15" s="9">
        <v>4</v>
      </c>
      <c r="AC15" s="151"/>
      <c r="AD15" s="151"/>
      <c r="AE15" s="151"/>
      <c r="AF15" s="152"/>
      <c r="AG15" s="143" t="s">
        <v>20213</v>
      </c>
      <c r="AH15" s="144">
        <v>0</v>
      </c>
      <c r="AI15" s="144">
        <v>0.14000000000000001</v>
      </c>
      <c r="AJ15" s="144">
        <v>0.66</v>
      </c>
      <c r="AK15" s="143" t="s">
        <v>248</v>
      </c>
      <c r="AL15" s="144">
        <v>0.66</v>
      </c>
      <c r="AM15" s="144">
        <v>0</v>
      </c>
      <c r="AN15" s="29">
        <v>0.66</v>
      </c>
      <c r="AO15" s="144">
        <v>0.52</v>
      </c>
      <c r="AP15" s="144">
        <v>0.52</v>
      </c>
      <c r="AQ15" s="153" t="s">
        <v>20211</v>
      </c>
      <c r="AR15" s="146" t="s">
        <v>20211</v>
      </c>
      <c r="AS15" s="56">
        <v>3.3333333333333335</v>
      </c>
      <c r="AT15" s="58" t="s">
        <v>500</v>
      </c>
      <c r="AU15" s="118">
        <v>1982</v>
      </c>
      <c r="AV15" s="149" t="s">
        <v>2143</v>
      </c>
      <c r="AW15" s="120">
        <v>58.233227061189901</v>
      </c>
      <c r="AX15" s="120">
        <v>36.918343686706699</v>
      </c>
    </row>
    <row r="16" spans="1:50" ht="15" customHeight="1" x14ac:dyDescent="0.25">
      <c r="A16" s="143">
        <v>8</v>
      </c>
      <c r="B16" s="143">
        <v>8</v>
      </c>
      <c r="C16" s="143" t="s">
        <v>616</v>
      </c>
      <c r="D16" s="9">
        <v>1.6</v>
      </c>
      <c r="E16" s="503"/>
      <c r="F16" s="503"/>
      <c r="G16" s="503"/>
      <c r="H16" s="501"/>
      <c r="I16" s="151" t="s">
        <v>20210</v>
      </c>
      <c r="J16" s="31">
        <v>0.37</v>
      </c>
      <c r="K16" s="504">
        <v>1.05</v>
      </c>
      <c r="L16" s="502" t="s">
        <v>248</v>
      </c>
      <c r="M16" s="144">
        <v>1.05</v>
      </c>
      <c r="N16" s="504">
        <v>0</v>
      </c>
      <c r="O16" s="29"/>
      <c r="P16" s="29">
        <v>1.05</v>
      </c>
      <c r="Q16" s="144">
        <v>0.68</v>
      </c>
      <c r="R16" s="144">
        <v>0.68</v>
      </c>
      <c r="S16" s="143" t="s">
        <v>20211</v>
      </c>
      <c r="T16" s="146" t="s">
        <v>20211</v>
      </c>
      <c r="U16" s="145">
        <v>22.023809523809522</v>
      </c>
      <c r="V16" s="505">
        <v>0.6</v>
      </c>
      <c r="W16" s="505" t="s">
        <v>2260</v>
      </c>
      <c r="X16" s="43"/>
      <c r="Y16" s="143">
        <v>8</v>
      </c>
      <c r="Z16" s="152">
        <v>8</v>
      </c>
      <c r="AA16" s="143" t="s">
        <v>616</v>
      </c>
      <c r="AB16" s="9">
        <v>1.6</v>
      </c>
      <c r="AC16" s="151"/>
      <c r="AD16" s="151"/>
      <c r="AE16" s="151"/>
      <c r="AF16" s="152"/>
      <c r="AG16" s="143" t="s">
        <v>20210</v>
      </c>
      <c r="AH16" s="144">
        <v>0</v>
      </c>
      <c r="AI16" s="144">
        <v>0.37</v>
      </c>
      <c r="AJ16" s="144">
        <v>1.05</v>
      </c>
      <c r="AK16" s="143" t="s">
        <v>248</v>
      </c>
      <c r="AL16" s="144">
        <v>1.05</v>
      </c>
      <c r="AM16" s="144">
        <v>0</v>
      </c>
      <c r="AN16" s="29">
        <v>1.05</v>
      </c>
      <c r="AO16" s="144">
        <v>0.68</v>
      </c>
      <c r="AP16" s="144">
        <v>0.68</v>
      </c>
      <c r="AQ16" s="153" t="s">
        <v>20211</v>
      </c>
      <c r="AR16" s="146" t="s">
        <v>20211</v>
      </c>
      <c r="AS16" s="56">
        <v>22.023809523809522</v>
      </c>
      <c r="AT16" s="58" t="s">
        <v>500</v>
      </c>
      <c r="AU16" s="118">
        <v>1968</v>
      </c>
      <c r="AV16" s="149" t="s">
        <v>2143</v>
      </c>
      <c r="AW16" s="120">
        <v>58.013638700469102</v>
      </c>
      <c r="AX16" s="120">
        <v>35.781832313946403</v>
      </c>
    </row>
    <row r="17" spans="1:50" ht="15" customHeight="1" x14ac:dyDescent="0.25">
      <c r="A17" s="143">
        <v>9</v>
      </c>
      <c r="B17" s="143">
        <v>9</v>
      </c>
      <c r="C17" s="143" t="s">
        <v>617</v>
      </c>
      <c r="D17" s="9">
        <v>2.5</v>
      </c>
      <c r="E17" s="503"/>
      <c r="F17" s="503"/>
      <c r="G17" s="503"/>
      <c r="H17" s="501"/>
      <c r="I17" s="151" t="s">
        <v>20212</v>
      </c>
      <c r="J17" s="31">
        <v>0.22</v>
      </c>
      <c r="K17" s="504">
        <v>2.88</v>
      </c>
      <c r="L17" s="502" t="s">
        <v>248</v>
      </c>
      <c r="M17" s="144">
        <v>2.88</v>
      </c>
      <c r="N17" s="504">
        <v>0</v>
      </c>
      <c r="O17" s="29"/>
      <c r="P17" s="29">
        <v>2.88</v>
      </c>
      <c r="Q17" s="144">
        <v>2.6599999999999997</v>
      </c>
      <c r="R17" s="144">
        <v>2.6599999999999997</v>
      </c>
      <c r="S17" s="143" t="s">
        <v>20211</v>
      </c>
      <c r="T17" s="146" t="s">
        <v>20211</v>
      </c>
      <c r="U17" s="145">
        <v>8.3809523809523814</v>
      </c>
      <c r="V17" s="505">
        <v>0.6</v>
      </c>
      <c r="W17" s="505" t="s">
        <v>2260</v>
      </c>
      <c r="X17" s="43"/>
      <c r="Y17" s="143">
        <v>9</v>
      </c>
      <c r="Z17" s="152">
        <v>9</v>
      </c>
      <c r="AA17" s="143" t="s">
        <v>617</v>
      </c>
      <c r="AB17" s="9">
        <v>2.5</v>
      </c>
      <c r="AC17" s="151"/>
      <c r="AD17" s="151"/>
      <c r="AE17" s="151"/>
      <c r="AF17" s="152"/>
      <c r="AG17" s="143" t="s">
        <v>20212</v>
      </c>
      <c r="AH17" s="144">
        <v>0.34845652173913044</v>
      </c>
      <c r="AI17" s="144">
        <v>0.56845652173913042</v>
      </c>
      <c r="AJ17" s="144">
        <v>2.88</v>
      </c>
      <c r="AK17" s="143" t="s">
        <v>248</v>
      </c>
      <c r="AL17" s="144">
        <v>2.88</v>
      </c>
      <c r="AM17" s="144">
        <v>0</v>
      </c>
      <c r="AN17" s="29">
        <v>2.88</v>
      </c>
      <c r="AO17" s="144">
        <v>2.3115434782608695</v>
      </c>
      <c r="AP17" s="144">
        <v>2.3115434782608695</v>
      </c>
      <c r="AQ17" s="153" t="s">
        <v>20211</v>
      </c>
      <c r="AR17" s="146" t="s">
        <v>20211</v>
      </c>
      <c r="AS17" s="56">
        <v>21.655486542443061</v>
      </c>
      <c r="AT17" s="58" t="s">
        <v>500</v>
      </c>
      <c r="AU17" s="118">
        <v>1981</v>
      </c>
      <c r="AV17" s="149">
        <v>2013</v>
      </c>
      <c r="AW17" s="120">
        <v>57.737635139484198</v>
      </c>
      <c r="AX17" s="120">
        <v>36.7111620708</v>
      </c>
    </row>
    <row r="18" spans="1:50" ht="15" customHeight="1" x14ac:dyDescent="0.25">
      <c r="A18" s="143">
        <v>10</v>
      </c>
      <c r="B18" s="143">
        <v>10</v>
      </c>
      <c r="C18" s="143" t="s">
        <v>618</v>
      </c>
      <c r="D18" s="9">
        <v>1.8</v>
      </c>
      <c r="E18" s="503"/>
      <c r="F18" s="503"/>
      <c r="G18" s="503"/>
      <c r="H18" s="501"/>
      <c r="I18" s="151" t="s">
        <v>20214</v>
      </c>
      <c r="J18" s="31">
        <v>0.32</v>
      </c>
      <c r="K18" s="504">
        <v>0.76</v>
      </c>
      <c r="L18" s="502" t="s">
        <v>248</v>
      </c>
      <c r="M18" s="144">
        <v>0.76</v>
      </c>
      <c r="N18" s="504">
        <v>0</v>
      </c>
      <c r="O18" s="29"/>
      <c r="P18" s="29">
        <v>0.76</v>
      </c>
      <c r="Q18" s="144">
        <v>0.44</v>
      </c>
      <c r="R18" s="144">
        <v>0.44</v>
      </c>
      <c r="S18" s="143" t="s">
        <v>20211</v>
      </c>
      <c r="T18" s="146" t="s">
        <v>20211</v>
      </c>
      <c r="U18" s="145">
        <v>16.93121693121693</v>
      </c>
      <c r="V18" s="505">
        <v>1.2</v>
      </c>
      <c r="W18" s="505" t="s">
        <v>2260</v>
      </c>
      <c r="X18" s="43"/>
      <c r="Y18" s="143">
        <v>10</v>
      </c>
      <c r="Z18" s="152">
        <v>10</v>
      </c>
      <c r="AA18" s="143" t="s">
        <v>618</v>
      </c>
      <c r="AB18" s="9">
        <v>1.8</v>
      </c>
      <c r="AC18" s="151"/>
      <c r="AD18" s="151"/>
      <c r="AE18" s="151"/>
      <c r="AF18" s="152"/>
      <c r="AG18" s="143" t="s">
        <v>20214</v>
      </c>
      <c r="AH18" s="144">
        <v>0</v>
      </c>
      <c r="AI18" s="144">
        <v>0.32</v>
      </c>
      <c r="AJ18" s="144">
        <v>0.76</v>
      </c>
      <c r="AK18" s="143" t="s">
        <v>248</v>
      </c>
      <c r="AL18" s="144">
        <v>0.76</v>
      </c>
      <c r="AM18" s="144">
        <v>0</v>
      </c>
      <c r="AN18" s="29">
        <v>0.76</v>
      </c>
      <c r="AO18" s="144">
        <v>0.44</v>
      </c>
      <c r="AP18" s="144">
        <v>0.44</v>
      </c>
      <c r="AQ18" s="153" t="s">
        <v>20211</v>
      </c>
      <c r="AR18" s="146" t="s">
        <v>20211</v>
      </c>
      <c r="AS18" s="56">
        <v>16.93121693121693</v>
      </c>
      <c r="AT18" s="58" t="s">
        <v>500</v>
      </c>
      <c r="AU18" s="118">
        <v>1985</v>
      </c>
      <c r="AV18" s="149">
        <v>2012</v>
      </c>
      <c r="AW18" s="120">
        <v>57.7436647258845</v>
      </c>
      <c r="AX18" s="120">
        <v>37.403150925236197</v>
      </c>
    </row>
    <row r="19" spans="1:50" ht="15" customHeight="1" x14ac:dyDescent="0.25">
      <c r="A19" s="143">
        <v>11</v>
      </c>
      <c r="B19" s="143">
        <v>11</v>
      </c>
      <c r="C19" s="143" t="s">
        <v>619</v>
      </c>
      <c r="D19" s="9">
        <v>1.6</v>
      </c>
      <c r="E19" s="503"/>
      <c r="F19" s="503"/>
      <c r="G19" s="503"/>
      <c r="H19" s="501"/>
      <c r="I19" s="151" t="s">
        <v>20210</v>
      </c>
      <c r="J19" s="31">
        <v>7.0000000000000007E-2</v>
      </c>
      <c r="K19" s="504">
        <v>1.33</v>
      </c>
      <c r="L19" s="502" t="s">
        <v>248</v>
      </c>
      <c r="M19" s="144">
        <v>1.33</v>
      </c>
      <c r="N19" s="504">
        <v>0</v>
      </c>
      <c r="O19" s="29"/>
      <c r="P19" s="29">
        <v>1.33</v>
      </c>
      <c r="Q19" s="144">
        <v>1.26</v>
      </c>
      <c r="R19" s="144">
        <v>1.26</v>
      </c>
      <c r="S19" s="143" t="s">
        <v>20211</v>
      </c>
      <c r="T19" s="146" t="s">
        <v>20211</v>
      </c>
      <c r="U19" s="145">
        <v>4.166666666666667</v>
      </c>
      <c r="V19" s="505">
        <v>0.8</v>
      </c>
      <c r="W19" s="505" t="s">
        <v>2260</v>
      </c>
      <c r="X19" s="43"/>
      <c r="Y19" s="143">
        <v>11</v>
      </c>
      <c r="Z19" s="152">
        <v>11</v>
      </c>
      <c r="AA19" s="143" t="s">
        <v>619</v>
      </c>
      <c r="AB19" s="9">
        <v>1.6</v>
      </c>
      <c r="AC19" s="151"/>
      <c r="AD19" s="151"/>
      <c r="AE19" s="151"/>
      <c r="AF19" s="152"/>
      <c r="AG19" s="143" t="s">
        <v>20210</v>
      </c>
      <c r="AH19" s="144">
        <v>0</v>
      </c>
      <c r="AI19" s="144">
        <v>7.0000000000000007E-2</v>
      </c>
      <c r="AJ19" s="144">
        <v>1.33</v>
      </c>
      <c r="AK19" s="143" t="s">
        <v>248</v>
      </c>
      <c r="AL19" s="144">
        <v>1.33</v>
      </c>
      <c r="AM19" s="144">
        <v>0</v>
      </c>
      <c r="AN19" s="29">
        <v>1.33</v>
      </c>
      <c r="AO19" s="144">
        <v>1.26</v>
      </c>
      <c r="AP19" s="144">
        <v>1.26</v>
      </c>
      <c r="AQ19" s="153" t="s">
        <v>20211</v>
      </c>
      <c r="AR19" s="146" t="s">
        <v>20211</v>
      </c>
      <c r="AS19" s="56">
        <v>4.166666666666667</v>
      </c>
      <c r="AT19" s="58" t="s">
        <v>500</v>
      </c>
      <c r="AU19" s="118">
        <v>1979</v>
      </c>
      <c r="AV19" s="149" t="s">
        <v>2143</v>
      </c>
      <c r="AW19" s="120">
        <v>58.428626165543903</v>
      </c>
      <c r="AX19" s="120">
        <v>36.056499942833298</v>
      </c>
    </row>
    <row r="20" spans="1:50" ht="15" customHeight="1" x14ac:dyDescent="0.25">
      <c r="A20" s="143">
        <v>12</v>
      </c>
      <c r="B20" s="143">
        <v>12</v>
      </c>
      <c r="C20" s="143" t="s">
        <v>620</v>
      </c>
      <c r="D20" s="9">
        <v>4</v>
      </c>
      <c r="E20" s="503"/>
      <c r="F20" s="503"/>
      <c r="G20" s="503"/>
      <c r="H20" s="501"/>
      <c r="I20" s="151" t="s">
        <v>20213</v>
      </c>
      <c r="J20" s="31">
        <v>0.11</v>
      </c>
      <c r="K20" s="504">
        <v>0.98</v>
      </c>
      <c r="L20" s="502" t="s">
        <v>248</v>
      </c>
      <c r="M20" s="144">
        <v>0.98</v>
      </c>
      <c r="N20" s="504">
        <v>0</v>
      </c>
      <c r="O20" s="29"/>
      <c r="P20" s="29">
        <v>0.98</v>
      </c>
      <c r="Q20" s="144">
        <v>0.87</v>
      </c>
      <c r="R20" s="144">
        <v>0.87</v>
      </c>
      <c r="S20" s="143" t="s">
        <v>20211</v>
      </c>
      <c r="T20" s="146" t="s">
        <v>20211</v>
      </c>
      <c r="U20" s="145">
        <v>2.6190476190476191</v>
      </c>
      <c r="V20" s="505">
        <v>1.1000000000000001</v>
      </c>
      <c r="W20" s="505" t="s">
        <v>2260</v>
      </c>
      <c r="X20" s="43"/>
      <c r="Y20" s="143">
        <v>12</v>
      </c>
      <c r="Z20" s="152">
        <v>12</v>
      </c>
      <c r="AA20" s="143" t="s">
        <v>620</v>
      </c>
      <c r="AB20" s="9">
        <v>4</v>
      </c>
      <c r="AC20" s="151"/>
      <c r="AD20" s="151"/>
      <c r="AE20" s="151"/>
      <c r="AF20" s="152"/>
      <c r="AG20" s="143" t="s">
        <v>20213</v>
      </c>
      <c r="AH20" s="144">
        <v>0</v>
      </c>
      <c r="AI20" s="144">
        <v>0.11</v>
      </c>
      <c r="AJ20" s="144">
        <v>0.98</v>
      </c>
      <c r="AK20" s="143" t="s">
        <v>248</v>
      </c>
      <c r="AL20" s="144">
        <v>0.98</v>
      </c>
      <c r="AM20" s="144">
        <v>0</v>
      </c>
      <c r="AN20" s="29">
        <v>0.98</v>
      </c>
      <c r="AO20" s="144">
        <v>0.87</v>
      </c>
      <c r="AP20" s="144">
        <v>0.87</v>
      </c>
      <c r="AQ20" s="153" t="s">
        <v>20211</v>
      </c>
      <c r="AR20" s="146" t="s">
        <v>20211</v>
      </c>
      <c r="AS20" s="56">
        <v>2.6190476190476191</v>
      </c>
      <c r="AT20" s="58" t="s">
        <v>500</v>
      </c>
      <c r="AU20" s="118">
        <v>1976</v>
      </c>
      <c r="AV20" s="149" t="s">
        <v>2143</v>
      </c>
      <c r="AW20" s="120">
        <v>58.073911711186597</v>
      </c>
      <c r="AX20" s="120">
        <v>37.458219408843</v>
      </c>
    </row>
    <row r="21" spans="1:50" ht="15" customHeight="1" x14ac:dyDescent="0.25">
      <c r="A21" s="143">
        <v>13</v>
      </c>
      <c r="B21" s="143">
        <v>13</v>
      </c>
      <c r="C21" s="143" t="s">
        <v>621</v>
      </c>
      <c r="D21" s="9">
        <v>2.5</v>
      </c>
      <c r="E21" s="503"/>
      <c r="F21" s="503"/>
      <c r="G21" s="503"/>
      <c r="H21" s="501"/>
      <c r="I21" s="151" t="s">
        <v>20212</v>
      </c>
      <c r="J21" s="31">
        <v>0.31</v>
      </c>
      <c r="K21" s="504">
        <v>0.78</v>
      </c>
      <c r="L21" s="502" t="s">
        <v>248</v>
      </c>
      <c r="M21" s="144">
        <v>0.78</v>
      </c>
      <c r="N21" s="504">
        <v>0</v>
      </c>
      <c r="O21" s="29"/>
      <c r="P21" s="29">
        <v>0.78</v>
      </c>
      <c r="Q21" s="144">
        <v>0.47000000000000003</v>
      </c>
      <c r="R21" s="144">
        <v>0.47000000000000003</v>
      </c>
      <c r="S21" s="143" t="s">
        <v>20211</v>
      </c>
      <c r="T21" s="146" t="s">
        <v>20211</v>
      </c>
      <c r="U21" s="145">
        <v>11.80952380952381</v>
      </c>
      <c r="V21" s="505"/>
      <c r="W21" s="505" t="s">
        <v>2023</v>
      </c>
      <c r="X21" s="43"/>
      <c r="Y21" s="143">
        <v>13</v>
      </c>
      <c r="Z21" s="152">
        <v>13</v>
      </c>
      <c r="AA21" s="143" t="s">
        <v>621</v>
      </c>
      <c r="AB21" s="9">
        <v>2.5</v>
      </c>
      <c r="AC21" s="151"/>
      <c r="AD21" s="151"/>
      <c r="AE21" s="151"/>
      <c r="AF21" s="152"/>
      <c r="AG21" s="143" t="s">
        <v>20212</v>
      </c>
      <c r="AH21" s="144">
        <v>0</v>
      </c>
      <c r="AI21" s="144">
        <v>0.31</v>
      </c>
      <c r="AJ21" s="144">
        <v>0.78</v>
      </c>
      <c r="AK21" s="143" t="s">
        <v>248</v>
      </c>
      <c r="AL21" s="144">
        <v>0.78</v>
      </c>
      <c r="AM21" s="144">
        <v>0</v>
      </c>
      <c r="AN21" s="29">
        <v>0.78</v>
      </c>
      <c r="AO21" s="144">
        <v>0.47000000000000003</v>
      </c>
      <c r="AP21" s="144">
        <v>0.47000000000000003</v>
      </c>
      <c r="AQ21" s="153" t="s">
        <v>20211</v>
      </c>
      <c r="AR21" s="146" t="s">
        <v>20211</v>
      </c>
      <c r="AS21" s="56">
        <v>11.80952380952381</v>
      </c>
      <c r="AT21" s="58" t="s">
        <v>500</v>
      </c>
      <c r="AU21" s="118">
        <v>1976</v>
      </c>
      <c r="AV21" s="149" t="s">
        <v>2143</v>
      </c>
      <c r="AW21" s="120">
        <v>57.945378137461198</v>
      </c>
      <c r="AX21" s="120">
        <v>35.612907709664398</v>
      </c>
    </row>
    <row r="22" spans="1:50" ht="15" customHeight="1" x14ac:dyDescent="0.25">
      <c r="A22" s="143">
        <v>14</v>
      </c>
      <c r="B22" s="143">
        <v>14</v>
      </c>
      <c r="C22" s="143" t="s">
        <v>622</v>
      </c>
      <c r="D22" s="9">
        <v>1.8</v>
      </c>
      <c r="E22" s="503"/>
      <c r="F22" s="503"/>
      <c r="G22" s="503"/>
      <c r="H22" s="501"/>
      <c r="I22" s="151" t="s">
        <v>20214</v>
      </c>
      <c r="J22" s="31">
        <v>0.36</v>
      </c>
      <c r="K22" s="504">
        <v>1.36</v>
      </c>
      <c r="L22" s="502" t="s">
        <v>248</v>
      </c>
      <c r="M22" s="144">
        <v>1.36</v>
      </c>
      <c r="N22" s="504">
        <v>0</v>
      </c>
      <c r="O22" s="29"/>
      <c r="P22" s="29">
        <v>1.36</v>
      </c>
      <c r="Q22" s="144">
        <v>1</v>
      </c>
      <c r="R22" s="144">
        <v>1</v>
      </c>
      <c r="S22" s="143" t="s">
        <v>20211</v>
      </c>
      <c r="T22" s="146" t="s">
        <v>20211</v>
      </c>
      <c r="U22" s="145">
        <v>19.047619047619047</v>
      </c>
      <c r="V22" s="505">
        <v>1.9</v>
      </c>
      <c r="W22" s="505" t="s">
        <v>2260</v>
      </c>
      <c r="X22" s="43"/>
      <c r="Y22" s="143">
        <v>14</v>
      </c>
      <c r="Z22" s="152">
        <v>14</v>
      </c>
      <c r="AA22" s="143" t="s">
        <v>622</v>
      </c>
      <c r="AB22" s="9">
        <v>1.8</v>
      </c>
      <c r="AC22" s="151"/>
      <c r="AD22" s="151"/>
      <c r="AE22" s="151"/>
      <c r="AF22" s="152"/>
      <c r="AG22" s="143" t="s">
        <v>20214</v>
      </c>
      <c r="AH22" s="144">
        <v>1.4673913043478259E-2</v>
      </c>
      <c r="AI22" s="144">
        <v>0.37467391304347825</v>
      </c>
      <c r="AJ22" s="144">
        <v>1.36</v>
      </c>
      <c r="AK22" s="143" t="s">
        <v>248</v>
      </c>
      <c r="AL22" s="144">
        <v>1.36</v>
      </c>
      <c r="AM22" s="144">
        <v>0</v>
      </c>
      <c r="AN22" s="29">
        <v>1.36</v>
      </c>
      <c r="AO22" s="144">
        <v>0.98532608695652191</v>
      </c>
      <c r="AP22" s="144">
        <v>0.98532608695652191</v>
      </c>
      <c r="AQ22" s="153" t="s">
        <v>20211</v>
      </c>
      <c r="AR22" s="146" t="s">
        <v>20211</v>
      </c>
      <c r="AS22" s="56">
        <v>19.824016563146998</v>
      </c>
      <c r="AT22" s="58" t="s">
        <v>500</v>
      </c>
      <c r="AU22" s="118">
        <v>1964</v>
      </c>
      <c r="AV22" s="149" t="s">
        <v>2143</v>
      </c>
      <c r="AW22" s="120">
        <v>58.569690881537397</v>
      </c>
      <c r="AX22" s="120">
        <v>36.8172060846967</v>
      </c>
    </row>
    <row r="23" spans="1:50" ht="15" customHeight="1" x14ac:dyDescent="0.25">
      <c r="A23" s="143">
        <v>15</v>
      </c>
      <c r="B23" s="143">
        <v>15</v>
      </c>
      <c r="C23" s="143" t="s">
        <v>623</v>
      </c>
      <c r="D23" s="9">
        <v>1.6</v>
      </c>
      <c r="E23" s="503"/>
      <c r="F23" s="503"/>
      <c r="G23" s="503"/>
      <c r="H23" s="501"/>
      <c r="I23" s="151" t="s">
        <v>20210</v>
      </c>
      <c r="J23" s="31">
        <v>0.09</v>
      </c>
      <c r="K23" s="504">
        <v>0.69</v>
      </c>
      <c r="L23" s="502" t="s">
        <v>248</v>
      </c>
      <c r="M23" s="144">
        <v>0.69</v>
      </c>
      <c r="N23" s="504">
        <v>0</v>
      </c>
      <c r="O23" s="29"/>
      <c r="P23" s="29">
        <v>0.69</v>
      </c>
      <c r="Q23" s="144">
        <v>0.6</v>
      </c>
      <c r="R23" s="144">
        <v>0.6</v>
      </c>
      <c r="S23" s="143" t="s">
        <v>20211</v>
      </c>
      <c r="T23" s="146" t="s">
        <v>20211</v>
      </c>
      <c r="U23" s="145">
        <v>5.3571428571428568</v>
      </c>
      <c r="V23" s="505">
        <v>0.6</v>
      </c>
      <c r="W23" s="505" t="s">
        <v>2260</v>
      </c>
      <c r="X23" s="43"/>
      <c r="Y23" s="143">
        <v>15</v>
      </c>
      <c r="Z23" s="152">
        <v>15</v>
      </c>
      <c r="AA23" s="143" t="s">
        <v>623</v>
      </c>
      <c r="AB23" s="9">
        <v>1.6</v>
      </c>
      <c r="AC23" s="151"/>
      <c r="AD23" s="151"/>
      <c r="AE23" s="151"/>
      <c r="AF23" s="152"/>
      <c r="AG23" s="143" t="s">
        <v>20210</v>
      </c>
      <c r="AH23" s="144">
        <v>0</v>
      </c>
      <c r="AI23" s="144">
        <v>0.09</v>
      </c>
      <c r="AJ23" s="144">
        <v>0.69</v>
      </c>
      <c r="AK23" s="143" t="s">
        <v>248</v>
      </c>
      <c r="AL23" s="144">
        <v>0.69</v>
      </c>
      <c r="AM23" s="144">
        <v>0</v>
      </c>
      <c r="AN23" s="29">
        <v>0.69</v>
      </c>
      <c r="AO23" s="144">
        <v>0.6</v>
      </c>
      <c r="AP23" s="144">
        <v>0.6</v>
      </c>
      <c r="AQ23" s="153" t="s">
        <v>20211</v>
      </c>
      <c r="AR23" s="146" t="s">
        <v>20211</v>
      </c>
      <c r="AS23" s="56">
        <v>5.3571428571428568</v>
      </c>
      <c r="AT23" s="58" t="s">
        <v>500</v>
      </c>
      <c r="AU23" s="118">
        <v>1980</v>
      </c>
      <c r="AV23" s="149" t="s">
        <v>2143</v>
      </c>
      <c r="AW23" s="120">
        <v>58.356999572089698</v>
      </c>
      <c r="AX23" s="120">
        <v>37.282068566898502</v>
      </c>
    </row>
    <row r="24" spans="1:50" ht="15" customHeight="1" x14ac:dyDescent="0.25">
      <c r="A24" s="143">
        <v>16</v>
      </c>
      <c r="B24" s="143">
        <v>16</v>
      </c>
      <c r="C24" s="143" t="s">
        <v>624</v>
      </c>
      <c r="D24" s="9">
        <v>2.5</v>
      </c>
      <c r="E24" s="503"/>
      <c r="F24" s="503"/>
      <c r="G24" s="503"/>
      <c r="H24" s="501"/>
      <c r="I24" s="151" t="s">
        <v>20212</v>
      </c>
      <c r="J24" s="31">
        <v>0.12</v>
      </c>
      <c r="K24" s="504">
        <v>1.07</v>
      </c>
      <c r="L24" s="502" t="s">
        <v>248</v>
      </c>
      <c r="M24" s="144">
        <v>1.07</v>
      </c>
      <c r="N24" s="504">
        <v>0</v>
      </c>
      <c r="O24" s="29"/>
      <c r="P24" s="29">
        <v>1.07</v>
      </c>
      <c r="Q24" s="144">
        <v>0.95000000000000007</v>
      </c>
      <c r="R24" s="144">
        <v>0.95000000000000007</v>
      </c>
      <c r="S24" s="143" t="s">
        <v>20211</v>
      </c>
      <c r="T24" s="146" t="s">
        <v>20211</v>
      </c>
      <c r="U24" s="145">
        <v>4.5714285714285712</v>
      </c>
      <c r="V24" s="505"/>
      <c r="W24" s="505" t="s">
        <v>2023</v>
      </c>
      <c r="X24" s="43"/>
      <c r="Y24" s="143">
        <v>16</v>
      </c>
      <c r="Z24" s="152">
        <v>16</v>
      </c>
      <c r="AA24" s="143" t="s">
        <v>624</v>
      </c>
      <c r="AB24" s="9">
        <v>2.5</v>
      </c>
      <c r="AC24" s="151"/>
      <c r="AD24" s="151"/>
      <c r="AE24" s="151"/>
      <c r="AF24" s="152"/>
      <c r="AG24" s="143" t="s">
        <v>20212</v>
      </c>
      <c r="AH24" s="144">
        <v>1.173913043478261E-2</v>
      </c>
      <c r="AI24" s="144">
        <v>0.13173913043478261</v>
      </c>
      <c r="AJ24" s="144">
        <v>1.07</v>
      </c>
      <c r="AK24" s="143" t="s">
        <v>248</v>
      </c>
      <c r="AL24" s="144">
        <v>1.07</v>
      </c>
      <c r="AM24" s="144">
        <v>0</v>
      </c>
      <c r="AN24" s="29">
        <v>1.07</v>
      </c>
      <c r="AO24" s="144">
        <v>0.93826086956521748</v>
      </c>
      <c r="AP24" s="144">
        <v>0.93826086956521748</v>
      </c>
      <c r="AQ24" s="153" t="s">
        <v>20211</v>
      </c>
      <c r="AR24" s="146" t="s">
        <v>20211</v>
      </c>
      <c r="AS24" s="56">
        <v>5.0186335403726714</v>
      </c>
      <c r="AT24" s="58" t="s">
        <v>500</v>
      </c>
      <c r="AU24" s="118">
        <v>1980</v>
      </c>
      <c r="AV24" s="149" t="s">
        <v>2143</v>
      </c>
      <c r="AW24" s="120">
        <v>58.386669943226799</v>
      </c>
      <c r="AX24" s="120">
        <v>35.505461550146997</v>
      </c>
    </row>
    <row r="25" spans="1:50" ht="15" customHeight="1" x14ac:dyDescent="0.25">
      <c r="A25" s="143">
        <v>17</v>
      </c>
      <c r="B25" s="143">
        <v>17</v>
      </c>
      <c r="C25" s="143" t="s">
        <v>625</v>
      </c>
      <c r="D25" s="9">
        <v>2.5</v>
      </c>
      <c r="E25" s="503"/>
      <c r="F25" s="503"/>
      <c r="G25" s="503"/>
      <c r="H25" s="501"/>
      <c r="I25" s="151" t="s">
        <v>20212</v>
      </c>
      <c r="J25" s="31">
        <v>0.14000000000000001</v>
      </c>
      <c r="K25" s="504">
        <v>0.91</v>
      </c>
      <c r="L25" s="502" t="s">
        <v>248</v>
      </c>
      <c r="M25" s="144">
        <v>0.91</v>
      </c>
      <c r="N25" s="504">
        <v>0</v>
      </c>
      <c r="O25" s="29"/>
      <c r="P25" s="29">
        <v>0.91</v>
      </c>
      <c r="Q25" s="144">
        <v>0.77</v>
      </c>
      <c r="R25" s="144">
        <v>0.77</v>
      </c>
      <c r="S25" s="143" t="s">
        <v>20211</v>
      </c>
      <c r="T25" s="146" t="s">
        <v>20211</v>
      </c>
      <c r="U25" s="145">
        <v>5.3333333333333339</v>
      </c>
      <c r="V25" s="505">
        <v>1.2</v>
      </c>
      <c r="W25" s="505" t="s">
        <v>2260</v>
      </c>
      <c r="X25" s="43"/>
      <c r="Y25" s="143">
        <v>17</v>
      </c>
      <c r="Z25" s="152">
        <v>17</v>
      </c>
      <c r="AA25" s="143" t="s">
        <v>625</v>
      </c>
      <c r="AB25" s="9">
        <v>2.5</v>
      </c>
      <c r="AC25" s="151"/>
      <c r="AD25" s="151"/>
      <c r="AE25" s="151"/>
      <c r="AF25" s="152"/>
      <c r="AG25" s="143" t="s">
        <v>20212</v>
      </c>
      <c r="AH25" s="144">
        <v>0</v>
      </c>
      <c r="AI25" s="144">
        <v>0.14000000000000001</v>
      </c>
      <c r="AJ25" s="144">
        <v>0.91</v>
      </c>
      <c r="AK25" s="143" t="s">
        <v>248</v>
      </c>
      <c r="AL25" s="144">
        <v>0.91</v>
      </c>
      <c r="AM25" s="144">
        <v>0</v>
      </c>
      <c r="AN25" s="29">
        <v>0.91</v>
      </c>
      <c r="AO25" s="144">
        <v>0.77</v>
      </c>
      <c r="AP25" s="144">
        <v>0.77</v>
      </c>
      <c r="AQ25" s="153" t="s">
        <v>20211</v>
      </c>
      <c r="AR25" s="146" t="s">
        <v>20211</v>
      </c>
      <c r="AS25" s="56">
        <v>5.3333333333333339</v>
      </c>
      <c r="AT25" s="58" t="s">
        <v>500</v>
      </c>
      <c r="AU25" s="118">
        <v>1991</v>
      </c>
      <c r="AV25" s="149" t="s">
        <v>2143</v>
      </c>
      <c r="AW25" s="120">
        <v>57.965807632511201</v>
      </c>
      <c r="AX25" s="120">
        <v>36.7677248637033</v>
      </c>
    </row>
    <row r="26" spans="1:50" ht="15" customHeight="1" x14ac:dyDescent="0.25">
      <c r="A26" s="143">
        <v>18</v>
      </c>
      <c r="B26" s="143">
        <v>18</v>
      </c>
      <c r="C26" s="143" t="s">
        <v>626</v>
      </c>
      <c r="D26" s="9">
        <v>1.6</v>
      </c>
      <c r="E26" s="503"/>
      <c r="F26" s="503"/>
      <c r="G26" s="503"/>
      <c r="H26" s="501"/>
      <c r="I26" s="151" t="s">
        <v>20210</v>
      </c>
      <c r="J26" s="31">
        <v>7.0000000000000007E-2</v>
      </c>
      <c r="K26" s="504">
        <v>0.73</v>
      </c>
      <c r="L26" s="502" t="s">
        <v>248</v>
      </c>
      <c r="M26" s="144">
        <v>0.73</v>
      </c>
      <c r="N26" s="504">
        <v>0</v>
      </c>
      <c r="O26" s="29"/>
      <c r="P26" s="29">
        <v>0.73</v>
      </c>
      <c r="Q26" s="144">
        <v>0.65999999999999992</v>
      </c>
      <c r="R26" s="144">
        <v>0.65999999999999992</v>
      </c>
      <c r="S26" s="143" t="s">
        <v>20211</v>
      </c>
      <c r="T26" s="146" t="s">
        <v>20211</v>
      </c>
      <c r="U26" s="145">
        <v>4.166666666666667</v>
      </c>
      <c r="V26" s="505">
        <v>2</v>
      </c>
      <c r="W26" s="505" t="s">
        <v>2260</v>
      </c>
      <c r="X26" s="43"/>
      <c r="Y26" s="143">
        <v>18</v>
      </c>
      <c r="Z26" s="152">
        <v>18</v>
      </c>
      <c r="AA26" s="143" t="s">
        <v>626</v>
      </c>
      <c r="AB26" s="9">
        <v>1.6</v>
      </c>
      <c r="AC26" s="151"/>
      <c r="AD26" s="151"/>
      <c r="AE26" s="151"/>
      <c r="AF26" s="152"/>
      <c r="AG26" s="143" t="s">
        <v>20210</v>
      </c>
      <c r="AH26" s="144">
        <v>0</v>
      </c>
      <c r="AI26" s="144">
        <v>7.0000000000000007E-2</v>
      </c>
      <c r="AJ26" s="144">
        <v>0.73</v>
      </c>
      <c r="AK26" s="143" t="s">
        <v>248</v>
      </c>
      <c r="AL26" s="144">
        <v>0.73</v>
      </c>
      <c r="AM26" s="144">
        <v>0</v>
      </c>
      <c r="AN26" s="29">
        <v>0.73</v>
      </c>
      <c r="AO26" s="144">
        <v>0.65999999999999992</v>
      </c>
      <c r="AP26" s="144">
        <v>0.65999999999999992</v>
      </c>
      <c r="AQ26" s="153" t="s">
        <v>20211</v>
      </c>
      <c r="AR26" s="146" t="s">
        <v>20211</v>
      </c>
      <c r="AS26" s="56">
        <v>4.166666666666667</v>
      </c>
      <c r="AT26" s="58" t="s">
        <v>500</v>
      </c>
      <c r="AU26" s="118">
        <v>1980</v>
      </c>
      <c r="AV26" s="149">
        <v>2012</v>
      </c>
      <c r="AW26" s="120">
        <v>58.149171108863001</v>
      </c>
      <c r="AX26" s="120">
        <v>37.274005809245502</v>
      </c>
    </row>
    <row r="27" spans="1:50" ht="15" customHeight="1" x14ac:dyDescent="0.25">
      <c r="A27" s="143">
        <v>19</v>
      </c>
      <c r="B27" s="143">
        <v>19</v>
      </c>
      <c r="C27" s="143" t="s">
        <v>627</v>
      </c>
      <c r="D27" s="9">
        <v>1.6</v>
      </c>
      <c r="E27" s="503"/>
      <c r="F27" s="503"/>
      <c r="G27" s="503"/>
      <c r="H27" s="501"/>
      <c r="I27" s="151" t="s">
        <v>20210</v>
      </c>
      <c r="J27" s="31">
        <v>0.15</v>
      </c>
      <c r="K27" s="504">
        <v>0.73</v>
      </c>
      <c r="L27" s="502" t="s">
        <v>248</v>
      </c>
      <c r="M27" s="144">
        <v>0.73</v>
      </c>
      <c r="N27" s="504">
        <v>0</v>
      </c>
      <c r="O27" s="29"/>
      <c r="P27" s="29">
        <v>0.73</v>
      </c>
      <c r="Q27" s="144">
        <v>0.57999999999999996</v>
      </c>
      <c r="R27" s="144">
        <v>0.57999999999999996</v>
      </c>
      <c r="S27" s="143" t="s">
        <v>20211</v>
      </c>
      <c r="T27" s="146" t="s">
        <v>20211</v>
      </c>
      <c r="U27" s="145">
        <v>8.928571428571427</v>
      </c>
      <c r="V27" s="505">
        <v>0.5</v>
      </c>
      <c r="W27" s="505" t="s">
        <v>2260</v>
      </c>
      <c r="X27" s="43"/>
      <c r="Y27" s="143">
        <v>19</v>
      </c>
      <c r="Z27" s="152">
        <v>19</v>
      </c>
      <c r="AA27" s="143" t="s">
        <v>627</v>
      </c>
      <c r="AB27" s="9">
        <v>1.6</v>
      </c>
      <c r="AC27" s="151"/>
      <c r="AD27" s="151"/>
      <c r="AE27" s="151"/>
      <c r="AF27" s="152"/>
      <c r="AG27" s="143" t="s">
        <v>20210</v>
      </c>
      <c r="AH27" s="144">
        <v>6.8478260869565214E-3</v>
      </c>
      <c r="AI27" s="144">
        <v>0.15684782608695652</v>
      </c>
      <c r="AJ27" s="144">
        <v>0.73</v>
      </c>
      <c r="AK27" s="143" t="s">
        <v>248</v>
      </c>
      <c r="AL27" s="144">
        <v>0.73</v>
      </c>
      <c r="AM27" s="144">
        <v>0</v>
      </c>
      <c r="AN27" s="29">
        <v>0.73</v>
      </c>
      <c r="AO27" s="144">
        <v>0.57315217391304341</v>
      </c>
      <c r="AP27" s="144">
        <v>0.57315217391304341</v>
      </c>
      <c r="AQ27" s="153" t="s">
        <v>20211</v>
      </c>
      <c r="AR27" s="146" t="s">
        <v>20211</v>
      </c>
      <c r="AS27" s="56">
        <v>9.3361801242236009</v>
      </c>
      <c r="AT27" s="58" t="s">
        <v>500</v>
      </c>
      <c r="AU27" s="118">
        <v>1969</v>
      </c>
      <c r="AV27" s="150">
        <v>2011</v>
      </c>
      <c r="AW27" s="120">
        <v>57.5473308204175</v>
      </c>
      <c r="AX27" s="120">
        <v>36.912513416981703</v>
      </c>
    </row>
    <row r="28" spans="1:50" ht="15" customHeight="1" x14ac:dyDescent="0.25">
      <c r="A28" s="143">
        <v>20</v>
      </c>
      <c r="B28" s="143">
        <v>20</v>
      </c>
      <c r="C28" s="143" t="s">
        <v>628</v>
      </c>
      <c r="D28" s="9">
        <v>2.5</v>
      </c>
      <c r="E28" s="503"/>
      <c r="F28" s="503"/>
      <c r="G28" s="503"/>
      <c r="H28" s="501"/>
      <c r="I28" s="151" t="s">
        <v>20212</v>
      </c>
      <c r="J28" s="31">
        <v>0.15</v>
      </c>
      <c r="K28" s="504">
        <v>0.67</v>
      </c>
      <c r="L28" s="502" t="s">
        <v>248</v>
      </c>
      <c r="M28" s="144">
        <v>0.67</v>
      </c>
      <c r="N28" s="504">
        <v>0</v>
      </c>
      <c r="O28" s="29"/>
      <c r="P28" s="29">
        <v>0.67</v>
      </c>
      <c r="Q28" s="144">
        <v>0.52</v>
      </c>
      <c r="R28" s="144">
        <v>0.52</v>
      </c>
      <c r="S28" s="143" t="s">
        <v>20211</v>
      </c>
      <c r="T28" s="146" t="s">
        <v>20211</v>
      </c>
      <c r="U28" s="145">
        <v>5.7142857142857144</v>
      </c>
      <c r="V28" s="505">
        <v>1.3</v>
      </c>
      <c r="W28" s="505" t="s">
        <v>2260</v>
      </c>
      <c r="X28" s="43"/>
      <c r="Y28" s="143">
        <v>20</v>
      </c>
      <c r="Z28" s="152">
        <v>20</v>
      </c>
      <c r="AA28" s="143" t="s">
        <v>628</v>
      </c>
      <c r="AB28" s="9">
        <v>2.5</v>
      </c>
      <c r="AC28" s="151"/>
      <c r="AD28" s="151"/>
      <c r="AE28" s="151"/>
      <c r="AF28" s="152"/>
      <c r="AG28" s="143" t="s">
        <v>20212</v>
      </c>
      <c r="AH28" s="144">
        <v>0</v>
      </c>
      <c r="AI28" s="144">
        <v>0.15</v>
      </c>
      <c r="AJ28" s="144">
        <v>0.67</v>
      </c>
      <c r="AK28" s="143" t="s">
        <v>248</v>
      </c>
      <c r="AL28" s="144">
        <v>0.67</v>
      </c>
      <c r="AM28" s="144">
        <v>0</v>
      </c>
      <c r="AN28" s="29">
        <v>0.67</v>
      </c>
      <c r="AO28" s="144">
        <v>0.52</v>
      </c>
      <c r="AP28" s="144">
        <v>0.52</v>
      </c>
      <c r="AQ28" s="153" t="s">
        <v>20211</v>
      </c>
      <c r="AR28" s="146" t="s">
        <v>20211</v>
      </c>
      <c r="AS28" s="56">
        <v>5.7142857142857144</v>
      </c>
      <c r="AT28" s="58" t="s">
        <v>500</v>
      </c>
      <c r="AU28" s="118">
        <v>1976</v>
      </c>
      <c r="AV28" s="149" t="s">
        <v>2143</v>
      </c>
      <c r="AW28" s="120">
        <v>58.393354245935797</v>
      </c>
      <c r="AX28" s="120">
        <v>36.6002455407138</v>
      </c>
    </row>
    <row r="29" spans="1:50" ht="15" customHeight="1" x14ac:dyDescent="0.25">
      <c r="A29" s="143">
        <v>21</v>
      </c>
      <c r="B29" s="143">
        <v>21</v>
      </c>
      <c r="C29" s="143" t="s">
        <v>629</v>
      </c>
      <c r="D29" s="9">
        <v>1.6</v>
      </c>
      <c r="E29" s="503"/>
      <c r="F29" s="503"/>
      <c r="G29" s="503"/>
      <c r="H29" s="501"/>
      <c r="I29" s="151" t="s">
        <v>20210</v>
      </c>
      <c r="J29" s="31">
        <v>0.44</v>
      </c>
      <c r="K29" s="504">
        <v>0.65</v>
      </c>
      <c r="L29" s="502" t="s">
        <v>248</v>
      </c>
      <c r="M29" s="144">
        <v>0.65</v>
      </c>
      <c r="N29" s="504">
        <v>0</v>
      </c>
      <c r="O29" s="29"/>
      <c r="P29" s="29">
        <v>0.65</v>
      </c>
      <c r="Q29" s="144">
        <v>0.21000000000000002</v>
      </c>
      <c r="R29" s="144">
        <v>0.21000000000000002</v>
      </c>
      <c r="S29" s="143" t="s">
        <v>20211</v>
      </c>
      <c r="T29" s="146" t="s">
        <v>20211</v>
      </c>
      <c r="U29" s="145">
        <v>26.190476190476186</v>
      </c>
      <c r="V29" s="505">
        <v>0.5</v>
      </c>
      <c r="W29" s="505" t="s">
        <v>2260</v>
      </c>
      <c r="X29" s="43"/>
      <c r="Y29" s="143">
        <v>21</v>
      </c>
      <c r="Z29" s="152">
        <v>21</v>
      </c>
      <c r="AA29" s="143" t="s">
        <v>629</v>
      </c>
      <c r="AB29" s="9">
        <v>1.6</v>
      </c>
      <c r="AC29" s="151"/>
      <c r="AD29" s="151"/>
      <c r="AE29" s="151"/>
      <c r="AF29" s="152"/>
      <c r="AG29" s="143" t="s">
        <v>20210</v>
      </c>
      <c r="AH29" s="144">
        <v>7.8260869565217397E-3</v>
      </c>
      <c r="AI29" s="144">
        <v>0.44782608695652176</v>
      </c>
      <c r="AJ29" s="144">
        <v>0.65</v>
      </c>
      <c r="AK29" s="143" t="s">
        <v>248</v>
      </c>
      <c r="AL29" s="144">
        <v>0.65</v>
      </c>
      <c r="AM29" s="144">
        <v>0</v>
      </c>
      <c r="AN29" s="29">
        <v>0.65</v>
      </c>
      <c r="AO29" s="144">
        <v>0.20217391304347826</v>
      </c>
      <c r="AP29" s="144">
        <v>0.20217391304347826</v>
      </c>
      <c r="AQ29" s="153" t="s">
        <v>20211</v>
      </c>
      <c r="AR29" s="146" t="s">
        <v>20211</v>
      </c>
      <c r="AS29" s="56">
        <v>26.656314699792961</v>
      </c>
      <c r="AT29" s="58" t="s">
        <v>500</v>
      </c>
      <c r="AU29" s="118">
        <v>1976</v>
      </c>
      <c r="AV29" s="149" t="s">
        <v>2143</v>
      </c>
      <c r="AW29" s="120">
        <v>57.677359611616701</v>
      </c>
      <c r="AX29" s="120">
        <v>36.803990047399999</v>
      </c>
    </row>
    <row r="30" spans="1:50" ht="15" customHeight="1" x14ac:dyDescent="0.25">
      <c r="A30" s="143">
        <v>22</v>
      </c>
      <c r="B30" s="143">
        <v>22</v>
      </c>
      <c r="C30" s="143" t="s">
        <v>630</v>
      </c>
      <c r="D30" s="9">
        <v>2.5</v>
      </c>
      <c r="E30" s="503"/>
      <c r="F30" s="503"/>
      <c r="G30" s="503"/>
      <c r="H30" s="501"/>
      <c r="I30" s="151" t="s">
        <v>20212</v>
      </c>
      <c r="J30" s="31">
        <v>0.11</v>
      </c>
      <c r="K30" s="504">
        <v>1.24</v>
      </c>
      <c r="L30" s="502" t="s">
        <v>248</v>
      </c>
      <c r="M30" s="144">
        <v>1.24</v>
      </c>
      <c r="N30" s="504">
        <v>0</v>
      </c>
      <c r="O30" s="29"/>
      <c r="P30" s="29">
        <v>1.24</v>
      </c>
      <c r="Q30" s="144">
        <v>1.1299999999999999</v>
      </c>
      <c r="R30" s="144">
        <v>1.1299999999999999</v>
      </c>
      <c r="S30" s="143" t="s">
        <v>20211</v>
      </c>
      <c r="T30" s="146" t="s">
        <v>20211</v>
      </c>
      <c r="U30" s="145">
        <v>4.1904761904761907</v>
      </c>
      <c r="V30" s="505"/>
      <c r="W30" s="505" t="s">
        <v>2023</v>
      </c>
      <c r="X30" s="43"/>
      <c r="Y30" s="143">
        <v>22</v>
      </c>
      <c r="Z30" s="152">
        <v>22</v>
      </c>
      <c r="AA30" s="143" t="s">
        <v>630</v>
      </c>
      <c r="AB30" s="9">
        <v>2.5</v>
      </c>
      <c r="AC30" s="151"/>
      <c r="AD30" s="151"/>
      <c r="AE30" s="151"/>
      <c r="AF30" s="152"/>
      <c r="AG30" s="143" t="s">
        <v>20212</v>
      </c>
      <c r="AH30" s="144">
        <v>0</v>
      </c>
      <c r="AI30" s="144">
        <v>0.11</v>
      </c>
      <c r="AJ30" s="144">
        <v>1.24</v>
      </c>
      <c r="AK30" s="143" t="s">
        <v>248</v>
      </c>
      <c r="AL30" s="144">
        <v>1.24</v>
      </c>
      <c r="AM30" s="144">
        <v>0</v>
      </c>
      <c r="AN30" s="29">
        <v>1.24</v>
      </c>
      <c r="AO30" s="144">
        <v>1.1299999999999999</v>
      </c>
      <c r="AP30" s="144">
        <v>1.1299999999999999</v>
      </c>
      <c r="AQ30" s="153" t="s">
        <v>20211</v>
      </c>
      <c r="AR30" s="146" t="s">
        <v>20211</v>
      </c>
      <c r="AS30" s="56">
        <v>4.1904761904761907</v>
      </c>
      <c r="AT30" s="58" t="s">
        <v>500</v>
      </c>
      <c r="AU30" s="118">
        <v>1980</v>
      </c>
      <c r="AV30" s="149" t="s">
        <v>2143</v>
      </c>
      <c r="AW30" s="120">
        <v>57.4776533741978</v>
      </c>
      <c r="AX30" s="120">
        <v>36.6106506997791</v>
      </c>
    </row>
    <row r="31" spans="1:50" ht="15" customHeight="1" x14ac:dyDescent="0.25">
      <c r="A31" s="143">
        <v>23</v>
      </c>
      <c r="B31" s="143">
        <v>23</v>
      </c>
      <c r="C31" s="143" t="s">
        <v>631</v>
      </c>
      <c r="D31" s="9">
        <v>2.5</v>
      </c>
      <c r="E31" s="503"/>
      <c r="F31" s="503"/>
      <c r="G31" s="503"/>
      <c r="H31" s="501"/>
      <c r="I31" s="151" t="s">
        <v>20212</v>
      </c>
      <c r="J31" s="31">
        <v>0.2</v>
      </c>
      <c r="K31" s="516">
        <v>1.39</v>
      </c>
      <c r="L31" s="502" t="s">
        <v>248</v>
      </c>
      <c r="M31" s="144">
        <v>1.39</v>
      </c>
      <c r="N31" s="504">
        <v>0</v>
      </c>
      <c r="O31" s="29"/>
      <c r="P31" s="29">
        <v>1.39</v>
      </c>
      <c r="Q31" s="144">
        <v>1.19</v>
      </c>
      <c r="R31" s="144">
        <v>1.19</v>
      </c>
      <c r="S31" s="143" t="s">
        <v>20211</v>
      </c>
      <c r="T31" s="146" t="s">
        <v>20211</v>
      </c>
      <c r="U31" s="145">
        <v>7.6190476190476186</v>
      </c>
      <c r="V31" s="505"/>
      <c r="W31" s="505" t="s">
        <v>2023</v>
      </c>
      <c r="X31" s="43"/>
      <c r="Y31" s="143">
        <v>23</v>
      </c>
      <c r="Z31" s="152">
        <v>23</v>
      </c>
      <c r="AA31" s="143" t="s">
        <v>631</v>
      </c>
      <c r="AB31" s="9">
        <v>2.5</v>
      </c>
      <c r="AC31" s="151"/>
      <c r="AD31" s="151"/>
      <c r="AE31" s="151"/>
      <c r="AF31" s="152"/>
      <c r="AG31" s="143" t="s">
        <v>20212</v>
      </c>
      <c r="AH31" s="144">
        <v>0</v>
      </c>
      <c r="AI31" s="144">
        <v>0.2</v>
      </c>
      <c r="AJ31" s="144">
        <v>1.39</v>
      </c>
      <c r="AK31" s="143" t="s">
        <v>248</v>
      </c>
      <c r="AL31" s="144">
        <v>1.39</v>
      </c>
      <c r="AM31" s="144">
        <v>0</v>
      </c>
      <c r="AN31" s="29">
        <v>1.39</v>
      </c>
      <c r="AO31" s="144">
        <v>1.19</v>
      </c>
      <c r="AP31" s="144">
        <v>1.19</v>
      </c>
      <c r="AQ31" s="153" t="s">
        <v>20211</v>
      </c>
      <c r="AR31" s="146" t="s">
        <v>20211</v>
      </c>
      <c r="AS31" s="56">
        <v>7.6190476190476186</v>
      </c>
      <c r="AT31" s="58" t="s">
        <v>500</v>
      </c>
      <c r="AU31" s="118">
        <v>1979</v>
      </c>
      <c r="AV31" s="149" t="s">
        <v>2143</v>
      </c>
      <c r="AW31" s="120">
        <v>57.538188854814599</v>
      </c>
      <c r="AX31" s="120">
        <v>35.975925033216697</v>
      </c>
    </row>
    <row r="32" spans="1:50" ht="15" customHeight="1" x14ac:dyDescent="0.25">
      <c r="A32" s="143">
        <v>24</v>
      </c>
      <c r="B32" s="143">
        <v>24</v>
      </c>
      <c r="C32" s="143" t="s">
        <v>632</v>
      </c>
      <c r="D32" s="9">
        <v>4</v>
      </c>
      <c r="E32" s="503"/>
      <c r="F32" s="503"/>
      <c r="G32" s="503"/>
      <c r="H32" s="501"/>
      <c r="I32" s="151" t="s">
        <v>20213</v>
      </c>
      <c r="J32" s="31">
        <v>0.86</v>
      </c>
      <c r="K32" s="504">
        <v>1.59</v>
      </c>
      <c r="L32" s="502" t="s">
        <v>248</v>
      </c>
      <c r="M32" s="144">
        <v>1.59</v>
      </c>
      <c r="N32" s="504">
        <v>0</v>
      </c>
      <c r="O32" s="29"/>
      <c r="P32" s="29">
        <v>1.59</v>
      </c>
      <c r="Q32" s="144">
        <v>0.73000000000000009</v>
      </c>
      <c r="R32" s="144">
        <v>0.73000000000000009</v>
      </c>
      <c r="S32" s="143" t="s">
        <v>20211</v>
      </c>
      <c r="T32" s="146" t="s">
        <v>20211</v>
      </c>
      <c r="U32" s="145">
        <v>20.476190476190474</v>
      </c>
      <c r="V32" s="505">
        <v>0.4</v>
      </c>
      <c r="W32" s="505" t="s">
        <v>2260</v>
      </c>
      <c r="X32" s="43"/>
      <c r="Y32" s="143">
        <v>24</v>
      </c>
      <c r="Z32" s="152">
        <v>24</v>
      </c>
      <c r="AA32" s="143" t="s">
        <v>632</v>
      </c>
      <c r="AB32" s="9">
        <v>4</v>
      </c>
      <c r="AC32" s="151"/>
      <c r="AD32" s="151"/>
      <c r="AE32" s="151"/>
      <c r="AF32" s="152"/>
      <c r="AG32" s="143" t="s">
        <v>20213</v>
      </c>
      <c r="AH32" s="144">
        <v>4.1673913043478256E-2</v>
      </c>
      <c r="AI32" s="144">
        <v>0.90167391304347821</v>
      </c>
      <c r="AJ32" s="144">
        <v>1.59</v>
      </c>
      <c r="AK32" s="143" t="s">
        <v>248</v>
      </c>
      <c r="AL32" s="144">
        <v>1.59</v>
      </c>
      <c r="AM32" s="144">
        <v>0</v>
      </c>
      <c r="AN32" s="29">
        <v>1.59</v>
      </c>
      <c r="AO32" s="144">
        <v>0.68832608695652187</v>
      </c>
      <c r="AP32" s="144">
        <v>0.68832608695652187</v>
      </c>
      <c r="AQ32" s="153" t="s">
        <v>20211</v>
      </c>
      <c r="AR32" s="146" t="s">
        <v>20211</v>
      </c>
      <c r="AS32" s="56">
        <v>21.468426501035193</v>
      </c>
      <c r="AT32" s="58" t="s">
        <v>500</v>
      </c>
      <c r="AU32" s="118">
        <v>1994</v>
      </c>
      <c r="AV32" s="149" t="s">
        <v>2143</v>
      </c>
      <c r="AW32" s="120">
        <v>57.812227650658102</v>
      </c>
      <c r="AX32" s="120">
        <v>36.689438107678001</v>
      </c>
    </row>
    <row r="33" spans="1:50" ht="15" customHeight="1" x14ac:dyDescent="0.25">
      <c r="A33" s="143">
        <v>25</v>
      </c>
      <c r="B33" s="143">
        <v>25</v>
      </c>
      <c r="C33" s="143" t="s">
        <v>633</v>
      </c>
      <c r="D33" s="9">
        <v>1.8</v>
      </c>
      <c r="E33" s="503"/>
      <c r="F33" s="503"/>
      <c r="G33" s="503"/>
      <c r="H33" s="501"/>
      <c r="I33" s="151" t="s">
        <v>20214</v>
      </c>
      <c r="J33" s="31">
        <v>0.38</v>
      </c>
      <c r="K33" s="504">
        <v>0.76</v>
      </c>
      <c r="L33" s="502" t="s">
        <v>248</v>
      </c>
      <c r="M33" s="144">
        <v>0.76</v>
      </c>
      <c r="N33" s="504">
        <v>0</v>
      </c>
      <c r="O33" s="29"/>
      <c r="P33" s="29">
        <v>0.76</v>
      </c>
      <c r="Q33" s="144">
        <v>0.38</v>
      </c>
      <c r="R33" s="144">
        <v>0.38</v>
      </c>
      <c r="S33" s="143" t="s">
        <v>20211</v>
      </c>
      <c r="T33" s="146" t="s">
        <v>20211</v>
      </c>
      <c r="U33" s="145">
        <v>20.105820105820104</v>
      </c>
      <c r="V33" s="505">
        <v>0.5</v>
      </c>
      <c r="W33" s="505" t="s">
        <v>2260</v>
      </c>
      <c r="X33" s="43"/>
      <c r="Y33" s="143">
        <v>25</v>
      </c>
      <c r="Z33" s="152">
        <v>25</v>
      </c>
      <c r="AA33" s="143" t="s">
        <v>633</v>
      </c>
      <c r="AB33" s="9">
        <v>1.8</v>
      </c>
      <c r="AC33" s="151"/>
      <c r="AD33" s="151"/>
      <c r="AE33" s="151"/>
      <c r="AF33" s="152"/>
      <c r="AG33" s="143" t="s">
        <v>20214</v>
      </c>
      <c r="AH33" s="144">
        <v>9.3326086956521739E-2</v>
      </c>
      <c r="AI33" s="144">
        <v>0.47332608695652173</v>
      </c>
      <c r="AJ33" s="144">
        <v>0.76</v>
      </c>
      <c r="AK33" s="143" t="s">
        <v>248</v>
      </c>
      <c r="AL33" s="144">
        <v>0.76</v>
      </c>
      <c r="AM33" s="144">
        <v>0</v>
      </c>
      <c r="AN33" s="29">
        <v>0.76</v>
      </c>
      <c r="AO33" s="144">
        <v>0.28667391304347828</v>
      </c>
      <c r="AP33" s="144">
        <v>0.28667391304347828</v>
      </c>
      <c r="AQ33" s="153" t="s">
        <v>20211</v>
      </c>
      <c r="AR33" s="146" t="s">
        <v>20211</v>
      </c>
      <c r="AS33" s="56">
        <v>25.043708304577869</v>
      </c>
      <c r="AT33" s="58" t="s">
        <v>500</v>
      </c>
      <c r="AU33" s="118">
        <v>1981</v>
      </c>
      <c r="AV33" s="149" t="s">
        <v>2143</v>
      </c>
      <c r="AW33" s="120">
        <v>58.464285994179797</v>
      </c>
      <c r="AX33" s="120">
        <v>37.371467100750998</v>
      </c>
    </row>
    <row r="34" spans="1:50" ht="15" customHeight="1" x14ac:dyDescent="0.25">
      <c r="A34" s="143">
        <v>26</v>
      </c>
      <c r="B34" s="143">
        <v>26</v>
      </c>
      <c r="C34" s="143" t="s">
        <v>634</v>
      </c>
      <c r="D34" s="121">
        <v>2.5</v>
      </c>
      <c r="E34" s="503"/>
      <c r="F34" s="503"/>
      <c r="G34" s="503"/>
      <c r="H34" s="501"/>
      <c r="I34" s="151" t="s">
        <v>20212</v>
      </c>
      <c r="J34" s="31">
        <v>0.27</v>
      </c>
      <c r="K34" s="504">
        <v>0.72</v>
      </c>
      <c r="L34" s="502" t="s">
        <v>248</v>
      </c>
      <c r="M34" s="144">
        <v>0.72</v>
      </c>
      <c r="N34" s="504">
        <v>0</v>
      </c>
      <c r="O34" s="29"/>
      <c r="P34" s="29">
        <v>0.72</v>
      </c>
      <c r="Q34" s="144">
        <v>0.44999999999999996</v>
      </c>
      <c r="R34" s="144">
        <v>0.44999999999999996</v>
      </c>
      <c r="S34" s="143" t="s">
        <v>20211</v>
      </c>
      <c r="T34" s="146" t="s">
        <v>20211</v>
      </c>
      <c r="U34" s="145">
        <v>10.285714285714286</v>
      </c>
      <c r="V34" s="505">
        <v>1.3</v>
      </c>
      <c r="W34" s="505" t="s">
        <v>2260</v>
      </c>
      <c r="X34" s="43"/>
      <c r="Y34" s="143">
        <v>26</v>
      </c>
      <c r="Z34" s="152">
        <v>26</v>
      </c>
      <c r="AA34" s="143" t="s">
        <v>634</v>
      </c>
      <c r="AB34" s="121">
        <v>2.5</v>
      </c>
      <c r="AC34" s="151"/>
      <c r="AD34" s="151"/>
      <c r="AE34" s="151"/>
      <c r="AF34" s="152"/>
      <c r="AG34" s="143" t="s">
        <v>20212</v>
      </c>
      <c r="AH34" s="144">
        <v>0</v>
      </c>
      <c r="AI34" s="144">
        <v>0.27</v>
      </c>
      <c r="AJ34" s="144">
        <v>0.72</v>
      </c>
      <c r="AK34" s="143" t="s">
        <v>248</v>
      </c>
      <c r="AL34" s="144">
        <v>0.72</v>
      </c>
      <c r="AM34" s="144">
        <v>0</v>
      </c>
      <c r="AN34" s="29">
        <v>0.72</v>
      </c>
      <c r="AO34" s="144">
        <v>0.44999999999999996</v>
      </c>
      <c r="AP34" s="144">
        <v>0.44999999999999996</v>
      </c>
      <c r="AQ34" s="153" t="s">
        <v>20211</v>
      </c>
      <c r="AR34" s="146" t="s">
        <v>20211</v>
      </c>
      <c r="AS34" s="56">
        <v>10.285714285714286</v>
      </c>
      <c r="AT34" s="58" t="s">
        <v>500</v>
      </c>
      <c r="AU34" s="118">
        <v>1979</v>
      </c>
      <c r="AV34" s="149">
        <v>2012</v>
      </c>
      <c r="AW34" s="120">
        <v>58.205023586651599</v>
      </c>
      <c r="AX34" s="120">
        <v>36.486957046222798</v>
      </c>
    </row>
    <row r="35" spans="1:50" ht="15" customHeight="1" x14ac:dyDescent="0.25">
      <c r="A35" s="143">
        <v>27</v>
      </c>
      <c r="B35" s="143">
        <v>27</v>
      </c>
      <c r="C35" s="143" t="s">
        <v>635</v>
      </c>
      <c r="D35" s="9">
        <v>6.3</v>
      </c>
      <c r="E35" s="503"/>
      <c r="F35" s="503"/>
      <c r="G35" s="503"/>
      <c r="H35" s="501"/>
      <c r="I35" s="151" t="s">
        <v>20215</v>
      </c>
      <c r="J35" s="31">
        <v>0.74</v>
      </c>
      <c r="K35" s="504">
        <v>1.49</v>
      </c>
      <c r="L35" s="502" t="s">
        <v>248</v>
      </c>
      <c r="M35" s="144">
        <v>1.49</v>
      </c>
      <c r="N35" s="504">
        <v>0</v>
      </c>
      <c r="O35" s="29"/>
      <c r="P35" s="29">
        <v>1.49</v>
      </c>
      <c r="Q35" s="144">
        <v>0.75</v>
      </c>
      <c r="R35" s="144">
        <v>0.75</v>
      </c>
      <c r="S35" s="143" t="s">
        <v>20211</v>
      </c>
      <c r="T35" s="146" t="s">
        <v>20211</v>
      </c>
      <c r="U35" s="145">
        <v>11.186696900982614</v>
      </c>
      <c r="V35" s="505">
        <v>0.5</v>
      </c>
      <c r="W35" s="505" t="s">
        <v>2260</v>
      </c>
      <c r="X35" s="43"/>
      <c r="Y35" s="143">
        <v>27</v>
      </c>
      <c r="Z35" s="152">
        <v>27</v>
      </c>
      <c r="AA35" s="143" t="s">
        <v>635</v>
      </c>
      <c r="AB35" s="9">
        <v>6.3</v>
      </c>
      <c r="AC35" s="151"/>
      <c r="AD35" s="151"/>
      <c r="AE35" s="151"/>
      <c r="AF35" s="152"/>
      <c r="AG35" s="143" t="s">
        <v>20215</v>
      </c>
      <c r="AH35" s="144">
        <v>2.6999999999999996E-2</v>
      </c>
      <c r="AI35" s="144">
        <v>0.76700000000000002</v>
      </c>
      <c r="AJ35" s="144">
        <v>1.49</v>
      </c>
      <c r="AK35" s="143" t="s">
        <v>248</v>
      </c>
      <c r="AL35" s="144">
        <v>1.49</v>
      </c>
      <c r="AM35" s="144">
        <v>0</v>
      </c>
      <c r="AN35" s="29">
        <v>1.49</v>
      </c>
      <c r="AO35" s="144">
        <v>0.72299999999999998</v>
      </c>
      <c r="AP35" s="144">
        <v>0.72299999999999998</v>
      </c>
      <c r="AQ35" s="153" t="s">
        <v>20211</v>
      </c>
      <c r="AR35" s="146" t="s">
        <v>20211</v>
      </c>
      <c r="AS35" s="56">
        <v>11.594860166288738</v>
      </c>
      <c r="AT35" s="58" t="s">
        <v>500</v>
      </c>
      <c r="AU35" s="118">
        <v>1982</v>
      </c>
      <c r="AV35" s="149" t="s">
        <v>2143</v>
      </c>
      <c r="AW35" s="120">
        <v>57.782564746760997</v>
      </c>
      <c r="AX35" s="120">
        <v>36.630738308910203</v>
      </c>
    </row>
    <row r="36" spans="1:50" ht="15" customHeight="1" x14ac:dyDescent="0.25">
      <c r="A36" s="143">
        <v>28</v>
      </c>
      <c r="B36" s="143">
        <v>28</v>
      </c>
      <c r="C36" s="143" t="s">
        <v>636</v>
      </c>
      <c r="D36" s="9">
        <v>2.5</v>
      </c>
      <c r="E36" s="503"/>
      <c r="F36" s="503"/>
      <c r="G36" s="503"/>
      <c r="H36" s="501"/>
      <c r="I36" s="151" t="s">
        <v>20212</v>
      </c>
      <c r="J36" s="31">
        <v>0.34</v>
      </c>
      <c r="K36" s="504">
        <v>1.39</v>
      </c>
      <c r="L36" s="502" t="s">
        <v>248</v>
      </c>
      <c r="M36" s="144">
        <v>1.39</v>
      </c>
      <c r="N36" s="504">
        <v>0</v>
      </c>
      <c r="O36" s="29"/>
      <c r="P36" s="29">
        <v>1.39</v>
      </c>
      <c r="Q36" s="144">
        <v>1.0499999999999998</v>
      </c>
      <c r="R36" s="144">
        <v>1.0499999999999998</v>
      </c>
      <c r="S36" s="143" t="s">
        <v>20211</v>
      </c>
      <c r="T36" s="146" t="s">
        <v>20211</v>
      </c>
      <c r="U36" s="145">
        <v>12.952380952380953</v>
      </c>
      <c r="V36" s="505">
        <v>0.8</v>
      </c>
      <c r="W36" s="505" t="s">
        <v>2260</v>
      </c>
      <c r="X36" s="43"/>
      <c r="Y36" s="143">
        <v>28</v>
      </c>
      <c r="Z36" s="152">
        <v>28</v>
      </c>
      <c r="AA36" s="143" t="s">
        <v>636</v>
      </c>
      <c r="AB36" s="9">
        <v>2.5</v>
      </c>
      <c r="AC36" s="151"/>
      <c r="AD36" s="151"/>
      <c r="AE36" s="151"/>
      <c r="AF36" s="152"/>
      <c r="AG36" s="143" t="s">
        <v>20212</v>
      </c>
      <c r="AH36" s="144">
        <v>2.6999999999999996E-2</v>
      </c>
      <c r="AI36" s="144">
        <v>0.36699999999999999</v>
      </c>
      <c r="AJ36" s="144">
        <v>1.39</v>
      </c>
      <c r="AK36" s="143" t="s">
        <v>248</v>
      </c>
      <c r="AL36" s="144">
        <v>1.39</v>
      </c>
      <c r="AM36" s="144">
        <v>0</v>
      </c>
      <c r="AN36" s="29">
        <v>1.39</v>
      </c>
      <c r="AO36" s="144">
        <v>1.0229999999999999</v>
      </c>
      <c r="AP36" s="144">
        <v>1.0229999999999999</v>
      </c>
      <c r="AQ36" s="153" t="s">
        <v>20211</v>
      </c>
      <c r="AR36" s="146" t="s">
        <v>20211</v>
      </c>
      <c r="AS36" s="56">
        <v>13.980952380952383</v>
      </c>
      <c r="AT36" s="58" t="s">
        <v>500</v>
      </c>
      <c r="AU36" s="118">
        <v>1983</v>
      </c>
      <c r="AV36" s="149" t="s">
        <v>2143</v>
      </c>
      <c r="AW36" s="120">
        <v>57.708587303994101</v>
      </c>
      <c r="AX36" s="120">
        <v>36.505252512965001</v>
      </c>
    </row>
    <row r="37" spans="1:50" ht="15" customHeight="1" x14ac:dyDescent="0.25">
      <c r="A37" s="143">
        <v>29</v>
      </c>
      <c r="B37" s="143">
        <v>29</v>
      </c>
      <c r="C37" s="143" t="s">
        <v>637</v>
      </c>
      <c r="D37" s="9">
        <v>2.5</v>
      </c>
      <c r="E37" s="503"/>
      <c r="F37" s="503"/>
      <c r="G37" s="503"/>
      <c r="H37" s="501"/>
      <c r="I37" s="151" t="s">
        <v>20212</v>
      </c>
      <c r="J37" s="31">
        <v>0.41</v>
      </c>
      <c r="K37" s="504">
        <v>0.87</v>
      </c>
      <c r="L37" s="502" t="s">
        <v>248</v>
      </c>
      <c r="M37" s="144">
        <v>0.87</v>
      </c>
      <c r="N37" s="504">
        <v>0</v>
      </c>
      <c r="O37" s="29"/>
      <c r="P37" s="29">
        <v>0.87</v>
      </c>
      <c r="Q37" s="144">
        <v>0.46</v>
      </c>
      <c r="R37" s="144">
        <v>0.46</v>
      </c>
      <c r="S37" s="143" t="s">
        <v>20211</v>
      </c>
      <c r="T37" s="146" t="s">
        <v>20211</v>
      </c>
      <c r="U37" s="145">
        <v>15.619047619047619</v>
      </c>
      <c r="V37" s="505">
        <v>0.5</v>
      </c>
      <c r="W37" s="505" t="s">
        <v>2260</v>
      </c>
      <c r="X37" s="43"/>
      <c r="Y37" s="143">
        <v>29</v>
      </c>
      <c r="Z37" s="152">
        <v>29</v>
      </c>
      <c r="AA37" s="143" t="s">
        <v>637</v>
      </c>
      <c r="AB37" s="9">
        <v>2.5</v>
      </c>
      <c r="AC37" s="151"/>
      <c r="AD37" s="151"/>
      <c r="AE37" s="151"/>
      <c r="AF37" s="152"/>
      <c r="AG37" s="143" t="s">
        <v>20212</v>
      </c>
      <c r="AH37" s="144">
        <v>3.7760869565217396E-2</v>
      </c>
      <c r="AI37" s="144">
        <v>0.44776086956521738</v>
      </c>
      <c r="AJ37" s="144">
        <v>0.87</v>
      </c>
      <c r="AK37" s="143" t="s">
        <v>248</v>
      </c>
      <c r="AL37" s="144">
        <v>0.87</v>
      </c>
      <c r="AM37" s="144">
        <v>0</v>
      </c>
      <c r="AN37" s="29">
        <v>0.87</v>
      </c>
      <c r="AO37" s="144">
        <v>0.42223913043478262</v>
      </c>
      <c r="AP37" s="144">
        <v>0.42223913043478262</v>
      </c>
      <c r="AQ37" s="153" t="s">
        <v>20211</v>
      </c>
      <c r="AR37" s="146" t="s">
        <v>20211</v>
      </c>
      <c r="AS37" s="56">
        <v>17.057556935817804</v>
      </c>
      <c r="AT37" s="58" t="s">
        <v>500</v>
      </c>
      <c r="AU37" s="118">
        <v>1978</v>
      </c>
      <c r="AV37" s="149" t="s">
        <v>2143</v>
      </c>
      <c r="AW37" s="120">
        <v>57.830694932763102</v>
      </c>
      <c r="AX37" s="120">
        <v>35.631129064387302</v>
      </c>
    </row>
    <row r="38" spans="1:50" ht="15" customHeight="1" x14ac:dyDescent="0.25">
      <c r="A38" s="143">
        <v>30</v>
      </c>
      <c r="B38" s="143">
        <v>30</v>
      </c>
      <c r="C38" s="143" t="s">
        <v>638</v>
      </c>
      <c r="D38" s="9">
        <v>16</v>
      </c>
      <c r="E38" s="503"/>
      <c r="F38" s="503"/>
      <c r="G38" s="503"/>
      <c r="H38" s="501"/>
      <c r="I38" s="151" t="s">
        <v>20216</v>
      </c>
      <c r="J38" s="31">
        <v>0.97</v>
      </c>
      <c r="K38" s="504">
        <v>2.86</v>
      </c>
      <c r="L38" s="502" t="s">
        <v>248</v>
      </c>
      <c r="M38" s="144">
        <v>2.86</v>
      </c>
      <c r="N38" s="504">
        <v>0</v>
      </c>
      <c r="O38" s="29"/>
      <c r="P38" s="29">
        <v>2.86</v>
      </c>
      <c r="Q38" s="144">
        <v>1.89</v>
      </c>
      <c r="R38" s="144">
        <v>1.89</v>
      </c>
      <c r="S38" s="143" t="s">
        <v>20211</v>
      </c>
      <c r="T38" s="146" t="s">
        <v>20211</v>
      </c>
      <c r="U38" s="145">
        <v>5.7738095238095237</v>
      </c>
      <c r="V38" s="505">
        <v>0.3</v>
      </c>
      <c r="W38" s="505" t="s">
        <v>2260</v>
      </c>
      <c r="X38" s="43"/>
      <c r="Y38" s="143">
        <v>30</v>
      </c>
      <c r="Z38" s="152">
        <v>30</v>
      </c>
      <c r="AA38" s="143" t="s">
        <v>638</v>
      </c>
      <c r="AB38" s="9">
        <v>16</v>
      </c>
      <c r="AC38" s="151"/>
      <c r="AD38" s="151"/>
      <c r="AE38" s="151"/>
      <c r="AF38" s="152"/>
      <c r="AG38" s="143" t="s">
        <v>20216</v>
      </c>
      <c r="AH38" s="144">
        <v>4.578260869565217E-2</v>
      </c>
      <c r="AI38" s="144">
        <v>1.0157826086956521</v>
      </c>
      <c r="AJ38" s="144">
        <v>2.86</v>
      </c>
      <c r="AK38" s="143" t="s">
        <v>248</v>
      </c>
      <c r="AL38" s="144">
        <v>2.86</v>
      </c>
      <c r="AM38" s="144">
        <v>0</v>
      </c>
      <c r="AN38" s="29">
        <v>2.86</v>
      </c>
      <c r="AO38" s="144">
        <v>1.8442173913043478</v>
      </c>
      <c r="AP38" s="144">
        <v>1.8442173913043478</v>
      </c>
      <c r="AQ38" s="153" t="s">
        <v>20211</v>
      </c>
      <c r="AR38" s="146" t="s">
        <v>20211</v>
      </c>
      <c r="AS38" s="56">
        <v>6.0463250517598341</v>
      </c>
      <c r="AT38" s="58" t="s">
        <v>500</v>
      </c>
      <c r="AU38" s="118">
        <v>1998</v>
      </c>
      <c r="AV38" s="149" t="s">
        <v>2143</v>
      </c>
      <c r="AW38" s="120">
        <v>57.776523504667999</v>
      </c>
      <c r="AX38" s="120">
        <v>36.718058575477002</v>
      </c>
    </row>
    <row r="39" spans="1:50" ht="15" customHeight="1" x14ac:dyDescent="0.25">
      <c r="A39" s="143">
        <v>31</v>
      </c>
      <c r="B39" s="143">
        <v>31</v>
      </c>
      <c r="C39" s="143" t="s">
        <v>639</v>
      </c>
      <c r="D39" s="9">
        <v>10</v>
      </c>
      <c r="E39" s="503"/>
      <c r="F39" s="503"/>
      <c r="G39" s="503"/>
      <c r="H39" s="501"/>
      <c r="I39" s="151" t="s">
        <v>2429</v>
      </c>
      <c r="J39" s="31">
        <v>5.0599999999999996</v>
      </c>
      <c r="K39" s="504">
        <v>5</v>
      </c>
      <c r="L39" s="502" t="s">
        <v>248</v>
      </c>
      <c r="M39" s="144">
        <v>5</v>
      </c>
      <c r="N39" s="504">
        <v>0</v>
      </c>
      <c r="O39" s="29"/>
      <c r="P39" s="29">
        <v>5</v>
      </c>
      <c r="Q39" s="144">
        <v>-5.9999999999999609E-2</v>
      </c>
      <c r="R39" s="144">
        <v>-5.9999999999999609E-2</v>
      </c>
      <c r="S39" s="143" t="s">
        <v>2217</v>
      </c>
      <c r="T39" s="146" t="s">
        <v>2217</v>
      </c>
      <c r="U39" s="145">
        <v>48.190476190476183</v>
      </c>
      <c r="V39" s="505">
        <v>0.4</v>
      </c>
      <c r="W39" s="505" t="s">
        <v>2260</v>
      </c>
      <c r="X39" s="43"/>
      <c r="Y39" s="143">
        <v>31</v>
      </c>
      <c r="Z39" s="152">
        <v>31</v>
      </c>
      <c r="AA39" s="143" t="s">
        <v>639</v>
      </c>
      <c r="AB39" s="9">
        <v>10</v>
      </c>
      <c r="AC39" s="151"/>
      <c r="AD39" s="151"/>
      <c r="AE39" s="151"/>
      <c r="AF39" s="152"/>
      <c r="AG39" s="143" t="s">
        <v>2429</v>
      </c>
      <c r="AH39" s="144">
        <v>6.3978260869565207E-2</v>
      </c>
      <c r="AI39" s="144">
        <v>5.1239782608695652</v>
      </c>
      <c r="AJ39" s="144">
        <v>5</v>
      </c>
      <c r="AK39" s="143" t="s">
        <v>248</v>
      </c>
      <c r="AL39" s="144">
        <v>5</v>
      </c>
      <c r="AM39" s="144">
        <v>0</v>
      </c>
      <c r="AN39" s="29">
        <v>5</v>
      </c>
      <c r="AO39" s="144">
        <v>-0.1239782608695652</v>
      </c>
      <c r="AP39" s="144">
        <v>-0.1239782608695652</v>
      </c>
      <c r="AQ39" s="153" t="s">
        <v>2217</v>
      </c>
      <c r="AR39" s="146" t="s">
        <v>2217</v>
      </c>
      <c r="AS39" s="56">
        <v>48.799792960662529</v>
      </c>
      <c r="AT39" s="58" t="s">
        <v>500</v>
      </c>
      <c r="AU39" s="118">
        <v>1981</v>
      </c>
      <c r="AV39" s="149" t="s">
        <v>2143</v>
      </c>
      <c r="AW39" s="120">
        <v>57.780753789986697</v>
      </c>
      <c r="AX39" s="120">
        <v>37.171410467278399</v>
      </c>
    </row>
    <row r="40" spans="1:50" ht="15" customHeight="1" x14ac:dyDescent="0.25">
      <c r="A40" s="875">
        <v>32</v>
      </c>
      <c r="B40" s="875">
        <v>32</v>
      </c>
      <c r="C40" s="166" t="s">
        <v>640</v>
      </c>
      <c r="D40" s="124">
        <v>6.3</v>
      </c>
      <c r="E40" s="125"/>
      <c r="F40" s="125"/>
      <c r="G40" s="125"/>
      <c r="H40" s="507"/>
      <c r="I40" s="125" t="s">
        <v>20215</v>
      </c>
      <c r="J40" s="126">
        <v>0.79</v>
      </c>
      <c r="K40" s="514">
        <v>1.36</v>
      </c>
      <c r="L40" s="511" t="s">
        <v>248</v>
      </c>
      <c r="M40" s="164">
        <v>1.36</v>
      </c>
      <c r="N40" s="514">
        <v>0</v>
      </c>
      <c r="O40" s="129"/>
      <c r="P40" s="129">
        <v>1.36</v>
      </c>
      <c r="Q40" s="164">
        <v>0.57000000000000006</v>
      </c>
      <c r="R40" s="948">
        <v>-0.56000000000000005</v>
      </c>
      <c r="S40" s="955" t="s">
        <v>2217</v>
      </c>
      <c r="T40" s="173" t="s">
        <v>2217</v>
      </c>
      <c r="U40" s="893">
        <v>11.942554799697657</v>
      </c>
      <c r="V40" s="880">
        <v>1</v>
      </c>
      <c r="W40" s="880" t="s">
        <v>2260</v>
      </c>
      <c r="X40" s="43"/>
      <c r="Y40" s="921">
        <v>32</v>
      </c>
      <c r="Z40" s="897">
        <v>32</v>
      </c>
      <c r="AA40" s="166" t="s">
        <v>640</v>
      </c>
      <c r="AB40" s="124">
        <v>6.3</v>
      </c>
      <c r="AC40" s="125"/>
      <c r="AD40" s="125"/>
      <c r="AE40" s="125"/>
      <c r="AF40" s="156"/>
      <c r="AG40" s="166" t="s">
        <v>20215</v>
      </c>
      <c r="AH40" s="164">
        <v>0.11289130434782609</v>
      </c>
      <c r="AI40" s="164">
        <v>0.90289130434782616</v>
      </c>
      <c r="AJ40" s="164">
        <v>1.36</v>
      </c>
      <c r="AK40" s="166" t="s">
        <v>248</v>
      </c>
      <c r="AL40" s="164">
        <v>1.36</v>
      </c>
      <c r="AM40" s="164">
        <v>0</v>
      </c>
      <c r="AN40" s="129">
        <v>1.36</v>
      </c>
      <c r="AO40" s="164">
        <v>0.45710869565217394</v>
      </c>
      <c r="AP40" s="948">
        <v>-0.65332608695652183</v>
      </c>
      <c r="AQ40" s="965" t="s">
        <v>2217</v>
      </c>
      <c r="AR40" s="173" t="s">
        <v>2217</v>
      </c>
      <c r="AS40" s="951">
        <v>13.64915048144862</v>
      </c>
      <c r="AT40" s="175" t="s">
        <v>500</v>
      </c>
      <c r="AU40" s="176">
        <v>1979</v>
      </c>
      <c r="AV40" s="177" t="s">
        <v>2143</v>
      </c>
      <c r="AW40" s="178">
        <v>58.547368724877003</v>
      </c>
      <c r="AX40" s="178">
        <v>37.081294891711501</v>
      </c>
    </row>
    <row r="41" spans="1:50" ht="15" customHeight="1" x14ac:dyDescent="0.25">
      <c r="A41" s="875"/>
      <c r="B41" s="875"/>
      <c r="C41" s="166" t="s">
        <v>1142</v>
      </c>
      <c r="D41" s="124">
        <v>6.3</v>
      </c>
      <c r="E41" s="125"/>
      <c r="F41" s="125"/>
      <c r="G41" s="125"/>
      <c r="H41" s="507"/>
      <c r="I41" s="125" t="s">
        <v>20215</v>
      </c>
      <c r="J41" s="126">
        <v>0.56000000000000005</v>
      </c>
      <c r="K41" s="514">
        <v>0</v>
      </c>
      <c r="L41" s="511">
        <v>0</v>
      </c>
      <c r="M41" s="164">
        <v>0</v>
      </c>
      <c r="N41" s="514">
        <v>0</v>
      </c>
      <c r="O41" s="129"/>
      <c r="P41" s="129">
        <v>0</v>
      </c>
      <c r="Q41" s="164">
        <v>-0.56000000000000005</v>
      </c>
      <c r="R41" s="949"/>
      <c r="S41" s="956"/>
      <c r="T41" s="173" t="s">
        <v>20211</v>
      </c>
      <c r="U41" s="893"/>
      <c r="V41" s="881"/>
      <c r="W41" s="881"/>
      <c r="X41" s="43"/>
      <c r="Y41" s="921"/>
      <c r="Z41" s="897"/>
      <c r="AA41" s="166" t="s">
        <v>1142</v>
      </c>
      <c r="AB41" s="124">
        <v>6.3</v>
      </c>
      <c r="AC41" s="125"/>
      <c r="AD41" s="125"/>
      <c r="AE41" s="125"/>
      <c r="AF41" s="156"/>
      <c r="AG41" s="166" t="s">
        <v>20215</v>
      </c>
      <c r="AH41" s="164">
        <v>9.3326086956521739E-2</v>
      </c>
      <c r="AI41" s="164">
        <v>0.65332608695652183</v>
      </c>
      <c r="AJ41" s="164">
        <v>0</v>
      </c>
      <c r="AK41" s="166">
        <v>0</v>
      </c>
      <c r="AL41" s="164">
        <v>0</v>
      </c>
      <c r="AM41" s="164">
        <v>0</v>
      </c>
      <c r="AN41" s="129">
        <v>0</v>
      </c>
      <c r="AO41" s="164">
        <v>-0.65332608695652183</v>
      </c>
      <c r="AP41" s="949"/>
      <c r="AQ41" s="966"/>
      <c r="AR41" s="173" t="s">
        <v>20211</v>
      </c>
      <c r="AS41" s="952"/>
      <c r="AT41" s="175" t="s">
        <v>500</v>
      </c>
      <c r="AU41" s="176">
        <v>1979</v>
      </c>
      <c r="AV41" s="177" t="s">
        <v>2143</v>
      </c>
      <c r="AW41" s="178">
        <v>58.547368724877003</v>
      </c>
      <c r="AX41" s="178">
        <v>37.081294891711501</v>
      </c>
    </row>
    <row r="42" spans="1:50" ht="15" customHeight="1" x14ac:dyDescent="0.25">
      <c r="A42" s="875"/>
      <c r="B42" s="875"/>
      <c r="C42" s="166" t="s">
        <v>1141</v>
      </c>
      <c r="D42" s="124">
        <v>6.3</v>
      </c>
      <c r="E42" s="125"/>
      <c r="F42" s="125"/>
      <c r="G42" s="125"/>
      <c r="H42" s="507"/>
      <c r="I42" s="125" t="s">
        <v>20215</v>
      </c>
      <c r="J42" s="126">
        <v>0.23</v>
      </c>
      <c r="K42" s="514">
        <v>1.36</v>
      </c>
      <c r="L42" s="511" t="s">
        <v>248</v>
      </c>
      <c r="M42" s="164">
        <v>1.36</v>
      </c>
      <c r="N42" s="514">
        <v>0</v>
      </c>
      <c r="O42" s="129"/>
      <c r="P42" s="129">
        <v>1.36</v>
      </c>
      <c r="Q42" s="164">
        <v>1.1300000000000001</v>
      </c>
      <c r="R42" s="950"/>
      <c r="S42" s="957"/>
      <c r="T42" s="173" t="s">
        <v>20211</v>
      </c>
      <c r="U42" s="893"/>
      <c r="V42" s="882"/>
      <c r="W42" s="882"/>
      <c r="X42" s="43"/>
      <c r="Y42" s="921"/>
      <c r="Z42" s="897"/>
      <c r="AA42" s="166" t="s">
        <v>1141</v>
      </c>
      <c r="AB42" s="124">
        <v>6.3</v>
      </c>
      <c r="AC42" s="125"/>
      <c r="AD42" s="125"/>
      <c r="AE42" s="125"/>
      <c r="AF42" s="156"/>
      <c r="AG42" s="166" t="s">
        <v>20215</v>
      </c>
      <c r="AH42" s="164">
        <v>1.9565217391304349E-2</v>
      </c>
      <c r="AI42" s="164">
        <v>0.24956521739130436</v>
      </c>
      <c r="AJ42" s="164">
        <v>1.36</v>
      </c>
      <c r="AK42" s="166" t="s">
        <v>248</v>
      </c>
      <c r="AL42" s="164">
        <v>1.36</v>
      </c>
      <c r="AM42" s="164">
        <v>0</v>
      </c>
      <c r="AN42" s="129">
        <v>1.36</v>
      </c>
      <c r="AO42" s="164">
        <v>1.1104347826086958</v>
      </c>
      <c r="AP42" s="950"/>
      <c r="AQ42" s="967"/>
      <c r="AR42" s="173" t="s">
        <v>20211</v>
      </c>
      <c r="AS42" s="953"/>
      <c r="AT42" s="175" t="s">
        <v>500</v>
      </c>
      <c r="AU42" s="176">
        <v>1979</v>
      </c>
      <c r="AV42" s="177" t="s">
        <v>2143</v>
      </c>
      <c r="AW42" s="178">
        <v>58.547368724877003</v>
      </c>
      <c r="AX42" s="178">
        <v>37.081294891711501</v>
      </c>
    </row>
    <row r="43" spans="1:50" ht="15" customHeight="1" x14ac:dyDescent="0.25">
      <c r="A43" s="875">
        <v>33</v>
      </c>
      <c r="B43" s="875">
        <v>33</v>
      </c>
      <c r="C43" s="166" t="s">
        <v>641</v>
      </c>
      <c r="D43" s="124">
        <v>6.3</v>
      </c>
      <c r="E43" s="125"/>
      <c r="F43" s="125"/>
      <c r="G43" s="125"/>
      <c r="H43" s="507"/>
      <c r="I43" s="125" t="s">
        <v>20215</v>
      </c>
      <c r="J43" s="126">
        <v>0.7</v>
      </c>
      <c r="K43" s="514">
        <v>1.38</v>
      </c>
      <c r="L43" s="511" t="s">
        <v>248</v>
      </c>
      <c r="M43" s="164">
        <v>1.38</v>
      </c>
      <c r="N43" s="514">
        <v>0</v>
      </c>
      <c r="O43" s="129"/>
      <c r="P43" s="129">
        <v>1.38</v>
      </c>
      <c r="Q43" s="164">
        <v>0.67999999999999994</v>
      </c>
      <c r="R43" s="963">
        <v>-0.06</v>
      </c>
      <c r="S43" s="955" t="s">
        <v>2217</v>
      </c>
      <c r="T43" s="173" t="s">
        <v>2217</v>
      </c>
      <c r="U43" s="893">
        <v>10.582010582010582</v>
      </c>
      <c r="V43" s="880">
        <v>0.7</v>
      </c>
      <c r="W43" s="880" t="s">
        <v>2260</v>
      </c>
      <c r="X43" s="43"/>
      <c r="Y43" s="921">
        <v>33</v>
      </c>
      <c r="Z43" s="897">
        <v>33</v>
      </c>
      <c r="AA43" s="166" t="s">
        <v>641</v>
      </c>
      <c r="AB43" s="124">
        <v>6.3</v>
      </c>
      <c r="AC43" s="125"/>
      <c r="AD43" s="125"/>
      <c r="AE43" s="125"/>
      <c r="AF43" s="156"/>
      <c r="AG43" s="166" t="s">
        <v>20215</v>
      </c>
      <c r="AH43" s="164">
        <v>8.8043478260869563E-3</v>
      </c>
      <c r="AI43" s="164">
        <v>0.70880434782608692</v>
      </c>
      <c r="AJ43" s="164">
        <v>1.38</v>
      </c>
      <c r="AK43" s="166" t="s">
        <v>248</v>
      </c>
      <c r="AL43" s="164">
        <v>1.38</v>
      </c>
      <c r="AM43" s="164">
        <v>0</v>
      </c>
      <c r="AN43" s="129">
        <v>1.38</v>
      </c>
      <c r="AO43" s="164">
        <v>0.67119565217391297</v>
      </c>
      <c r="AP43" s="948">
        <v>-0.06</v>
      </c>
      <c r="AQ43" s="965" t="s">
        <v>2217</v>
      </c>
      <c r="AR43" s="173" t="s">
        <v>2217</v>
      </c>
      <c r="AS43" s="951">
        <v>10.715107298958229</v>
      </c>
      <c r="AT43" s="175" t="s">
        <v>500</v>
      </c>
      <c r="AU43" s="176">
        <v>1980</v>
      </c>
      <c r="AV43" s="177" t="s">
        <v>2143</v>
      </c>
      <c r="AW43" s="178">
        <v>58.413755079792601</v>
      </c>
      <c r="AX43" s="178">
        <v>37.073295478038403</v>
      </c>
    </row>
    <row r="44" spans="1:50" ht="15" customHeight="1" x14ac:dyDescent="0.25">
      <c r="A44" s="875"/>
      <c r="B44" s="875"/>
      <c r="C44" s="166" t="s">
        <v>1142</v>
      </c>
      <c r="D44" s="124">
        <v>6.3</v>
      </c>
      <c r="E44" s="125"/>
      <c r="F44" s="125"/>
      <c r="G44" s="125"/>
      <c r="H44" s="507"/>
      <c r="I44" s="125" t="s">
        <v>20215</v>
      </c>
      <c r="J44" s="126">
        <v>0.06</v>
      </c>
      <c r="K44" s="514">
        <v>0</v>
      </c>
      <c r="L44" s="511">
        <v>0</v>
      </c>
      <c r="M44" s="164">
        <v>0</v>
      </c>
      <c r="N44" s="514">
        <v>0</v>
      </c>
      <c r="O44" s="129"/>
      <c r="P44" s="129">
        <v>0</v>
      </c>
      <c r="Q44" s="164">
        <v>-0.06</v>
      </c>
      <c r="R44" s="963"/>
      <c r="S44" s="956"/>
      <c r="T44" s="173" t="s">
        <v>20211</v>
      </c>
      <c r="U44" s="893"/>
      <c r="V44" s="881"/>
      <c r="W44" s="881"/>
      <c r="X44" s="43"/>
      <c r="Y44" s="921"/>
      <c r="Z44" s="897"/>
      <c r="AA44" s="166" t="s">
        <v>1142</v>
      </c>
      <c r="AB44" s="124">
        <v>6.3</v>
      </c>
      <c r="AC44" s="125"/>
      <c r="AD44" s="125"/>
      <c r="AE44" s="125"/>
      <c r="AF44" s="156"/>
      <c r="AG44" s="166" t="s">
        <v>20215</v>
      </c>
      <c r="AH44" s="164">
        <v>0</v>
      </c>
      <c r="AI44" s="164">
        <v>0.06</v>
      </c>
      <c r="AJ44" s="164">
        <v>0</v>
      </c>
      <c r="AK44" s="166">
        <v>0</v>
      </c>
      <c r="AL44" s="164">
        <v>0</v>
      </c>
      <c r="AM44" s="164">
        <v>0</v>
      </c>
      <c r="AN44" s="129">
        <v>0</v>
      </c>
      <c r="AO44" s="164">
        <v>-0.06</v>
      </c>
      <c r="AP44" s="949"/>
      <c r="AQ44" s="966"/>
      <c r="AR44" s="173" t="s">
        <v>20211</v>
      </c>
      <c r="AS44" s="952"/>
      <c r="AT44" s="175" t="s">
        <v>500</v>
      </c>
      <c r="AU44" s="176">
        <v>1980</v>
      </c>
      <c r="AV44" s="177" t="s">
        <v>2143</v>
      </c>
      <c r="AW44" s="178">
        <v>58.413755079792601</v>
      </c>
      <c r="AX44" s="178">
        <v>37.073295478038403</v>
      </c>
    </row>
    <row r="45" spans="1:50" ht="15" customHeight="1" x14ac:dyDescent="0.25">
      <c r="A45" s="875"/>
      <c r="B45" s="875"/>
      <c r="C45" s="166" t="s">
        <v>1141</v>
      </c>
      <c r="D45" s="124">
        <v>6.3</v>
      </c>
      <c r="E45" s="125"/>
      <c r="F45" s="125"/>
      <c r="G45" s="125"/>
      <c r="H45" s="507"/>
      <c r="I45" s="125" t="s">
        <v>20215</v>
      </c>
      <c r="J45" s="126">
        <v>0.64</v>
      </c>
      <c r="K45" s="514">
        <v>1.38</v>
      </c>
      <c r="L45" s="511" t="s">
        <v>248</v>
      </c>
      <c r="M45" s="164">
        <v>1.38</v>
      </c>
      <c r="N45" s="514">
        <v>0</v>
      </c>
      <c r="O45" s="129"/>
      <c r="P45" s="129">
        <v>1.38</v>
      </c>
      <c r="Q45" s="164">
        <v>0.73999999999999988</v>
      </c>
      <c r="R45" s="963"/>
      <c r="S45" s="957"/>
      <c r="T45" s="173" t="s">
        <v>20211</v>
      </c>
      <c r="U45" s="893"/>
      <c r="V45" s="882"/>
      <c r="W45" s="882"/>
      <c r="X45" s="43"/>
      <c r="Y45" s="921"/>
      <c r="Z45" s="897"/>
      <c r="AA45" s="166" t="s">
        <v>1141</v>
      </c>
      <c r="AB45" s="124">
        <v>6.3</v>
      </c>
      <c r="AC45" s="125"/>
      <c r="AD45" s="125"/>
      <c r="AE45" s="125"/>
      <c r="AF45" s="156"/>
      <c r="AG45" s="166" t="s">
        <v>20215</v>
      </c>
      <c r="AH45" s="164">
        <v>8.8043478260869563E-3</v>
      </c>
      <c r="AI45" s="164">
        <v>0.64880434782608698</v>
      </c>
      <c r="AJ45" s="164">
        <v>1.38</v>
      </c>
      <c r="AK45" s="166" t="s">
        <v>248</v>
      </c>
      <c r="AL45" s="164">
        <v>1.38</v>
      </c>
      <c r="AM45" s="164">
        <v>0</v>
      </c>
      <c r="AN45" s="129">
        <v>1.38</v>
      </c>
      <c r="AO45" s="164">
        <v>0.73119565217391291</v>
      </c>
      <c r="AP45" s="950"/>
      <c r="AQ45" s="967"/>
      <c r="AR45" s="173" t="s">
        <v>20211</v>
      </c>
      <c r="AS45" s="953"/>
      <c r="AT45" s="175" t="s">
        <v>500</v>
      </c>
      <c r="AU45" s="176">
        <v>1980</v>
      </c>
      <c r="AV45" s="177" t="s">
        <v>2143</v>
      </c>
      <c r="AW45" s="178">
        <v>58.413755079792601</v>
      </c>
      <c r="AX45" s="178">
        <v>37.073295478038403</v>
      </c>
    </row>
    <row r="46" spans="1:50" ht="15" customHeight="1" x14ac:dyDescent="0.25">
      <c r="A46" s="871">
        <v>34</v>
      </c>
      <c r="B46" s="143">
        <v>34</v>
      </c>
      <c r="C46" s="166" t="s">
        <v>642</v>
      </c>
      <c r="D46" s="124">
        <v>5.6</v>
      </c>
      <c r="E46" s="125"/>
      <c r="F46" s="125"/>
      <c r="G46" s="125"/>
      <c r="H46" s="507"/>
      <c r="I46" s="125" t="s">
        <v>20217</v>
      </c>
      <c r="J46" s="126">
        <v>0.54</v>
      </c>
      <c r="K46" s="514">
        <v>1.39</v>
      </c>
      <c r="L46" s="511" t="s">
        <v>248</v>
      </c>
      <c r="M46" s="164">
        <v>1.39</v>
      </c>
      <c r="N46" s="514">
        <v>0</v>
      </c>
      <c r="O46" s="129"/>
      <c r="P46" s="129">
        <v>1.39</v>
      </c>
      <c r="Q46" s="164">
        <v>0.84999999999999987</v>
      </c>
      <c r="R46" s="948">
        <v>-0.12</v>
      </c>
      <c r="S46" s="955" t="s">
        <v>2217</v>
      </c>
      <c r="T46" s="173" t="s">
        <v>2217</v>
      </c>
      <c r="U46" s="894">
        <v>9.183673469387756</v>
      </c>
      <c r="V46" s="880">
        <v>1</v>
      </c>
      <c r="W46" s="880" t="s">
        <v>2260</v>
      </c>
      <c r="X46" s="43"/>
      <c r="Y46" s="955">
        <v>34</v>
      </c>
      <c r="Z46" s="156">
        <v>34</v>
      </c>
      <c r="AA46" s="166" t="s">
        <v>642</v>
      </c>
      <c r="AB46" s="124">
        <v>5.6</v>
      </c>
      <c r="AC46" s="125"/>
      <c r="AD46" s="125"/>
      <c r="AE46" s="125"/>
      <c r="AF46" s="156"/>
      <c r="AG46" s="166" t="s">
        <v>20217</v>
      </c>
      <c r="AH46" s="164">
        <v>0.1880217391304348</v>
      </c>
      <c r="AI46" s="164">
        <v>0.72802173913043489</v>
      </c>
      <c r="AJ46" s="164">
        <v>1.39</v>
      </c>
      <c r="AK46" s="166" t="s">
        <v>248</v>
      </c>
      <c r="AL46" s="164">
        <v>1.39</v>
      </c>
      <c r="AM46" s="164">
        <v>0</v>
      </c>
      <c r="AN46" s="129">
        <v>1.39</v>
      </c>
      <c r="AO46" s="164">
        <v>0.66197826086956502</v>
      </c>
      <c r="AP46" s="948">
        <v>-0.12</v>
      </c>
      <c r="AQ46" s="965" t="s">
        <v>2217</v>
      </c>
      <c r="AR46" s="173" t="s">
        <v>2217</v>
      </c>
      <c r="AS46" s="951">
        <v>12.381322094055015</v>
      </c>
      <c r="AT46" s="175" t="s">
        <v>500</v>
      </c>
      <c r="AU46" s="176">
        <v>1966</v>
      </c>
      <c r="AV46" s="177" t="s">
        <v>2143</v>
      </c>
      <c r="AW46" s="178">
        <v>57.564684502073497</v>
      </c>
      <c r="AX46" s="178">
        <v>36.316230032992799</v>
      </c>
    </row>
    <row r="47" spans="1:50" ht="15" customHeight="1" x14ac:dyDescent="0.25">
      <c r="A47" s="872"/>
      <c r="B47" s="143"/>
      <c r="C47" s="166" t="s">
        <v>1142</v>
      </c>
      <c r="D47" s="124">
        <v>5.6</v>
      </c>
      <c r="E47" s="125"/>
      <c r="F47" s="125"/>
      <c r="G47" s="125"/>
      <c r="H47" s="507"/>
      <c r="I47" s="125" t="s">
        <v>20217</v>
      </c>
      <c r="J47" s="126">
        <v>0.12</v>
      </c>
      <c r="K47" s="514">
        <v>0</v>
      </c>
      <c r="L47" s="511">
        <v>0</v>
      </c>
      <c r="M47" s="164">
        <v>0</v>
      </c>
      <c r="N47" s="514">
        <v>0</v>
      </c>
      <c r="O47" s="129"/>
      <c r="P47" s="129">
        <v>0</v>
      </c>
      <c r="Q47" s="164">
        <v>-0.12</v>
      </c>
      <c r="R47" s="949"/>
      <c r="S47" s="956"/>
      <c r="T47" s="173" t="s">
        <v>20211</v>
      </c>
      <c r="U47" s="895"/>
      <c r="V47" s="881"/>
      <c r="W47" s="881"/>
      <c r="X47" s="43"/>
      <c r="Y47" s="956"/>
      <c r="Z47" s="156"/>
      <c r="AA47" s="166" t="s">
        <v>1142</v>
      </c>
      <c r="AB47" s="124">
        <v>5.6</v>
      </c>
      <c r="AC47" s="125"/>
      <c r="AD47" s="125"/>
      <c r="AE47" s="125"/>
      <c r="AF47" s="156"/>
      <c r="AG47" s="166" t="s">
        <v>20217</v>
      </c>
      <c r="AH47" s="164">
        <v>0</v>
      </c>
      <c r="AI47" s="164">
        <v>0.12</v>
      </c>
      <c r="AJ47" s="164">
        <v>0</v>
      </c>
      <c r="AK47" s="166">
        <v>0</v>
      </c>
      <c r="AL47" s="164">
        <v>0</v>
      </c>
      <c r="AM47" s="164">
        <v>0</v>
      </c>
      <c r="AN47" s="129">
        <v>0</v>
      </c>
      <c r="AO47" s="164">
        <v>-0.12</v>
      </c>
      <c r="AP47" s="949"/>
      <c r="AQ47" s="966"/>
      <c r="AR47" s="173" t="s">
        <v>20211</v>
      </c>
      <c r="AS47" s="952"/>
      <c r="AT47" s="175" t="s">
        <v>500</v>
      </c>
      <c r="AU47" s="176">
        <v>1966</v>
      </c>
      <c r="AV47" s="177" t="s">
        <v>2143</v>
      </c>
      <c r="AW47" s="178">
        <v>57.564684502073497</v>
      </c>
      <c r="AX47" s="178">
        <v>36.316230032992799</v>
      </c>
    </row>
    <row r="48" spans="1:50" ht="15" customHeight="1" x14ac:dyDescent="0.25">
      <c r="A48" s="873"/>
      <c r="B48" s="143"/>
      <c r="C48" s="166" t="s">
        <v>1141</v>
      </c>
      <c r="D48" s="124">
        <v>5.6</v>
      </c>
      <c r="E48" s="125"/>
      <c r="F48" s="125"/>
      <c r="G48" s="125"/>
      <c r="H48" s="507"/>
      <c r="I48" s="125" t="s">
        <v>20217</v>
      </c>
      <c r="J48" s="126">
        <v>0.42</v>
      </c>
      <c r="K48" s="514">
        <v>1.39</v>
      </c>
      <c r="L48" s="511" t="s">
        <v>248</v>
      </c>
      <c r="M48" s="164">
        <v>1.39</v>
      </c>
      <c r="N48" s="514">
        <v>0</v>
      </c>
      <c r="O48" s="129"/>
      <c r="P48" s="129">
        <v>1.39</v>
      </c>
      <c r="Q48" s="164">
        <v>0.97</v>
      </c>
      <c r="R48" s="950"/>
      <c r="S48" s="957"/>
      <c r="T48" s="173" t="s">
        <v>20211</v>
      </c>
      <c r="U48" s="896"/>
      <c r="V48" s="882"/>
      <c r="W48" s="882"/>
      <c r="X48" s="43"/>
      <c r="Y48" s="957"/>
      <c r="Z48" s="156"/>
      <c r="AA48" s="166" t="s">
        <v>1141</v>
      </c>
      <c r="AB48" s="124">
        <v>5.6</v>
      </c>
      <c r="AC48" s="125"/>
      <c r="AD48" s="125"/>
      <c r="AE48" s="125"/>
      <c r="AF48" s="156"/>
      <c r="AG48" s="166" t="s">
        <v>20217</v>
      </c>
      <c r="AH48" s="164">
        <v>0.1880217391304348</v>
      </c>
      <c r="AI48" s="164">
        <v>0.60802173913043478</v>
      </c>
      <c r="AJ48" s="164">
        <v>1.39</v>
      </c>
      <c r="AK48" s="166" t="s">
        <v>248</v>
      </c>
      <c r="AL48" s="164">
        <v>1.39</v>
      </c>
      <c r="AM48" s="164">
        <v>0</v>
      </c>
      <c r="AN48" s="129">
        <v>1.39</v>
      </c>
      <c r="AO48" s="164">
        <v>0.78197826086956512</v>
      </c>
      <c r="AP48" s="950"/>
      <c r="AQ48" s="967"/>
      <c r="AR48" s="173" t="s">
        <v>20211</v>
      </c>
      <c r="AS48" s="953"/>
      <c r="AT48" s="175" t="s">
        <v>500</v>
      </c>
      <c r="AU48" s="176">
        <v>1966</v>
      </c>
      <c r="AV48" s="177" t="s">
        <v>2143</v>
      </c>
      <c r="AW48" s="178">
        <v>57.564684502073497</v>
      </c>
      <c r="AX48" s="178">
        <v>36.316230032992799</v>
      </c>
    </row>
    <row r="49" spans="1:50" ht="15" customHeight="1" x14ac:dyDescent="0.25">
      <c r="A49" s="871">
        <v>35</v>
      </c>
      <c r="B49" s="143">
        <v>35</v>
      </c>
      <c r="C49" s="143" t="s">
        <v>643</v>
      </c>
      <c r="D49" s="9">
        <v>6.3</v>
      </c>
      <c r="E49" s="503"/>
      <c r="F49" s="503"/>
      <c r="G49" s="503"/>
      <c r="H49" s="501"/>
      <c r="I49" s="151" t="s">
        <v>20215</v>
      </c>
      <c r="J49" s="31">
        <v>2.39</v>
      </c>
      <c r="K49" s="504">
        <v>5.0999999999999996</v>
      </c>
      <c r="L49" s="502" t="s">
        <v>248</v>
      </c>
      <c r="M49" s="144">
        <v>5.0999999999999996</v>
      </c>
      <c r="N49" s="504">
        <v>0</v>
      </c>
      <c r="O49" s="29"/>
      <c r="P49" s="29">
        <v>5.0999999999999996</v>
      </c>
      <c r="Q49" s="144">
        <v>2.7099999999999995</v>
      </c>
      <c r="R49" s="144">
        <v>0.78</v>
      </c>
      <c r="S49" s="145" t="s">
        <v>20211</v>
      </c>
      <c r="T49" s="146" t="s">
        <v>20211</v>
      </c>
      <c r="U49" s="145">
        <v>36.130007558578988</v>
      </c>
      <c r="V49" s="505"/>
      <c r="W49" s="505" t="s">
        <v>2023</v>
      </c>
      <c r="X49" s="43"/>
      <c r="Y49" s="871">
        <v>35</v>
      </c>
      <c r="Z49" s="152">
        <v>35</v>
      </c>
      <c r="AA49" s="143" t="s">
        <v>643</v>
      </c>
      <c r="AB49" s="9">
        <v>6.3</v>
      </c>
      <c r="AC49" s="151"/>
      <c r="AD49" s="151"/>
      <c r="AE49" s="151"/>
      <c r="AF49" s="152"/>
      <c r="AG49" s="143" t="s">
        <v>20215</v>
      </c>
      <c r="AH49" s="144">
        <v>9.8021739130434771E-2</v>
      </c>
      <c r="AI49" s="144">
        <v>2.4880217391304349</v>
      </c>
      <c r="AJ49" s="144">
        <v>5.0999999999999996</v>
      </c>
      <c r="AK49" s="143" t="s">
        <v>248</v>
      </c>
      <c r="AL49" s="144">
        <v>5.0999999999999996</v>
      </c>
      <c r="AM49" s="144">
        <v>0</v>
      </c>
      <c r="AN49" s="29">
        <v>5.0999999999999996</v>
      </c>
      <c r="AO49" s="144">
        <v>2.6119782608695647</v>
      </c>
      <c r="AP49" s="902">
        <v>0.78</v>
      </c>
      <c r="AQ49" s="145" t="s">
        <v>20211</v>
      </c>
      <c r="AR49" s="146" t="s">
        <v>20211</v>
      </c>
      <c r="AS49" s="945">
        <v>37.611817673929473</v>
      </c>
      <c r="AT49" s="58" t="s">
        <v>500</v>
      </c>
      <c r="AU49" s="118">
        <v>1967</v>
      </c>
      <c r="AV49" s="149" t="s">
        <v>2143</v>
      </c>
      <c r="AW49" s="120">
        <v>58.2898085836852</v>
      </c>
      <c r="AX49" s="120">
        <v>36.138191362349801</v>
      </c>
    </row>
    <row r="50" spans="1:50" ht="15" customHeight="1" x14ac:dyDescent="0.25">
      <c r="A50" s="872"/>
      <c r="B50" s="143"/>
      <c r="C50" s="143" t="s">
        <v>1142</v>
      </c>
      <c r="D50" s="9">
        <v>6.3</v>
      </c>
      <c r="E50" s="503"/>
      <c r="F50" s="503"/>
      <c r="G50" s="503"/>
      <c r="H50" s="501"/>
      <c r="I50" s="151" t="s">
        <v>20215</v>
      </c>
      <c r="J50" s="31">
        <v>2.2400000000000002</v>
      </c>
      <c r="K50" s="504">
        <v>4.17</v>
      </c>
      <c r="L50" s="502" t="s">
        <v>248</v>
      </c>
      <c r="M50" s="144">
        <v>4.17</v>
      </c>
      <c r="N50" s="504">
        <v>0</v>
      </c>
      <c r="O50" s="29"/>
      <c r="P50" s="29">
        <v>4.17</v>
      </c>
      <c r="Q50" s="144">
        <v>1.9299999999999997</v>
      </c>
      <c r="R50" s="144"/>
      <c r="S50" s="145" t="s">
        <v>20211</v>
      </c>
      <c r="T50" s="146" t="s">
        <v>20211</v>
      </c>
      <c r="U50" s="145"/>
      <c r="V50" s="505"/>
      <c r="W50" s="505"/>
      <c r="X50" s="43"/>
      <c r="Y50" s="872"/>
      <c r="Z50" s="152"/>
      <c r="AA50" s="143" t="s">
        <v>1142</v>
      </c>
      <c r="AB50" s="9">
        <v>6.3</v>
      </c>
      <c r="AC50" s="151"/>
      <c r="AD50" s="151"/>
      <c r="AE50" s="151"/>
      <c r="AF50" s="152"/>
      <c r="AG50" s="143" t="s">
        <v>20215</v>
      </c>
      <c r="AH50" s="144">
        <v>9.8021739130434771E-2</v>
      </c>
      <c r="AI50" s="144">
        <v>2.338021739130435</v>
      </c>
      <c r="AJ50" s="144">
        <v>4.17</v>
      </c>
      <c r="AK50" s="143" t="s">
        <v>248</v>
      </c>
      <c r="AL50" s="144">
        <v>4.17</v>
      </c>
      <c r="AM50" s="144">
        <v>0</v>
      </c>
      <c r="AN50" s="29">
        <v>4.17</v>
      </c>
      <c r="AO50" s="144">
        <v>1.8319782608695649</v>
      </c>
      <c r="AP50" s="903"/>
      <c r="AQ50" s="145" t="s">
        <v>20211</v>
      </c>
      <c r="AR50" s="146" t="s">
        <v>20211</v>
      </c>
      <c r="AS50" s="946"/>
      <c r="AT50" s="58" t="s">
        <v>500</v>
      </c>
      <c r="AU50" s="118">
        <v>1967</v>
      </c>
      <c r="AV50" s="149" t="s">
        <v>2143</v>
      </c>
      <c r="AW50" s="120">
        <v>58.2898085836852</v>
      </c>
      <c r="AX50" s="120">
        <v>36.138191362349801</v>
      </c>
    </row>
    <row r="51" spans="1:50" ht="15" customHeight="1" x14ac:dyDescent="0.25">
      <c r="A51" s="873"/>
      <c r="B51" s="143"/>
      <c r="C51" s="143" t="s">
        <v>1141</v>
      </c>
      <c r="D51" s="9">
        <v>6.3</v>
      </c>
      <c r="E51" s="503"/>
      <c r="F51" s="503"/>
      <c r="G51" s="503"/>
      <c r="H51" s="501"/>
      <c r="I51" s="151" t="s">
        <v>20215</v>
      </c>
      <c r="J51" s="31">
        <v>0.15</v>
      </c>
      <c r="K51" s="504">
        <v>0.93</v>
      </c>
      <c r="L51" s="502" t="s">
        <v>248</v>
      </c>
      <c r="M51" s="144">
        <v>0.93</v>
      </c>
      <c r="N51" s="504">
        <v>0</v>
      </c>
      <c r="O51" s="29"/>
      <c r="P51" s="29">
        <v>0.93</v>
      </c>
      <c r="Q51" s="144">
        <v>0.78</v>
      </c>
      <c r="R51" s="144"/>
      <c r="S51" s="145" t="s">
        <v>20211</v>
      </c>
      <c r="T51" s="146" t="s">
        <v>20211</v>
      </c>
      <c r="U51" s="145"/>
      <c r="V51" s="505"/>
      <c r="W51" s="505"/>
      <c r="X51" s="43"/>
      <c r="Y51" s="873"/>
      <c r="Z51" s="152"/>
      <c r="AA51" s="143" t="s">
        <v>1141</v>
      </c>
      <c r="AB51" s="9">
        <v>6.3</v>
      </c>
      <c r="AC51" s="151"/>
      <c r="AD51" s="151"/>
      <c r="AE51" s="151"/>
      <c r="AF51" s="152"/>
      <c r="AG51" s="143" t="s">
        <v>20215</v>
      </c>
      <c r="AH51" s="144">
        <v>0</v>
      </c>
      <c r="AI51" s="144">
        <v>0.15</v>
      </c>
      <c r="AJ51" s="144">
        <v>0.93</v>
      </c>
      <c r="AK51" s="143" t="s">
        <v>248</v>
      </c>
      <c r="AL51" s="144">
        <v>0.93</v>
      </c>
      <c r="AM51" s="144">
        <v>0</v>
      </c>
      <c r="AN51" s="29">
        <v>0.93</v>
      </c>
      <c r="AO51" s="144">
        <v>0.78</v>
      </c>
      <c r="AP51" s="904"/>
      <c r="AQ51" s="145" t="s">
        <v>20211</v>
      </c>
      <c r="AR51" s="146" t="s">
        <v>20211</v>
      </c>
      <c r="AS51" s="947"/>
      <c r="AT51" s="58" t="s">
        <v>500</v>
      </c>
      <c r="AU51" s="118">
        <v>1967</v>
      </c>
      <c r="AV51" s="149" t="s">
        <v>2143</v>
      </c>
      <c r="AW51" s="120">
        <v>58.2898085836852</v>
      </c>
      <c r="AX51" s="120">
        <v>36.138191362349801</v>
      </c>
    </row>
    <row r="52" spans="1:50" ht="15" customHeight="1" x14ac:dyDescent="0.25">
      <c r="A52" s="143">
        <v>36</v>
      </c>
      <c r="B52" s="143">
        <v>36</v>
      </c>
      <c r="C52" s="143" t="s">
        <v>644</v>
      </c>
      <c r="D52" s="9">
        <v>1</v>
      </c>
      <c r="E52" s="503" t="s">
        <v>522</v>
      </c>
      <c r="F52" s="503">
        <v>1</v>
      </c>
      <c r="G52" s="503"/>
      <c r="H52" s="501"/>
      <c r="I52" s="151" t="s">
        <v>20218</v>
      </c>
      <c r="J52" s="31">
        <v>0.1</v>
      </c>
      <c r="K52" s="504">
        <v>0.7</v>
      </c>
      <c r="L52" s="502" t="s">
        <v>248</v>
      </c>
      <c r="M52" s="144">
        <v>-0.6</v>
      </c>
      <c r="N52" s="504">
        <v>0</v>
      </c>
      <c r="O52" s="29"/>
      <c r="P52" s="29">
        <v>1.05</v>
      </c>
      <c r="Q52" s="144">
        <v>1.65</v>
      </c>
      <c r="R52" s="144">
        <v>1.65</v>
      </c>
      <c r="S52" s="145" t="s">
        <v>20211</v>
      </c>
      <c r="T52" s="146" t="s">
        <v>20211</v>
      </c>
      <c r="U52" s="145">
        <v>9.5238095238095237</v>
      </c>
      <c r="V52" s="505">
        <v>0.5</v>
      </c>
      <c r="W52" s="505" t="s">
        <v>2260</v>
      </c>
      <c r="X52" s="43"/>
      <c r="Y52" s="143">
        <v>36</v>
      </c>
      <c r="Z52" s="152">
        <v>36</v>
      </c>
      <c r="AA52" s="143" t="s">
        <v>644</v>
      </c>
      <c r="AB52" s="9">
        <v>1</v>
      </c>
      <c r="AC52" s="151" t="s">
        <v>522</v>
      </c>
      <c r="AD52" s="151">
        <v>1</v>
      </c>
      <c r="AE52" s="151"/>
      <c r="AF52" s="152"/>
      <c r="AG52" s="143" t="s">
        <v>20218</v>
      </c>
      <c r="AH52" s="144">
        <v>4.6956521739130435E-3</v>
      </c>
      <c r="AI52" s="144">
        <v>0.10469565217391305</v>
      </c>
      <c r="AJ52" s="144">
        <v>0.7</v>
      </c>
      <c r="AK52" s="143" t="s">
        <v>248</v>
      </c>
      <c r="AL52" s="144">
        <v>-0.59530434782608688</v>
      </c>
      <c r="AM52" s="144">
        <v>0</v>
      </c>
      <c r="AN52" s="29">
        <v>1.05</v>
      </c>
      <c r="AO52" s="144">
        <v>1.6453043478260869</v>
      </c>
      <c r="AP52" s="144">
        <v>1.6453043478260869</v>
      </c>
      <c r="AQ52" s="145" t="s">
        <v>20211</v>
      </c>
      <c r="AR52" s="146" t="s">
        <v>20211</v>
      </c>
      <c r="AS52" s="56">
        <v>9.9710144927536231</v>
      </c>
      <c r="AT52" s="58" t="s">
        <v>500</v>
      </c>
      <c r="AU52" s="118">
        <v>1990</v>
      </c>
      <c r="AV52" s="149" t="s">
        <v>2143</v>
      </c>
      <c r="AW52" s="120">
        <v>58.285012691051499</v>
      </c>
      <c r="AX52" s="120">
        <v>36.678206871206797</v>
      </c>
    </row>
    <row r="53" spans="1:50" ht="15" customHeight="1" x14ac:dyDescent="0.25">
      <c r="A53" s="143">
        <v>37</v>
      </c>
      <c r="B53" s="143">
        <v>37</v>
      </c>
      <c r="C53" s="143" t="s">
        <v>645</v>
      </c>
      <c r="D53" s="9">
        <v>2.5</v>
      </c>
      <c r="E53" s="503" t="s">
        <v>522</v>
      </c>
      <c r="F53" s="503">
        <v>4</v>
      </c>
      <c r="G53" s="503"/>
      <c r="H53" s="501"/>
      <c r="I53" s="151" t="s">
        <v>20219</v>
      </c>
      <c r="J53" s="31">
        <v>1.84</v>
      </c>
      <c r="K53" s="504">
        <v>1.36</v>
      </c>
      <c r="L53" s="502" t="s">
        <v>248</v>
      </c>
      <c r="M53" s="144">
        <v>0.48</v>
      </c>
      <c r="N53" s="504">
        <v>0</v>
      </c>
      <c r="O53" s="29"/>
      <c r="P53" s="29">
        <v>2.625</v>
      </c>
      <c r="Q53" s="144">
        <v>2.145</v>
      </c>
      <c r="R53" s="144">
        <v>2.145</v>
      </c>
      <c r="S53" s="145" t="s">
        <v>20211</v>
      </c>
      <c r="T53" s="146" t="s">
        <v>20211</v>
      </c>
      <c r="U53" s="145">
        <v>70.095238095238102</v>
      </c>
      <c r="V53" s="505">
        <v>0.6</v>
      </c>
      <c r="W53" s="505" t="s">
        <v>2260</v>
      </c>
      <c r="X53" s="43"/>
      <c r="Y53" s="143">
        <v>37</v>
      </c>
      <c r="Z53" s="152">
        <v>37</v>
      </c>
      <c r="AA53" s="143" t="s">
        <v>645</v>
      </c>
      <c r="AB53" s="9">
        <v>2.5</v>
      </c>
      <c r="AC53" s="151" t="s">
        <v>522</v>
      </c>
      <c r="AD53" s="151">
        <v>4</v>
      </c>
      <c r="AE53" s="151"/>
      <c r="AF53" s="152"/>
      <c r="AG53" s="143" t="s">
        <v>20219</v>
      </c>
      <c r="AH53" s="144">
        <v>7.4543478260869558E-2</v>
      </c>
      <c r="AI53" s="144">
        <v>1.9145434782608697</v>
      </c>
      <c r="AJ53" s="144">
        <v>1.36</v>
      </c>
      <c r="AK53" s="143" t="s">
        <v>248</v>
      </c>
      <c r="AL53" s="144">
        <v>0.55454347826086958</v>
      </c>
      <c r="AM53" s="144">
        <v>0</v>
      </c>
      <c r="AN53" s="29">
        <v>2.625</v>
      </c>
      <c r="AO53" s="144">
        <v>2.0704565217391302</v>
      </c>
      <c r="AP53" s="144">
        <v>2.0704565217391302</v>
      </c>
      <c r="AQ53" s="145" t="s">
        <v>20211</v>
      </c>
      <c r="AR53" s="146" t="s">
        <v>20211</v>
      </c>
      <c r="AS53" s="56">
        <v>72.934989648033138</v>
      </c>
      <c r="AT53" s="58" t="s">
        <v>500</v>
      </c>
      <c r="AU53" s="118">
        <v>1967</v>
      </c>
      <c r="AV53" s="150">
        <v>2011</v>
      </c>
      <c r="AW53" s="120">
        <v>58.2957611052909</v>
      </c>
      <c r="AX53" s="120">
        <v>35.522793476085099</v>
      </c>
    </row>
    <row r="54" spans="1:50" ht="15" customHeight="1" x14ac:dyDescent="0.25">
      <c r="A54" s="143">
        <v>38</v>
      </c>
      <c r="B54" s="143">
        <v>38</v>
      </c>
      <c r="C54" s="143" t="s">
        <v>646</v>
      </c>
      <c r="D54" s="9">
        <v>6.3</v>
      </c>
      <c r="E54" s="503" t="s">
        <v>522</v>
      </c>
      <c r="F54" s="503">
        <v>4</v>
      </c>
      <c r="G54" s="503"/>
      <c r="H54" s="501"/>
      <c r="I54" s="151" t="s">
        <v>20220</v>
      </c>
      <c r="J54" s="31">
        <v>3.4</v>
      </c>
      <c r="K54" s="504">
        <v>1.8</v>
      </c>
      <c r="L54" s="502" t="s">
        <v>248</v>
      </c>
      <c r="M54" s="144">
        <v>1.5999999999999999</v>
      </c>
      <c r="N54" s="504">
        <v>0</v>
      </c>
      <c r="O54" s="29"/>
      <c r="P54" s="29">
        <v>4.2</v>
      </c>
      <c r="Q54" s="144">
        <v>2.6000000000000005</v>
      </c>
      <c r="R54" s="144">
        <v>2.6000000000000005</v>
      </c>
      <c r="S54" s="145" t="s">
        <v>20211</v>
      </c>
      <c r="T54" s="146" t="s">
        <v>20211</v>
      </c>
      <c r="U54" s="145">
        <v>80.952380952380949</v>
      </c>
      <c r="V54" s="505">
        <v>0.6</v>
      </c>
      <c r="W54" s="505" t="s">
        <v>2260</v>
      </c>
      <c r="X54" s="43"/>
      <c r="Y54" s="143">
        <v>38</v>
      </c>
      <c r="Z54" s="152">
        <v>38</v>
      </c>
      <c r="AA54" s="143" t="s">
        <v>646</v>
      </c>
      <c r="AB54" s="9">
        <v>6.3</v>
      </c>
      <c r="AC54" s="151" t="s">
        <v>522</v>
      </c>
      <c r="AD54" s="151">
        <v>4</v>
      </c>
      <c r="AE54" s="151"/>
      <c r="AF54" s="152"/>
      <c r="AG54" s="143" t="s">
        <v>20220</v>
      </c>
      <c r="AH54" s="144">
        <v>0.4679347826086957</v>
      </c>
      <c r="AI54" s="144">
        <v>3.8679347826086956</v>
      </c>
      <c r="AJ54" s="144">
        <v>1.8</v>
      </c>
      <c r="AK54" s="143" t="s">
        <v>248</v>
      </c>
      <c r="AL54" s="144">
        <v>2.0679347826086953</v>
      </c>
      <c r="AM54" s="144">
        <v>0</v>
      </c>
      <c r="AN54" s="29">
        <v>4.2</v>
      </c>
      <c r="AO54" s="144">
        <v>2.1320652173913048</v>
      </c>
      <c r="AP54" s="144">
        <v>2.1320652173913048</v>
      </c>
      <c r="AQ54" s="145" t="s">
        <v>20211</v>
      </c>
      <c r="AR54" s="146" t="s">
        <v>20211</v>
      </c>
      <c r="AS54" s="56">
        <v>92.093685300207028</v>
      </c>
      <c r="AT54" s="58" t="s">
        <v>500</v>
      </c>
      <c r="AU54" s="118">
        <v>1964</v>
      </c>
      <c r="AV54" s="150">
        <v>2011</v>
      </c>
      <c r="AW54" s="120">
        <v>57.775240333090302</v>
      </c>
      <c r="AX54" s="120">
        <v>35.932209388654101</v>
      </c>
    </row>
    <row r="55" spans="1:50" ht="15" customHeight="1" x14ac:dyDescent="0.25">
      <c r="A55" s="143">
        <v>39</v>
      </c>
      <c r="B55" s="143">
        <v>39</v>
      </c>
      <c r="C55" s="143" t="s">
        <v>647</v>
      </c>
      <c r="D55" s="9">
        <v>4</v>
      </c>
      <c r="E55" s="503" t="s">
        <v>522</v>
      </c>
      <c r="F55" s="503">
        <v>2.5</v>
      </c>
      <c r="G55" s="503"/>
      <c r="H55" s="501"/>
      <c r="I55" s="151" t="s">
        <v>20221</v>
      </c>
      <c r="J55" s="31">
        <v>1.64</v>
      </c>
      <c r="K55" s="504">
        <v>1.75</v>
      </c>
      <c r="L55" s="502" t="s">
        <v>248</v>
      </c>
      <c r="M55" s="144">
        <v>-0.1100000000000001</v>
      </c>
      <c r="N55" s="504">
        <v>0</v>
      </c>
      <c r="O55" s="29"/>
      <c r="P55" s="29">
        <v>2.625</v>
      </c>
      <c r="Q55" s="144">
        <v>2.7350000000000003</v>
      </c>
      <c r="R55" s="144">
        <v>2.7350000000000003</v>
      </c>
      <c r="S55" s="145" t="s">
        <v>20211</v>
      </c>
      <c r="T55" s="146" t="s">
        <v>20211</v>
      </c>
      <c r="U55" s="145">
        <v>62.476190476190474</v>
      </c>
      <c r="V55" s="505">
        <v>0.8</v>
      </c>
      <c r="W55" s="505" t="s">
        <v>2260</v>
      </c>
      <c r="X55" s="43"/>
      <c r="Y55" s="143">
        <v>39</v>
      </c>
      <c r="Z55" s="152">
        <v>39</v>
      </c>
      <c r="AA55" s="143" t="s">
        <v>647</v>
      </c>
      <c r="AB55" s="9">
        <v>4</v>
      </c>
      <c r="AC55" s="151" t="s">
        <v>522</v>
      </c>
      <c r="AD55" s="151">
        <v>2.5</v>
      </c>
      <c r="AE55" s="151"/>
      <c r="AF55" s="152"/>
      <c r="AG55" s="143" t="s">
        <v>20221</v>
      </c>
      <c r="AH55" s="144">
        <v>4.9891304347826092E-2</v>
      </c>
      <c r="AI55" s="144">
        <v>1.6898913043478261</v>
      </c>
      <c r="AJ55" s="144">
        <v>1.75</v>
      </c>
      <c r="AK55" s="143" t="s">
        <v>248</v>
      </c>
      <c r="AL55" s="144">
        <v>-6.0108695652173916E-2</v>
      </c>
      <c r="AM55" s="144">
        <v>0</v>
      </c>
      <c r="AN55" s="29">
        <v>2.625</v>
      </c>
      <c r="AO55" s="144">
        <v>2.6851086956521737</v>
      </c>
      <c r="AP55" s="144">
        <v>2.6851086956521737</v>
      </c>
      <c r="AQ55" s="145" t="s">
        <v>20211</v>
      </c>
      <c r="AR55" s="146" t="s">
        <v>20211</v>
      </c>
      <c r="AS55" s="56">
        <v>64.376811594202891</v>
      </c>
      <c r="AT55" s="58" t="s">
        <v>500</v>
      </c>
      <c r="AU55" s="118">
        <v>1961</v>
      </c>
      <c r="AV55" s="149" t="s">
        <v>2143</v>
      </c>
      <c r="AW55" s="120">
        <v>58.149503084579898</v>
      </c>
      <c r="AX55" s="120">
        <v>36.754327949918697</v>
      </c>
    </row>
    <row r="56" spans="1:50" ht="15" customHeight="1" x14ac:dyDescent="0.25">
      <c r="A56" s="143">
        <v>40</v>
      </c>
      <c r="B56" s="143">
        <v>40</v>
      </c>
      <c r="C56" s="143" t="s">
        <v>648</v>
      </c>
      <c r="D56" s="9">
        <v>2.5</v>
      </c>
      <c r="E56" s="503" t="s">
        <v>522</v>
      </c>
      <c r="F56" s="503">
        <v>2.5</v>
      </c>
      <c r="G56" s="503"/>
      <c r="H56" s="501"/>
      <c r="I56" s="151" t="s">
        <v>20222</v>
      </c>
      <c r="J56" s="31">
        <v>0.21</v>
      </c>
      <c r="K56" s="504">
        <v>0</v>
      </c>
      <c r="L56" s="502">
        <v>0</v>
      </c>
      <c r="M56" s="144">
        <v>0.21</v>
      </c>
      <c r="N56" s="504">
        <v>0</v>
      </c>
      <c r="O56" s="29"/>
      <c r="P56" s="29">
        <v>2.625</v>
      </c>
      <c r="Q56" s="144">
        <v>2.415</v>
      </c>
      <c r="R56" s="144">
        <v>2.415</v>
      </c>
      <c r="S56" s="145" t="s">
        <v>20211</v>
      </c>
      <c r="T56" s="146" t="s">
        <v>20211</v>
      </c>
      <c r="U56" s="145">
        <v>8</v>
      </c>
      <c r="V56" s="505">
        <v>1.3</v>
      </c>
      <c r="W56" s="505" t="s">
        <v>2260</v>
      </c>
      <c r="X56" s="43"/>
      <c r="Y56" s="143">
        <v>40</v>
      </c>
      <c r="Z56" s="152">
        <v>40</v>
      </c>
      <c r="AA56" s="143" t="s">
        <v>648</v>
      </c>
      <c r="AB56" s="9">
        <v>2.5</v>
      </c>
      <c r="AC56" s="151" t="s">
        <v>522</v>
      </c>
      <c r="AD56" s="151">
        <v>2.5</v>
      </c>
      <c r="AE56" s="151"/>
      <c r="AF56" s="152"/>
      <c r="AG56" s="143" t="s">
        <v>20222</v>
      </c>
      <c r="AH56" s="144">
        <v>0</v>
      </c>
      <c r="AI56" s="144">
        <v>0.21</v>
      </c>
      <c r="AJ56" s="144">
        <v>0</v>
      </c>
      <c r="AK56" s="143">
        <v>0</v>
      </c>
      <c r="AL56" s="144">
        <v>0.21</v>
      </c>
      <c r="AM56" s="144">
        <v>0</v>
      </c>
      <c r="AN56" s="29">
        <v>2.625</v>
      </c>
      <c r="AO56" s="144">
        <v>2.415</v>
      </c>
      <c r="AP56" s="144">
        <v>2.415</v>
      </c>
      <c r="AQ56" s="145" t="s">
        <v>20211</v>
      </c>
      <c r="AR56" s="146" t="s">
        <v>20211</v>
      </c>
      <c r="AS56" s="56">
        <v>8</v>
      </c>
      <c r="AT56" s="58" t="s">
        <v>500</v>
      </c>
      <c r="AU56" s="118">
        <v>1978</v>
      </c>
      <c r="AV56" s="149" t="s">
        <v>2143</v>
      </c>
      <c r="AW56" s="120">
        <v>58.064675135796001</v>
      </c>
      <c r="AX56" s="120">
        <v>36.619704493160597</v>
      </c>
    </row>
    <row r="57" spans="1:50" ht="15" customHeight="1" x14ac:dyDescent="0.25">
      <c r="A57" s="143">
        <v>41</v>
      </c>
      <c r="B57" s="143">
        <v>41</v>
      </c>
      <c r="C57" s="143" t="s">
        <v>649</v>
      </c>
      <c r="D57" s="9">
        <v>1.6</v>
      </c>
      <c r="E57" s="503" t="s">
        <v>522</v>
      </c>
      <c r="F57" s="503">
        <v>2.5</v>
      </c>
      <c r="G57" s="503"/>
      <c r="H57" s="501"/>
      <c r="I57" s="151" t="s">
        <v>20223</v>
      </c>
      <c r="J57" s="31">
        <v>1.08</v>
      </c>
      <c r="K57" s="504">
        <v>1.39</v>
      </c>
      <c r="L57" s="502" t="s">
        <v>248</v>
      </c>
      <c r="M57" s="144">
        <v>-0.30999999999999983</v>
      </c>
      <c r="N57" s="504">
        <v>0</v>
      </c>
      <c r="O57" s="29"/>
      <c r="P57" s="29">
        <v>1.6800000000000002</v>
      </c>
      <c r="Q57" s="144">
        <v>1.99</v>
      </c>
      <c r="R57" s="144">
        <v>1.99</v>
      </c>
      <c r="S57" s="145" t="s">
        <v>20211</v>
      </c>
      <c r="T57" s="146" t="s">
        <v>20211</v>
      </c>
      <c r="U57" s="145">
        <v>64.285714285714278</v>
      </c>
      <c r="V57" s="505">
        <v>0.6</v>
      </c>
      <c r="W57" s="505" t="s">
        <v>2260</v>
      </c>
      <c r="X57" s="43"/>
      <c r="Y57" s="143">
        <v>41</v>
      </c>
      <c r="Z57" s="152">
        <v>41</v>
      </c>
      <c r="AA57" s="143" t="s">
        <v>649</v>
      </c>
      <c r="AB57" s="9">
        <v>1.6</v>
      </c>
      <c r="AC57" s="151" t="s">
        <v>522</v>
      </c>
      <c r="AD57" s="151">
        <v>2.5</v>
      </c>
      <c r="AE57" s="151"/>
      <c r="AF57" s="152"/>
      <c r="AG57" s="143" t="s">
        <v>20223</v>
      </c>
      <c r="AH57" s="144">
        <v>0.18947826086956518</v>
      </c>
      <c r="AI57" s="144">
        <v>1.2694782608695652</v>
      </c>
      <c r="AJ57" s="144">
        <v>1.39</v>
      </c>
      <c r="AK57" s="143" t="s">
        <v>248</v>
      </c>
      <c r="AL57" s="144">
        <v>-0.12052173913043474</v>
      </c>
      <c r="AM57" s="144">
        <v>0</v>
      </c>
      <c r="AN57" s="29">
        <v>1.6800000000000002</v>
      </c>
      <c r="AO57" s="144">
        <v>1.8005217391304349</v>
      </c>
      <c r="AP57" s="144">
        <v>1.8005217391304349</v>
      </c>
      <c r="AQ57" s="145" t="s">
        <v>20211</v>
      </c>
      <c r="AR57" s="146" t="s">
        <v>20211</v>
      </c>
      <c r="AS57" s="56">
        <v>75.564182194616961</v>
      </c>
      <c r="AT57" s="58" t="s">
        <v>500</v>
      </c>
      <c r="AU57" s="118">
        <v>1975</v>
      </c>
      <c r="AV57" s="149" t="s">
        <v>2143</v>
      </c>
      <c r="AW57" s="120">
        <v>57.632090002592399</v>
      </c>
      <c r="AX57" s="120">
        <v>35.908846469797197</v>
      </c>
    </row>
    <row r="58" spans="1:50" ht="15" customHeight="1" x14ac:dyDescent="0.25">
      <c r="A58" s="143">
        <v>42</v>
      </c>
      <c r="B58" s="143">
        <v>42</v>
      </c>
      <c r="C58" s="143" t="s">
        <v>650</v>
      </c>
      <c r="D58" s="9">
        <v>4</v>
      </c>
      <c r="E58" s="503" t="s">
        <v>522</v>
      </c>
      <c r="F58" s="503">
        <v>3.2</v>
      </c>
      <c r="G58" s="503"/>
      <c r="H58" s="501"/>
      <c r="I58" s="151" t="s">
        <v>20224</v>
      </c>
      <c r="J58" s="31">
        <v>3.86</v>
      </c>
      <c r="K58" s="504">
        <v>2.04</v>
      </c>
      <c r="L58" s="502" t="s">
        <v>248</v>
      </c>
      <c r="M58" s="144">
        <v>1.8199999999999998</v>
      </c>
      <c r="N58" s="504">
        <v>0</v>
      </c>
      <c r="O58" s="29"/>
      <c r="P58" s="29">
        <v>3.3600000000000003</v>
      </c>
      <c r="Q58" s="144">
        <v>1.5400000000000005</v>
      </c>
      <c r="R58" s="144">
        <v>1.5400000000000005</v>
      </c>
      <c r="S58" s="145" t="s">
        <v>20211</v>
      </c>
      <c r="T58" s="146" t="s">
        <v>20211</v>
      </c>
      <c r="U58" s="145">
        <v>114.88095238095237</v>
      </c>
      <c r="V58" s="505">
        <v>0.5</v>
      </c>
      <c r="W58" s="505" t="s">
        <v>2260</v>
      </c>
      <c r="X58" s="43"/>
      <c r="Y58" s="143">
        <v>42</v>
      </c>
      <c r="Z58" s="152">
        <v>42</v>
      </c>
      <c r="AA58" s="143" t="s">
        <v>650</v>
      </c>
      <c r="AB58" s="9">
        <v>4</v>
      </c>
      <c r="AC58" s="151" t="s">
        <v>522</v>
      </c>
      <c r="AD58" s="151">
        <v>3.2</v>
      </c>
      <c r="AE58" s="151"/>
      <c r="AF58" s="152"/>
      <c r="AG58" s="143" t="s">
        <v>20224</v>
      </c>
      <c r="AH58" s="144">
        <v>5.3413043478260862E-2</v>
      </c>
      <c r="AI58" s="144">
        <v>3.9134130434782608</v>
      </c>
      <c r="AJ58" s="144">
        <v>2.04</v>
      </c>
      <c r="AK58" s="143" t="s">
        <v>248</v>
      </c>
      <c r="AL58" s="144">
        <v>1.8734130434782608</v>
      </c>
      <c r="AM58" s="144">
        <v>0</v>
      </c>
      <c r="AN58" s="29">
        <v>3.3600000000000003</v>
      </c>
      <c r="AO58" s="144">
        <v>1.4865869565217396</v>
      </c>
      <c r="AP58" s="144">
        <v>1.4865869565217396</v>
      </c>
      <c r="AQ58" s="145" t="s">
        <v>20211</v>
      </c>
      <c r="AR58" s="146" t="s">
        <v>20211</v>
      </c>
      <c r="AS58" s="56">
        <v>116.47062629399583</v>
      </c>
      <c r="AT58" s="58" t="s">
        <v>500</v>
      </c>
      <c r="AU58" s="118">
        <v>1961</v>
      </c>
      <c r="AV58" s="149" t="s">
        <v>2143</v>
      </c>
      <c r="AW58" s="120">
        <v>57.781191947557701</v>
      </c>
      <c r="AX58" s="120">
        <v>37.158502657856097</v>
      </c>
    </row>
    <row r="59" spans="1:50" ht="15" customHeight="1" x14ac:dyDescent="0.25">
      <c r="A59" s="143">
        <v>43</v>
      </c>
      <c r="B59" s="143">
        <v>43</v>
      </c>
      <c r="C59" s="143" t="s">
        <v>651</v>
      </c>
      <c r="D59" s="9">
        <v>1.6</v>
      </c>
      <c r="E59" s="503" t="s">
        <v>522</v>
      </c>
      <c r="F59" s="503">
        <v>2.5</v>
      </c>
      <c r="G59" s="503"/>
      <c r="H59" s="501"/>
      <c r="I59" s="151" t="s">
        <v>20223</v>
      </c>
      <c r="J59" s="31">
        <v>0.32</v>
      </c>
      <c r="K59" s="504">
        <v>0.71</v>
      </c>
      <c r="L59" s="502" t="s">
        <v>248</v>
      </c>
      <c r="M59" s="144">
        <v>-0.38999999999999996</v>
      </c>
      <c r="N59" s="504">
        <v>0</v>
      </c>
      <c r="O59" s="29"/>
      <c r="P59" s="29">
        <v>1.6800000000000002</v>
      </c>
      <c r="Q59" s="144">
        <v>2.0700000000000003</v>
      </c>
      <c r="R59" s="144">
        <v>2.0700000000000003</v>
      </c>
      <c r="S59" s="145" t="s">
        <v>20211</v>
      </c>
      <c r="T59" s="146" t="s">
        <v>20211</v>
      </c>
      <c r="U59" s="145">
        <v>19.047619047619047</v>
      </c>
      <c r="V59" s="505">
        <v>0.4</v>
      </c>
      <c r="W59" s="505" t="s">
        <v>2260</v>
      </c>
      <c r="X59" s="43"/>
      <c r="Y59" s="143">
        <v>43</v>
      </c>
      <c r="Z59" s="152">
        <v>43</v>
      </c>
      <c r="AA59" s="143" t="s">
        <v>651</v>
      </c>
      <c r="AB59" s="9">
        <v>1.6</v>
      </c>
      <c r="AC59" s="151" t="s">
        <v>522</v>
      </c>
      <c r="AD59" s="151">
        <v>2.5</v>
      </c>
      <c r="AE59" s="151"/>
      <c r="AF59" s="152"/>
      <c r="AG59" s="143" t="s">
        <v>20223</v>
      </c>
      <c r="AH59" s="144">
        <v>0</v>
      </c>
      <c r="AI59" s="144">
        <v>0.32</v>
      </c>
      <c r="AJ59" s="144">
        <v>0.71</v>
      </c>
      <c r="AK59" s="143" t="s">
        <v>248</v>
      </c>
      <c r="AL59" s="144">
        <v>-0.38999999999999996</v>
      </c>
      <c r="AM59" s="144">
        <v>0</v>
      </c>
      <c r="AN59" s="29">
        <v>1.6800000000000002</v>
      </c>
      <c r="AO59" s="144">
        <v>2.0700000000000003</v>
      </c>
      <c r="AP59" s="144">
        <v>2.0700000000000003</v>
      </c>
      <c r="AQ59" s="145" t="s">
        <v>20211</v>
      </c>
      <c r="AR59" s="146" t="s">
        <v>20211</v>
      </c>
      <c r="AS59" s="56">
        <v>19.047619047619047</v>
      </c>
      <c r="AT59" s="58" t="s">
        <v>500</v>
      </c>
      <c r="AU59" s="118">
        <v>1983</v>
      </c>
      <c r="AV59" s="149" t="s">
        <v>2143</v>
      </c>
      <c r="AW59" s="120">
        <v>57.966819952449299</v>
      </c>
      <c r="AX59" s="120">
        <v>36.8193100945184</v>
      </c>
    </row>
    <row r="60" spans="1:50" ht="15" customHeight="1" x14ac:dyDescent="0.25">
      <c r="A60" s="143">
        <v>44</v>
      </c>
      <c r="B60" s="143">
        <v>44</v>
      </c>
      <c r="C60" s="143" t="s">
        <v>652</v>
      </c>
      <c r="D60" s="9">
        <v>6.3</v>
      </c>
      <c r="E60" s="503" t="s">
        <v>522</v>
      </c>
      <c r="F60" s="503">
        <v>6.3</v>
      </c>
      <c r="G60" s="503"/>
      <c r="H60" s="501"/>
      <c r="I60" s="151" t="s">
        <v>20225</v>
      </c>
      <c r="J60" s="31">
        <v>1.8</v>
      </c>
      <c r="K60" s="504">
        <v>0.95</v>
      </c>
      <c r="L60" s="502" t="s">
        <v>248</v>
      </c>
      <c r="M60" s="144">
        <v>0.85000000000000009</v>
      </c>
      <c r="N60" s="504">
        <v>0</v>
      </c>
      <c r="O60" s="29"/>
      <c r="P60" s="29">
        <v>6.6150000000000002</v>
      </c>
      <c r="Q60" s="144">
        <v>5.7650000000000006</v>
      </c>
      <c r="R60" s="144">
        <v>5.7650000000000006</v>
      </c>
      <c r="S60" s="145" t="s">
        <v>20211</v>
      </c>
      <c r="T60" s="146" t="s">
        <v>20211</v>
      </c>
      <c r="U60" s="145">
        <v>27.210884353741495</v>
      </c>
      <c r="V60" s="505">
        <v>0.4</v>
      </c>
      <c r="W60" s="505" t="s">
        <v>2260</v>
      </c>
      <c r="X60" s="43"/>
      <c r="Y60" s="143">
        <v>44</v>
      </c>
      <c r="Z60" s="152">
        <v>44</v>
      </c>
      <c r="AA60" s="143" t="s">
        <v>652</v>
      </c>
      <c r="AB60" s="9">
        <v>6.3</v>
      </c>
      <c r="AC60" s="151" t="s">
        <v>522</v>
      </c>
      <c r="AD60" s="151">
        <v>6.3</v>
      </c>
      <c r="AE60" s="151"/>
      <c r="AF60" s="152"/>
      <c r="AG60" s="143" t="s">
        <v>20225</v>
      </c>
      <c r="AH60" s="144">
        <v>2.0767500000000001</v>
      </c>
      <c r="AI60" s="144">
        <v>3.8767500000000004</v>
      </c>
      <c r="AJ60" s="144">
        <v>0.95</v>
      </c>
      <c r="AK60" s="143" t="s">
        <v>248</v>
      </c>
      <c r="AL60" s="144">
        <v>2.9267500000000002</v>
      </c>
      <c r="AM60" s="144">
        <v>0</v>
      </c>
      <c r="AN60" s="29">
        <v>6.6150000000000002</v>
      </c>
      <c r="AO60" s="144">
        <v>3.68825</v>
      </c>
      <c r="AP60" s="144">
        <v>3.68825</v>
      </c>
      <c r="AQ60" s="145" t="s">
        <v>20211</v>
      </c>
      <c r="AR60" s="146" t="s">
        <v>20211</v>
      </c>
      <c r="AS60" s="56">
        <v>58.605442176870746</v>
      </c>
      <c r="AT60" s="58" t="s">
        <v>500</v>
      </c>
      <c r="AU60" s="118">
        <v>1975</v>
      </c>
      <c r="AV60" s="149" t="s">
        <v>2143</v>
      </c>
      <c r="AW60" s="120">
        <v>57.793758057565199</v>
      </c>
      <c r="AX60" s="120">
        <v>36.461193560361203</v>
      </c>
    </row>
    <row r="61" spans="1:50" ht="15" customHeight="1" x14ac:dyDescent="0.25">
      <c r="A61" s="875">
        <v>45</v>
      </c>
      <c r="B61" s="875">
        <v>45</v>
      </c>
      <c r="C61" s="143" t="s">
        <v>653</v>
      </c>
      <c r="D61" s="9">
        <v>6.3</v>
      </c>
      <c r="E61" s="503" t="s">
        <v>522</v>
      </c>
      <c r="F61" s="503">
        <v>6.3</v>
      </c>
      <c r="G61" s="503"/>
      <c r="H61" s="501"/>
      <c r="I61" s="151" t="s">
        <v>20225</v>
      </c>
      <c r="J61" s="31">
        <v>3.74</v>
      </c>
      <c r="K61" s="504">
        <v>0.31</v>
      </c>
      <c r="L61" s="502" t="s">
        <v>248</v>
      </c>
      <c r="M61" s="144">
        <v>3.43</v>
      </c>
      <c r="N61" s="504">
        <v>0</v>
      </c>
      <c r="O61" s="29"/>
      <c r="P61" s="29">
        <v>6.6150000000000002</v>
      </c>
      <c r="Q61" s="144">
        <v>3.1850000000000001</v>
      </c>
      <c r="R61" s="877">
        <v>2.875</v>
      </c>
      <c r="S61" s="880" t="s">
        <v>20211</v>
      </c>
      <c r="T61" s="146" t="s">
        <v>20211</v>
      </c>
      <c r="U61" s="880">
        <v>56.53817082388511</v>
      </c>
      <c r="V61" s="880">
        <v>0.4</v>
      </c>
      <c r="W61" s="880" t="s">
        <v>2260</v>
      </c>
      <c r="X61" s="43"/>
      <c r="Y61" s="875">
        <v>45</v>
      </c>
      <c r="Z61" s="874">
        <v>45</v>
      </c>
      <c r="AA61" s="143" t="s">
        <v>653</v>
      </c>
      <c r="AB61" s="9">
        <v>6.3</v>
      </c>
      <c r="AC61" s="151" t="s">
        <v>522</v>
      </c>
      <c r="AD61" s="151">
        <v>6.3</v>
      </c>
      <c r="AE61" s="151"/>
      <c r="AF61" s="152"/>
      <c r="AG61" s="143" t="s">
        <v>20225</v>
      </c>
      <c r="AH61" s="144">
        <v>8.7456521739130419E-2</v>
      </c>
      <c r="AI61" s="144">
        <v>3.8274565217391308</v>
      </c>
      <c r="AJ61" s="144">
        <v>0.31</v>
      </c>
      <c r="AK61" s="143" t="s">
        <v>248</v>
      </c>
      <c r="AL61" s="144">
        <v>3.5174565217391307</v>
      </c>
      <c r="AM61" s="144">
        <v>0</v>
      </c>
      <c r="AN61" s="29">
        <v>6.6150000000000002</v>
      </c>
      <c r="AO61" s="144">
        <v>3.0975434782608695</v>
      </c>
      <c r="AP61" s="902">
        <v>2.7875434782608695</v>
      </c>
      <c r="AQ61" s="880" t="s">
        <v>20211</v>
      </c>
      <c r="AR61" s="146" t="s">
        <v>20211</v>
      </c>
      <c r="AS61" s="945">
        <v>57.86026487889842</v>
      </c>
      <c r="AT61" s="58" t="s">
        <v>500</v>
      </c>
      <c r="AU61" s="118">
        <v>1978</v>
      </c>
      <c r="AV61" s="149" t="s">
        <v>2143</v>
      </c>
      <c r="AW61" s="120">
        <v>58.650946279156003</v>
      </c>
      <c r="AX61" s="120">
        <v>37.250127302002099</v>
      </c>
    </row>
    <row r="62" spans="1:50" ht="15" customHeight="1" x14ac:dyDescent="0.25">
      <c r="A62" s="875"/>
      <c r="B62" s="875"/>
      <c r="C62" s="143" t="s">
        <v>1142</v>
      </c>
      <c r="D62" s="9">
        <v>6.3</v>
      </c>
      <c r="E62" s="503" t="s">
        <v>522</v>
      </c>
      <c r="F62" s="503">
        <v>6.3</v>
      </c>
      <c r="G62" s="503"/>
      <c r="H62" s="501"/>
      <c r="I62" s="151" t="s">
        <v>20225</v>
      </c>
      <c r="J62" s="31">
        <v>0</v>
      </c>
      <c r="K62" s="504">
        <v>0.31</v>
      </c>
      <c r="L62" s="502" t="s">
        <v>248</v>
      </c>
      <c r="M62" s="144">
        <v>-0.31</v>
      </c>
      <c r="N62" s="504">
        <v>0</v>
      </c>
      <c r="O62" s="29"/>
      <c r="P62" s="29">
        <v>6.6150000000000002</v>
      </c>
      <c r="Q62" s="144">
        <v>6.9249999999999998</v>
      </c>
      <c r="R62" s="877"/>
      <c r="S62" s="881"/>
      <c r="T62" s="146" t="s">
        <v>20211</v>
      </c>
      <c r="U62" s="958"/>
      <c r="V62" s="881"/>
      <c r="W62" s="881"/>
      <c r="X62" s="43"/>
      <c r="Y62" s="875"/>
      <c r="Z62" s="874"/>
      <c r="AA62" s="143" t="s">
        <v>1142</v>
      </c>
      <c r="AB62" s="9">
        <v>6.3</v>
      </c>
      <c r="AC62" s="151" t="s">
        <v>522</v>
      </c>
      <c r="AD62" s="151">
        <v>6.3</v>
      </c>
      <c r="AE62" s="151"/>
      <c r="AF62" s="152"/>
      <c r="AG62" s="143" t="s">
        <v>20225</v>
      </c>
      <c r="AH62" s="144">
        <v>0</v>
      </c>
      <c r="AI62" s="144">
        <v>0</v>
      </c>
      <c r="AJ62" s="144">
        <v>0.31</v>
      </c>
      <c r="AK62" s="143" t="s">
        <v>248</v>
      </c>
      <c r="AL62" s="144">
        <v>-0.31</v>
      </c>
      <c r="AM62" s="144">
        <v>0</v>
      </c>
      <c r="AN62" s="29">
        <v>6.6150000000000002</v>
      </c>
      <c r="AO62" s="144">
        <v>6.9249999999999998</v>
      </c>
      <c r="AP62" s="903"/>
      <c r="AQ62" s="958" t="s">
        <v>20211</v>
      </c>
      <c r="AR62" s="146" t="s">
        <v>20211</v>
      </c>
      <c r="AS62" s="946"/>
      <c r="AT62" s="58" t="s">
        <v>500</v>
      </c>
      <c r="AU62" s="118">
        <v>1978</v>
      </c>
      <c r="AV62" s="149" t="s">
        <v>2143</v>
      </c>
      <c r="AW62" s="120">
        <v>58.650946279156003</v>
      </c>
      <c r="AX62" s="120">
        <v>37.250127302002099</v>
      </c>
    </row>
    <row r="63" spans="1:50" ht="15" customHeight="1" x14ac:dyDescent="0.25">
      <c r="A63" s="875"/>
      <c r="B63" s="875"/>
      <c r="C63" s="143" t="s">
        <v>1141</v>
      </c>
      <c r="D63" s="9">
        <v>6.3</v>
      </c>
      <c r="E63" s="503" t="s">
        <v>522</v>
      </c>
      <c r="F63" s="503">
        <v>6.3</v>
      </c>
      <c r="G63" s="503"/>
      <c r="H63" s="501"/>
      <c r="I63" s="151" t="s">
        <v>20225</v>
      </c>
      <c r="J63" s="31">
        <v>3.74</v>
      </c>
      <c r="K63" s="504">
        <v>0</v>
      </c>
      <c r="L63" s="502">
        <v>0</v>
      </c>
      <c r="M63" s="144">
        <v>3.74</v>
      </c>
      <c r="N63" s="504">
        <v>0</v>
      </c>
      <c r="O63" s="29"/>
      <c r="P63" s="29">
        <v>6.6150000000000002</v>
      </c>
      <c r="Q63" s="144">
        <v>2.875</v>
      </c>
      <c r="R63" s="877"/>
      <c r="S63" s="882"/>
      <c r="T63" s="146" t="s">
        <v>20211</v>
      </c>
      <c r="U63" s="959"/>
      <c r="V63" s="882"/>
      <c r="W63" s="882"/>
      <c r="X63" s="43"/>
      <c r="Y63" s="875"/>
      <c r="Z63" s="874"/>
      <c r="AA63" s="143" t="s">
        <v>1141</v>
      </c>
      <c r="AB63" s="9">
        <v>6.3</v>
      </c>
      <c r="AC63" s="151" t="s">
        <v>522</v>
      </c>
      <c r="AD63" s="151">
        <v>6.3</v>
      </c>
      <c r="AE63" s="151"/>
      <c r="AF63" s="152"/>
      <c r="AG63" s="143" t="s">
        <v>20225</v>
      </c>
      <c r="AH63" s="144">
        <v>8.7456521739130419E-2</v>
      </c>
      <c r="AI63" s="144">
        <v>3.8274565217391308</v>
      </c>
      <c r="AJ63" s="144">
        <v>0</v>
      </c>
      <c r="AK63" s="143">
        <v>0</v>
      </c>
      <c r="AL63" s="144">
        <v>3.8274565217391308</v>
      </c>
      <c r="AM63" s="144">
        <v>0</v>
      </c>
      <c r="AN63" s="29">
        <v>6.6150000000000002</v>
      </c>
      <c r="AO63" s="144">
        <v>2.7875434782608695</v>
      </c>
      <c r="AP63" s="904"/>
      <c r="AQ63" s="959" t="s">
        <v>20211</v>
      </c>
      <c r="AR63" s="146" t="s">
        <v>20211</v>
      </c>
      <c r="AS63" s="947"/>
      <c r="AT63" s="58" t="s">
        <v>500</v>
      </c>
      <c r="AU63" s="118">
        <v>1978</v>
      </c>
      <c r="AV63" s="149" t="s">
        <v>2143</v>
      </c>
      <c r="AW63" s="120">
        <v>58.650946279156003</v>
      </c>
      <c r="AX63" s="120">
        <v>37.250127302002099</v>
      </c>
    </row>
    <row r="64" spans="1:50" ht="15" customHeight="1" x14ac:dyDescent="0.25">
      <c r="A64" s="875">
        <v>46</v>
      </c>
      <c r="B64" s="875">
        <v>46</v>
      </c>
      <c r="C64" s="143" t="s">
        <v>654</v>
      </c>
      <c r="D64" s="9">
        <v>25</v>
      </c>
      <c r="E64" s="503" t="s">
        <v>522</v>
      </c>
      <c r="F64" s="503">
        <v>25</v>
      </c>
      <c r="G64" s="503"/>
      <c r="H64" s="501"/>
      <c r="I64" s="151" t="s">
        <v>20226</v>
      </c>
      <c r="J64" s="31">
        <v>9.99</v>
      </c>
      <c r="K64" s="504">
        <v>2.5</v>
      </c>
      <c r="L64" s="502" t="s">
        <v>248</v>
      </c>
      <c r="M64" s="144">
        <v>7.49</v>
      </c>
      <c r="N64" s="504">
        <v>0</v>
      </c>
      <c r="O64" s="29"/>
      <c r="P64" s="29">
        <v>26.25</v>
      </c>
      <c r="Q64" s="144">
        <v>18.759999999999998</v>
      </c>
      <c r="R64" s="877">
        <v>18.759999999999998</v>
      </c>
      <c r="S64" s="880" t="s">
        <v>20211</v>
      </c>
      <c r="T64" s="146" t="s">
        <v>20211</v>
      </c>
      <c r="U64" s="880">
        <v>38.057142857142857</v>
      </c>
      <c r="V64" s="880">
        <v>0.5</v>
      </c>
      <c r="W64" s="880" t="s">
        <v>2260</v>
      </c>
      <c r="X64" s="43"/>
      <c r="Y64" s="875">
        <v>46</v>
      </c>
      <c r="Z64" s="874">
        <v>46</v>
      </c>
      <c r="AA64" s="143" t="s">
        <v>654</v>
      </c>
      <c r="AB64" s="9">
        <v>25</v>
      </c>
      <c r="AC64" s="151" t="s">
        <v>522</v>
      </c>
      <c r="AD64" s="151">
        <v>25</v>
      </c>
      <c r="AE64" s="151"/>
      <c r="AF64" s="152"/>
      <c r="AG64" s="143" t="s">
        <v>20226</v>
      </c>
      <c r="AH64" s="144">
        <v>0.17784782608695651</v>
      </c>
      <c r="AI64" s="144">
        <v>10.167847826086957</v>
      </c>
      <c r="AJ64" s="144">
        <v>2.5</v>
      </c>
      <c r="AK64" s="143" t="s">
        <v>248</v>
      </c>
      <c r="AL64" s="144">
        <v>7.6678478260869571</v>
      </c>
      <c r="AM64" s="144">
        <v>0</v>
      </c>
      <c r="AN64" s="29">
        <v>26.25</v>
      </c>
      <c r="AO64" s="144">
        <v>18.582152173913045</v>
      </c>
      <c r="AP64" s="902">
        <v>18.582152173913045</v>
      </c>
      <c r="AQ64" s="880" t="s">
        <v>20211</v>
      </c>
      <c r="AR64" s="146" t="s">
        <v>20211</v>
      </c>
      <c r="AS64" s="945">
        <v>38.734658385093169</v>
      </c>
      <c r="AT64" s="58" t="s">
        <v>500</v>
      </c>
      <c r="AU64" s="118">
        <v>1990</v>
      </c>
      <c r="AV64" s="149" t="s">
        <v>2143</v>
      </c>
      <c r="AW64" s="120">
        <v>57.8020291616387</v>
      </c>
      <c r="AX64" s="120">
        <v>35.903628854152899</v>
      </c>
    </row>
    <row r="65" spans="1:50" ht="15" customHeight="1" x14ac:dyDescent="0.25">
      <c r="A65" s="875"/>
      <c r="B65" s="875"/>
      <c r="C65" s="143" t="s">
        <v>1142</v>
      </c>
      <c r="D65" s="9">
        <v>25</v>
      </c>
      <c r="E65" s="503" t="s">
        <v>522</v>
      </c>
      <c r="F65" s="503">
        <v>25</v>
      </c>
      <c r="G65" s="503"/>
      <c r="H65" s="501"/>
      <c r="I65" s="151" t="s">
        <v>20226</v>
      </c>
      <c r="J65" s="31">
        <v>2.79</v>
      </c>
      <c r="K65" s="504">
        <v>2.5</v>
      </c>
      <c r="L65" s="502" t="s">
        <v>248</v>
      </c>
      <c r="M65" s="144">
        <v>0.29000000000000004</v>
      </c>
      <c r="N65" s="504">
        <v>0</v>
      </c>
      <c r="O65" s="29"/>
      <c r="P65" s="29">
        <v>26.25</v>
      </c>
      <c r="Q65" s="144">
        <v>25.96</v>
      </c>
      <c r="R65" s="877"/>
      <c r="S65" s="881"/>
      <c r="T65" s="146" t="s">
        <v>20211</v>
      </c>
      <c r="U65" s="958"/>
      <c r="V65" s="881"/>
      <c r="W65" s="881"/>
      <c r="X65" s="43"/>
      <c r="Y65" s="875"/>
      <c r="Z65" s="874"/>
      <c r="AA65" s="143" t="s">
        <v>1142</v>
      </c>
      <c r="AB65" s="9">
        <v>25</v>
      </c>
      <c r="AC65" s="151" t="s">
        <v>522</v>
      </c>
      <c r="AD65" s="151">
        <v>25</v>
      </c>
      <c r="AE65" s="151"/>
      <c r="AF65" s="152"/>
      <c r="AG65" s="143" t="s">
        <v>20226</v>
      </c>
      <c r="AH65" s="144">
        <v>0</v>
      </c>
      <c r="AI65" s="144">
        <v>2.79</v>
      </c>
      <c r="AJ65" s="144">
        <v>2.5</v>
      </c>
      <c r="AK65" s="143" t="s">
        <v>248</v>
      </c>
      <c r="AL65" s="144">
        <v>0.29000000000000004</v>
      </c>
      <c r="AM65" s="144">
        <v>0</v>
      </c>
      <c r="AN65" s="29">
        <v>26.25</v>
      </c>
      <c r="AO65" s="144">
        <v>25.96</v>
      </c>
      <c r="AP65" s="903"/>
      <c r="AQ65" s="958" t="s">
        <v>20211</v>
      </c>
      <c r="AR65" s="146" t="s">
        <v>20211</v>
      </c>
      <c r="AS65" s="946"/>
      <c r="AT65" s="58" t="s">
        <v>500</v>
      </c>
      <c r="AU65" s="118">
        <v>1990</v>
      </c>
      <c r="AV65" s="149" t="s">
        <v>2143</v>
      </c>
      <c r="AW65" s="120">
        <v>57.8020291616387</v>
      </c>
      <c r="AX65" s="120">
        <v>35.903628854152899</v>
      </c>
    </row>
    <row r="66" spans="1:50" ht="15" customHeight="1" x14ac:dyDescent="0.25">
      <c r="A66" s="875"/>
      <c r="B66" s="875"/>
      <c r="C66" s="143" t="s">
        <v>1141</v>
      </c>
      <c r="D66" s="9">
        <v>25</v>
      </c>
      <c r="E66" s="503" t="s">
        <v>522</v>
      </c>
      <c r="F66" s="503">
        <v>25</v>
      </c>
      <c r="G66" s="503"/>
      <c r="H66" s="501"/>
      <c r="I66" s="151" t="s">
        <v>20226</v>
      </c>
      <c r="J66" s="31">
        <v>7.2</v>
      </c>
      <c r="K66" s="504">
        <v>0</v>
      </c>
      <c r="L66" s="502">
        <v>0</v>
      </c>
      <c r="M66" s="144">
        <v>7.2</v>
      </c>
      <c r="N66" s="504">
        <v>0</v>
      </c>
      <c r="O66" s="29"/>
      <c r="P66" s="29">
        <v>26.25</v>
      </c>
      <c r="Q66" s="144">
        <v>19.05</v>
      </c>
      <c r="R66" s="877"/>
      <c r="S66" s="882"/>
      <c r="T66" s="146" t="s">
        <v>20211</v>
      </c>
      <c r="U66" s="959"/>
      <c r="V66" s="882"/>
      <c r="W66" s="882"/>
      <c r="X66" s="43"/>
      <c r="Y66" s="875"/>
      <c r="Z66" s="874"/>
      <c r="AA66" s="143" t="s">
        <v>1141</v>
      </c>
      <c r="AB66" s="9">
        <v>25</v>
      </c>
      <c r="AC66" s="151" t="s">
        <v>522</v>
      </c>
      <c r="AD66" s="151">
        <v>25</v>
      </c>
      <c r="AE66" s="151"/>
      <c r="AF66" s="152"/>
      <c r="AG66" s="143" t="s">
        <v>20226</v>
      </c>
      <c r="AH66" s="144">
        <v>0.17784782608695651</v>
      </c>
      <c r="AI66" s="144">
        <v>7.3778478260869571</v>
      </c>
      <c r="AJ66" s="144">
        <v>0</v>
      </c>
      <c r="AK66" s="143">
        <v>0</v>
      </c>
      <c r="AL66" s="144">
        <v>7.3778478260869571</v>
      </c>
      <c r="AM66" s="144">
        <v>0</v>
      </c>
      <c r="AN66" s="29">
        <v>26.25</v>
      </c>
      <c r="AO66" s="144">
        <v>18.872152173913044</v>
      </c>
      <c r="AP66" s="904"/>
      <c r="AQ66" s="959" t="s">
        <v>20211</v>
      </c>
      <c r="AR66" s="146" t="s">
        <v>20211</v>
      </c>
      <c r="AS66" s="947"/>
      <c r="AT66" s="58" t="s">
        <v>500</v>
      </c>
      <c r="AU66" s="118">
        <v>1990</v>
      </c>
      <c r="AV66" s="149" t="s">
        <v>2143</v>
      </c>
      <c r="AW66" s="120">
        <v>57.8020291616387</v>
      </c>
      <c r="AX66" s="120">
        <v>35.903628854152899</v>
      </c>
    </row>
    <row r="67" spans="1:50" ht="15" customHeight="1" x14ac:dyDescent="0.25">
      <c r="A67" s="875">
        <v>47</v>
      </c>
      <c r="B67" s="875">
        <v>47</v>
      </c>
      <c r="C67" s="143" t="s">
        <v>655</v>
      </c>
      <c r="D67" s="9">
        <v>10</v>
      </c>
      <c r="E67" s="503" t="s">
        <v>522</v>
      </c>
      <c r="F67" s="503">
        <v>10</v>
      </c>
      <c r="G67" s="503"/>
      <c r="H67" s="501"/>
      <c r="I67" s="151" t="s">
        <v>20227</v>
      </c>
      <c r="J67" s="31">
        <v>4.66</v>
      </c>
      <c r="K67" s="504">
        <v>5.85</v>
      </c>
      <c r="L67" s="502" t="s">
        <v>248</v>
      </c>
      <c r="M67" s="144">
        <v>-1.1899999999999995</v>
      </c>
      <c r="N67" s="504">
        <v>0</v>
      </c>
      <c r="O67" s="29"/>
      <c r="P67" s="29">
        <v>10.5</v>
      </c>
      <c r="Q67" s="144">
        <v>11.69</v>
      </c>
      <c r="R67" s="877">
        <v>6.03</v>
      </c>
      <c r="S67" s="880" t="s">
        <v>20211</v>
      </c>
      <c r="T67" s="146" t="s">
        <v>20211</v>
      </c>
      <c r="U67" s="880">
        <v>44.38095238095238</v>
      </c>
      <c r="V67" s="880">
        <v>0.5</v>
      </c>
      <c r="W67" s="880" t="s">
        <v>2260</v>
      </c>
      <c r="X67" s="43"/>
      <c r="Y67" s="875">
        <v>47</v>
      </c>
      <c r="Z67" s="874">
        <v>47</v>
      </c>
      <c r="AA67" s="143" t="s">
        <v>655</v>
      </c>
      <c r="AB67" s="9">
        <v>10</v>
      </c>
      <c r="AC67" s="151" t="s">
        <v>522</v>
      </c>
      <c r="AD67" s="151">
        <v>10</v>
      </c>
      <c r="AE67" s="151"/>
      <c r="AF67" s="152"/>
      <c r="AG67" s="143" t="s">
        <v>20227</v>
      </c>
      <c r="AH67" s="144">
        <v>0.12068478260869567</v>
      </c>
      <c r="AI67" s="144">
        <v>4.780684782608696</v>
      </c>
      <c r="AJ67" s="144">
        <v>5.85</v>
      </c>
      <c r="AK67" s="143" t="s">
        <v>248</v>
      </c>
      <c r="AL67" s="144">
        <v>-1.0693152173913036</v>
      </c>
      <c r="AM67" s="144">
        <v>0</v>
      </c>
      <c r="AN67" s="29">
        <v>10.5</v>
      </c>
      <c r="AO67" s="144">
        <v>11.569315217391303</v>
      </c>
      <c r="AP67" s="902">
        <v>5.9093152173913044</v>
      </c>
      <c r="AQ67" s="880" t="s">
        <v>20211</v>
      </c>
      <c r="AR67" s="146" t="s">
        <v>20211</v>
      </c>
      <c r="AS67" s="945">
        <v>45.53033126293996</v>
      </c>
      <c r="AT67" s="58" t="s">
        <v>500</v>
      </c>
      <c r="AU67" s="118">
        <v>1984</v>
      </c>
      <c r="AV67" s="149" t="s">
        <v>2143</v>
      </c>
      <c r="AW67" s="120">
        <v>58.075610974762903</v>
      </c>
      <c r="AX67" s="120">
        <v>37.131743667775297</v>
      </c>
    </row>
    <row r="68" spans="1:50" ht="15" customHeight="1" x14ac:dyDescent="0.25">
      <c r="A68" s="875"/>
      <c r="B68" s="875"/>
      <c r="C68" s="143" t="s">
        <v>1142</v>
      </c>
      <c r="D68" s="9">
        <v>10</v>
      </c>
      <c r="E68" s="503" t="s">
        <v>522</v>
      </c>
      <c r="F68" s="503">
        <v>10</v>
      </c>
      <c r="G68" s="503"/>
      <c r="H68" s="501"/>
      <c r="I68" s="151" t="s">
        <v>20227</v>
      </c>
      <c r="J68" s="31">
        <v>0.19</v>
      </c>
      <c r="K68" s="504">
        <v>5.85</v>
      </c>
      <c r="L68" s="502" t="s">
        <v>248</v>
      </c>
      <c r="M68" s="144">
        <v>-5.6599999999999993</v>
      </c>
      <c r="N68" s="504">
        <v>0</v>
      </c>
      <c r="O68" s="29"/>
      <c r="P68" s="29">
        <v>10.5</v>
      </c>
      <c r="Q68" s="144">
        <v>16.16</v>
      </c>
      <c r="R68" s="877"/>
      <c r="S68" s="881"/>
      <c r="T68" s="146" t="s">
        <v>20211</v>
      </c>
      <c r="U68" s="958"/>
      <c r="V68" s="881"/>
      <c r="W68" s="881"/>
      <c r="X68" s="43"/>
      <c r="Y68" s="875"/>
      <c r="Z68" s="874"/>
      <c r="AA68" s="143" t="s">
        <v>1142</v>
      </c>
      <c r="AB68" s="9">
        <v>10</v>
      </c>
      <c r="AC68" s="151" t="s">
        <v>522</v>
      </c>
      <c r="AD68" s="151">
        <v>10</v>
      </c>
      <c r="AE68" s="151"/>
      <c r="AF68" s="152"/>
      <c r="AG68" s="143" t="s">
        <v>20227</v>
      </c>
      <c r="AH68" s="144">
        <v>0</v>
      </c>
      <c r="AI68" s="144">
        <v>0.19</v>
      </c>
      <c r="AJ68" s="144">
        <v>5.85</v>
      </c>
      <c r="AK68" s="143" t="s">
        <v>248</v>
      </c>
      <c r="AL68" s="144">
        <v>-5.6599999999999993</v>
      </c>
      <c r="AM68" s="144">
        <v>0</v>
      </c>
      <c r="AN68" s="29">
        <v>10.5</v>
      </c>
      <c r="AO68" s="144">
        <v>16.16</v>
      </c>
      <c r="AP68" s="903"/>
      <c r="AQ68" s="958" t="s">
        <v>20211</v>
      </c>
      <c r="AR68" s="146" t="s">
        <v>20211</v>
      </c>
      <c r="AS68" s="946"/>
      <c r="AT68" s="58" t="s">
        <v>500</v>
      </c>
      <c r="AU68" s="118">
        <v>1984</v>
      </c>
      <c r="AV68" s="149" t="s">
        <v>2143</v>
      </c>
      <c r="AW68" s="120">
        <v>58.075610974762903</v>
      </c>
      <c r="AX68" s="120">
        <v>37.131743667775297</v>
      </c>
    </row>
    <row r="69" spans="1:50" ht="15" customHeight="1" x14ac:dyDescent="0.25">
      <c r="A69" s="875"/>
      <c r="B69" s="875"/>
      <c r="C69" s="143" t="s">
        <v>1141</v>
      </c>
      <c r="D69" s="9">
        <v>10</v>
      </c>
      <c r="E69" s="503" t="s">
        <v>522</v>
      </c>
      <c r="F69" s="503">
        <v>10</v>
      </c>
      <c r="G69" s="503"/>
      <c r="H69" s="501"/>
      <c r="I69" s="151" t="s">
        <v>20227</v>
      </c>
      <c r="J69" s="31">
        <v>4.47</v>
      </c>
      <c r="K69" s="504">
        <v>0</v>
      </c>
      <c r="L69" s="502">
        <v>0</v>
      </c>
      <c r="M69" s="144">
        <v>4.47</v>
      </c>
      <c r="N69" s="504">
        <v>0</v>
      </c>
      <c r="O69" s="29"/>
      <c r="P69" s="29">
        <v>10.5</v>
      </c>
      <c r="Q69" s="144">
        <v>6.03</v>
      </c>
      <c r="R69" s="877"/>
      <c r="S69" s="882"/>
      <c r="T69" s="146" t="s">
        <v>20211</v>
      </c>
      <c r="U69" s="959"/>
      <c r="V69" s="882"/>
      <c r="W69" s="882"/>
      <c r="X69" s="43"/>
      <c r="Y69" s="875"/>
      <c r="Z69" s="874"/>
      <c r="AA69" s="143" t="s">
        <v>1141</v>
      </c>
      <c r="AB69" s="9">
        <v>10</v>
      </c>
      <c r="AC69" s="151" t="s">
        <v>522</v>
      </c>
      <c r="AD69" s="151">
        <v>10</v>
      </c>
      <c r="AE69" s="151"/>
      <c r="AF69" s="152"/>
      <c r="AG69" s="143" t="s">
        <v>20227</v>
      </c>
      <c r="AH69" s="144">
        <v>0.12068478260869567</v>
      </c>
      <c r="AI69" s="144">
        <v>4.5906847826086956</v>
      </c>
      <c r="AJ69" s="144">
        <v>0</v>
      </c>
      <c r="AK69" s="143">
        <v>0</v>
      </c>
      <c r="AL69" s="144">
        <v>4.5906847826086956</v>
      </c>
      <c r="AM69" s="144">
        <v>0</v>
      </c>
      <c r="AN69" s="29">
        <v>10.5</v>
      </c>
      <c r="AO69" s="144">
        <v>5.9093152173913044</v>
      </c>
      <c r="AP69" s="904"/>
      <c r="AQ69" s="959" t="s">
        <v>20211</v>
      </c>
      <c r="AR69" s="146" t="s">
        <v>20211</v>
      </c>
      <c r="AS69" s="947"/>
      <c r="AT69" s="58" t="s">
        <v>500</v>
      </c>
      <c r="AU69" s="118">
        <v>1984</v>
      </c>
      <c r="AV69" s="149" t="s">
        <v>2143</v>
      </c>
      <c r="AW69" s="120">
        <v>58.075610974762903</v>
      </c>
      <c r="AX69" s="120">
        <v>37.131743667775297</v>
      </c>
    </row>
    <row r="70" spans="1:50" ht="15" customHeight="1" x14ac:dyDescent="0.25">
      <c r="A70" s="875">
        <v>48</v>
      </c>
      <c r="B70" s="875">
        <v>48</v>
      </c>
      <c r="C70" s="143" t="s">
        <v>656</v>
      </c>
      <c r="D70" s="9">
        <v>6.3</v>
      </c>
      <c r="E70" s="503" t="s">
        <v>522</v>
      </c>
      <c r="F70" s="503">
        <v>6.3</v>
      </c>
      <c r="G70" s="503"/>
      <c r="H70" s="501"/>
      <c r="I70" s="151" t="s">
        <v>20225</v>
      </c>
      <c r="J70" s="31">
        <v>2.87</v>
      </c>
      <c r="K70" s="504">
        <v>5.85</v>
      </c>
      <c r="L70" s="502" t="s">
        <v>248</v>
      </c>
      <c r="M70" s="144">
        <v>-2.9799999999999995</v>
      </c>
      <c r="N70" s="504">
        <v>0</v>
      </c>
      <c r="O70" s="29"/>
      <c r="P70" s="29">
        <v>6.6150000000000002</v>
      </c>
      <c r="Q70" s="144">
        <v>9.5949999999999989</v>
      </c>
      <c r="R70" s="877">
        <v>6.4649999999999999</v>
      </c>
      <c r="S70" s="880" t="s">
        <v>20211</v>
      </c>
      <c r="T70" s="146" t="s">
        <v>20211</v>
      </c>
      <c r="U70" s="880">
        <v>43.386243386243386</v>
      </c>
      <c r="V70" s="880">
        <v>0.5</v>
      </c>
      <c r="W70" s="880" t="s">
        <v>2260</v>
      </c>
      <c r="X70" s="43"/>
      <c r="Y70" s="875">
        <v>48</v>
      </c>
      <c r="Z70" s="874">
        <v>48</v>
      </c>
      <c r="AA70" s="143" t="s">
        <v>656</v>
      </c>
      <c r="AB70" s="9">
        <v>6.3</v>
      </c>
      <c r="AC70" s="151" t="s">
        <v>522</v>
      </c>
      <c r="AD70" s="151">
        <v>6.3</v>
      </c>
      <c r="AE70" s="151"/>
      <c r="AF70" s="152"/>
      <c r="AG70" s="143" t="s">
        <v>20225</v>
      </c>
      <c r="AH70" s="144">
        <v>5.4586956521739137E-2</v>
      </c>
      <c r="AI70" s="144">
        <v>2.9245869565217393</v>
      </c>
      <c r="AJ70" s="144">
        <v>5.85</v>
      </c>
      <c r="AK70" s="143" t="s">
        <v>248</v>
      </c>
      <c r="AL70" s="144">
        <v>-2.9254130434782604</v>
      </c>
      <c r="AM70" s="144">
        <v>0</v>
      </c>
      <c r="AN70" s="29">
        <v>6.6150000000000002</v>
      </c>
      <c r="AO70" s="144">
        <v>9.5404130434782601</v>
      </c>
      <c r="AP70" s="902">
        <v>6.4649999999999999</v>
      </c>
      <c r="AQ70" s="880" t="s">
        <v>20211</v>
      </c>
      <c r="AR70" s="146" t="s">
        <v>20211</v>
      </c>
      <c r="AS70" s="945">
        <v>44.211443031318808</v>
      </c>
      <c r="AT70" s="58" t="s">
        <v>500</v>
      </c>
      <c r="AU70" s="118">
        <v>1960</v>
      </c>
      <c r="AV70" s="149" t="s">
        <v>2143</v>
      </c>
      <c r="AW70" s="120">
        <v>58.030151237087701</v>
      </c>
      <c r="AX70" s="120">
        <v>36.425569565154298</v>
      </c>
    </row>
    <row r="71" spans="1:50" ht="15" customHeight="1" x14ac:dyDescent="0.25">
      <c r="A71" s="875"/>
      <c r="B71" s="875"/>
      <c r="C71" s="143" t="s">
        <v>1142</v>
      </c>
      <c r="D71" s="9">
        <v>6.3</v>
      </c>
      <c r="E71" s="503" t="s">
        <v>522</v>
      </c>
      <c r="F71" s="503">
        <v>6.3</v>
      </c>
      <c r="G71" s="503"/>
      <c r="H71" s="501"/>
      <c r="I71" s="151" t="s">
        <v>20225</v>
      </c>
      <c r="J71" s="31">
        <v>2.72</v>
      </c>
      <c r="K71" s="504">
        <v>5.85</v>
      </c>
      <c r="L71" s="502" t="s">
        <v>248</v>
      </c>
      <c r="M71" s="144">
        <v>-3.1299999999999994</v>
      </c>
      <c r="N71" s="504">
        <v>0</v>
      </c>
      <c r="O71" s="29"/>
      <c r="P71" s="29">
        <v>6.6150000000000002</v>
      </c>
      <c r="Q71" s="144">
        <v>9.7449999999999992</v>
      </c>
      <c r="R71" s="877"/>
      <c r="S71" s="881"/>
      <c r="T71" s="146" t="s">
        <v>20211</v>
      </c>
      <c r="U71" s="958"/>
      <c r="V71" s="881"/>
      <c r="W71" s="881"/>
      <c r="X71" s="43"/>
      <c r="Y71" s="875"/>
      <c r="Z71" s="874"/>
      <c r="AA71" s="143" t="s">
        <v>1142</v>
      </c>
      <c r="AB71" s="9">
        <v>6.3</v>
      </c>
      <c r="AC71" s="151" t="s">
        <v>522</v>
      </c>
      <c r="AD71" s="151">
        <v>6.3</v>
      </c>
      <c r="AE71" s="151"/>
      <c r="AF71" s="152"/>
      <c r="AG71" s="143" t="s">
        <v>20225</v>
      </c>
      <c r="AH71" s="144">
        <v>5.4586956521739137E-2</v>
      </c>
      <c r="AI71" s="144">
        <v>2.7745869565217394</v>
      </c>
      <c r="AJ71" s="144">
        <v>5.85</v>
      </c>
      <c r="AK71" s="143" t="s">
        <v>248</v>
      </c>
      <c r="AL71" s="144">
        <v>-3.0754130434782603</v>
      </c>
      <c r="AM71" s="144">
        <v>0</v>
      </c>
      <c r="AN71" s="29">
        <v>6.6150000000000002</v>
      </c>
      <c r="AO71" s="144">
        <v>9.6904130434782605</v>
      </c>
      <c r="AP71" s="903"/>
      <c r="AQ71" s="958" t="s">
        <v>20211</v>
      </c>
      <c r="AR71" s="146" t="s">
        <v>20211</v>
      </c>
      <c r="AS71" s="946"/>
      <c r="AT71" s="58" t="s">
        <v>500</v>
      </c>
      <c r="AU71" s="118">
        <v>1960</v>
      </c>
      <c r="AV71" s="149" t="s">
        <v>2143</v>
      </c>
      <c r="AW71" s="120">
        <v>58.030151237087701</v>
      </c>
      <c r="AX71" s="120">
        <v>36.425569565154298</v>
      </c>
    </row>
    <row r="72" spans="1:50" ht="15" customHeight="1" x14ac:dyDescent="0.25">
      <c r="A72" s="875"/>
      <c r="B72" s="875"/>
      <c r="C72" s="143" t="s">
        <v>1141</v>
      </c>
      <c r="D72" s="9">
        <v>6.3</v>
      </c>
      <c r="E72" s="503" t="s">
        <v>522</v>
      </c>
      <c r="F72" s="503">
        <v>6.3</v>
      </c>
      <c r="G72" s="503"/>
      <c r="H72" s="501"/>
      <c r="I72" s="151" t="s">
        <v>20225</v>
      </c>
      <c r="J72" s="31">
        <v>0.15</v>
      </c>
      <c r="K72" s="504">
        <v>0</v>
      </c>
      <c r="L72" s="502">
        <v>0</v>
      </c>
      <c r="M72" s="144">
        <v>0.15</v>
      </c>
      <c r="N72" s="504">
        <v>0</v>
      </c>
      <c r="O72" s="29"/>
      <c r="P72" s="29">
        <v>6.6150000000000002</v>
      </c>
      <c r="Q72" s="144">
        <v>6.4649999999999999</v>
      </c>
      <c r="R72" s="877"/>
      <c r="S72" s="882"/>
      <c r="T72" s="146" t="s">
        <v>20211</v>
      </c>
      <c r="U72" s="959"/>
      <c r="V72" s="882"/>
      <c r="W72" s="882"/>
      <c r="X72" s="43"/>
      <c r="Y72" s="875"/>
      <c r="Z72" s="874"/>
      <c r="AA72" s="143" t="s">
        <v>1141</v>
      </c>
      <c r="AB72" s="9">
        <v>6.3</v>
      </c>
      <c r="AC72" s="151" t="s">
        <v>522</v>
      </c>
      <c r="AD72" s="151">
        <v>6.3</v>
      </c>
      <c r="AE72" s="151"/>
      <c r="AF72" s="152"/>
      <c r="AG72" s="143" t="s">
        <v>20225</v>
      </c>
      <c r="AH72" s="144">
        <v>0</v>
      </c>
      <c r="AI72" s="144">
        <v>0.15</v>
      </c>
      <c r="AJ72" s="144">
        <v>0</v>
      </c>
      <c r="AK72" s="143">
        <v>0</v>
      </c>
      <c r="AL72" s="144">
        <v>0.15</v>
      </c>
      <c r="AM72" s="144">
        <v>0</v>
      </c>
      <c r="AN72" s="29">
        <v>6.6150000000000002</v>
      </c>
      <c r="AO72" s="144">
        <v>6.4649999999999999</v>
      </c>
      <c r="AP72" s="904"/>
      <c r="AQ72" s="959" t="s">
        <v>20211</v>
      </c>
      <c r="AR72" s="146" t="s">
        <v>20211</v>
      </c>
      <c r="AS72" s="947"/>
      <c r="AT72" s="58" t="s">
        <v>500</v>
      </c>
      <c r="AU72" s="118">
        <v>1960</v>
      </c>
      <c r="AV72" s="149" t="s">
        <v>2143</v>
      </c>
      <c r="AW72" s="120">
        <v>58.030151237087701</v>
      </c>
      <c r="AX72" s="120">
        <v>36.425569565154298</v>
      </c>
    </row>
    <row r="73" spans="1:50" ht="15" customHeight="1" x14ac:dyDescent="0.25">
      <c r="A73" s="875">
        <v>49</v>
      </c>
      <c r="B73" s="875">
        <v>49</v>
      </c>
      <c r="C73" s="143" t="s">
        <v>657</v>
      </c>
      <c r="D73" s="9">
        <v>10</v>
      </c>
      <c r="E73" s="503" t="s">
        <v>522</v>
      </c>
      <c r="F73" s="503">
        <v>10</v>
      </c>
      <c r="G73" s="503"/>
      <c r="H73" s="501"/>
      <c r="I73" s="151" t="s">
        <v>20227</v>
      </c>
      <c r="J73" s="31">
        <v>4.72</v>
      </c>
      <c r="K73" s="504">
        <v>4.3600000000000003</v>
      </c>
      <c r="L73" s="502" t="s">
        <v>248</v>
      </c>
      <c r="M73" s="144">
        <v>0.35999999999999943</v>
      </c>
      <c r="N73" s="504">
        <v>0</v>
      </c>
      <c r="O73" s="29"/>
      <c r="P73" s="29">
        <v>10.5</v>
      </c>
      <c r="Q73" s="144">
        <v>10.14</v>
      </c>
      <c r="R73" s="877">
        <v>9.4</v>
      </c>
      <c r="S73" s="880" t="s">
        <v>20211</v>
      </c>
      <c r="T73" s="146" t="s">
        <v>20211</v>
      </c>
      <c r="U73" s="880">
        <v>44.952380952380949</v>
      </c>
      <c r="V73" s="880">
        <v>0.9</v>
      </c>
      <c r="W73" s="880" t="s">
        <v>2260</v>
      </c>
      <c r="X73" s="43"/>
      <c r="Y73" s="875">
        <v>49</v>
      </c>
      <c r="Z73" s="874">
        <v>49</v>
      </c>
      <c r="AA73" s="143" t="s">
        <v>657</v>
      </c>
      <c r="AB73" s="9">
        <v>10</v>
      </c>
      <c r="AC73" s="151" t="s">
        <v>522</v>
      </c>
      <c r="AD73" s="151">
        <v>10</v>
      </c>
      <c r="AE73" s="151"/>
      <c r="AF73" s="152"/>
      <c r="AG73" s="143" t="s">
        <v>20227</v>
      </c>
      <c r="AH73" s="144">
        <v>0.11716304347826087</v>
      </c>
      <c r="AI73" s="144">
        <v>4.8371630434782604</v>
      </c>
      <c r="AJ73" s="144">
        <v>4.3600000000000003</v>
      </c>
      <c r="AK73" s="143" t="s">
        <v>248</v>
      </c>
      <c r="AL73" s="144">
        <v>0.47716304347826011</v>
      </c>
      <c r="AM73" s="144">
        <v>0</v>
      </c>
      <c r="AN73" s="29">
        <v>10.5</v>
      </c>
      <c r="AO73" s="144">
        <v>10.02283695652174</v>
      </c>
      <c r="AP73" s="902">
        <v>9.3597282608695647</v>
      </c>
      <c r="AQ73" s="880" t="s">
        <v>20211</v>
      </c>
      <c r="AR73" s="146" t="s">
        <v>20211</v>
      </c>
      <c r="AS73" s="945">
        <v>46.068219461697723</v>
      </c>
      <c r="AT73" s="58" t="s">
        <v>500</v>
      </c>
      <c r="AU73" s="118">
        <v>1964</v>
      </c>
      <c r="AV73" s="149" t="s">
        <v>2143</v>
      </c>
      <c r="AW73" s="120">
        <v>58.448470562256297</v>
      </c>
      <c r="AX73" s="120">
        <v>36.413952207882701</v>
      </c>
    </row>
    <row r="74" spans="1:50" ht="15" customHeight="1" x14ac:dyDescent="0.25">
      <c r="A74" s="875"/>
      <c r="B74" s="875"/>
      <c r="C74" s="143" t="s">
        <v>1142</v>
      </c>
      <c r="D74" s="9">
        <v>10</v>
      </c>
      <c r="E74" s="503" t="s">
        <v>522</v>
      </c>
      <c r="F74" s="503">
        <v>10</v>
      </c>
      <c r="G74" s="503"/>
      <c r="H74" s="501"/>
      <c r="I74" s="151" t="s">
        <v>20227</v>
      </c>
      <c r="J74" s="31">
        <v>2.5099999999999998</v>
      </c>
      <c r="K74" s="504">
        <v>3.25</v>
      </c>
      <c r="L74" s="502" t="s">
        <v>248</v>
      </c>
      <c r="M74" s="144">
        <v>-0.74000000000000021</v>
      </c>
      <c r="N74" s="504">
        <v>0</v>
      </c>
      <c r="O74" s="29"/>
      <c r="P74" s="29">
        <v>10.5</v>
      </c>
      <c r="Q74" s="144">
        <v>11.24</v>
      </c>
      <c r="R74" s="877"/>
      <c r="S74" s="881"/>
      <c r="T74" s="146" t="s">
        <v>20211</v>
      </c>
      <c r="U74" s="958"/>
      <c r="V74" s="881"/>
      <c r="W74" s="881"/>
      <c r="X74" s="43"/>
      <c r="Y74" s="875"/>
      <c r="Z74" s="874"/>
      <c r="AA74" s="143" t="s">
        <v>1142</v>
      </c>
      <c r="AB74" s="9">
        <v>10</v>
      </c>
      <c r="AC74" s="151" t="s">
        <v>522</v>
      </c>
      <c r="AD74" s="151">
        <v>10</v>
      </c>
      <c r="AE74" s="151"/>
      <c r="AF74" s="152"/>
      <c r="AG74" s="143" t="s">
        <v>20227</v>
      </c>
      <c r="AH74" s="144">
        <v>7.6891304347826081E-2</v>
      </c>
      <c r="AI74" s="144">
        <v>2.5868913043478257</v>
      </c>
      <c r="AJ74" s="144">
        <v>3.25</v>
      </c>
      <c r="AK74" s="143" t="s">
        <v>248</v>
      </c>
      <c r="AL74" s="144">
        <v>-0.66310869565217434</v>
      </c>
      <c r="AM74" s="144">
        <v>0</v>
      </c>
      <c r="AN74" s="29">
        <v>10.5</v>
      </c>
      <c r="AO74" s="144">
        <v>11.163108695652173</v>
      </c>
      <c r="AP74" s="903"/>
      <c r="AQ74" s="958" t="s">
        <v>20211</v>
      </c>
      <c r="AR74" s="146" t="s">
        <v>20211</v>
      </c>
      <c r="AS74" s="946"/>
      <c r="AT74" s="58" t="s">
        <v>500</v>
      </c>
      <c r="AU74" s="118">
        <v>1964</v>
      </c>
      <c r="AV74" s="149" t="s">
        <v>2143</v>
      </c>
      <c r="AW74" s="120">
        <v>58.448470562256297</v>
      </c>
      <c r="AX74" s="120">
        <v>36.413952207882701</v>
      </c>
    </row>
    <row r="75" spans="1:50" ht="15" customHeight="1" x14ac:dyDescent="0.25">
      <c r="A75" s="875"/>
      <c r="B75" s="875"/>
      <c r="C75" s="143" t="s">
        <v>1141</v>
      </c>
      <c r="D75" s="9">
        <v>10</v>
      </c>
      <c r="E75" s="503" t="s">
        <v>522</v>
      </c>
      <c r="F75" s="503">
        <v>10</v>
      </c>
      <c r="G75" s="503"/>
      <c r="H75" s="501"/>
      <c r="I75" s="151" t="s">
        <v>20227</v>
      </c>
      <c r="J75" s="31">
        <v>2.21</v>
      </c>
      <c r="K75" s="504">
        <v>1.1100000000000001</v>
      </c>
      <c r="L75" s="502" t="s">
        <v>248</v>
      </c>
      <c r="M75" s="144">
        <v>1.0999999999999999</v>
      </c>
      <c r="N75" s="504">
        <v>0</v>
      </c>
      <c r="O75" s="29"/>
      <c r="P75" s="29">
        <v>10.5</v>
      </c>
      <c r="Q75" s="144">
        <v>9.4</v>
      </c>
      <c r="R75" s="877"/>
      <c r="S75" s="882"/>
      <c r="T75" s="146" t="s">
        <v>20211</v>
      </c>
      <c r="U75" s="959"/>
      <c r="V75" s="882"/>
      <c r="W75" s="882"/>
      <c r="X75" s="43"/>
      <c r="Y75" s="875"/>
      <c r="Z75" s="874"/>
      <c r="AA75" s="143" t="s">
        <v>1141</v>
      </c>
      <c r="AB75" s="9">
        <v>10</v>
      </c>
      <c r="AC75" s="151" t="s">
        <v>522</v>
      </c>
      <c r="AD75" s="151">
        <v>10</v>
      </c>
      <c r="AE75" s="151"/>
      <c r="AF75" s="152"/>
      <c r="AG75" s="143" t="s">
        <v>20227</v>
      </c>
      <c r="AH75" s="144">
        <v>4.0271739130434782E-2</v>
      </c>
      <c r="AI75" s="144">
        <v>2.2502717391304348</v>
      </c>
      <c r="AJ75" s="144">
        <v>1.1100000000000001</v>
      </c>
      <c r="AK75" s="143" t="s">
        <v>248</v>
      </c>
      <c r="AL75" s="144">
        <v>1.1402717391304347</v>
      </c>
      <c r="AM75" s="144">
        <v>0</v>
      </c>
      <c r="AN75" s="29">
        <v>10.5</v>
      </c>
      <c r="AO75" s="144">
        <v>9.3597282608695647</v>
      </c>
      <c r="AP75" s="904"/>
      <c r="AQ75" s="959" t="s">
        <v>20211</v>
      </c>
      <c r="AR75" s="146" t="s">
        <v>20211</v>
      </c>
      <c r="AS75" s="947"/>
      <c r="AT75" s="58" t="s">
        <v>500</v>
      </c>
      <c r="AU75" s="118">
        <v>1964</v>
      </c>
      <c r="AV75" s="149" t="s">
        <v>2143</v>
      </c>
      <c r="AW75" s="120">
        <v>58.448470562256297</v>
      </c>
      <c r="AX75" s="120">
        <v>36.413952207882701</v>
      </c>
    </row>
    <row r="76" spans="1:50" ht="15" customHeight="1" x14ac:dyDescent="0.25">
      <c r="A76" s="875">
        <v>50</v>
      </c>
      <c r="B76" s="875">
        <v>50</v>
      </c>
      <c r="C76" s="143" t="s">
        <v>658</v>
      </c>
      <c r="D76" s="9">
        <v>25</v>
      </c>
      <c r="E76" s="503" t="s">
        <v>522</v>
      </c>
      <c r="F76" s="503">
        <v>25</v>
      </c>
      <c r="G76" s="503"/>
      <c r="H76" s="501"/>
      <c r="I76" s="151" t="s">
        <v>20226</v>
      </c>
      <c r="J76" s="31">
        <v>13.02</v>
      </c>
      <c r="K76" s="504">
        <v>4.75</v>
      </c>
      <c r="L76" s="502" t="s">
        <v>248</v>
      </c>
      <c r="M76" s="144">
        <v>8.27</v>
      </c>
      <c r="N76" s="504">
        <v>0</v>
      </c>
      <c r="O76" s="29"/>
      <c r="P76" s="29">
        <v>26.25</v>
      </c>
      <c r="Q76" s="144">
        <v>17.98</v>
      </c>
      <c r="R76" s="877">
        <v>17.98</v>
      </c>
      <c r="S76" s="880" t="s">
        <v>20211</v>
      </c>
      <c r="T76" s="146" t="s">
        <v>20211</v>
      </c>
      <c r="U76" s="880">
        <v>49.6</v>
      </c>
      <c r="V76" s="880">
        <v>0.5</v>
      </c>
      <c r="W76" s="880" t="s">
        <v>2260</v>
      </c>
      <c r="X76" s="43"/>
      <c r="Y76" s="875">
        <v>50</v>
      </c>
      <c r="Z76" s="874">
        <v>50</v>
      </c>
      <c r="AA76" s="143" t="s">
        <v>658</v>
      </c>
      <c r="AB76" s="9">
        <v>25</v>
      </c>
      <c r="AC76" s="151" t="s">
        <v>522</v>
      </c>
      <c r="AD76" s="151">
        <v>25</v>
      </c>
      <c r="AE76" s="151"/>
      <c r="AF76" s="152"/>
      <c r="AG76" s="143" t="s">
        <v>20226</v>
      </c>
      <c r="AH76" s="144">
        <v>0.40480434782608699</v>
      </c>
      <c r="AI76" s="144">
        <v>13.424804347826086</v>
      </c>
      <c r="AJ76" s="144">
        <v>4.75</v>
      </c>
      <c r="AK76" s="143" t="s">
        <v>248</v>
      </c>
      <c r="AL76" s="144">
        <v>8.6748043478260861</v>
      </c>
      <c r="AM76" s="144">
        <v>0</v>
      </c>
      <c r="AN76" s="29">
        <v>26.25</v>
      </c>
      <c r="AO76" s="144">
        <v>17.575195652173914</v>
      </c>
      <c r="AP76" s="902">
        <v>17.575195652173914</v>
      </c>
      <c r="AQ76" s="880" t="s">
        <v>20211</v>
      </c>
      <c r="AR76" s="146" t="s">
        <v>20211</v>
      </c>
      <c r="AS76" s="945">
        <v>51.142111801242237</v>
      </c>
      <c r="AT76" s="58" t="s">
        <v>500</v>
      </c>
      <c r="AU76" s="118">
        <v>1960</v>
      </c>
      <c r="AV76" s="149" t="s">
        <v>2143</v>
      </c>
      <c r="AW76" s="120">
        <v>57.810277826926203</v>
      </c>
      <c r="AX76" s="120">
        <v>36.710883336967399</v>
      </c>
    </row>
    <row r="77" spans="1:50" ht="15" customHeight="1" x14ac:dyDescent="0.25">
      <c r="A77" s="875"/>
      <c r="B77" s="875"/>
      <c r="C77" s="143" t="s">
        <v>1142</v>
      </c>
      <c r="D77" s="9">
        <v>25</v>
      </c>
      <c r="E77" s="503" t="s">
        <v>522</v>
      </c>
      <c r="F77" s="503">
        <v>25</v>
      </c>
      <c r="G77" s="503"/>
      <c r="H77" s="501"/>
      <c r="I77" s="151" t="s">
        <v>20226</v>
      </c>
      <c r="J77" s="31">
        <v>6.22</v>
      </c>
      <c r="K77" s="504">
        <v>4.75</v>
      </c>
      <c r="L77" s="502" t="s">
        <v>248</v>
      </c>
      <c r="M77" s="144">
        <v>1.4699999999999998</v>
      </c>
      <c r="N77" s="504">
        <v>0</v>
      </c>
      <c r="O77" s="29"/>
      <c r="P77" s="29">
        <v>26.25</v>
      </c>
      <c r="Q77" s="144">
        <v>24.78</v>
      </c>
      <c r="R77" s="877"/>
      <c r="S77" s="881"/>
      <c r="T77" s="146" t="s">
        <v>20211</v>
      </c>
      <c r="U77" s="958"/>
      <c r="V77" s="881"/>
      <c r="W77" s="881"/>
      <c r="X77" s="43"/>
      <c r="Y77" s="875"/>
      <c r="Z77" s="874"/>
      <c r="AA77" s="143" t="s">
        <v>1142</v>
      </c>
      <c r="AB77" s="9">
        <v>25</v>
      </c>
      <c r="AC77" s="151" t="s">
        <v>522</v>
      </c>
      <c r="AD77" s="151">
        <v>25</v>
      </c>
      <c r="AE77" s="151"/>
      <c r="AF77" s="152"/>
      <c r="AG77" s="143" t="s">
        <v>20226</v>
      </c>
      <c r="AH77" s="144">
        <v>0.40480434782608699</v>
      </c>
      <c r="AI77" s="144">
        <v>6.6248043478260872</v>
      </c>
      <c r="AJ77" s="144">
        <v>4.75</v>
      </c>
      <c r="AK77" s="143" t="s">
        <v>248</v>
      </c>
      <c r="AL77" s="144">
        <v>1.8748043478260872</v>
      </c>
      <c r="AM77" s="144">
        <v>0</v>
      </c>
      <c r="AN77" s="29">
        <v>26.25</v>
      </c>
      <c r="AO77" s="144">
        <v>24.375195652173915</v>
      </c>
      <c r="AP77" s="903"/>
      <c r="AQ77" s="958" t="s">
        <v>20211</v>
      </c>
      <c r="AR77" s="146" t="s">
        <v>20211</v>
      </c>
      <c r="AS77" s="946"/>
      <c r="AT77" s="58" t="s">
        <v>500</v>
      </c>
      <c r="AU77" s="118">
        <v>1960</v>
      </c>
      <c r="AV77" s="149" t="s">
        <v>2143</v>
      </c>
      <c r="AW77" s="120">
        <v>57.810277826926203</v>
      </c>
      <c r="AX77" s="120">
        <v>36.710883336967399</v>
      </c>
    </row>
    <row r="78" spans="1:50" ht="15" customHeight="1" x14ac:dyDescent="0.25">
      <c r="A78" s="875"/>
      <c r="B78" s="875"/>
      <c r="C78" s="143" t="s">
        <v>1141</v>
      </c>
      <c r="D78" s="9">
        <v>25</v>
      </c>
      <c r="E78" s="503" t="s">
        <v>522</v>
      </c>
      <c r="F78" s="503">
        <v>25</v>
      </c>
      <c r="G78" s="503"/>
      <c r="H78" s="501"/>
      <c r="I78" s="151" t="s">
        <v>20226</v>
      </c>
      <c r="J78" s="31">
        <v>6.8</v>
      </c>
      <c r="K78" s="504">
        <v>0</v>
      </c>
      <c r="L78" s="502">
        <v>0</v>
      </c>
      <c r="M78" s="144">
        <v>6.8</v>
      </c>
      <c r="N78" s="504">
        <v>0</v>
      </c>
      <c r="O78" s="29"/>
      <c r="P78" s="29">
        <v>26.25</v>
      </c>
      <c r="Q78" s="144">
        <v>19.45</v>
      </c>
      <c r="R78" s="877"/>
      <c r="S78" s="882"/>
      <c r="T78" s="146" t="s">
        <v>20211</v>
      </c>
      <c r="U78" s="959"/>
      <c r="V78" s="882"/>
      <c r="W78" s="882"/>
      <c r="X78" s="43"/>
      <c r="Y78" s="875"/>
      <c r="Z78" s="874"/>
      <c r="AA78" s="143" t="s">
        <v>1141</v>
      </c>
      <c r="AB78" s="9">
        <v>25</v>
      </c>
      <c r="AC78" s="151" t="s">
        <v>522</v>
      </c>
      <c r="AD78" s="151">
        <v>25</v>
      </c>
      <c r="AE78" s="151"/>
      <c r="AF78" s="152"/>
      <c r="AG78" s="143" t="s">
        <v>20226</v>
      </c>
      <c r="AH78" s="144">
        <v>0</v>
      </c>
      <c r="AI78" s="144">
        <v>6.8</v>
      </c>
      <c r="AJ78" s="144">
        <v>0</v>
      </c>
      <c r="AK78" s="143">
        <v>0</v>
      </c>
      <c r="AL78" s="144">
        <v>6.8</v>
      </c>
      <c r="AM78" s="144">
        <v>0</v>
      </c>
      <c r="AN78" s="29">
        <v>26.25</v>
      </c>
      <c r="AO78" s="144">
        <v>19.45</v>
      </c>
      <c r="AP78" s="904"/>
      <c r="AQ78" s="959" t="s">
        <v>20211</v>
      </c>
      <c r="AR78" s="146" t="s">
        <v>20211</v>
      </c>
      <c r="AS78" s="947"/>
      <c r="AT78" s="58" t="s">
        <v>500</v>
      </c>
      <c r="AU78" s="118">
        <v>1960</v>
      </c>
      <c r="AV78" s="149" t="s">
        <v>2143</v>
      </c>
      <c r="AW78" s="120">
        <v>57.810277826926203</v>
      </c>
      <c r="AX78" s="120">
        <v>36.710883336967399</v>
      </c>
    </row>
    <row r="79" spans="1:50" ht="15" customHeight="1" x14ac:dyDescent="0.25">
      <c r="A79" s="143">
        <v>51</v>
      </c>
      <c r="B79" s="143">
        <v>1</v>
      </c>
      <c r="C79" s="143" t="s">
        <v>659</v>
      </c>
      <c r="D79" s="9">
        <v>4</v>
      </c>
      <c r="E79" s="503"/>
      <c r="F79" s="503"/>
      <c r="G79" s="503"/>
      <c r="H79" s="501"/>
      <c r="I79" s="151" t="s">
        <v>20213</v>
      </c>
      <c r="J79" s="31">
        <v>0.16</v>
      </c>
      <c r="K79" s="504">
        <v>0.01</v>
      </c>
      <c r="L79" s="502" t="s">
        <v>248</v>
      </c>
      <c r="M79" s="144">
        <v>0.01</v>
      </c>
      <c r="N79" s="504">
        <v>0</v>
      </c>
      <c r="O79" s="29"/>
      <c r="P79" s="29">
        <v>0.01</v>
      </c>
      <c r="Q79" s="144">
        <v>-0.15</v>
      </c>
      <c r="R79" s="144">
        <v>-0.15</v>
      </c>
      <c r="S79" s="143" t="s">
        <v>2217</v>
      </c>
      <c r="T79" s="146" t="s">
        <v>2217</v>
      </c>
      <c r="U79" s="145">
        <v>3.8095238095238093</v>
      </c>
      <c r="V79" s="505">
        <v>0.4</v>
      </c>
      <c r="W79" s="505" t="s">
        <v>2024</v>
      </c>
      <c r="X79" s="43"/>
      <c r="Y79" s="143">
        <v>51</v>
      </c>
      <c r="Z79" s="152">
        <v>1</v>
      </c>
      <c r="AA79" s="143" t="s">
        <v>659</v>
      </c>
      <c r="AB79" s="9">
        <v>4</v>
      </c>
      <c r="AC79" s="151"/>
      <c r="AD79" s="151"/>
      <c r="AE79" s="151"/>
      <c r="AF79" s="152"/>
      <c r="AG79" s="143" t="s">
        <v>20213</v>
      </c>
      <c r="AH79" s="144">
        <v>0</v>
      </c>
      <c r="AI79" s="144">
        <v>0.16</v>
      </c>
      <c r="AJ79" s="144">
        <v>0.01</v>
      </c>
      <c r="AK79" s="143" t="s">
        <v>248</v>
      </c>
      <c r="AL79" s="144">
        <v>0.01</v>
      </c>
      <c r="AM79" s="144">
        <v>0</v>
      </c>
      <c r="AN79" s="29">
        <v>0.01</v>
      </c>
      <c r="AO79" s="144">
        <v>-0.15</v>
      </c>
      <c r="AP79" s="144">
        <v>-0.15</v>
      </c>
      <c r="AQ79" s="153" t="s">
        <v>2217</v>
      </c>
      <c r="AR79" s="146" t="s">
        <v>2217</v>
      </c>
      <c r="AS79" s="56">
        <v>3.8095238095238093</v>
      </c>
      <c r="AT79" s="58" t="s">
        <v>501</v>
      </c>
      <c r="AU79" s="118">
        <v>1979</v>
      </c>
      <c r="AV79" s="149" t="s">
        <v>2143</v>
      </c>
      <c r="AW79" s="120">
        <v>57.734708803120498</v>
      </c>
      <c r="AX79" s="120">
        <v>34.251455634969801</v>
      </c>
    </row>
    <row r="80" spans="1:50" ht="15" customHeight="1" x14ac:dyDescent="0.25">
      <c r="A80" s="143">
        <v>52</v>
      </c>
      <c r="B80" s="143">
        <v>2</v>
      </c>
      <c r="C80" s="143" t="s">
        <v>660</v>
      </c>
      <c r="D80" s="9">
        <v>1.6</v>
      </c>
      <c r="E80" s="503"/>
      <c r="F80" s="503"/>
      <c r="G80" s="503"/>
      <c r="H80" s="501"/>
      <c r="I80" s="151" t="s">
        <v>20210</v>
      </c>
      <c r="J80" s="31">
        <v>0.25</v>
      </c>
      <c r="K80" s="504">
        <v>0.25</v>
      </c>
      <c r="L80" s="502" t="s">
        <v>248</v>
      </c>
      <c r="M80" s="144">
        <v>0.25</v>
      </c>
      <c r="N80" s="504">
        <v>0</v>
      </c>
      <c r="O80" s="29"/>
      <c r="P80" s="29">
        <v>0.25</v>
      </c>
      <c r="Q80" s="144">
        <v>0</v>
      </c>
      <c r="R80" s="144">
        <v>0</v>
      </c>
      <c r="S80" s="143" t="s">
        <v>20211</v>
      </c>
      <c r="T80" s="146" t="s">
        <v>20211</v>
      </c>
      <c r="U80" s="145">
        <v>14.88095238095238</v>
      </c>
      <c r="V80" s="505">
        <v>0.4</v>
      </c>
      <c r="W80" s="505" t="s">
        <v>2024</v>
      </c>
      <c r="X80" s="43"/>
      <c r="Y80" s="143">
        <v>52</v>
      </c>
      <c r="Z80" s="152">
        <v>2</v>
      </c>
      <c r="AA80" s="143" t="s">
        <v>660</v>
      </c>
      <c r="AB80" s="9">
        <v>1.6</v>
      </c>
      <c r="AC80" s="151"/>
      <c r="AD80" s="151"/>
      <c r="AE80" s="151"/>
      <c r="AF80" s="152"/>
      <c r="AG80" s="143" t="s">
        <v>20210</v>
      </c>
      <c r="AH80" s="144">
        <v>1.9565217391304349E-2</v>
      </c>
      <c r="AI80" s="144">
        <v>0.26956521739130435</v>
      </c>
      <c r="AJ80" s="144">
        <v>0.25</v>
      </c>
      <c r="AK80" s="143" t="s">
        <v>248</v>
      </c>
      <c r="AL80" s="144">
        <v>0.25</v>
      </c>
      <c r="AM80" s="144">
        <v>0</v>
      </c>
      <c r="AN80" s="29">
        <v>0.25</v>
      </c>
      <c r="AO80" s="144">
        <v>-1.9565217391304346E-2</v>
      </c>
      <c r="AP80" s="144">
        <v>-1.9565217391304346E-2</v>
      </c>
      <c r="AQ80" s="153" t="s">
        <v>2217</v>
      </c>
      <c r="AR80" s="146" t="s">
        <v>2217</v>
      </c>
      <c r="AS80" s="56">
        <v>16.045548654244303</v>
      </c>
      <c r="AT80" s="58" t="s">
        <v>501</v>
      </c>
      <c r="AU80" s="118">
        <v>1984</v>
      </c>
      <c r="AV80" s="149" t="s">
        <v>2143</v>
      </c>
      <c r="AW80" s="120">
        <v>57.337287818827299</v>
      </c>
      <c r="AX80" s="120">
        <v>33.695109920522803</v>
      </c>
    </row>
    <row r="81" spans="1:50" ht="15" customHeight="1" x14ac:dyDescent="0.25">
      <c r="A81" s="143">
        <v>53</v>
      </c>
      <c r="B81" s="143">
        <v>3</v>
      </c>
      <c r="C81" s="143" t="s">
        <v>661</v>
      </c>
      <c r="D81" s="9">
        <v>1.8</v>
      </c>
      <c r="E81" s="503"/>
      <c r="F81" s="503"/>
      <c r="G81" s="503"/>
      <c r="H81" s="501"/>
      <c r="I81" s="151" t="s">
        <v>20214</v>
      </c>
      <c r="J81" s="31">
        <v>0.34</v>
      </c>
      <c r="K81" s="504">
        <v>0</v>
      </c>
      <c r="L81" s="502">
        <v>0</v>
      </c>
      <c r="M81" s="144">
        <v>0</v>
      </c>
      <c r="N81" s="504">
        <v>0</v>
      </c>
      <c r="O81" s="29"/>
      <c r="P81" s="29">
        <v>0</v>
      </c>
      <c r="Q81" s="144">
        <v>-0.34</v>
      </c>
      <c r="R81" s="144">
        <v>-0.34</v>
      </c>
      <c r="S81" s="143" t="s">
        <v>2217</v>
      </c>
      <c r="T81" s="146" t="s">
        <v>2217</v>
      </c>
      <c r="U81" s="145">
        <v>17.989417989417987</v>
      </c>
      <c r="V81" s="505">
        <v>0.44</v>
      </c>
      <c r="W81" s="505" t="s">
        <v>2024</v>
      </c>
      <c r="X81" s="43"/>
      <c r="Y81" s="143">
        <v>53</v>
      </c>
      <c r="Z81" s="152">
        <v>3</v>
      </c>
      <c r="AA81" s="143" t="s">
        <v>661</v>
      </c>
      <c r="AB81" s="9">
        <v>1.8</v>
      </c>
      <c r="AC81" s="151"/>
      <c r="AD81" s="151"/>
      <c r="AE81" s="151"/>
      <c r="AF81" s="152"/>
      <c r="AG81" s="143" t="s">
        <v>20214</v>
      </c>
      <c r="AH81" s="144">
        <v>2.9347826086956524E-3</v>
      </c>
      <c r="AI81" s="144">
        <v>0.3429347826086957</v>
      </c>
      <c r="AJ81" s="144">
        <v>0</v>
      </c>
      <c r="AK81" s="143">
        <v>0</v>
      </c>
      <c r="AL81" s="144">
        <v>0</v>
      </c>
      <c r="AM81" s="144">
        <v>0</v>
      </c>
      <c r="AN81" s="29">
        <v>0</v>
      </c>
      <c r="AO81" s="144">
        <v>-0.3429347826086957</v>
      </c>
      <c r="AP81" s="144">
        <v>-0.3429347826086957</v>
      </c>
      <c r="AQ81" s="153" t="s">
        <v>2217</v>
      </c>
      <c r="AR81" s="146" t="s">
        <v>2217</v>
      </c>
      <c r="AS81" s="56">
        <v>18.14469749252358</v>
      </c>
      <c r="AT81" s="58" t="s">
        <v>501</v>
      </c>
      <c r="AU81" s="118">
        <v>1980</v>
      </c>
      <c r="AV81" s="149" t="s">
        <v>2143</v>
      </c>
      <c r="AW81" s="120">
        <v>57.543570844495598</v>
      </c>
      <c r="AX81" s="120">
        <v>34.200940354594699</v>
      </c>
    </row>
    <row r="82" spans="1:50" ht="15" customHeight="1" x14ac:dyDescent="0.25">
      <c r="A82" s="143">
        <v>54</v>
      </c>
      <c r="B82" s="143">
        <v>4</v>
      </c>
      <c r="C82" s="143" t="s">
        <v>662</v>
      </c>
      <c r="D82" s="9">
        <v>1.6</v>
      </c>
      <c r="E82" s="503"/>
      <c r="F82" s="503"/>
      <c r="G82" s="503"/>
      <c r="H82" s="501"/>
      <c r="I82" s="151" t="s">
        <v>20210</v>
      </c>
      <c r="J82" s="31">
        <v>0.22</v>
      </c>
      <c r="K82" s="504">
        <v>0.22</v>
      </c>
      <c r="L82" s="502" t="s">
        <v>248</v>
      </c>
      <c r="M82" s="144">
        <v>0.22</v>
      </c>
      <c r="N82" s="504">
        <v>0</v>
      </c>
      <c r="O82" s="29"/>
      <c r="P82" s="29">
        <v>0.22</v>
      </c>
      <c r="Q82" s="144">
        <v>0</v>
      </c>
      <c r="R82" s="144">
        <v>0</v>
      </c>
      <c r="S82" s="143" t="s">
        <v>20211</v>
      </c>
      <c r="T82" s="146" t="s">
        <v>20211</v>
      </c>
      <c r="U82" s="145">
        <v>13.095238095238093</v>
      </c>
      <c r="V82" s="505">
        <v>0.6</v>
      </c>
      <c r="W82" s="505" t="s">
        <v>2024</v>
      </c>
      <c r="X82" s="43"/>
      <c r="Y82" s="143">
        <v>54</v>
      </c>
      <c r="Z82" s="152">
        <v>4</v>
      </c>
      <c r="AA82" s="143" t="s">
        <v>662</v>
      </c>
      <c r="AB82" s="9">
        <v>1.6</v>
      </c>
      <c r="AC82" s="151"/>
      <c r="AD82" s="151"/>
      <c r="AE82" s="151"/>
      <c r="AF82" s="152"/>
      <c r="AG82" s="143" t="s">
        <v>20210</v>
      </c>
      <c r="AH82" s="144">
        <v>2.4652173913043477E-2</v>
      </c>
      <c r="AI82" s="144">
        <v>0.24465217391304347</v>
      </c>
      <c r="AJ82" s="144">
        <v>0.22</v>
      </c>
      <c r="AK82" s="143" t="s">
        <v>248</v>
      </c>
      <c r="AL82" s="144">
        <v>0.22</v>
      </c>
      <c r="AM82" s="144">
        <v>0</v>
      </c>
      <c r="AN82" s="29">
        <v>0.22</v>
      </c>
      <c r="AO82" s="144">
        <v>-2.4652173913043474E-2</v>
      </c>
      <c r="AP82" s="144">
        <v>-2.4652173913043474E-2</v>
      </c>
      <c r="AQ82" s="153" t="s">
        <v>2217</v>
      </c>
      <c r="AR82" s="146" t="s">
        <v>2217</v>
      </c>
      <c r="AS82" s="56">
        <v>14.562629399585919</v>
      </c>
      <c r="AT82" s="58" t="s">
        <v>501</v>
      </c>
      <c r="AU82" s="118">
        <v>1980</v>
      </c>
      <c r="AV82" s="149" t="s">
        <v>2143</v>
      </c>
      <c r="AW82" s="120">
        <v>57.903337170375103</v>
      </c>
      <c r="AX82" s="120">
        <v>34.781156242278399</v>
      </c>
    </row>
    <row r="83" spans="1:50" ht="15" customHeight="1" x14ac:dyDescent="0.25">
      <c r="A83" s="143">
        <v>55</v>
      </c>
      <c r="B83" s="143">
        <v>5</v>
      </c>
      <c r="C83" s="143" t="s">
        <v>663</v>
      </c>
      <c r="D83" s="9">
        <v>1.6</v>
      </c>
      <c r="E83" s="503"/>
      <c r="F83" s="503"/>
      <c r="G83" s="503"/>
      <c r="H83" s="501"/>
      <c r="I83" s="151" t="s">
        <v>20210</v>
      </c>
      <c r="J83" s="31">
        <v>0.33</v>
      </c>
      <c r="K83" s="504">
        <v>0.33</v>
      </c>
      <c r="L83" s="502" t="s">
        <v>248</v>
      </c>
      <c r="M83" s="144">
        <v>0.33</v>
      </c>
      <c r="N83" s="504">
        <v>0</v>
      </c>
      <c r="O83" s="29"/>
      <c r="P83" s="29">
        <v>0.33</v>
      </c>
      <c r="Q83" s="144">
        <v>0</v>
      </c>
      <c r="R83" s="144">
        <v>0</v>
      </c>
      <c r="S83" s="143" t="s">
        <v>20211</v>
      </c>
      <c r="T83" s="146" t="s">
        <v>20211</v>
      </c>
      <c r="U83" s="145">
        <v>19.642857142857142</v>
      </c>
      <c r="V83" s="505">
        <v>0.46</v>
      </c>
      <c r="W83" s="505" t="s">
        <v>2024</v>
      </c>
      <c r="X83" s="43"/>
      <c r="Y83" s="143">
        <v>55</v>
      </c>
      <c r="Z83" s="152">
        <v>5</v>
      </c>
      <c r="AA83" s="143" t="s">
        <v>663</v>
      </c>
      <c r="AB83" s="9">
        <v>1.6</v>
      </c>
      <c r="AC83" s="151"/>
      <c r="AD83" s="151"/>
      <c r="AE83" s="151"/>
      <c r="AF83" s="152"/>
      <c r="AG83" s="143" t="s">
        <v>20210</v>
      </c>
      <c r="AH83" s="144">
        <v>0.1630434782608696</v>
      </c>
      <c r="AI83" s="144">
        <v>0.49304347826086958</v>
      </c>
      <c r="AJ83" s="144">
        <v>0.33</v>
      </c>
      <c r="AK83" s="143" t="s">
        <v>248</v>
      </c>
      <c r="AL83" s="144">
        <v>0.33</v>
      </c>
      <c r="AM83" s="144">
        <v>0</v>
      </c>
      <c r="AN83" s="29">
        <v>0.33</v>
      </c>
      <c r="AO83" s="144">
        <v>-0.16304347826086957</v>
      </c>
      <c r="AP83" s="144">
        <v>-0.16304347826086957</v>
      </c>
      <c r="AQ83" s="153" t="s">
        <v>2217</v>
      </c>
      <c r="AR83" s="146" t="s">
        <v>2217</v>
      </c>
      <c r="AS83" s="56">
        <v>29.34782608695652</v>
      </c>
      <c r="AT83" s="58" t="s">
        <v>501</v>
      </c>
      <c r="AU83" s="118">
        <v>1983</v>
      </c>
      <c r="AV83" s="149" t="s">
        <v>2143</v>
      </c>
      <c r="AW83" s="120">
        <v>57.681961743865799</v>
      </c>
      <c r="AX83" s="120">
        <v>35.215466072650798</v>
      </c>
    </row>
    <row r="84" spans="1:50" ht="15" customHeight="1" x14ac:dyDescent="0.25">
      <c r="A84" s="143">
        <v>56</v>
      </c>
      <c r="B84" s="143">
        <v>6</v>
      </c>
      <c r="C84" s="143" t="s">
        <v>664</v>
      </c>
      <c r="D84" s="9">
        <v>2.5</v>
      </c>
      <c r="E84" s="503"/>
      <c r="F84" s="503"/>
      <c r="G84" s="503"/>
      <c r="H84" s="501"/>
      <c r="I84" s="151" t="s">
        <v>20212</v>
      </c>
      <c r="J84" s="31">
        <v>0.18</v>
      </c>
      <c r="K84" s="504">
        <v>0.18</v>
      </c>
      <c r="L84" s="502" t="s">
        <v>248</v>
      </c>
      <c r="M84" s="144">
        <v>0.18</v>
      </c>
      <c r="N84" s="504">
        <v>0</v>
      </c>
      <c r="O84" s="29"/>
      <c r="P84" s="29">
        <v>0.18</v>
      </c>
      <c r="Q84" s="144">
        <v>0</v>
      </c>
      <c r="R84" s="144">
        <v>0</v>
      </c>
      <c r="S84" s="143" t="s">
        <v>20211</v>
      </c>
      <c r="T84" s="146" t="s">
        <v>20211</v>
      </c>
      <c r="U84" s="145">
        <v>6.8571428571428568</v>
      </c>
      <c r="V84" s="505"/>
      <c r="W84" s="505" t="s">
        <v>2023</v>
      </c>
      <c r="X84" s="43"/>
      <c r="Y84" s="143">
        <v>56</v>
      </c>
      <c r="Z84" s="152">
        <v>6</v>
      </c>
      <c r="AA84" s="143" t="s">
        <v>664</v>
      </c>
      <c r="AB84" s="9">
        <v>2.5</v>
      </c>
      <c r="AC84" s="151"/>
      <c r="AD84" s="151"/>
      <c r="AE84" s="151"/>
      <c r="AF84" s="152"/>
      <c r="AG84" s="143" t="s">
        <v>20212</v>
      </c>
      <c r="AH84" s="144">
        <v>0</v>
      </c>
      <c r="AI84" s="144">
        <v>0.18</v>
      </c>
      <c r="AJ84" s="144">
        <v>0.18</v>
      </c>
      <c r="AK84" s="143" t="s">
        <v>248</v>
      </c>
      <c r="AL84" s="144">
        <v>0.18</v>
      </c>
      <c r="AM84" s="144">
        <v>0</v>
      </c>
      <c r="AN84" s="29">
        <v>0.18</v>
      </c>
      <c r="AO84" s="144">
        <v>0</v>
      </c>
      <c r="AP84" s="144">
        <v>0</v>
      </c>
      <c r="AQ84" s="153" t="s">
        <v>20211</v>
      </c>
      <c r="AR84" s="146" t="s">
        <v>20211</v>
      </c>
      <c r="AS84" s="56">
        <v>6.8571428571428568</v>
      </c>
      <c r="AT84" s="58" t="s">
        <v>501</v>
      </c>
      <c r="AU84" s="118">
        <v>1984</v>
      </c>
      <c r="AV84" s="149" t="s">
        <v>2143</v>
      </c>
      <c r="AW84" s="120">
        <v>57.3974539559403</v>
      </c>
      <c r="AX84" s="120">
        <v>34.1217816220665</v>
      </c>
    </row>
    <row r="85" spans="1:50" ht="15" customHeight="1" x14ac:dyDescent="0.25">
      <c r="A85" s="143">
        <v>57</v>
      </c>
      <c r="B85" s="143">
        <v>7</v>
      </c>
      <c r="C85" s="143" t="s">
        <v>665</v>
      </c>
      <c r="D85" s="9">
        <v>2.5</v>
      </c>
      <c r="E85" s="503"/>
      <c r="F85" s="503"/>
      <c r="G85" s="503"/>
      <c r="H85" s="501"/>
      <c r="I85" s="151" t="s">
        <v>20212</v>
      </c>
      <c r="J85" s="31">
        <v>0.05</v>
      </c>
      <c r="K85" s="504">
        <v>0.05</v>
      </c>
      <c r="L85" s="502">
        <v>0</v>
      </c>
      <c r="M85" s="144">
        <v>0.05</v>
      </c>
      <c r="N85" s="504">
        <v>0</v>
      </c>
      <c r="O85" s="29"/>
      <c r="P85" s="29">
        <v>0.05</v>
      </c>
      <c r="Q85" s="144">
        <v>0</v>
      </c>
      <c r="R85" s="144">
        <v>0</v>
      </c>
      <c r="S85" s="143" t="s">
        <v>20211</v>
      </c>
      <c r="T85" s="146" t="s">
        <v>20211</v>
      </c>
      <c r="U85" s="145">
        <v>1.9047619047619047</v>
      </c>
      <c r="V85" s="505">
        <v>0.5</v>
      </c>
      <c r="W85" s="505" t="s">
        <v>2024</v>
      </c>
      <c r="X85" s="43"/>
      <c r="Y85" s="143">
        <v>57</v>
      </c>
      <c r="Z85" s="152">
        <v>7</v>
      </c>
      <c r="AA85" s="143" t="s">
        <v>665</v>
      </c>
      <c r="AB85" s="9">
        <v>2.5</v>
      </c>
      <c r="AC85" s="151"/>
      <c r="AD85" s="151"/>
      <c r="AE85" s="151"/>
      <c r="AF85" s="152"/>
      <c r="AG85" s="143" t="s">
        <v>20212</v>
      </c>
      <c r="AH85" s="144">
        <v>0.81234782608695655</v>
      </c>
      <c r="AI85" s="144">
        <v>0.86234782608695659</v>
      </c>
      <c r="AJ85" s="144">
        <v>0.05</v>
      </c>
      <c r="AK85" s="143">
        <v>0</v>
      </c>
      <c r="AL85" s="144">
        <v>0.05</v>
      </c>
      <c r="AM85" s="144">
        <v>0</v>
      </c>
      <c r="AN85" s="29">
        <v>0.05</v>
      </c>
      <c r="AO85" s="144">
        <v>-0.81234782608695655</v>
      </c>
      <c r="AP85" s="144">
        <v>-0.81234782608695655</v>
      </c>
      <c r="AQ85" s="153" t="s">
        <v>2217</v>
      </c>
      <c r="AR85" s="146" t="s">
        <v>2217</v>
      </c>
      <c r="AS85" s="56">
        <v>32.851345755693579</v>
      </c>
      <c r="AT85" s="58" t="s">
        <v>501</v>
      </c>
      <c r="AU85" s="118">
        <v>1978</v>
      </c>
      <c r="AV85" s="150">
        <v>2011</v>
      </c>
      <c r="AW85" s="120">
        <v>57.979977683273901</v>
      </c>
      <c r="AX85" s="120">
        <v>33.650923326913897</v>
      </c>
    </row>
    <row r="86" spans="1:50" ht="15" customHeight="1" x14ac:dyDescent="0.25">
      <c r="A86" s="143">
        <v>58</v>
      </c>
      <c r="B86" s="143">
        <v>8</v>
      </c>
      <c r="C86" s="143" t="s">
        <v>666</v>
      </c>
      <c r="D86" s="9">
        <v>25</v>
      </c>
      <c r="E86" s="503"/>
      <c r="F86" s="503"/>
      <c r="G86" s="503"/>
      <c r="H86" s="501"/>
      <c r="I86" s="151" t="s">
        <v>6923</v>
      </c>
      <c r="J86" s="31">
        <v>0.47</v>
      </c>
      <c r="K86" s="504">
        <v>0.47</v>
      </c>
      <c r="L86" s="502" t="s">
        <v>248</v>
      </c>
      <c r="M86" s="144">
        <v>0.47</v>
      </c>
      <c r="N86" s="504">
        <v>0</v>
      </c>
      <c r="O86" s="29"/>
      <c r="P86" s="29">
        <v>0.47</v>
      </c>
      <c r="Q86" s="144">
        <v>0</v>
      </c>
      <c r="R86" s="144">
        <v>0</v>
      </c>
      <c r="S86" s="143" t="s">
        <v>20211</v>
      </c>
      <c r="T86" s="146" t="s">
        <v>20211</v>
      </c>
      <c r="U86" s="145">
        <v>1.7904761904761906</v>
      </c>
      <c r="V86" s="505"/>
      <c r="W86" s="505" t="s">
        <v>2023</v>
      </c>
      <c r="X86" s="43"/>
      <c r="Y86" s="143">
        <v>58</v>
      </c>
      <c r="Z86" s="152">
        <v>8</v>
      </c>
      <c r="AA86" s="143" t="s">
        <v>666</v>
      </c>
      <c r="AB86" s="9">
        <v>25</v>
      </c>
      <c r="AC86" s="151"/>
      <c r="AD86" s="151"/>
      <c r="AE86" s="151"/>
      <c r="AF86" s="152"/>
      <c r="AG86" s="143" t="s">
        <v>6923</v>
      </c>
      <c r="AH86" s="144">
        <v>1.8586956521739129E-2</v>
      </c>
      <c r="AI86" s="144">
        <v>0.48858695652173911</v>
      </c>
      <c r="AJ86" s="144">
        <v>0.47</v>
      </c>
      <c r="AK86" s="143" t="s">
        <v>248</v>
      </c>
      <c r="AL86" s="144">
        <v>0.47</v>
      </c>
      <c r="AM86" s="144">
        <v>0</v>
      </c>
      <c r="AN86" s="29">
        <v>0.47</v>
      </c>
      <c r="AO86" s="144">
        <v>-1.858695652173914E-2</v>
      </c>
      <c r="AP86" s="144">
        <v>-1.858695652173914E-2</v>
      </c>
      <c r="AQ86" s="153" t="s">
        <v>2217</v>
      </c>
      <c r="AR86" s="146" t="s">
        <v>2217</v>
      </c>
      <c r="AS86" s="56">
        <v>1.8612836438923397</v>
      </c>
      <c r="AT86" s="58" t="s">
        <v>501</v>
      </c>
      <c r="AU86" s="118">
        <v>1989</v>
      </c>
      <c r="AV86" s="149" t="s">
        <v>2143</v>
      </c>
      <c r="AW86" s="120">
        <v>57.280755054760697</v>
      </c>
      <c r="AX86" s="120">
        <v>34.229776902529103</v>
      </c>
    </row>
    <row r="87" spans="1:50" ht="15" customHeight="1" x14ac:dyDescent="0.25">
      <c r="A87" s="143">
        <v>59</v>
      </c>
      <c r="B87" s="143">
        <v>9</v>
      </c>
      <c r="C87" s="143" t="s">
        <v>667</v>
      </c>
      <c r="D87" s="9">
        <v>1</v>
      </c>
      <c r="E87" s="503"/>
      <c r="F87" s="503"/>
      <c r="G87" s="503"/>
      <c r="H87" s="501"/>
      <c r="I87" s="151" t="s">
        <v>2043</v>
      </c>
      <c r="J87" s="31">
        <v>0.2</v>
      </c>
      <c r="K87" s="504">
        <v>0.2</v>
      </c>
      <c r="L87" s="502" t="s">
        <v>248</v>
      </c>
      <c r="M87" s="144">
        <v>0.2</v>
      </c>
      <c r="N87" s="504">
        <v>0</v>
      </c>
      <c r="O87" s="29"/>
      <c r="P87" s="29">
        <v>0.2</v>
      </c>
      <c r="Q87" s="144">
        <v>0</v>
      </c>
      <c r="R87" s="144">
        <v>0</v>
      </c>
      <c r="S87" s="143" t="s">
        <v>20211</v>
      </c>
      <c r="T87" s="146" t="s">
        <v>20211</v>
      </c>
      <c r="U87" s="145">
        <v>19.047619047619047</v>
      </c>
      <c r="V87" s="505"/>
      <c r="W87" s="505" t="s">
        <v>2023</v>
      </c>
      <c r="X87" s="43"/>
      <c r="Y87" s="143">
        <v>59</v>
      </c>
      <c r="Z87" s="152">
        <v>9</v>
      </c>
      <c r="AA87" s="143" t="s">
        <v>667</v>
      </c>
      <c r="AB87" s="9">
        <v>1</v>
      </c>
      <c r="AC87" s="151"/>
      <c r="AD87" s="151"/>
      <c r="AE87" s="151"/>
      <c r="AF87" s="152"/>
      <c r="AG87" s="143" t="s">
        <v>2043</v>
      </c>
      <c r="AH87" s="144">
        <v>3.5217391304347825E-2</v>
      </c>
      <c r="AI87" s="144">
        <v>0.23521739130434782</v>
      </c>
      <c r="AJ87" s="144">
        <v>0.2</v>
      </c>
      <c r="AK87" s="143" t="s">
        <v>248</v>
      </c>
      <c r="AL87" s="144">
        <v>0.2</v>
      </c>
      <c r="AM87" s="144">
        <v>0</v>
      </c>
      <c r="AN87" s="29">
        <v>0.2</v>
      </c>
      <c r="AO87" s="144">
        <v>-3.5217391304347812E-2</v>
      </c>
      <c r="AP87" s="144">
        <v>-3.5217391304347812E-2</v>
      </c>
      <c r="AQ87" s="153" t="s">
        <v>2217</v>
      </c>
      <c r="AR87" s="146" t="s">
        <v>2217</v>
      </c>
      <c r="AS87" s="56">
        <v>22.401656314699792</v>
      </c>
      <c r="AT87" s="58" t="s">
        <v>501</v>
      </c>
      <c r="AU87" s="118">
        <v>1962</v>
      </c>
      <c r="AV87" s="149" t="s">
        <v>2143</v>
      </c>
      <c r="AW87" s="120">
        <v>57.950902775863199</v>
      </c>
      <c r="AX87" s="120">
        <v>35.015180866362698</v>
      </c>
    </row>
    <row r="88" spans="1:50" ht="15" customHeight="1" x14ac:dyDescent="0.25">
      <c r="A88" s="143">
        <v>60</v>
      </c>
      <c r="B88" s="143">
        <v>10</v>
      </c>
      <c r="C88" s="143" t="s">
        <v>668</v>
      </c>
      <c r="D88" s="9">
        <v>4</v>
      </c>
      <c r="E88" s="503"/>
      <c r="F88" s="503"/>
      <c r="G88" s="503"/>
      <c r="H88" s="501"/>
      <c r="I88" s="151" t="s">
        <v>20213</v>
      </c>
      <c r="J88" s="31">
        <v>2.35</v>
      </c>
      <c r="K88" s="504">
        <v>0.9</v>
      </c>
      <c r="L88" s="502" t="s">
        <v>248</v>
      </c>
      <c r="M88" s="144">
        <v>0.9</v>
      </c>
      <c r="N88" s="504">
        <v>0</v>
      </c>
      <c r="O88" s="29"/>
      <c r="P88" s="29">
        <v>0.9</v>
      </c>
      <c r="Q88" s="144">
        <v>-1.4500000000000002</v>
      </c>
      <c r="R88" s="144">
        <v>-1.4500000000000002</v>
      </c>
      <c r="S88" s="143" t="s">
        <v>2217</v>
      </c>
      <c r="T88" s="146" t="s">
        <v>2217</v>
      </c>
      <c r="U88" s="145">
        <v>55.952380952380949</v>
      </c>
      <c r="V88" s="505">
        <v>0.45</v>
      </c>
      <c r="W88" s="505" t="s">
        <v>2024</v>
      </c>
      <c r="X88" s="43"/>
      <c r="Y88" s="143">
        <v>60</v>
      </c>
      <c r="Z88" s="152">
        <v>10</v>
      </c>
      <c r="AA88" s="143" t="s">
        <v>668</v>
      </c>
      <c r="AB88" s="9">
        <v>4</v>
      </c>
      <c r="AC88" s="151"/>
      <c r="AD88" s="151"/>
      <c r="AE88" s="151"/>
      <c r="AF88" s="152"/>
      <c r="AG88" s="143" t="s">
        <v>20213</v>
      </c>
      <c r="AH88" s="144">
        <v>0</v>
      </c>
      <c r="AI88" s="144">
        <v>2.35</v>
      </c>
      <c r="AJ88" s="144">
        <v>0.9</v>
      </c>
      <c r="AK88" s="143" t="s">
        <v>248</v>
      </c>
      <c r="AL88" s="144">
        <v>0.9</v>
      </c>
      <c r="AM88" s="144">
        <v>0</v>
      </c>
      <c r="AN88" s="29">
        <v>0.9</v>
      </c>
      <c r="AO88" s="144">
        <v>-1.4500000000000002</v>
      </c>
      <c r="AP88" s="144">
        <v>-1.4500000000000002</v>
      </c>
      <c r="AQ88" s="153" t="s">
        <v>2217</v>
      </c>
      <c r="AR88" s="146" t="s">
        <v>2217</v>
      </c>
      <c r="AS88" s="56">
        <v>55.952380952380949</v>
      </c>
      <c r="AT88" s="58" t="s">
        <v>501</v>
      </c>
      <c r="AU88" s="118">
        <v>1970</v>
      </c>
      <c r="AV88" s="149" t="s">
        <v>2143</v>
      </c>
      <c r="AW88" s="120">
        <v>57.604268408936399</v>
      </c>
      <c r="AX88" s="120">
        <v>34.597035020600103</v>
      </c>
    </row>
    <row r="89" spans="1:50" ht="15" customHeight="1" x14ac:dyDescent="0.25">
      <c r="A89" s="143">
        <v>61</v>
      </c>
      <c r="B89" s="143">
        <v>11</v>
      </c>
      <c r="C89" s="143" t="s">
        <v>669</v>
      </c>
      <c r="D89" s="9">
        <v>1</v>
      </c>
      <c r="E89" s="503" t="s">
        <v>522</v>
      </c>
      <c r="F89" s="503">
        <v>1.6</v>
      </c>
      <c r="G89" s="503"/>
      <c r="H89" s="501"/>
      <c r="I89" s="151" t="s">
        <v>20228</v>
      </c>
      <c r="J89" s="31">
        <v>0.48</v>
      </c>
      <c r="K89" s="504">
        <v>0</v>
      </c>
      <c r="L89" s="502">
        <v>0</v>
      </c>
      <c r="M89" s="144">
        <v>0.48</v>
      </c>
      <c r="N89" s="504">
        <v>0</v>
      </c>
      <c r="O89" s="29"/>
      <c r="P89" s="29">
        <v>1.05</v>
      </c>
      <c r="Q89" s="144">
        <v>0.57000000000000006</v>
      </c>
      <c r="R89" s="144">
        <v>0.57000000000000006</v>
      </c>
      <c r="S89" s="143" t="s">
        <v>20211</v>
      </c>
      <c r="T89" s="146" t="s">
        <v>20211</v>
      </c>
      <c r="U89" s="145">
        <v>45.714285714285715</v>
      </c>
      <c r="V89" s="505"/>
      <c r="W89" s="505" t="s">
        <v>2023</v>
      </c>
      <c r="X89" s="43"/>
      <c r="Y89" s="143">
        <v>61</v>
      </c>
      <c r="Z89" s="152">
        <v>11</v>
      </c>
      <c r="AA89" s="143" t="s">
        <v>669</v>
      </c>
      <c r="AB89" s="9">
        <v>1</v>
      </c>
      <c r="AC89" s="151" t="s">
        <v>522</v>
      </c>
      <c r="AD89" s="151">
        <v>1.6</v>
      </c>
      <c r="AE89" s="151"/>
      <c r="AF89" s="152"/>
      <c r="AG89" s="143" t="s">
        <v>20228</v>
      </c>
      <c r="AH89" s="144">
        <v>0</v>
      </c>
      <c r="AI89" s="144">
        <v>0.48</v>
      </c>
      <c r="AJ89" s="144">
        <v>0</v>
      </c>
      <c r="AK89" s="143">
        <v>0</v>
      </c>
      <c r="AL89" s="144">
        <v>0.48</v>
      </c>
      <c r="AM89" s="144">
        <v>0</v>
      </c>
      <c r="AN89" s="29">
        <v>1.05</v>
      </c>
      <c r="AO89" s="144">
        <v>0.57000000000000006</v>
      </c>
      <c r="AP89" s="144">
        <v>0.57000000000000006</v>
      </c>
      <c r="AQ89" s="153" t="s">
        <v>20211</v>
      </c>
      <c r="AR89" s="146" t="s">
        <v>20211</v>
      </c>
      <c r="AS89" s="56">
        <v>45.714285714285715</v>
      </c>
      <c r="AT89" s="58" t="s">
        <v>501</v>
      </c>
      <c r="AU89" s="118">
        <v>1972</v>
      </c>
      <c r="AV89" s="149" t="s">
        <v>2143</v>
      </c>
      <c r="AW89" s="120">
        <v>57.872847658966101</v>
      </c>
      <c r="AX89" s="120">
        <v>33.584345984605797</v>
      </c>
    </row>
    <row r="90" spans="1:50" ht="15" customHeight="1" x14ac:dyDescent="0.25">
      <c r="A90" s="143">
        <v>62</v>
      </c>
      <c r="B90" s="143">
        <v>12</v>
      </c>
      <c r="C90" s="143" t="s">
        <v>670</v>
      </c>
      <c r="D90" s="9">
        <v>6.3</v>
      </c>
      <c r="E90" s="503" t="s">
        <v>522</v>
      </c>
      <c r="F90" s="503">
        <v>10</v>
      </c>
      <c r="G90" s="503"/>
      <c r="H90" s="501"/>
      <c r="I90" s="151" t="s">
        <v>20229</v>
      </c>
      <c r="J90" s="31">
        <v>3.4</v>
      </c>
      <c r="K90" s="504">
        <v>0</v>
      </c>
      <c r="L90" s="502">
        <v>0</v>
      </c>
      <c r="M90" s="144">
        <v>3.4</v>
      </c>
      <c r="N90" s="504">
        <v>0</v>
      </c>
      <c r="O90" s="29"/>
      <c r="P90" s="29">
        <v>6.6150000000000002</v>
      </c>
      <c r="Q90" s="144">
        <v>3.2150000000000003</v>
      </c>
      <c r="R90" s="144">
        <v>3.2150000000000003</v>
      </c>
      <c r="S90" s="143" t="s">
        <v>20211</v>
      </c>
      <c r="T90" s="146" t="s">
        <v>20211</v>
      </c>
      <c r="U90" s="145">
        <v>51.398337112622826</v>
      </c>
      <c r="V90" s="505"/>
      <c r="W90" s="505" t="s">
        <v>2023</v>
      </c>
      <c r="X90" s="43"/>
      <c r="Y90" s="143">
        <v>62</v>
      </c>
      <c r="Z90" s="152">
        <v>12</v>
      </c>
      <c r="AA90" s="143" t="s">
        <v>670</v>
      </c>
      <c r="AB90" s="9">
        <v>6.3</v>
      </c>
      <c r="AC90" s="151" t="s">
        <v>522</v>
      </c>
      <c r="AD90" s="151">
        <v>10</v>
      </c>
      <c r="AE90" s="151"/>
      <c r="AF90" s="152"/>
      <c r="AG90" s="143" t="s">
        <v>20229</v>
      </c>
      <c r="AH90" s="144">
        <v>0</v>
      </c>
      <c r="AI90" s="144">
        <v>3.4</v>
      </c>
      <c r="AJ90" s="144">
        <v>0</v>
      </c>
      <c r="AK90" s="143">
        <v>0</v>
      </c>
      <c r="AL90" s="144">
        <v>3.4</v>
      </c>
      <c r="AM90" s="144">
        <v>0</v>
      </c>
      <c r="AN90" s="29">
        <v>6.6150000000000002</v>
      </c>
      <c r="AO90" s="144">
        <v>3.2150000000000003</v>
      </c>
      <c r="AP90" s="144">
        <v>3.2150000000000003</v>
      </c>
      <c r="AQ90" s="153" t="s">
        <v>20211</v>
      </c>
      <c r="AR90" s="146" t="s">
        <v>20211</v>
      </c>
      <c r="AS90" s="56">
        <v>51.398337112622826</v>
      </c>
      <c r="AT90" s="58" t="s">
        <v>501</v>
      </c>
      <c r="AU90" s="118">
        <v>1985</v>
      </c>
      <c r="AV90" s="149" t="s">
        <v>2143</v>
      </c>
      <c r="AW90" s="120">
        <v>57.583092008346497</v>
      </c>
      <c r="AX90" s="120">
        <v>34.519063126938597</v>
      </c>
    </row>
    <row r="91" spans="1:50" ht="15" customHeight="1" x14ac:dyDescent="0.25">
      <c r="A91" s="143">
        <v>63</v>
      </c>
      <c r="B91" s="143">
        <v>13</v>
      </c>
      <c r="C91" s="143" t="s">
        <v>671</v>
      </c>
      <c r="D91" s="9">
        <v>3.2</v>
      </c>
      <c r="E91" s="503" t="s">
        <v>522</v>
      </c>
      <c r="F91" s="503">
        <v>4</v>
      </c>
      <c r="G91" s="503"/>
      <c r="H91" s="501"/>
      <c r="I91" s="151" t="s">
        <v>20230</v>
      </c>
      <c r="J91" s="31">
        <v>0.53</v>
      </c>
      <c r="K91" s="504">
        <v>0.2</v>
      </c>
      <c r="L91" s="502">
        <v>120</v>
      </c>
      <c r="M91" s="144">
        <v>0.33</v>
      </c>
      <c r="N91" s="504">
        <v>0</v>
      </c>
      <c r="O91" s="29"/>
      <c r="P91" s="29">
        <v>3.3600000000000003</v>
      </c>
      <c r="Q91" s="144">
        <v>3.0300000000000002</v>
      </c>
      <c r="R91" s="144">
        <v>3.0300000000000002</v>
      </c>
      <c r="S91" s="143" t="s">
        <v>20211</v>
      </c>
      <c r="T91" s="146" t="s">
        <v>20211</v>
      </c>
      <c r="U91" s="145">
        <v>15.773809523809522</v>
      </c>
      <c r="V91" s="505">
        <v>0.7</v>
      </c>
      <c r="W91" s="505" t="s">
        <v>2024</v>
      </c>
      <c r="X91" s="43"/>
      <c r="Y91" s="143">
        <v>63</v>
      </c>
      <c r="Z91" s="152">
        <v>13</v>
      </c>
      <c r="AA91" s="143" t="s">
        <v>671</v>
      </c>
      <c r="AB91" s="9">
        <v>3.2</v>
      </c>
      <c r="AC91" s="151" t="s">
        <v>522</v>
      </c>
      <c r="AD91" s="151">
        <v>4</v>
      </c>
      <c r="AE91" s="151"/>
      <c r="AF91" s="152"/>
      <c r="AG91" s="143" t="s">
        <v>20230</v>
      </c>
      <c r="AH91" s="144">
        <v>9.0978260869565217E-3</v>
      </c>
      <c r="AI91" s="144">
        <v>0.53909782608695656</v>
      </c>
      <c r="AJ91" s="144">
        <v>0.2</v>
      </c>
      <c r="AK91" s="143">
        <v>120</v>
      </c>
      <c r="AL91" s="144">
        <v>0.33909782608695654</v>
      </c>
      <c r="AM91" s="144">
        <v>0</v>
      </c>
      <c r="AN91" s="29">
        <v>3.3600000000000003</v>
      </c>
      <c r="AO91" s="144">
        <v>2.8209021739130438</v>
      </c>
      <c r="AP91" s="144">
        <v>2.8209021739130438</v>
      </c>
      <c r="AQ91" s="153" t="s">
        <v>20211</v>
      </c>
      <c r="AR91" s="146" t="s">
        <v>20211</v>
      </c>
      <c r="AS91" s="56">
        <v>16.044578157349896</v>
      </c>
      <c r="AT91" s="58" t="s">
        <v>501</v>
      </c>
      <c r="AU91" s="118">
        <v>1986</v>
      </c>
      <c r="AV91" s="149" t="s">
        <v>2143</v>
      </c>
      <c r="AW91" s="120">
        <v>57.711664222731898</v>
      </c>
      <c r="AX91" s="120">
        <v>34.308029350708203</v>
      </c>
    </row>
    <row r="92" spans="1:50" ht="15" customHeight="1" x14ac:dyDescent="0.25">
      <c r="A92" s="143">
        <v>64</v>
      </c>
      <c r="B92" s="143">
        <v>14</v>
      </c>
      <c r="C92" s="143" t="s">
        <v>672</v>
      </c>
      <c r="D92" s="9">
        <v>1.6</v>
      </c>
      <c r="E92" s="503" t="s">
        <v>522</v>
      </c>
      <c r="F92" s="503">
        <v>1.8</v>
      </c>
      <c r="G92" s="503"/>
      <c r="H92" s="501"/>
      <c r="I92" s="151" t="s">
        <v>20231</v>
      </c>
      <c r="J92" s="31">
        <v>0.05</v>
      </c>
      <c r="K92" s="504">
        <v>0</v>
      </c>
      <c r="L92" s="502">
        <v>0</v>
      </c>
      <c r="M92" s="144">
        <v>0.05</v>
      </c>
      <c r="N92" s="504">
        <v>0</v>
      </c>
      <c r="O92" s="29"/>
      <c r="P92" s="29">
        <v>1.6800000000000002</v>
      </c>
      <c r="Q92" s="144">
        <v>1.6300000000000001</v>
      </c>
      <c r="R92" s="144">
        <v>1.6300000000000001</v>
      </c>
      <c r="S92" s="143" t="s">
        <v>20211</v>
      </c>
      <c r="T92" s="146" t="s">
        <v>20211</v>
      </c>
      <c r="U92" s="145">
        <v>2.9761904761904758</v>
      </c>
      <c r="V92" s="505"/>
      <c r="W92" s="505" t="s">
        <v>2023</v>
      </c>
      <c r="X92" s="43"/>
      <c r="Y92" s="143">
        <v>64</v>
      </c>
      <c r="Z92" s="152">
        <v>14</v>
      </c>
      <c r="AA92" s="143" t="s">
        <v>672</v>
      </c>
      <c r="AB92" s="9">
        <v>1.6</v>
      </c>
      <c r="AC92" s="151" t="s">
        <v>522</v>
      </c>
      <c r="AD92" s="151">
        <v>1.8</v>
      </c>
      <c r="AE92" s="151"/>
      <c r="AF92" s="152"/>
      <c r="AG92" s="143" t="s">
        <v>20231</v>
      </c>
      <c r="AH92" s="144">
        <v>3.8739130434782602E-2</v>
      </c>
      <c r="AI92" s="144">
        <v>8.8739130434782598E-2</v>
      </c>
      <c r="AJ92" s="144">
        <v>0</v>
      </c>
      <c r="AK92" s="143">
        <v>0</v>
      </c>
      <c r="AL92" s="144">
        <v>8.8739130434782598E-2</v>
      </c>
      <c r="AM92" s="144">
        <v>0</v>
      </c>
      <c r="AN92" s="29">
        <v>1.6800000000000002</v>
      </c>
      <c r="AO92" s="144">
        <v>1.5912608695652175</v>
      </c>
      <c r="AP92" s="144">
        <v>1.5912608695652175</v>
      </c>
      <c r="AQ92" s="153" t="s">
        <v>20211</v>
      </c>
      <c r="AR92" s="146" t="s">
        <v>20211</v>
      </c>
      <c r="AS92" s="56">
        <v>5.2820910973084869</v>
      </c>
      <c r="AT92" s="58" t="s">
        <v>501</v>
      </c>
      <c r="AU92" s="118">
        <v>1968</v>
      </c>
      <c r="AV92" s="149" t="s">
        <v>2143</v>
      </c>
      <c r="AW92" s="120">
        <v>57.8240221041303</v>
      </c>
      <c r="AX92" s="120">
        <v>33.545197760664401</v>
      </c>
    </row>
    <row r="93" spans="1:50" ht="15" customHeight="1" x14ac:dyDescent="0.25">
      <c r="A93" s="143">
        <v>65</v>
      </c>
      <c r="B93" s="143">
        <v>15</v>
      </c>
      <c r="C93" s="143" t="s">
        <v>1744</v>
      </c>
      <c r="D93" s="9">
        <v>10</v>
      </c>
      <c r="E93" s="503" t="s">
        <v>522</v>
      </c>
      <c r="F93" s="503">
        <v>10</v>
      </c>
      <c r="G93" s="503"/>
      <c r="H93" s="501"/>
      <c r="I93" s="151" t="s">
        <v>20227</v>
      </c>
      <c r="J93" s="31">
        <v>2.87</v>
      </c>
      <c r="K93" s="504">
        <v>0</v>
      </c>
      <c r="L93" s="502">
        <v>0</v>
      </c>
      <c r="M93" s="144">
        <v>2.87</v>
      </c>
      <c r="N93" s="504">
        <v>0</v>
      </c>
      <c r="O93" s="29"/>
      <c r="P93" s="29">
        <v>10.5</v>
      </c>
      <c r="Q93" s="144">
        <v>7.63</v>
      </c>
      <c r="R93" s="144">
        <v>7.63</v>
      </c>
      <c r="S93" s="143" t="s">
        <v>20211</v>
      </c>
      <c r="T93" s="146" t="s">
        <v>20211</v>
      </c>
      <c r="U93" s="145">
        <v>27.333333333333332</v>
      </c>
      <c r="V93" s="505"/>
      <c r="W93" s="505" t="s">
        <v>2023</v>
      </c>
      <c r="X93" s="43"/>
      <c r="Y93" s="143">
        <v>65</v>
      </c>
      <c r="Z93" s="152">
        <v>15</v>
      </c>
      <c r="AA93" s="143" t="s">
        <v>1744</v>
      </c>
      <c r="AB93" s="9">
        <v>10</v>
      </c>
      <c r="AC93" s="151" t="s">
        <v>522</v>
      </c>
      <c r="AD93" s="151">
        <v>10</v>
      </c>
      <c r="AE93" s="151"/>
      <c r="AF93" s="152"/>
      <c r="AG93" s="143" t="s">
        <v>20227</v>
      </c>
      <c r="AH93" s="144">
        <v>1.6739999999999997</v>
      </c>
      <c r="AI93" s="144">
        <v>4.5439999999999996</v>
      </c>
      <c r="AJ93" s="144">
        <v>0</v>
      </c>
      <c r="AK93" s="143">
        <v>0</v>
      </c>
      <c r="AL93" s="144">
        <v>4.5439999999999996</v>
      </c>
      <c r="AM93" s="144">
        <v>0</v>
      </c>
      <c r="AN93" s="29">
        <v>10.5</v>
      </c>
      <c r="AO93" s="144">
        <v>5.9560000000000004</v>
      </c>
      <c r="AP93" s="144">
        <v>5.9560000000000004</v>
      </c>
      <c r="AQ93" s="153" t="s">
        <v>20211</v>
      </c>
      <c r="AR93" s="146" t="s">
        <v>20211</v>
      </c>
      <c r="AS93" s="56">
        <v>43.276190476190472</v>
      </c>
      <c r="AT93" s="58" t="s">
        <v>501</v>
      </c>
      <c r="AU93" s="118">
        <v>1986</v>
      </c>
      <c r="AV93" s="149" t="s">
        <v>2143</v>
      </c>
      <c r="AW93" s="120">
        <v>57.868926338664501</v>
      </c>
      <c r="AX93" s="120">
        <v>33.678183903363703</v>
      </c>
    </row>
    <row r="94" spans="1:50" ht="15" customHeight="1" x14ac:dyDescent="0.25">
      <c r="A94" s="143">
        <v>66</v>
      </c>
      <c r="B94" s="143">
        <v>16</v>
      </c>
      <c r="C94" s="143" t="s">
        <v>673</v>
      </c>
      <c r="D94" s="9">
        <v>3.2</v>
      </c>
      <c r="E94" s="503" t="s">
        <v>522</v>
      </c>
      <c r="F94" s="503">
        <v>3.2</v>
      </c>
      <c r="G94" s="503"/>
      <c r="H94" s="501"/>
      <c r="I94" s="151" t="s">
        <v>20232</v>
      </c>
      <c r="J94" s="31">
        <v>1.53</v>
      </c>
      <c r="K94" s="504">
        <v>0</v>
      </c>
      <c r="L94" s="502">
        <v>0</v>
      </c>
      <c r="M94" s="144">
        <v>1.53</v>
      </c>
      <c r="N94" s="504">
        <v>0</v>
      </c>
      <c r="O94" s="29"/>
      <c r="P94" s="29">
        <v>3.3600000000000003</v>
      </c>
      <c r="Q94" s="144">
        <v>1.8300000000000003</v>
      </c>
      <c r="R94" s="144">
        <v>1.8300000000000003</v>
      </c>
      <c r="S94" s="143" t="s">
        <v>20211</v>
      </c>
      <c r="T94" s="146" t="s">
        <v>20211</v>
      </c>
      <c r="U94" s="145">
        <v>45.535714285714285</v>
      </c>
      <c r="V94" s="505">
        <v>0.6</v>
      </c>
      <c r="W94" s="505" t="s">
        <v>2024</v>
      </c>
      <c r="X94" s="43"/>
      <c r="Y94" s="143">
        <v>66</v>
      </c>
      <c r="Z94" s="152">
        <v>16</v>
      </c>
      <c r="AA94" s="143" t="s">
        <v>673</v>
      </c>
      <c r="AB94" s="9">
        <v>3.2</v>
      </c>
      <c r="AC94" s="151" t="s">
        <v>522</v>
      </c>
      <c r="AD94" s="151">
        <v>3.2</v>
      </c>
      <c r="AE94" s="151"/>
      <c r="AF94" s="152"/>
      <c r="AG94" s="143" t="s">
        <v>20232</v>
      </c>
      <c r="AH94" s="144">
        <v>0</v>
      </c>
      <c r="AI94" s="144">
        <v>1.53</v>
      </c>
      <c r="AJ94" s="144">
        <v>0</v>
      </c>
      <c r="AK94" s="143">
        <v>0</v>
      </c>
      <c r="AL94" s="144">
        <v>1.53</v>
      </c>
      <c r="AM94" s="144">
        <v>0</v>
      </c>
      <c r="AN94" s="29">
        <v>3.3600000000000003</v>
      </c>
      <c r="AO94" s="144">
        <v>1.8300000000000003</v>
      </c>
      <c r="AP94" s="144">
        <v>1.8300000000000003</v>
      </c>
      <c r="AQ94" s="153" t="s">
        <v>20211</v>
      </c>
      <c r="AR94" s="146" t="s">
        <v>20211</v>
      </c>
      <c r="AS94" s="56">
        <v>45.535714285714285</v>
      </c>
      <c r="AT94" s="58" t="s">
        <v>501</v>
      </c>
      <c r="AU94" s="118">
        <v>1960</v>
      </c>
      <c r="AV94" s="149" t="s">
        <v>2143</v>
      </c>
      <c r="AW94" s="120">
        <v>57.670826900589198</v>
      </c>
      <c r="AX94" s="120">
        <v>34.143911100993201</v>
      </c>
    </row>
    <row r="95" spans="1:50" ht="15" customHeight="1" x14ac:dyDescent="0.25">
      <c r="A95" s="143">
        <v>67</v>
      </c>
      <c r="B95" s="143">
        <v>17</v>
      </c>
      <c r="C95" s="143" t="s">
        <v>674</v>
      </c>
      <c r="D95" s="9">
        <v>2.5</v>
      </c>
      <c r="E95" s="503" t="s">
        <v>522</v>
      </c>
      <c r="F95" s="503">
        <v>2.5</v>
      </c>
      <c r="G95" s="503"/>
      <c r="H95" s="501"/>
      <c r="I95" s="151" t="s">
        <v>20222</v>
      </c>
      <c r="J95" s="31">
        <v>0.47</v>
      </c>
      <c r="K95" s="504">
        <v>0.2</v>
      </c>
      <c r="L95" s="502">
        <v>120</v>
      </c>
      <c r="M95" s="144">
        <v>0.26999999999999996</v>
      </c>
      <c r="N95" s="504">
        <v>0</v>
      </c>
      <c r="O95" s="29"/>
      <c r="P95" s="29">
        <v>2.625</v>
      </c>
      <c r="Q95" s="144">
        <v>2.355</v>
      </c>
      <c r="R95" s="144">
        <v>2.355</v>
      </c>
      <c r="S95" s="143" t="s">
        <v>20211</v>
      </c>
      <c r="T95" s="146" t="s">
        <v>20211</v>
      </c>
      <c r="U95" s="145">
        <v>17.904761904761905</v>
      </c>
      <c r="V95" s="505">
        <v>0.35</v>
      </c>
      <c r="W95" s="505" t="s">
        <v>2024</v>
      </c>
      <c r="X95" s="43"/>
      <c r="Y95" s="143">
        <v>67</v>
      </c>
      <c r="Z95" s="152">
        <v>17</v>
      </c>
      <c r="AA95" s="143" t="s">
        <v>674</v>
      </c>
      <c r="AB95" s="9">
        <v>2.5</v>
      </c>
      <c r="AC95" s="151" t="s">
        <v>522</v>
      </c>
      <c r="AD95" s="151">
        <v>2.5</v>
      </c>
      <c r="AE95" s="151"/>
      <c r="AF95" s="152"/>
      <c r="AG95" s="143" t="s">
        <v>20222</v>
      </c>
      <c r="AH95" s="144">
        <v>3.0521739130434784E-2</v>
      </c>
      <c r="AI95" s="144">
        <v>0.50052173913043474</v>
      </c>
      <c r="AJ95" s="144">
        <v>0.2</v>
      </c>
      <c r="AK95" s="143">
        <v>120</v>
      </c>
      <c r="AL95" s="144">
        <v>0.30052173913043473</v>
      </c>
      <c r="AM95" s="144">
        <v>0</v>
      </c>
      <c r="AN95" s="29">
        <v>2.625</v>
      </c>
      <c r="AO95" s="144">
        <v>2.3244782608695651</v>
      </c>
      <c r="AP95" s="144">
        <v>2.3244782608695651</v>
      </c>
      <c r="AQ95" s="143" t="s">
        <v>20211</v>
      </c>
      <c r="AR95" s="146" t="s">
        <v>20211</v>
      </c>
      <c r="AS95" s="56">
        <v>19.067494824016563</v>
      </c>
      <c r="AT95" s="58" t="s">
        <v>501</v>
      </c>
      <c r="AU95" s="118">
        <v>1979</v>
      </c>
      <c r="AV95" s="149" t="s">
        <v>2143</v>
      </c>
      <c r="AW95" s="120">
        <v>57.7721481817238</v>
      </c>
      <c r="AX95" s="120">
        <v>34.383550362481301</v>
      </c>
    </row>
    <row r="96" spans="1:50" ht="15" customHeight="1" x14ac:dyDescent="0.25">
      <c r="A96" s="143">
        <v>68</v>
      </c>
      <c r="B96" s="143">
        <v>18</v>
      </c>
      <c r="C96" s="143" t="s">
        <v>675</v>
      </c>
      <c r="D96" s="9">
        <v>6.3</v>
      </c>
      <c r="E96" s="503" t="s">
        <v>522</v>
      </c>
      <c r="F96" s="503">
        <v>6.3</v>
      </c>
      <c r="G96" s="503"/>
      <c r="H96" s="501"/>
      <c r="I96" s="151" t="s">
        <v>20225</v>
      </c>
      <c r="J96" s="31">
        <v>0.19</v>
      </c>
      <c r="K96" s="504">
        <v>0</v>
      </c>
      <c r="L96" s="502">
        <v>0</v>
      </c>
      <c r="M96" s="144">
        <v>0.19</v>
      </c>
      <c r="N96" s="504">
        <v>0</v>
      </c>
      <c r="O96" s="29"/>
      <c r="P96" s="29">
        <v>6.6150000000000002</v>
      </c>
      <c r="Q96" s="144">
        <v>6.4249999999999998</v>
      </c>
      <c r="R96" s="144">
        <v>6.4249999999999998</v>
      </c>
      <c r="S96" s="143" t="s">
        <v>20211</v>
      </c>
      <c r="T96" s="146" t="s">
        <v>20211</v>
      </c>
      <c r="U96" s="145">
        <v>2.872260015117158</v>
      </c>
      <c r="V96" s="505">
        <v>0.4</v>
      </c>
      <c r="W96" s="505" t="s">
        <v>2024</v>
      </c>
      <c r="X96" s="43"/>
      <c r="Y96" s="143">
        <v>68</v>
      </c>
      <c r="Z96" s="152">
        <v>18</v>
      </c>
      <c r="AA96" s="143" t="s">
        <v>675</v>
      </c>
      <c r="AB96" s="9">
        <v>6.3</v>
      </c>
      <c r="AC96" s="151" t="s">
        <v>522</v>
      </c>
      <c r="AD96" s="151">
        <v>6.3</v>
      </c>
      <c r="AE96" s="151"/>
      <c r="AF96" s="152"/>
      <c r="AG96" s="143" t="s">
        <v>20225</v>
      </c>
      <c r="AH96" s="144">
        <v>0</v>
      </c>
      <c r="AI96" s="144">
        <v>0.19</v>
      </c>
      <c r="AJ96" s="144">
        <v>0</v>
      </c>
      <c r="AK96" s="143">
        <v>0</v>
      </c>
      <c r="AL96" s="144">
        <v>0.19</v>
      </c>
      <c r="AM96" s="144">
        <v>0</v>
      </c>
      <c r="AN96" s="29">
        <v>6.6150000000000002</v>
      </c>
      <c r="AO96" s="144">
        <v>6.4249999999999998</v>
      </c>
      <c r="AP96" s="144">
        <v>6.4249999999999998</v>
      </c>
      <c r="AQ96" s="143" t="s">
        <v>20211</v>
      </c>
      <c r="AR96" s="146" t="s">
        <v>20211</v>
      </c>
      <c r="AS96" s="56">
        <v>2.872260015117158</v>
      </c>
      <c r="AT96" s="58" t="s">
        <v>501</v>
      </c>
      <c r="AU96" s="118">
        <v>1988</v>
      </c>
      <c r="AV96" s="149" t="s">
        <v>2143</v>
      </c>
      <c r="AW96" s="120">
        <v>57.8442779260156</v>
      </c>
      <c r="AX96" s="120">
        <v>34.162693792070002</v>
      </c>
    </row>
    <row r="97" spans="1:50" ht="15" customHeight="1" x14ac:dyDescent="0.25">
      <c r="A97" s="751">
        <v>69</v>
      </c>
      <c r="B97" s="751">
        <v>19</v>
      </c>
      <c r="C97" s="751" t="s">
        <v>676</v>
      </c>
      <c r="D97" s="9">
        <v>6.3</v>
      </c>
      <c r="E97" s="756" t="s">
        <v>522</v>
      </c>
      <c r="F97" s="756">
        <v>4</v>
      </c>
      <c r="G97" s="756"/>
      <c r="H97" s="757"/>
      <c r="I97" s="756" t="s">
        <v>20220</v>
      </c>
      <c r="J97" s="31">
        <v>0.94</v>
      </c>
      <c r="K97" s="752">
        <v>0</v>
      </c>
      <c r="L97" s="751">
        <v>0</v>
      </c>
      <c r="M97" s="752">
        <v>0.94</v>
      </c>
      <c r="N97" s="752">
        <v>0</v>
      </c>
      <c r="O97" s="758"/>
      <c r="P97" s="758">
        <v>4.2</v>
      </c>
      <c r="Q97" s="752">
        <v>3.2600000000000002</v>
      </c>
      <c r="R97" s="752">
        <v>3.2600000000000002</v>
      </c>
      <c r="S97" s="751" t="s">
        <v>20211</v>
      </c>
      <c r="T97" s="754" t="s">
        <v>20211</v>
      </c>
      <c r="U97" s="753">
        <v>22.38095238095238</v>
      </c>
      <c r="V97" s="753">
        <v>0.61</v>
      </c>
      <c r="W97" s="753" t="s">
        <v>2024</v>
      </c>
      <c r="X97" s="769"/>
      <c r="Y97" s="751">
        <v>69</v>
      </c>
      <c r="Z97" s="757">
        <v>19</v>
      </c>
      <c r="AA97" s="751" t="s">
        <v>676</v>
      </c>
      <c r="AB97" s="9">
        <v>6.3</v>
      </c>
      <c r="AC97" s="756" t="s">
        <v>522</v>
      </c>
      <c r="AD97" s="756">
        <v>4</v>
      </c>
      <c r="AE97" s="756"/>
      <c r="AF97" s="757"/>
      <c r="AG97" s="751" t="s">
        <v>20220</v>
      </c>
      <c r="AH97" s="752">
        <v>7.2782608695652173E-2</v>
      </c>
      <c r="AI97" s="752">
        <v>1.0127826086956522</v>
      </c>
      <c r="AJ97" s="752">
        <v>0</v>
      </c>
      <c r="AK97" s="751">
        <v>0</v>
      </c>
      <c r="AL97" s="752">
        <v>1.0127826086956522</v>
      </c>
      <c r="AM97" s="752">
        <v>0</v>
      </c>
      <c r="AN97" s="758">
        <v>4.2</v>
      </c>
      <c r="AO97" s="752">
        <v>3.187217391304348</v>
      </c>
      <c r="AP97" s="752">
        <v>3.187217391304348</v>
      </c>
      <c r="AQ97" s="751" t="s">
        <v>20211</v>
      </c>
      <c r="AR97" s="754" t="s">
        <v>20211</v>
      </c>
      <c r="AS97" s="56">
        <v>24.113871635610764</v>
      </c>
      <c r="AT97" s="58" t="s">
        <v>501</v>
      </c>
      <c r="AU97" s="118">
        <v>1975</v>
      </c>
      <c r="AV97" s="755">
        <v>2013</v>
      </c>
      <c r="AW97" s="120">
        <v>57.442031982207403</v>
      </c>
      <c r="AX97" s="120">
        <v>33.814412439192097</v>
      </c>
    </row>
    <row r="98" spans="1:50" ht="15" customHeight="1" x14ac:dyDescent="0.25">
      <c r="A98" s="143">
        <v>70</v>
      </c>
      <c r="B98" s="143">
        <v>20</v>
      </c>
      <c r="C98" s="143" t="s">
        <v>677</v>
      </c>
      <c r="D98" s="9">
        <v>2.5</v>
      </c>
      <c r="E98" s="503" t="s">
        <v>522</v>
      </c>
      <c r="F98" s="503">
        <v>1.6</v>
      </c>
      <c r="G98" s="503"/>
      <c r="H98" s="501"/>
      <c r="I98" s="151" t="s">
        <v>20233</v>
      </c>
      <c r="J98" s="31">
        <v>0.85</v>
      </c>
      <c r="K98" s="504">
        <v>0</v>
      </c>
      <c r="L98" s="502">
        <v>0</v>
      </c>
      <c r="M98" s="144">
        <v>0.85</v>
      </c>
      <c r="N98" s="504">
        <v>0</v>
      </c>
      <c r="O98" s="29"/>
      <c r="P98" s="29">
        <v>1.6800000000000002</v>
      </c>
      <c r="Q98" s="144">
        <v>0.83000000000000018</v>
      </c>
      <c r="R98" s="144">
        <v>0.83000000000000018</v>
      </c>
      <c r="S98" s="143" t="s">
        <v>20211</v>
      </c>
      <c r="T98" s="146" t="s">
        <v>20211</v>
      </c>
      <c r="U98" s="145">
        <v>50.595238095238088</v>
      </c>
      <c r="V98" s="505"/>
      <c r="W98" s="505" t="s">
        <v>2023</v>
      </c>
      <c r="X98" s="43"/>
      <c r="Y98" s="143">
        <v>70</v>
      </c>
      <c r="Z98" s="152">
        <v>20</v>
      </c>
      <c r="AA98" s="143" t="s">
        <v>677</v>
      </c>
      <c r="AB98" s="9">
        <v>2.5</v>
      </c>
      <c r="AC98" s="151" t="s">
        <v>522</v>
      </c>
      <c r="AD98" s="151">
        <v>1.6</v>
      </c>
      <c r="AE98" s="151"/>
      <c r="AF98" s="152"/>
      <c r="AG98" s="143" t="s">
        <v>20233</v>
      </c>
      <c r="AH98" s="144">
        <v>9.8217391304347812E-2</v>
      </c>
      <c r="AI98" s="144">
        <v>0.94821739130434779</v>
      </c>
      <c r="AJ98" s="144">
        <v>0</v>
      </c>
      <c r="AK98" s="143">
        <v>0</v>
      </c>
      <c r="AL98" s="144">
        <v>0.94821739130434779</v>
      </c>
      <c r="AM98" s="144">
        <v>0</v>
      </c>
      <c r="AN98" s="29">
        <v>1.6800000000000002</v>
      </c>
      <c r="AO98" s="144">
        <v>0.73178260869565237</v>
      </c>
      <c r="AP98" s="144">
        <v>0.73178260869565237</v>
      </c>
      <c r="AQ98" s="143" t="s">
        <v>20211</v>
      </c>
      <c r="AR98" s="146" t="s">
        <v>20211</v>
      </c>
      <c r="AS98" s="56">
        <v>56.441511387163551</v>
      </c>
      <c r="AT98" s="58" t="s">
        <v>501</v>
      </c>
      <c r="AU98" s="118">
        <v>1979</v>
      </c>
      <c r="AV98" s="149" t="s">
        <v>2143</v>
      </c>
      <c r="AW98" s="120">
        <v>57.3579252791329</v>
      </c>
      <c r="AX98" s="120">
        <v>34.836595533239702</v>
      </c>
    </row>
    <row r="99" spans="1:50" ht="15" customHeight="1" x14ac:dyDescent="0.25">
      <c r="A99" s="143">
        <v>71</v>
      </c>
      <c r="B99" s="143">
        <v>21</v>
      </c>
      <c r="C99" s="143" t="s">
        <v>678</v>
      </c>
      <c r="D99" s="9">
        <v>2.5</v>
      </c>
      <c r="E99" s="503" t="s">
        <v>522</v>
      </c>
      <c r="F99" s="503">
        <v>1.6</v>
      </c>
      <c r="G99" s="503"/>
      <c r="H99" s="501"/>
      <c r="I99" s="151" t="s">
        <v>20233</v>
      </c>
      <c r="J99" s="31">
        <v>0.25</v>
      </c>
      <c r="K99" s="504">
        <v>0.4</v>
      </c>
      <c r="L99" s="502">
        <v>120</v>
      </c>
      <c r="M99" s="144">
        <v>-0.15000000000000002</v>
      </c>
      <c r="N99" s="504">
        <v>0</v>
      </c>
      <c r="O99" s="29"/>
      <c r="P99" s="29">
        <v>1.6800000000000002</v>
      </c>
      <c r="Q99" s="144">
        <v>1.83</v>
      </c>
      <c r="R99" s="144">
        <v>1.83</v>
      </c>
      <c r="S99" s="143" t="s">
        <v>20211</v>
      </c>
      <c r="T99" s="146" t="s">
        <v>20211</v>
      </c>
      <c r="U99" s="145">
        <v>14.88095238095238</v>
      </c>
      <c r="V99" s="505">
        <v>0.6</v>
      </c>
      <c r="W99" s="505" t="s">
        <v>2024</v>
      </c>
      <c r="X99" s="43"/>
      <c r="Y99" s="143">
        <v>71</v>
      </c>
      <c r="Z99" s="152">
        <v>21</v>
      </c>
      <c r="AA99" s="143" t="s">
        <v>678</v>
      </c>
      <c r="AB99" s="9">
        <v>2.5</v>
      </c>
      <c r="AC99" s="151" t="s">
        <v>522</v>
      </c>
      <c r="AD99" s="151">
        <v>1.6</v>
      </c>
      <c r="AE99" s="151"/>
      <c r="AF99" s="152"/>
      <c r="AG99" s="143" t="s">
        <v>20233</v>
      </c>
      <c r="AH99" s="144">
        <v>1.7608695652173913E-2</v>
      </c>
      <c r="AI99" s="144">
        <v>0.26760869565217393</v>
      </c>
      <c r="AJ99" s="144">
        <v>0.4</v>
      </c>
      <c r="AK99" s="143">
        <v>120</v>
      </c>
      <c r="AL99" s="144">
        <v>-0.13239130434782609</v>
      </c>
      <c r="AM99" s="144">
        <v>0</v>
      </c>
      <c r="AN99" s="29">
        <v>1.6800000000000002</v>
      </c>
      <c r="AO99" s="144">
        <v>1.8123913043478264</v>
      </c>
      <c r="AP99" s="144">
        <v>1.8123913043478264</v>
      </c>
      <c r="AQ99" s="143" t="s">
        <v>20211</v>
      </c>
      <c r="AR99" s="146" t="s">
        <v>20211</v>
      </c>
      <c r="AS99" s="56">
        <v>15.929089026915115</v>
      </c>
      <c r="AT99" s="58" t="s">
        <v>501</v>
      </c>
      <c r="AU99" s="118">
        <v>1990</v>
      </c>
      <c r="AV99" s="149" t="s">
        <v>2143</v>
      </c>
      <c r="AW99" s="120">
        <v>57.767868441990103</v>
      </c>
      <c r="AX99" s="120">
        <v>34.892569280207297</v>
      </c>
    </row>
    <row r="100" spans="1:50" ht="15" customHeight="1" x14ac:dyDescent="0.25">
      <c r="A100" s="143">
        <v>72</v>
      </c>
      <c r="B100" s="143">
        <v>22</v>
      </c>
      <c r="C100" s="143" t="s">
        <v>1596</v>
      </c>
      <c r="D100" s="9">
        <v>1.6</v>
      </c>
      <c r="E100" s="503" t="s">
        <v>522</v>
      </c>
      <c r="F100" s="503">
        <v>1.6</v>
      </c>
      <c r="G100" s="503"/>
      <c r="H100" s="501"/>
      <c r="I100" s="151" t="s">
        <v>20234</v>
      </c>
      <c r="J100" s="31">
        <v>0.28000000000000003</v>
      </c>
      <c r="K100" s="504">
        <v>0</v>
      </c>
      <c r="L100" s="502">
        <v>0</v>
      </c>
      <c r="M100" s="144">
        <v>0.28000000000000003</v>
      </c>
      <c r="N100" s="504">
        <v>0</v>
      </c>
      <c r="O100" s="29"/>
      <c r="P100" s="29">
        <v>1.6800000000000002</v>
      </c>
      <c r="Q100" s="144">
        <v>1.4000000000000001</v>
      </c>
      <c r="R100" s="144">
        <v>1.4000000000000001</v>
      </c>
      <c r="S100" s="143" t="s">
        <v>20211</v>
      </c>
      <c r="T100" s="146" t="s">
        <v>20211</v>
      </c>
      <c r="U100" s="145">
        <v>16.666666666666668</v>
      </c>
      <c r="V100" s="505"/>
      <c r="W100" s="505" t="s">
        <v>2023</v>
      </c>
      <c r="X100" s="43"/>
      <c r="Y100" s="143">
        <v>72</v>
      </c>
      <c r="Z100" s="152">
        <v>22</v>
      </c>
      <c r="AA100" s="143" t="s">
        <v>1596</v>
      </c>
      <c r="AB100" s="9">
        <v>1.6</v>
      </c>
      <c r="AC100" s="151" t="s">
        <v>522</v>
      </c>
      <c r="AD100" s="151">
        <v>1.6</v>
      </c>
      <c r="AE100" s="151"/>
      <c r="AF100" s="152"/>
      <c r="AG100" s="143" t="s">
        <v>20234</v>
      </c>
      <c r="AH100" s="144">
        <v>2.5826086956521735E-2</v>
      </c>
      <c r="AI100" s="144">
        <v>0.30582608695652175</v>
      </c>
      <c r="AJ100" s="144">
        <v>0</v>
      </c>
      <c r="AK100" s="143">
        <v>0</v>
      </c>
      <c r="AL100" s="144">
        <v>0.30582608695652175</v>
      </c>
      <c r="AM100" s="144">
        <v>0</v>
      </c>
      <c r="AN100" s="29">
        <v>1.6800000000000002</v>
      </c>
      <c r="AO100" s="144">
        <v>1.3741739130434785</v>
      </c>
      <c r="AP100" s="144">
        <v>1.3741739130434785</v>
      </c>
      <c r="AQ100" s="143" t="s">
        <v>20211</v>
      </c>
      <c r="AR100" s="146" t="s">
        <v>20211</v>
      </c>
      <c r="AS100" s="56">
        <v>18.203933747412009</v>
      </c>
      <c r="AT100" s="58" t="s">
        <v>502</v>
      </c>
      <c r="AU100" s="118">
        <v>1989</v>
      </c>
      <c r="AV100" s="149" t="s">
        <v>2143</v>
      </c>
      <c r="AW100" s="120">
        <v>57.488246932443701</v>
      </c>
      <c r="AX100" s="120">
        <v>35.123287080946</v>
      </c>
    </row>
    <row r="101" spans="1:50" ht="15" customHeight="1" x14ac:dyDescent="0.25">
      <c r="A101" s="143">
        <v>73</v>
      </c>
      <c r="B101" s="143">
        <v>23</v>
      </c>
      <c r="C101" s="143" t="s">
        <v>679</v>
      </c>
      <c r="D101" s="9">
        <v>4</v>
      </c>
      <c r="E101" s="503" t="s">
        <v>522</v>
      </c>
      <c r="F101" s="503">
        <v>4</v>
      </c>
      <c r="G101" s="503"/>
      <c r="H101" s="501"/>
      <c r="I101" s="151" t="s">
        <v>20235</v>
      </c>
      <c r="J101" s="31">
        <v>2.11</v>
      </c>
      <c r="K101" s="504">
        <v>0</v>
      </c>
      <c r="L101" s="502">
        <v>0</v>
      </c>
      <c r="M101" s="144">
        <v>2.11</v>
      </c>
      <c r="N101" s="504">
        <v>0</v>
      </c>
      <c r="O101" s="29"/>
      <c r="P101" s="29">
        <v>4.2</v>
      </c>
      <c r="Q101" s="144">
        <v>2.0900000000000003</v>
      </c>
      <c r="R101" s="144">
        <v>2.0900000000000003</v>
      </c>
      <c r="S101" s="143" t="s">
        <v>20211</v>
      </c>
      <c r="T101" s="146" t="s">
        <v>20211</v>
      </c>
      <c r="U101" s="145">
        <v>50.238095238095234</v>
      </c>
      <c r="V101" s="505">
        <v>0.5</v>
      </c>
      <c r="W101" s="505" t="s">
        <v>2024</v>
      </c>
      <c r="X101" s="43"/>
      <c r="Y101" s="143">
        <v>73</v>
      </c>
      <c r="Z101" s="152">
        <v>23</v>
      </c>
      <c r="AA101" s="143" t="s">
        <v>679</v>
      </c>
      <c r="AB101" s="9">
        <v>4</v>
      </c>
      <c r="AC101" s="151" t="s">
        <v>522</v>
      </c>
      <c r="AD101" s="151">
        <v>4</v>
      </c>
      <c r="AE101" s="151"/>
      <c r="AF101" s="152"/>
      <c r="AG101" s="143" t="s">
        <v>20235</v>
      </c>
      <c r="AH101" s="144">
        <v>0</v>
      </c>
      <c r="AI101" s="144">
        <v>2.11</v>
      </c>
      <c r="AJ101" s="144">
        <v>0</v>
      </c>
      <c r="AK101" s="143">
        <v>0</v>
      </c>
      <c r="AL101" s="144">
        <v>2.11</v>
      </c>
      <c r="AM101" s="144">
        <v>0</v>
      </c>
      <c r="AN101" s="29">
        <v>4.2</v>
      </c>
      <c r="AO101" s="144">
        <v>2.0900000000000003</v>
      </c>
      <c r="AP101" s="144">
        <v>2.0900000000000003</v>
      </c>
      <c r="AQ101" s="143" t="s">
        <v>20211</v>
      </c>
      <c r="AR101" s="146" t="s">
        <v>20211</v>
      </c>
      <c r="AS101" s="56">
        <v>50.238095238095234</v>
      </c>
      <c r="AT101" s="58" t="s">
        <v>501</v>
      </c>
      <c r="AU101" s="118">
        <v>1980</v>
      </c>
      <c r="AV101" s="149" t="s">
        <v>2143</v>
      </c>
      <c r="AW101" s="120">
        <v>57.629632543282298</v>
      </c>
      <c r="AX101" s="120">
        <v>34.495544901883001</v>
      </c>
    </row>
    <row r="102" spans="1:50" ht="15" customHeight="1" x14ac:dyDescent="0.25">
      <c r="A102" s="143">
        <v>74</v>
      </c>
      <c r="B102" s="143">
        <v>24</v>
      </c>
      <c r="C102" s="143" t="s">
        <v>680</v>
      </c>
      <c r="D102" s="9">
        <v>1.6</v>
      </c>
      <c r="E102" s="503" t="s">
        <v>522</v>
      </c>
      <c r="F102" s="503">
        <v>1.6</v>
      </c>
      <c r="G102" s="503"/>
      <c r="H102" s="501"/>
      <c r="I102" s="151" t="s">
        <v>20234</v>
      </c>
      <c r="J102" s="31">
        <v>0.35</v>
      </c>
      <c r="K102" s="504">
        <v>0</v>
      </c>
      <c r="L102" s="502">
        <v>0</v>
      </c>
      <c r="M102" s="144">
        <v>0.35</v>
      </c>
      <c r="N102" s="504">
        <v>0</v>
      </c>
      <c r="O102" s="29"/>
      <c r="P102" s="29">
        <v>1.6800000000000002</v>
      </c>
      <c r="Q102" s="144">
        <v>1.33</v>
      </c>
      <c r="R102" s="144">
        <v>1.33</v>
      </c>
      <c r="S102" s="145" t="s">
        <v>20211</v>
      </c>
      <c r="T102" s="146" t="s">
        <v>20211</v>
      </c>
      <c r="U102" s="145">
        <v>20.833333333333332</v>
      </c>
      <c r="V102" s="505"/>
      <c r="W102" s="505" t="s">
        <v>2023</v>
      </c>
      <c r="X102" s="43"/>
      <c r="Y102" s="143">
        <v>74</v>
      </c>
      <c r="Z102" s="152">
        <v>24</v>
      </c>
      <c r="AA102" s="143" t="s">
        <v>680</v>
      </c>
      <c r="AB102" s="9">
        <v>1.6</v>
      </c>
      <c r="AC102" s="151" t="s">
        <v>522</v>
      </c>
      <c r="AD102" s="151">
        <v>1.6</v>
      </c>
      <c r="AE102" s="151"/>
      <c r="AF102" s="152"/>
      <c r="AG102" s="143" t="s">
        <v>20234</v>
      </c>
      <c r="AH102" s="144">
        <v>6.6326086956521729E-2</v>
      </c>
      <c r="AI102" s="144">
        <v>0.41632608695652173</v>
      </c>
      <c r="AJ102" s="144">
        <v>0</v>
      </c>
      <c r="AK102" s="143">
        <v>0</v>
      </c>
      <c r="AL102" s="144">
        <v>0.41632608695652173</v>
      </c>
      <c r="AM102" s="144">
        <v>0</v>
      </c>
      <c r="AN102" s="29">
        <v>1.6800000000000002</v>
      </c>
      <c r="AO102" s="144">
        <v>1.2636739130434784</v>
      </c>
      <c r="AP102" s="144">
        <v>1.2636739130434784</v>
      </c>
      <c r="AQ102" s="145" t="s">
        <v>20211</v>
      </c>
      <c r="AR102" s="146" t="s">
        <v>20211</v>
      </c>
      <c r="AS102" s="56">
        <v>24.781314699792958</v>
      </c>
      <c r="AT102" s="58" t="s">
        <v>501</v>
      </c>
      <c r="AU102" s="118">
        <v>1979</v>
      </c>
      <c r="AV102" s="149" t="s">
        <v>2143</v>
      </c>
      <c r="AW102" s="120">
        <v>57.699834256032702</v>
      </c>
      <c r="AX102" s="120">
        <v>34.772205230770801</v>
      </c>
    </row>
    <row r="103" spans="1:50" ht="15" customHeight="1" x14ac:dyDescent="0.25">
      <c r="A103" s="143">
        <v>75</v>
      </c>
      <c r="B103" s="143">
        <v>25</v>
      </c>
      <c r="C103" s="143" t="s">
        <v>681</v>
      </c>
      <c r="D103" s="9">
        <v>1.8</v>
      </c>
      <c r="E103" s="503" t="s">
        <v>522</v>
      </c>
      <c r="F103" s="503">
        <v>2.5</v>
      </c>
      <c r="G103" s="503"/>
      <c r="H103" s="501"/>
      <c r="I103" s="151" t="s">
        <v>20236</v>
      </c>
      <c r="J103" s="31">
        <v>0.57999999999999996</v>
      </c>
      <c r="K103" s="504">
        <v>0</v>
      </c>
      <c r="L103" s="502">
        <v>0</v>
      </c>
      <c r="M103" s="144">
        <v>0.57999999999999996</v>
      </c>
      <c r="N103" s="504">
        <v>0</v>
      </c>
      <c r="O103" s="29"/>
      <c r="P103" s="29">
        <v>1.8900000000000001</v>
      </c>
      <c r="Q103" s="144">
        <v>1.31</v>
      </c>
      <c r="R103" s="144">
        <v>1.31</v>
      </c>
      <c r="S103" s="145" t="s">
        <v>20211</v>
      </c>
      <c r="T103" s="146" t="s">
        <v>20211</v>
      </c>
      <c r="U103" s="145">
        <v>30.687830687830683</v>
      </c>
      <c r="V103" s="505">
        <v>0.5</v>
      </c>
      <c r="W103" s="505" t="s">
        <v>2024</v>
      </c>
      <c r="X103" s="43"/>
      <c r="Y103" s="143">
        <v>75</v>
      </c>
      <c r="Z103" s="152">
        <v>25</v>
      </c>
      <c r="AA103" s="143" t="s">
        <v>681</v>
      </c>
      <c r="AB103" s="9">
        <v>1.8</v>
      </c>
      <c r="AC103" s="151" t="s">
        <v>522</v>
      </c>
      <c r="AD103" s="151">
        <v>2.5</v>
      </c>
      <c r="AE103" s="151"/>
      <c r="AF103" s="152"/>
      <c r="AG103" s="143" t="s">
        <v>20236</v>
      </c>
      <c r="AH103" s="144">
        <v>1.8586956521739129E-2</v>
      </c>
      <c r="AI103" s="144">
        <v>0.5985869565217391</v>
      </c>
      <c r="AJ103" s="144">
        <v>0</v>
      </c>
      <c r="AK103" s="143">
        <v>0</v>
      </c>
      <c r="AL103" s="144">
        <v>0.5985869565217391</v>
      </c>
      <c r="AM103" s="144">
        <v>0</v>
      </c>
      <c r="AN103" s="29">
        <v>1.8900000000000001</v>
      </c>
      <c r="AO103" s="144">
        <v>1.2914130434782609</v>
      </c>
      <c r="AP103" s="144">
        <v>1.2914130434782609</v>
      </c>
      <c r="AQ103" s="145" t="s">
        <v>20211</v>
      </c>
      <c r="AR103" s="146" t="s">
        <v>20211</v>
      </c>
      <c r="AS103" s="56">
        <v>31.671267540832751</v>
      </c>
      <c r="AT103" s="58" t="s">
        <v>501</v>
      </c>
      <c r="AU103" s="118">
        <v>1979</v>
      </c>
      <c r="AV103" s="149" t="s">
        <v>2143</v>
      </c>
      <c r="AW103" s="120">
        <v>57.279388593644498</v>
      </c>
      <c r="AX103" s="120">
        <v>34.2263674343438</v>
      </c>
    </row>
    <row r="104" spans="1:50" ht="15" customHeight="1" x14ac:dyDescent="0.25">
      <c r="A104" s="143">
        <v>76</v>
      </c>
      <c r="B104" s="143">
        <v>26</v>
      </c>
      <c r="C104" s="143" t="s">
        <v>682</v>
      </c>
      <c r="D104" s="9">
        <v>2.5</v>
      </c>
      <c r="E104" s="503" t="s">
        <v>522</v>
      </c>
      <c r="F104" s="503">
        <v>2.5</v>
      </c>
      <c r="G104" s="503"/>
      <c r="H104" s="501"/>
      <c r="I104" s="151" t="s">
        <v>20222</v>
      </c>
      <c r="J104" s="31">
        <v>0.65</v>
      </c>
      <c r="K104" s="504">
        <v>0</v>
      </c>
      <c r="L104" s="502">
        <v>0</v>
      </c>
      <c r="M104" s="144">
        <v>0.65</v>
      </c>
      <c r="N104" s="504">
        <v>0</v>
      </c>
      <c r="O104" s="29"/>
      <c r="P104" s="29">
        <v>2.625</v>
      </c>
      <c r="Q104" s="144">
        <v>1.9750000000000001</v>
      </c>
      <c r="R104" s="144">
        <v>1.9750000000000001</v>
      </c>
      <c r="S104" s="145" t="s">
        <v>20211</v>
      </c>
      <c r="T104" s="146" t="s">
        <v>20211</v>
      </c>
      <c r="U104" s="145">
        <v>24.761904761904763</v>
      </c>
      <c r="V104" s="505">
        <v>0.5</v>
      </c>
      <c r="W104" s="505" t="s">
        <v>2024</v>
      </c>
      <c r="X104" s="43"/>
      <c r="Y104" s="143">
        <v>76</v>
      </c>
      <c r="Z104" s="152">
        <v>26</v>
      </c>
      <c r="AA104" s="143" t="s">
        <v>682</v>
      </c>
      <c r="AB104" s="9">
        <v>2.5</v>
      </c>
      <c r="AC104" s="151" t="s">
        <v>522</v>
      </c>
      <c r="AD104" s="151">
        <v>2.5</v>
      </c>
      <c r="AE104" s="151"/>
      <c r="AF104" s="152"/>
      <c r="AG104" s="143" t="s">
        <v>20222</v>
      </c>
      <c r="AH104" s="144">
        <v>0</v>
      </c>
      <c r="AI104" s="144">
        <v>0.65</v>
      </c>
      <c r="AJ104" s="144">
        <v>0</v>
      </c>
      <c r="AK104" s="143">
        <v>0</v>
      </c>
      <c r="AL104" s="144">
        <v>0.65</v>
      </c>
      <c r="AM104" s="144">
        <v>0</v>
      </c>
      <c r="AN104" s="29">
        <v>2.625</v>
      </c>
      <c r="AO104" s="144">
        <v>1.9750000000000001</v>
      </c>
      <c r="AP104" s="144">
        <v>1.9750000000000001</v>
      </c>
      <c r="AQ104" s="145" t="s">
        <v>20211</v>
      </c>
      <c r="AR104" s="146" t="s">
        <v>20211</v>
      </c>
      <c r="AS104" s="56">
        <v>24.761904761904763</v>
      </c>
      <c r="AT104" s="58" t="s">
        <v>501</v>
      </c>
      <c r="AU104" s="118">
        <v>1988</v>
      </c>
      <c r="AV104" s="150">
        <v>2011</v>
      </c>
      <c r="AW104" s="120">
        <v>57.573525012778198</v>
      </c>
      <c r="AX104" s="120">
        <v>34.580709108756601</v>
      </c>
    </row>
    <row r="105" spans="1:50" ht="15" customHeight="1" x14ac:dyDescent="0.25">
      <c r="A105" s="143">
        <v>77</v>
      </c>
      <c r="B105" s="143">
        <v>27</v>
      </c>
      <c r="C105" s="143" t="s">
        <v>683</v>
      </c>
      <c r="D105" s="9">
        <v>6.3</v>
      </c>
      <c r="E105" s="503" t="s">
        <v>522</v>
      </c>
      <c r="F105" s="503">
        <v>6.3</v>
      </c>
      <c r="G105" s="503"/>
      <c r="H105" s="501"/>
      <c r="I105" s="151" t="s">
        <v>20225</v>
      </c>
      <c r="J105" s="31">
        <v>1.08</v>
      </c>
      <c r="K105" s="504">
        <v>0.2</v>
      </c>
      <c r="L105" s="502">
        <v>120</v>
      </c>
      <c r="M105" s="144">
        <v>0.88000000000000012</v>
      </c>
      <c r="N105" s="504">
        <v>0</v>
      </c>
      <c r="O105" s="29"/>
      <c r="P105" s="29">
        <v>6.6150000000000002</v>
      </c>
      <c r="Q105" s="144">
        <v>5.7350000000000003</v>
      </c>
      <c r="R105" s="144">
        <v>5.7350000000000003</v>
      </c>
      <c r="S105" s="145" t="s">
        <v>20211</v>
      </c>
      <c r="T105" s="146" t="s">
        <v>20211</v>
      </c>
      <c r="U105" s="145">
        <v>16.326530612244898</v>
      </c>
      <c r="V105" s="505"/>
      <c r="W105" s="505" t="s">
        <v>2023</v>
      </c>
      <c r="X105" s="43"/>
      <c r="Y105" s="143">
        <v>77</v>
      </c>
      <c r="Z105" s="152">
        <v>27</v>
      </c>
      <c r="AA105" s="143" t="s">
        <v>683</v>
      </c>
      <c r="AB105" s="9">
        <v>6.3</v>
      </c>
      <c r="AC105" s="151" t="s">
        <v>522</v>
      </c>
      <c r="AD105" s="151">
        <v>6.3</v>
      </c>
      <c r="AE105" s="151"/>
      <c r="AF105" s="152"/>
      <c r="AG105" s="143" t="s">
        <v>20225</v>
      </c>
      <c r="AH105" s="144">
        <v>0.98756250000000001</v>
      </c>
      <c r="AI105" s="144">
        <v>2.0675625000000002</v>
      </c>
      <c r="AJ105" s="144">
        <v>0.2</v>
      </c>
      <c r="AK105" s="143">
        <v>120</v>
      </c>
      <c r="AL105" s="144">
        <v>1.8675625000000002</v>
      </c>
      <c r="AM105" s="144">
        <v>0</v>
      </c>
      <c r="AN105" s="29">
        <v>6.6150000000000002</v>
      </c>
      <c r="AO105" s="144">
        <v>4.7474375000000002</v>
      </c>
      <c r="AP105" s="144">
        <v>4.7474375000000002</v>
      </c>
      <c r="AQ105" s="145" t="s">
        <v>20211</v>
      </c>
      <c r="AR105" s="146" t="s">
        <v>20211</v>
      </c>
      <c r="AS105" s="56">
        <v>31.255668934240365</v>
      </c>
      <c r="AT105" s="58" t="s">
        <v>501</v>
      </c>
      <c r="AU105" s="118">
        <v>1985</v>
      </c>
      <c r="AV105" s="149" t="s">
        <v>2143</v>
      </c>
      <c r="AW105" s="120">
        <v>57.857132786891199</v>
      </c>
      <c r="AX105" s="120">
        <v>34.0446356018983</v>
      </c>
    </row>
    <row r="106" spans="1:50" ht="15" customHeight="1" x14ac:dyDescent="0.25">
      <c r="A106" s="143">
        <v>78</v>
      </c>
      <c r="B106" s="143">
        <v>28</v>
      </c>
      <c r="C106" s="143" t="s">
        <v>684</v>
      </c>
      <c r="D106" s="9">
        <v>2.5</v>
      </c>
      <c r="E106" s="503" t="s">
        <v>522</v>
      </c>
      <c r="F106" s="503">
        <v>2.5</v>
      </c>
      <c r="G106" s="503"/>
      <c r="H106" s="501"/>
      <c r="I106" s="151" t="s">
        <v>20222</v>
      </c>
      <c r="J106" s="31">
        <v>0.27</v>
      </c>
      <c r="K106" s="504">
        <v>0.27</v>
      </c>
      <c r="L106" s="502">
        <v>120</v>
      </c>
      <c r="M106" s="144">
        <v>0</v>
      </c>
      <c r="N106" s="504">
        <v>0</v>
      </c>
      <c r="O106" s="29"/>
      <c r="P106" s="29">
        <v>2.625</v>
      </c>
      <c r="Q106" s="144">
        <v>2.625</v>
      </c>
      <c r="R106" s="144">
        <v>2.625</v>
      </c>
      <c r="S106" s="145" t="s">
        <v>20211</v>
      </c>
      <c r="T106" s="146" t="s">
        <v>20211</v>
      </c>
      <c r="U106" s="145">
        <v>10.285714285714286</v>
      </c>
      <c r="V106" s="505">
        <v>0.71</v>
      </c>
      <c r="W106" s="505" t="s">
        <v>2024</v>
      </c>
      <c r="X106" s="43"/>
      <c r="Y106" s="143">
        <v>78</v>
      </c>
      <c r="Z106" s="152">
        <v>28</v>
      </c>
      <c r="AA106" s="143" t="s">
        <v>684</v>
      </c>
      <c r="AB106" s="9">
        <v>2.5</v>
      </c>
      <c r="AC106" s="151" t="s">
        <v>522</v>
      </c>
      <c r="AD106" s="151">
        <v>2.5</v>
      </c>
      <c r="AE106" s="151"/>
      <c r="AF106" s="152"/>
      <c r="AG106" s="143" t="s">
        <v>20222</v>
      </c>
      <c r="AH106" s="144">
        <v>0</v>
      </c>
      <c r="AI106" s="144">
        <v>0.27</v>
      </c>
      <c r="AJ106" s="144">
        <v>0.27</v>
      </c>
      <c r="AK106" s="143">
        <v>120</v>
      </c>
      <c r="AL106" s="144">
        <v>0</v>
      </c>
      <c r="AM106" s="144">
        <v>0</v>
      </c>
      <c r="AN106" s="29">
        <v>2.625</v>
      </c>
      <c r="AO106" s="144">
        <v>2.625</v>
      </c>
      <c r="AP106" s="144">
        <v>2.625</v>
      </c>
      <c r="AQ106" s="145" t="s">
        <v>20211</v>
      </c>
      <c r="AR106" s="146" t="s">
        <v>20211</v>
      </c>
      <c r="AS106" s="56">
        <v>10.285714285714286</v>
      </c>
      <c r="AT106" s="58" t="s">
        <v>501</v>
      </c>
      <c r="AU106" s="118">
        <v>1981</v>
      </c>
      <c r="AV106" s="149" t="s">
        <v>2143</v>
      </c>
      <c r="AW106" s="120">
        <v>57.303848389370401</v>
      </c>
      <c r="AX106" s="120">
        <v>34.585047065027197</v>
      </c>
    </row>
    <row r="107" spans="1:50" ht="15" customHeight="1" x14ac:dyDescent="0.25">
      <c r="A107" s="143">
        <v>79</v>
      </c>
      <c r="B107" s="143">
        <v>29</v>
      </c>
      <c r="C107" s="143" t="s">
        <v>685</v>
      </c>
      <c r="D107" s="9">
        <v>1.8</v>
      </c>
      <c r="E107" s="503" t="s">
        <v>522</v>
      </c>
      <c r="F107" s="503">
        <v>4</v>
      </c>
      <c r="G107" s="503"/>
      <c r="H107" s="501"/>
      <c r="I107" s="151" t="s">
        <v>20237</v>
      </c>
      <c r="J107" s="31">
        <v>0.93</v>
      </c>
      <c r="K107" s="504">
        <v>0</v>
      </c>
      <c r="L107" s="502">
        <v>0</v>
      </c>
      <c r="M107" s="144">
        <v>0.93</v>
      </c>
      <c r="N107" s="504">
        <v>0</v>
      </c>
      <c r="O107" s="29"/>
      <c r="P107" s="29">
        <v>1.8900000000000001</v>
      </c>
      <c r="Q107" s="144">
        <v>0.96000000000000008</v>
      </c>
      <c r="R107" s="144">
        <v>0.96000000000000008</v>
      </c>
      <c r="S107" s="145" t="s">
        <v>20211</v>
      </c>
      <c r="T107" s="146" t="s">
        <v>20211</v>
      </c>
      <c r="U107" s="145">
        <v>49.206349206349202</v>
      </c>
      <c r="V107" s="505"/>
      <c r="W107" s="505" t="s">
        <v>2023</v>
      </c>
      <c r="X107" s="43"/>
      <c r="Y107" s="143">
        <v>79</v>
      </c>
      <c r="Z107" s="152">
        <v>29</v>
      </c>
      <c r="AA107" s="143" t="s">
        <v>685</v>
      </c>
      <c r="AB107" s="9">
        <v>1.8</v>
      </c>
      <c r="AC107" s="151" t="s">
        <v>522</v>
      </c>
      <c r="AD107" s="151">
        <v>4</v>
      </c>
      <c r="AE107" s="151"/>
      <c r="AF107" s="152"/>
      <c r="AG107" s="143" t="s">
        <v>20237</v>
      </c>
      <c r="AH107" s="144">
        <v>2.5239130434782604E-2</v>
      </c>
      <c r="AI107" s="144">
        <v>0.9552391304347827</v>
      </c>
      <c r="AJ107" s="144">
        <v>0</v>
      </c>
      <c r="AK107" s="143">
        <v>0</v>
      </c>
      <c r="AL107" s="144">
        <v>0.9552391304347827</v>
      </c>
      <c r="AM107" s="144">
        <v>0</v>
      </c>
      <c r="AN107" s="29">
        <v>1.8900000000000001</v>
      </c>
      <c r="AO107" s="144">
        <v>0.93476086956521742</v>
      </c>
      <c r="AP107" s="144">
        <v>0.93476086956521742</v>
      </c>
      <c r="AQ107" s="145" t="s">
        <v>20211</v>
      </c>
      <c r="AR107" s="146" t="s">
        <v>20211</v>
      </c>
      <c r="AS107" s="56">
        <v>50.541752933057282</v>
      </c>
      <c r="AT107" s="58" t="s">
        <v>501</v>
      </c>
      <c r="AU107" s="118">
        <v>1972</v>
      </c>
      <c r="AV107" s="149" t="s">
        <v>2143</v>
      </c>
      <c r="AW107" s="120">
        <v>57.585976239644701</v>
      </c>
      <c r="AX107" s="120">
        <v>35.472571930240903</v>
      </c>
    </row>
    <row r="108" spans="1:50" ht="15" customHeight="1" x14ac:dyDescent="0.25">
      <c r="A108" s="143">
        <v>80</v>
      </c>
      <c r="B108" s="143">
        <v>30</v>
      </c>
      <c r="C108" s="143" t="s">
        <v>686</v>
      </c>
      <c r="D108" s="9">
        <v>1.6</v>
      </c>
      <c r="E108" s="503" t="s">
        <v>522</v>
      </c>
      <c r="F108" s="503">
        <v>1.8</v>
      </c>
      <c r="G108" s="503"/>
      <c r="H108" s="501"/>
      <c r="I108" s="151" t="s">
        <v>20231</v>
      </c>
      <c r="J108" s="31">
        <v>0.34</v>
      </c>
      <c r="K108" s="504">
        <v>0</v>
      </c>
      <c r="L108" s="502">
        <v>0</v>
      </c>
      <c r="M108" s="144">
        <v>0.34</v>
      </c>
      <c r="N108" s="504">
        <v>0</v>
      </c>
      <c r="O108" s="29"/>
      <c r="P108" s="29">
        <v>1.6800000000000002</v>
      </c>
      <c r="Q108" s="144">
        <v>1.34</v>
      </c>
      <c r="R108" s="144">
        <v>1.34</v>
      </c>
      <c r="S108" s="145" t="s">
        <v>20211</v>
      </c>
      <c r="T108" s="146" t="s">
        <v>20211</v>
      </c>
      <c r="U108" s="145">
        <v>20.238095238095237</v>
      </c>
      <c r="V108" s="505"/>
      <c r="W108" s="505" t="s">
        <v>2023</v>
      </c>
      <c r="X108" s="43"/>
      <c r="Y108" s="143">
        <v>80</v>
      </c>
      <c r="Z108" s="152">
        <v>30</v>
      </c>
      <c r="AA108" s="143" t="s">
        <v>686</v>
      </c>
      <c r="AB108" s="9">
        <v>1.6</v>
      </c>
      <c r="AC108" s="151" t="s">
        <v>522</v>
      </c>
      <c r="AD108" s="151">
        <v>1.8</v>
      </c>
      <c r="AE108" s="151"/>
      <c r="AF108" s="152"/>
      <c r="AG108" s="143" t="s">
        <v>20231</v>
      </c>
      <c r="AH108" s="144">
        <v>0</v>
      </c>
      <c r="AI108" s="144">
        <v>0.34</v>
      </c>
      <c r="AJ108" s="144">
        <v>0</v>
      </c>
      <c r="AK108" s="143">
        <v>0</v>
      </c>
      <c r="AL108" s="144">
        <v>0.34</v>
      </c>
      <c r="AM108" s="144">
        <v>0</v>
      </c>
      <c r="AN108" s="29">
        <v>1.6800000000000002</v>
      </c>
      <c r="AO108" s="144">
        <v>1.34</v>
      </c>
      <c r="AP108" s="144">
        <v>1.34</v>
      </c>
      <c r="AQ108" s="145" t="s">
        <v>20211</v>
      </c>
      <c r="AR108" s="146" t="s">
        <v>20211</v>
      </c>
      <c r="AS108" s="56">
        <v>20.238095238095237</v>
      </c>
      <c r="AT108" s="58" t="s">
        <v>501</v>
      </c>
      <c r="AU108" s="118">
        <v>1973</v>
      </c>
      <c r="AV108" s="149" t="s">
        <v>2143</v>
      </c>
      <c r="AW108" s="120">
        <v>57.421972539744097</v>
      </c>
      <c r="AX108" s="120">
        <v>35.203476168952598</v>
      </c>
    </row>
    <row r="109" spans="1:50" ht="15" customHeight="1" x14ac:dyDescent="0.25">
      <c r="A109" s="143">
        <v>81</v>
      </c>
      <c r="B109" s="143">
        <v>31</v>
      </c>
      <c r="C109" s="143" t="s">
        <v>687</v>
      </c>
      <c r="D109" s="9">
        <v>10</v>
      </c>
      <c r="E109" s="503" t="s">
        <v>522</v>
      </c>
      <c r="F109" s="503">
        <v>10</v>
      </c>
      <c r="G109" s="503"/>
      <c r="H109" s="501"/>
      <c r="I109" s="151" t="s">
        <v>20227</v>
      </c>
      <c r="J109" s="31">
        <v>2.4</v>
      </c>
      <c r="K109" s="504">
        <v>0</v>
      </c>
      <c r="L109" s="502">
        <v>0</v>
      </c>
      <c r="M109" s="144">
        <v>2.4</v>
      </c>
      <c r="N109" s="504">
        <v>0</v>
      </c>
      <c r="O109" s="29"/>
      <c r="P109" s="29">
        <v>10.5</v>
      </c>
      <c r="Q109" s="144">
        <v>8.1</v>
      </c>
      <c r="R109" s="144">
        <v>8.1</v>
      </c>
      <c r="S109" s="145" t="s">
        <v>20211</v>
      </c>
      <c r="T109" s="146" t="s">
        <v>20211</v>
      </c>
      <c r="U109" s="145">
        <v>22.857142857142858</v>
      </c>
      <c r="V109" s="505">
        <v>0.5</v>
      </c>
      <c r="W109" s="505" t="s">
        <v>2024</v>
      </c>
      <c r="X109" s="43"/>
      <c r="Y109" s="143">
        <v>81</v>
      </c>
      <c r="Z109" s="152">
        <v>31</v>
      </c>
      <c r="AA109" s="143" t="s">
        <v>687</v>
      </c>
      <c r="AB109" s="9">
        <v>10</v>
      </c>
      <c r="AC109" s="151" t="s">
        <v>522</v>
      </c>
      <c r="AD109" s="151">
        <v>10</v>
      </c>
      <c r="AE109" s="151"/>
      <c r="AF109" s="152"/>
      <c r="AG109" s="143" t="s">
        <v>20227</v>
      </c>
      <c r="AH109" s="144">
        <v>0</v>
      </c>
      <c r="AI109" s="144">
        <v>2.4</v>
      </c>
      <c r="AJ109" s="144">
        <v>0</v>
      </c>
      <c r="AK109" s="143">
        <v>0</v>
      </c>
      <c r="AL109" s="144">
        <v>2.4</v>
      </c>
      <c r="AM109" s="144">
        <v>0</v>
      </c>
      <c r="AN109" s="29">
        <v>10.5</v>
      </c>
      <c r="AO109" s="144">
        <v>8.1</v>
      </c>
      <c r="AP109" s="144">
        <v>8.1</v>
      </c>
      <c r="AQ109" s="145" t="s">
        <v>20211</v>
      </c>
      <c r="AR109" s="146" t="s">
        <v>20211</v>
      </c>
      <c r="AS109" s="56">
        <v>22.857142857142858</v>
      </c>
      <c r="AT109" s="58" t="s">
        <v>501</v>
      </c>
      <c r="AU109" s="118">
        <v>1991</v>
      </c>
      <c r="AV109" s="149" t="s">
        <v>2143</v>
      </c>
      <c r="AW109" s="120">
        <v>57.633773826808799</v>
      </c>
      <c r="AX109" s="120">
        <v>34.398878344159797</v>
      </c>
    </row>
    <row r="110" spans="1:50" ht="15" customHeight="1" x14ac:dyDescent="0.25">
      <c r="A110" s="143">
        <v>82</v>
      </c>
      <c r="B110" s="143">
        <v>32</v>
      </c>
      <c r="C110" s="143" t="s">
        <v>688</v>
      </c>
      <c r="D110" s="9">
        <v>2.5</v>
      </c>
      <c r="E110" s="503" t="s">
        <v>522</v>
      </c>
      <c r="F110" s="503">
        <v>2.5</v>
      </c>
      <c r="G110" s="503"/>
      <c r="H110" s="501"/>
      <c r="I110" s="151" t="s">
        <v>20222</v>
      </c>
      <c r="J110" s="31">
        <v>1.31</v>
      </c>
      <c r="K110" s="504">
        <v>0.2</v>
      </c>
      <c r="L110" s="502">
        <v>120</v>
      </c>
      <c r="M110" s="144">
        <v>1.1100000000000001</v>
      </c>
      <c r="N110" s="504">
        <v>0</v>
      </c>
      <c r="O110" s="29"/>
      <c r="P110" s="29">
        <v>2.625</v>
      </c>
      <c r="Q110" s="144">
        <v>1.5149999999999999</v>
      </c>
      <c r="R110" s="144">
        <v>1.5149999999999999</v>
      </c>
      <c r="S110" s="145" t="s">
        <v>20211</v>
      </c>
      <c r="T110" s="146" t="s">
        <v>20211</v>
      </c>
      <c r="U110" s="145">
        <v>49.904761904761905</v>
      </c>
      <c r="V110" s="505"/>
      <c r="W110" s="505" t="s">
        <v>2023</v>
      </c>
      <c r="X110" s="43"/>
      <c r="Y110" s="143">
        <v>82</v>
      </c>
      <c r="Z110" s="152">
        <v>32</v>
      </c>
      <c r="AA110" s="143" t="s">
        <v>688</v>
      </c>
      <c r="AB110" s="9">
        <v>2.5</v>
      </c>
      <c r="AC110" s="151" t="s">
        <v>522</v>
      </c>
      <c r="AD110" s="151">
        <v>2.5</v>
      </c>
      <c r="AE110" s="151"/>
      <c r="AF110" s="152"/>
      <c r="AG110" s="143" t="s">
        <v>20222</v>
      </c>
      <c r="AH110" s="144">
        <v>0.43343478260869561</v>
      </c>
      <c r="AI110" s="144">
        <v>1.7434347826086958</v>
      </c>
      <c r="AJ110" s="144">
        <v>0.2</v>
      </c>
      <c r="AK110" s="143">
        <v>120</v>
      </c>
      <c r="AL110" s="144">
        <v>1.5434347826086958</v>
      </c>
      <c r="AM110" s="144">
        <v>0</v>
      </c>
      <c r="AN110" s="29">
        <v>2.625</v>
      </c>
      <c r="AO110" s="144">
        <v>1.0815652173913042</v>
      </c>
      <c r="AP110" s="144">
        <v>1.0815652173913042</v>
      </c>
      <c r="AQ110" s="145" t="s">
        <v>20211</v>
      </c>
      <c r="AR110" s="146" t="s">
        <v>20211</v>
      </c>
      <c r="AS110" s="56">
        <v>66.41656314699793</v>
      </c>
      <c r="AT110" s="58" t="s">
        <v>501</v>
      </c>
      <c r="AU110" s="118">
        <v>1974</v>
      </c>
      <c r="AV110" s="150">
        <v>2012</v>
      </c>
      <c r="AW110" s="120">
        <v>57.722189315239497</v>
      </c>
      <c r="AX110" s="120">
        <v>33.950545503123301</v>
      </c>
    </row>
    <row r="111" spans="1:50" ht="15" customHeight="1" x14ac:dyDescent="0.25">
      <c r="A111" s="143">
        <v>83</v>
      </c>
      <c r="B111" s="143">
        <v>33</v>
      </c>
      <c r="C111" s="143" t="s">
        <v>689</v>
      </c>
      <c r="D111" s="9">
        <v>2.5</v>
      </c>
      <c r="E111" s="503" t="s">
        <v>522</v>
      </c>
      <c r="F111" s="503">
        <v>1.6</v>
      </c>
      <c r="G111" s="503"/>
      <c r="H111" s="501"/>
      <c r="I111" s="151" t="s">
        <v>20233</v>
      </c>
      <c r="J111" s="31">
        <v>0.27</v>
      </c>
      <c r="K111" s="504">
        <v>0</v>
      </c>
      <c r="L111" s="502">
        <v>0</v>
      </c>
      <c r="M111" s="144">
        <v>0.27</v>
      </c>
      <c r="N111" s="504">
        <v>0</v>
      </c>
      <c r="O111" s="29"/>
      <c r="P111" s="29">
        <v>1.6800000000000002</v>
      </c>
      <c r="Q111" s="144">
        <v>1.4100000000000001</v>
      </c>
      <c r="R111" s="144">
        <v>1.4100000000000001</v>
      </c>
      <c r="S111" s="145" t="s">
        <v>20211</v>
      </c>
      <c r="T111" s="146" t="s">
        <v>20211</v>
      </c>
      <c r="U111" s="145">
        <v>16.071428571428569</v>
      </c>
      <c r="V111" s="505">
        <v>0.5</v>
      </c>
      <c r="W111" s="505" t="s">
        <v>2024</v>
      </c>
      <c r="X111" s="43"/>
      <c r="Y111" s="143">
        <v>83</v>
      </c>
      <c r="Z111" s="152">
        <v>33</v>
      </c>
      <c r="AA111" s="143" t="s">
        <v>689</v>
      </c>
      <c r="AB111" s="9">
        <v>2.5</v>
      </c>
      <c r="AC111" s="151" t="s">
        <v>522</v>
      </c>
      <c r="AD111" s="151">
        <v>1.6</v>
      </c>
      <c r="AE111" s="151"/>
      <c r="AF111" s="152"/>
      <c r="AG111" s="143" t="s">
        <v>20233</v>
      </c>
      <c r="AH111" s="144">
        <v>0</v>
      </c>
      <c r="AI111" s="144">
        <v>0.27</v>
      </c>
      <c r="AJ111" s="144">
        <v>0</v>
      </c>
      <c r="AK111" s="143">
        <v>0</v>
      </c>
      <c r="AL111" s="144">
        <v>0.27</v>
      </c>
      <c r="AM111" s="144">
        <v>0</v>
      </c>
      <c r="AN111" s="29">
        <v>1.6800000000000002</v>
      </c>
      <c r="AO111" s="144">
        <v>1.4100000000000001</v>
      </c>
      <c r="AP111" s="144">
        <v>1.4100000000000001</v>
      </c>
      <c r="AQ111" s="145" t="s">
        <v>20211</v>
      </c>
      <c r="AR111" s="146" t="s">
        <v>20211</v>
      </c>
      <c r="AS111" s="56">
        <v>16.071428571428569</v>
      </c>
      <c r="AT111" s="58" t="s">
        <v>501</v>
      </c>
      <c r="AU111" s="118">
        <v>1981</v>
      </c>
      <c r="AV111" s="149" t="s">
        <v>2143</v>
      </c>
      <c r="AW111" s="120">
        <v>57.637077174942597</v>
      </c>
      <c r="AX111" s="120">
        <v>34.931955344256302</v>
      </c>
    </row>
    <row r="112" spans="1:50" ht="15" customHeight="1" x14ac:dyDescent="0.25">
      <c r="A112" s="143">
        <v>84</v>
      </c>
      <c r="B112" s="143">
        <v>34</v>
      </c>
      <c r="C112" s="143" t="s">
        <v>690</v>
      </c>
      <c r="D112" s="9">
        <v>4</v>
      </c>
      <c r="E112" s="503" t="s">
        <v>522</v>
      </c>
      <c r="F112" s="503">
        <v>4</v>
      </c>
      <c r="G112" s="503"/>
      <c r="H112" s="501"/>
      <c r="I112" s="151" t="s">
        <v>20235</v>
      </c>
      <c r="J112" s="31">
        <v>1.01</v>
      </c>
      <c r="K112" s="504">
        <v>0.1</v>
      </c>
      <c r="L112" s="502">
        <v>120</v>
      </c>
      <c r="M112" s="144">
        <v>0.91</v>
      </c>
      <c r="N112" s="504">
        <v>0</v>
      </c>
      <c r="O112" s="29"/>
      <c r="P112" s="29">
        <v>4.2</v>
      </c>
      <c r="Q112" s="144">
        <v>3.29</v>
      </c>
      <c r="R112" s="144">
        <v>3.29</v>
      </c>
      <c r="S112" s="145" t="s">
        <v>20211</v>
      </c>
      <c r="T112" s="146" t="s">
        <v>20211</v>
      </c>
      <c r="U112" s="145">
        <v>24.047619047619047</v>
      </c>
      <c r="V112" s="505"/>
      <c r="W112" s="505" t="s">
        <v>2023</v>
      </c>
      <c r="X112" s="43"/>
      <c r="Y112" s="143">
        <v>84</v>
      </c>
      <c r="Z112" s="152">
        <v>34</v>
      </c>
      <c r="AA112" s="143" t="s">
        <v>690</v>
      </c>
      <c r="AB112" s="9">
        <v>4</v>
      </c>
      <c r="AC112" s="151" t="s">
        <v>522</v>
      </c>
      <c r="AD112" s="151">
        <v>4</v>
      </c>
      <c r="AE112" s="151"/>
      <c r="AF112" s="152"/>
      <c r="AG112" s="143" t="s">
        <v>20235</v>
      </c>
      <c r="AH112" s="144">
        <v>1.5652173913043479E-2</v>
      </c>
      <c r="AI112" s="144">
        <v>1.0256521739130435</v>
      </c>
      <c r="AJ112" s="144">
        <v>0.1</v>
      </c>
      <c r="AK112" s="143">
        <v>120</v>
      </c>
      <c r="AL112" s="144">
        <v>0.92565217391304355</v>
      </c>
      <c r="AM112" s="144">
        <v>0</v>
      </c>
      <c r="AN112" s="29">
        <v>4.2</v>
      </c>
      <c r="AO112" s="144">
        <v>3.2743478260869567</v>
      </c>
      <c r="AP112" s="144">
        <v>3.2743478260869567</v>
      </c>
      <c r="AQ112" s="145" t="s">
        <v>20211</v>
      </c>
      <c r="AR112" s="146" t="s">
        <v>20211</v>
      </c>
      <c r="AS112" s="56">
        <v>24.420289855072465</v>
      </c>
      <c r="AT112" s="58" t="s">
        <v>501</v>
      </c>
      <c r="AU112" s="118">
        <v>1998</v>
      </c>
      <c r="AV112" s="149" t="s">
        <v>2143</v>
      </c>
      <c r="AW112" s="120">
        <v>57.815930789930697</v>
      </c>
      <c r="AX112" s="120">
        <v>33.846530989388803</v>
      </c>
    </row>
    <row r="113" spans="1:50" ht="15" customHeight="1" x14ac:dyDescent="0.25">
      <c r="A113" s="143">
        <v>85</v>
      </c>
      <c r="B113" s="143">
        <v>35</v>
      </c>
      <c r="C113" s="197" t="s">
        <v>17556</v>
      </c>
      <c r="D113" s="9">
        <v>2.5</v>
      </c>
      <c r="E113" s="503" t="s">
        <v>522</v>
      </c>
      <c r="F113" s="503">
        <v>2.5</v>
      </c>
      <c r="G113" s="503"/>
      <c r="H113" s="501"/>
      <c r="I113" s="151" t="s">
        <v>20222</v>
      </c>
      <c r="J113" s="31">
        <v>0.33</v>
      </c>
      <c r="K113" s="504">
        <v>0</v>
      </c>
      <c r="L113" s="502">
        <v>0</v>
      </c>
      <c r="M113" s="144">
        <v>0.33</v>
      </c>
      <c r="N113" s="504">
        <v>0</v>
      </c>
      <c r="O113" s="29"/>
      <c r="P113" s="29">
        <v>2.625</v>
      </c>
      <c r="Q113" s="144">
        <v>2.2949999999999999</v>
      </c>
      <c r="R113" s="144">
        <v>2.2949999999999999</v>
      </c>
      <c r="S113" s="145" t="s">
        <v>20211</v>
      </c>
      <c r="T113" s="146" t="s">
        <v>20211</v>
      </c>
      <c r="U113" s="145">
        <v>12.571428571428571</v>
      </c>
      <c r="V113" s="505">
        <v>0.72</v>
      </c>
      <c r="W113" s="505" t="s">
        <v>2024</v>
      </c>
      <c r="X113" s="43"/>
      <c r="Y113" s="143">
        <v>85</v>
      </c>
      <c r="Z113" s="152">
        <v>35</v>
      </c>
      <c r="AA113" s="197" t="s">
        <v>17556</v>
      </c>
      <c r="AB113" s="9">
        <v>2.5</v>
      </c>
      <c r="AC113" s="151" t="s">
        <v>522</v>
      </c>
      <c r="AD113" s="151">
        <v>2.5</v>
      </c>
      <c r="AE113" s="151"/>
      <c r="AF113" s="152"/>
      <c r="AG113" s="143" t="s">
        <v>20222</v>
      </c>
      <c r="AH113" s="144">
        <v>4.0500000000000001E-2</v>
      </c>
      <c r="AI113" s="144">
        <v>0.3705</v>
      </c>
      <c r="AJ113" s="144">
        <v>0</v>
      </c>
      <c r="AK113" s="143">
        <v>0</v>
      </c>
      <c r="AL113" s="144">
        <v>0.3705</v>
      </c>
      <c r="AM113" s="144">
        <v>0</v>
      </c>
      <c r="AN113" s="29">
        <v>2.625</v>
      </c>
      <c r="AO113" s="144">
        <v>2.2545000000000002</v>
      </c>
      <c r="AP113" s="144">
        <v>2.2545000000000002</v>
      </c>
      <c r="AQ113" s="145" t="s">
        <v>20211</v>
      </c>
      <c r="AR113" s="146" t="s">
        <v>20211</v>
      </c>
      <c r="AS113" s="56">
        <v>14.114285714285714</v>
      </c>
      <c r="AT113" s="58" t="s">
        <v>501</v>
      </c>
      <c r="AU113" s="118">
        <v>1983</v>
      </c>
      <c r="AV113" s="149" t="s">
        <v>2143</v>
      </c>
      <c r="AW113" s="120">
        <v>57.901759317155197</v>
      </c>
      <c r="AX113" s="120">
        <v>34.548969215896904</v>
      </c>
    </row>
    <row r="114" spans="1:50" ht="15" customHeight="1" x14ac:dyDescent="0.25">
      <c r="A114" s="143">
        <v>86</v>
      </c>
      <c r="B114" s="143">
        <v>36</v>
      </c>
      <c r="C114" s="143" t="s">
        <v>691</v>
      </c>
      <c r="D114" s="9">
        <v>1</v>
      </c>
      <c r="E114" s="503" t="s">
        <v>522</v>
      </c>
      <c r="F114" s="503">
        <v>1</v>
      </c>
      <c r="G114" s="503"/>
      <c r="H114" s="501"/>
      <c r="I114" s="151" t="s">
        <v>20218</v>
      </c>
      <c r="J114" s="31">
        <v>0.52</v>
      </c>
      <c r="K114" s="504">
        <v>0.52</v>
      </c>
      <c r="L114" s="502">
        <v>120</v>
      </c>
      <c r="M114" s="144">
        <v>0</v>
      </c>
      <c r="N114" s="504">
        <v>0</v>
      </c>
      <c r="O114" s="29"/>
      <c r="P114" s="29">
        <v>1.05</v>
      </c>
      <c r="Q114" s="144">
        <v>1.05</v>
      </c>
      <c r="R114" s="144">
        <v>1.05</v>
      </c>
      <c r="S114" s="145" t="s">
        <v>20211</v>
      </c>
      <c r="T114" s="146" t="s">
        <v>20211</v>
      </c>
      <c r="U114" s="145">
        <v>49.523809523809518</v>
      </c>
      <c r="V114" s="505">
        <v>0.4</v>
      </c>
      <c r="W114" s="505" t="s">
        <v>2024</v>
      </c>
      <c r="X114" s="43"/>
      <c r="Y114" s="143">
        <v>86</v>
      </c>
      <c r="Z114" s="152">
        <v>36</v>
      </c>
      <c r="AA114" s="143" t="s">
        <v>691</v>
      </c>
      <c r="AB114" s="9">
        <v>1</v>
      </c>
      <c r="AC114" s="151" t="s">
        <v>522</v>
      </c>
      <c r="AD114" s="151">
        <v>1</v>
      </c>
      <c r="AE114" s="151"/>
      <c r="AF114" s="152"/>
      <c r="AG114" s="143" t="s">
        <v>20218</v>
      </c>
      <c r="AH114" s="144">
        <v>2.6413043478260866E-2</v>
      </c>
      <c r="AI114" s="144">
        <v>0.54641304347826092</v>
      </c>
      <c r="AJ114" s="144">
        <v>0.52</v>
      </c>
      <c r="AK114" s="143">
        <v>120</v>
      </c>
      <c r="AL114" s="144">
        <v>2.64130434782609E-2</v>
      </c>
      <c r="AM114" s="144">
        <v>0</v>
      </c>
      <c r="AN114" s="29">
        <v>1.05</v>
      </c>
      <c r="AO114" s="144">
        <v>1.023586956521739</v>
      </c>
      <c r="AP114" s="144">
        <v>1.023586956521739</v>
      </c>
      <c r="AQ114" s="145" t="s">
        <v>20211</v>
      </c>
      <c r="AR114" s="146" t="s">
        <v>20211</v>
      </c>
      <c r="AS114" s="56">
        <v>52.039337474120089</v>
      </c>
      <c r="AT114" s="58" t="s">
        <v>501</v>
      </c>
      <c r="AU114" s="118">
        <v>1981</v>
      </c>
      <c r="AV114" s="149" t="s">
        <v>2143</v>
      </c>
      <c r="AW114" s="120">
        <v>57.7248395461474</v>
      </c>
      <c r="AX114" s="120">
        <v>35.269410953925501</v>
      </c>
    </row>
    <row r="115" spans="1:50" ht="15" customHeight="1" x14ac:dyDescent="0.25">
      <c r="A115" s="143">
        <v>87</v>
      </c>
      <c r="B115" s="143">
        <v>37</v>
      </c>
      <c r="C115" s="143" t="s">
        <v>692</v>
      </c>
      <c r="D115" s="9">
        <v>1</v>
      </c>
      <c r="E115" s="503" t="s">
        <v>522</v>
      </c>
      <c r="F115" s="503">
        <v>1</v>
      </c>
      <c r="G115" s="503"/>
      <c r="H115" s="501"/>
      <c r="I115" s="151" t="s">
        <v>20218</v>
      </c>
      <c r="J115" s="31">
        <v>0.35</v>
      </c>
      <c r="K115" s="504">
        <v>0.35</v>
      </c>
      <c r="L115" s="502">
        <v>120</v>
      </c>
      <c r="M115" s="144">
        <v>0</v>
      </c>
      <c r="N115" s="504">
        <v>0</v>
      </c>
      <c r="O115" s="29"/>
      <c r="P115" s="29">
        <v>1.05</v>
      </c>
      <c r="Q115" s="144">
        <v>1.05</v>
      </c>
      <c r="R115" s="144">
        <v>1.05</v>
      </c>
      <c r="S115" s="145" t="s">
        <v>20211</v>
      </c>
      <c r="T115" s="146" t="s">
        <v>20211</v>
      </c>
      <c r="U115" s="145">
        <v>33.333333333333329</v>
      </c>
      <c r="V115" s="505">
        <v>0.5</v>
      </c>
      <c r="W115" s="505" t="s">
        <v>2024</v>
      </c>
      <c r="X115" s="43"/>
      <c r="Y115" s="143">
        <v>87</v>
      </c>
      <c r="Z115" s="152">
        <v>37</v>
      </c>
      <c r="AA115" s="143" t="s">
        <v>692</v>
      </c>
      <c r="AB115" s="9">
        <v>1</v>
      </c>
      <c r="AC115" s="151" t="s">
        <v>522</v>
      </c>
      <c r="AD115" s="151">
        <v>1</v>
      </c>
      <c r="AE115" s="151"/>
      <c r="AF115" s="152"/>
      <c r="AG115" s="143" t="s">
        <v>20218</v>
      </c>
      <c r="AH115" s="144">
        <v>8.0413043478260865E-2</v>
      </c>
      <c r="AI115" s="144">
        <v>0.43041304347826082</v>
      </c>
      <c r="AJ115" s="144">
        <v>0.35</v>
      </c>
      <c r="AK115" s="143">
        <v>120</v>
      </c>
      <c r="AL115" s="144">
        <v>8.0413043478260837E-2</v>
      </c>
      <c r="AM115" s="144">
        <v>0</v>
      </c>
      <c r="AN115" s="29">
        <v>1.05</v>
      </c>
      <c r="AO115" s="144">
        <v>0.96958695652173921</v>
      </c>
      <c r="AP115" s="144">
        <v>0.96958695652173921</v>
      </c>
      <c r="AQ115" s="145" t="s">
        <v>20211</v>
      </c>
      <c r="AR115" s="146" t="s">
        <v>20211</v>
      </c>
      <c r="AS115" s="56">
        <v>40.991718426501031</v>
      </c>
      <c r="AT115" s="58" t="s">
        <v>501</v>
      </c>
      <c r="AU115" s="118">
        <v>1972</v>
      </c>
      <c r="AV115" s="149" t="s">
        <v>2143</v>
      </c>
      <c r="AW115" s="120">
        <v>58.0618745669615</v>
      </c>
      <c r="AX115" s="120">
        <v>34.940325847982102</v>
      </c>
    </row>
    <row r="116" spans="1:50" ht="15" customHeight="1" x14ac:dyDescent="0.25">
      <c r="A116" s="143">
        <v>88</v>
      </c>
      <c r="B116" s="143">
        <v>38</v>
      </c>
      <c r="C116" s="143" t="s">
        <v>1743</v>
      </c>
      <c r="D116" s="9">
        <v>2.5</v>
      </c>
      <c r="E116" s="503" t="s">
        <v>522</v>
      </c>
      <c r="F116" s="503">
        <v>1.6</v>
      </c>
      <c r="G116" s="503"/>
      <c r="H116" s="501"/>
      <c r="I116" s="151" t="s">
        <v>20233</v>
      </c>
      <c r="J116" s="31">
        <v>0.28000000000000003</v>
      </c>
      <c r="K116" s="504">
        <v>0</v>
      </c>
      <c r="L116" s="502">
        <v>0</v>
      </c>
      <c r="M116" s="144">
        <v>0.28000000000000003</v>
      </c>
      <c r="N116" s="504">
        <v>0</v>
      </c>
      <c r="O116" s="29"/>
      <c r="P116" s="29">
        <v>1.6800000000000002</v>
      </c>
      <c r="Q116" s="144">
        <v>1.4000000000000001</v>
      </c>
      <c r="R116" s="144">
        <v>1.4000000000000001</v>
      </c>
      <c r="S116" s="145" t="s">
        <v>20211</v>
      </c>
      <c r="T116" s="146" t="s">
        <v>20211</v>
      </c>
      <c r="U116" s="145">
        <v>16.666666666666668</v>
      </c>
      <c r="V116" s="505">
        <v>0.4</v>
      </c>
      <c r="W116" s="505" t="s">
        <v>18161</v>
      </c>
      <c r="X116" s="43"/>
      <c r="Y116" s="143">
        <v>88</v>
      </c>
      <c r="Z116" s="152">
        <v>38</v>
      </c>
      <c r="AA116" s="143" t="s">
        <v>1743</v>
      </c>
      <c r="AB116" s="9">
        <v>2.5</v>
      </c>
      <c r="AC116" s="151" t="s">
        <v>522</v>
      </c>
      <c r="AD116" s="151">
        <v>1.6</v>
      </c>
      <c r="AE116" s="151"/>
      <c r="AF116" s="152"/>
      <c r="AG116" s="143" t="s">
        <v>20233</v>
      </c>
      <c r="AH116" s="144">
        <v>1.4184782608695653E-2</v>
      </c>
      <c r="AI116" s="144">
        <v>0.29418478260869568</v>
      </c>
      <c r="AJ116" s="144">
        <v>0</v>
      </c>
      <c r="AK116" s="143">
        <v>0</v>
      </c>
      <c r="AL116" s="144">
        <v>0.29418478260869568</v>
      </c>
      <c r="AM116" s="144">
        <v>0</v>
      </c>
      <c r="AN116" s="29">
        <v>1.6800000000000002</v>
      </c>
      <c r="AO116" s="144">
        <v>1.3858152173913045</v>
      </c>
      <c r="AP116" s="144">
        <v>1.3858152173913045</v>
      </c>
      <c r="AQ116" s="145" t="s">
        <v>20211</v>
      </c>
      <c r="AR116" s="146" t="s">
        <v>20211</v>
      </c>
      <c r="AS116" s="56">
        <v>17.510998964803314</v>
      </c>
      <c r="AT116" s="58" t="s">
        <v>501</v>
      </c>
      <c r="AU116" s="118">
        <v>1983</v>
      </c>
      <c r="AV116" s="149" t="s">
        <v>2143</v>
      </c>
      <c r="AW116" s="120">
        <v>57.710523908072098</v>
      </c>
      <c r="AX116" s="120">
        <v>35.002795604796397</v>
      </c>
    </row>
    <row r="117" spans="1:50" ht="15" customHeight="1" x14ac:dyDescent="0.25">
      <c r="A117" s="143">
        <v>89</v>
      </c>
      <c r="B117" s="143">
        <v>39</v>
      </c>
      <c r="C117" s="143" t="s">
        <v>693</v>
      </c>
      <c r="D117" s="9">
        <v>2.5</v>
      </c>
      <c r="E117" s="503" t="s">
        <v>522</v>
      </c>
      <c r="F117" s="503">
        <v>2.5</v>
      </c>
      <c r="G117" s="503"/>
      <c r="H117" s="501"/>
      <c r="I117" s="151" t="s">
        <v>20222</v>
      </c>
      <c r="J117" s="31">
        <v>1.5</v>
      </c>
      <c r="K117" s="504">
        <v>1.5</v>
      </c>
      <c r="L117" s="502">
        <v>120</v>
      </c>
      <c r="M117" s="144">
        <v>0</v>
      </c>
      <c r="N117" s="504">
        <v>0</v>
      </c>
      <c r="O117" s="29"/>
      <c r="P117" s="29">
        <v>2.625</v>
      </c>
      <c r="Q117" s="144">
        <v>2.625</v>
      </c>
      <c r="R117" s="144">
        <v>2.625</v>
      </c>
      <c r="S117" s="145" t="s">
        <v>20211</v>
      </c>
      <c r="T117" s="146" t="s">
        <v>20211</v>
      </c>
      <c r="U117" s="145">
        <v>57.142857142857146</v>
      </c>
      <c r="V117" s="505">
        <v>0.56999999999999995</v>
      </c>
      <c r="W117" s="505" t="s">
        <v>18161</v>
      </c>
      <c r="X117" s="43"/>
      <c r="Y117" s="143">
        <v>89</v>
      </c>
      <c r="Z117" s="152">
        <v>39</v>
      </c>
      <c r="AA117" s="143" t="s">
        <v>693</v>
      </c>
      <c r="AB117" s="9">
        <v>2.5</v>
      </c>
      <c r="AC117" s="151" t="s">
        <v>522</v>
      </c>
      <c r="AD117" s="151">
        <v>2.5</v>
      </c>
      <c r="AE117" s="151"/>
      <c r="AF117" s="152"/>
      <c r="AG117" s="143" t="s">
        <v>20222</v>
      </c>
      <c r="AH117" s="144">
        <v>0</v>
      </c>
      <c r="AI117" s="144">
        <v>1.5</v>
      </c>
      <c r="AJ117" s="144">
        <v>1.5</v>
      </c>
      <c r="AK117" s="143">
        <v>120</v>
      </c>
      <c r="AL117" s="144">
        <v>0</v>
      </c>
      <c r="AM117" s="144">
        <v>0</v>
      </c>
      <c r="AN117" s="29">
        <v>2.625</v>
      </c>
      <c r="AO117" s="144">
        <v>2.625</v>
      </c>
      <c r="AP117" s="144">
        <v>2.625</v>
      </c>
      <c r="AQ117" s="145" t="s">
        <v>20211</v>
      </c>
      <c r="AR117" s="146" t="s">
        <v>20211</v>
      </c>
      <c r="AS117" s="56">
        <v>57.142857142857146</v>
      </c>
      <c r="AT117" s="58" t="s">
        <v>501</v>
      </c>
      <c r="AU117" s="118">
        <v>1971</v>
      </c>
      <c r="AV117" s="150">
        <v>2011</v>
      </c>
      <c r="AW117" s="120">
        <v>57.577173367643901</v>
      </c>
      <c r="AX117" s="120">
        <v>34.595558134151197</v>
      </c>
    </row>
    <row r="118" spans="1:50" ht="15" customHeight="1" x14ac:dyDescent="0.25">
      <c r="A118" s="143">
        <v>90</v>
      </c>
      <c r="B118" s="143">
        <v>40</v>
      </c>
      <c r="C118" s="143" t="s">
        <v>694</v>
      </c>
      <c r="D118" s="9">
        <v>1.8</v>
      </c>
      <c r="E118" s="503" t="s">
        <v>522</v>
      </c>
      <c r="F118" s="503">
        <v>1.6</v>
      </c>
      <c r="G118" s="503"/>
      <c r="H118" s="501"/>
      <c r="I118" s="151" t="s">
        <v>20238</v>
      </c>
      <c r="J118" s="31">
        <v>0.42</v>
      </c>
      <c r="K118" s="504">
        <v>0</v>
      </c>
      <c r="L118" s="502">
        <v>0</v>
      </c>
      <c r="M118" s="144">
        <v>0.42</v>
      </c>
      <c r="N118" s="504">
        <v>0</v>
      </c>
      <c r="O118" s="29"/>
      <c r="P118" s="29">
        <v>1.6800000000000002</v>
      </c>
      <c r="Q118" s="144">
        <v>1.2600000000000002</v>
      </c>
      <c r="R118" s="144">
        <v>1.2600000000000002</v>
      </c>
      <c r="S118" s="145" t="s">
        <v>20211</v>
      </c>
      <c r="T118" s="146" t="s">
        <v>20211</v>
      </c>
      <c r="U118" s="145">
        <v>24.999999999999996</v>
      </c>
      <c r="V118" s="505">
        <v>0.92</v>
      </c>
      <c r="W118" s="505" t="s">
        <v>2024</v>
      </c>
      <c r="X118" s="43"/>
      <c r="Y118" s="143">
        <v>90</v>
      </c>
      <c r="Z118" s="152">
        <v>40</v>
      </c>
      <c r="AA118" s="143" t="s">
        <v>694</v>
      </c>
      <c r="AB118" s="9">
        <v>1.8</v>
      </c>
      <c r="AC118" s="151" t="s">
        <v>522</v>
      </c>
      <c r="AD118" s="151">
        <v>1.6</v>
      </c>
      <c r="AE118" s="151"/>
      <c r="AF118" s="152"/>
      <c r="AG118" s="143" t="s">
        <v>20238</v>
      </c>
      <c r="AH118" s="144">
        <v>0</v>
      </c>
      <c r="AI118" s="144">
        <v>0.42</v>
      </c>
      <c r="AJ118" s="144">
        <v>0</v>
      </c>
      <c r="AK118" s="143">
        <v>0</v>
      </c>
      <c r="AL118" s="144">
        <v>0.42</v>
      </c>
      <c r="AM118" s="144">
        <v>0</v>
      </c>
      <c r="AN118" s="29">
        <v>1.6800000000000002</v>
      </c>
      <c r="AO118" s="144">
        <v>1.2600000000000002</v>
      </c>
      <c r="AP118" s="144">
        <v>1.2600000000000002</v>
      </c>
      <c r="AQ118" s="145" t="s">
        <v>20211</v>
      </c>
      <c r="AR118" s="146" t="s">
        <v>20211</v>
      </c>
      <c r="AS118" s="56">
        <v>24.999999999999996</v>
      </c>
      <c r="AT118" s="58" t="s">
        <v>501</v>
      </c>
      <c r="AU118" s="118">
        <v>1983</v>
      </c>
      <c r="AV118" s="149" t="s">
        <v>2143</v>
      </c>
      <c r="AW118" s="120">
        <v>57.386806507304101</v>
      </c>
      <c r="AX118" s="120">
        <v>34.345181794732802</v>
      </c>
    </row>
    <row r="119" spans="1:50" ht="15" customHeight="1" x14ac:dyDescent="0.25">
      <c r="A119" s="143">
        <v>91</v>
      </c>
      <c r="B119" s="143">
        <v>41</v>
      </c>
      <c r="C119" s="143" t="s">
        <v>695</v>
      </c>
      <c r="D119" s="9">
        <v>2.5</v>
      </c>
      <c r="E119" s="503" t="s">
        <v>522</v>
      </c>
      <c r="F119" s="503">
        <v>1</v>
      </c>
      <c r="G119" s="503"/>
      <c r="H119" s="501"/>
      <c r="I119" s="151" t="s">
        <v>20239</v>
      </c>
      <c r="J119" s="31">
        <v>0.14000000000000001</v>
      </c>
      <c r="K119" s="504">
        <v>0</v>
      </c>
      <c r="L119" s="502">
        <v>0</v>
      </c>
      <c r="M119" s="144">
        <v>0.14000000000000001</v>
      </c>
      <c r="N119" s="504">
        <v>0</v>
      </c>
      <c r="O119" s="29"/>
      <c r="P119" s="29">
        <v>1.05</v>
      </c>
      <c r="Q119" s="144">
        <v>0.91</v>
      </c>
      <c r="R119" s="144">
        <v>0.91</v>
      </c>
      <c r="S119" s="145" t="s">
        <v>20211</v>
      </c>
      <c r="T119" s="146" t="s">
        <v>20211</v>
      </c>
      <c r="U119" s="145">
        <v>13.333333333333334</v>
      </c>
      <c r="V119" s="505"/>
      <c r="W119" s="505" t="s">
        <v>2023</v>
      </c>
      <c r="X119" s="43"/>
      <c r="Y119" s="143">
        <v>91</v>
      </c>
      <c r="Z119" s="152">
        <v>41</v>
      </c>
      <c r="AA119" s="143" t="s">
        <v>695</v>
      </c>
      <c r="AB119" s="9">
        <v>2.5</v>
      </c>
      <c r="AC119" s="151" t="s">
        <v>522</v>
      </c>
      <c r="AD119" s="151">
        <v>1</v>
      </c>
      <c r="AE119" s="151"/>
      <c r="AF119" s="152"/>
      <c r="AG119" s="143" t="s">
        <v>20239</v>
      </c>
      <c r="AH119" s="144">
        <v>9.7826086956521747E-3</v>
      </c>
      <c r="AI119" s="144">
        <v>0.14978260869565219</v>
      </c>
      <c r="AJ119" s="144">
        <v>0</v>
      </c>
      <c r="AK119" s="143">
        <v>0</v>
      </c>
      <c r="AL119" s="144">
        <v>0.14978260869565219</v>
      </c>
      <c r="AM119" s="144">
        <v>0</v>
      </c>
      <c r="AN119" s="29">
        <v>1.05</v>
      </c>
      <c r="AO119" s="144">
        <v>0.90021739130434786</v>
      </c>
      <c r="AP119" s="144">
        <v>0.90021739130434786</v>
      </c>
      <c r="AQ119" s="145" t="s">
        <v>20211</v>
      </c>
      <c r="AR119" s="146" t="s">
        <v>20211</v>
      </c>
      <c r="AS119" s="56">
        <v>14.265010351966874</v>
      </c>
      <c r="AT119" s="58" t="s">
        <v>501</v>
      </c>
      <c r="AU119" s="118">
        <v>1983</v>
      </c>
      <c r="AV119" s="149" t="s">
        <v>2143</v>
      </c>
      <c r="AW119" s="120">
        <v>57.953110991655997</v>
      </c>
      <c r="AX119" s="120">
        <v>35.393933005018702</v>
      </c>
    </row>
    <row r="120" spans="1:50" ht="15" customHeight="1" x14ac:dyDescent="0.25">
      <c r="A120" s="143">
        <v>92</v>
      </c>
      <c r="B120" s="143">
        <v>42</v>
      </c>
      <c r="C120" s="143" t="s">
        <v>696</v>
      </c>
      <c r="D120" s="9">
        <v>2.5</v>
      </c>
      <c r="E120" s="503" t="s">
        <v>522</v>
      </c>
      <c r="F120" s="503">
        <v>2.5</v>
      </c>
      <c r="G120" s="503"/>
      <c r="H120" s="501"/>
      <c r="I120" s="151" t="s">
        <v>20222</v>
      </c>
      <c r="J120" s="31">
        <v>1.08</v>
      </c>
      <c r="K120" s="504">
        <v>0.7</v>
      </c>
      <c r="L120" s="502">
        <v>120</v>
      </c>
      <c r="M120" s="144">
        <v>0.38000000000000012</v>
      </c>
      <c r="N120" s="504">
        <v>0</v>
      </c>
      <c r="O120" s="29"/>
      <c r="P120" s="29">
        <v>2.625</v>
      </c>
      <c r="Q120" s="144">
        <v>2.2450000000000001</v>
      </c>
      <c r="R120" s="144">
        <v>2.2450000000000001</v>
      </c>
      <c r="S120" s="145" t="s">
        <v>20211</v>
      </c>
      <c r="T120" s="146" t="s">
        <v>20211</v>
      </c>
      <c r="U120" s="145">
        <v>41.142857142857146</v>
      </c>
      <c r="V120" s="505">
        <v>0.67</v>
      </c>
      <c r="W120" s="505" t="s">
        <v>2024</v>
      </c>
      <c r="X120" s="43"/>
      <c r="Y120" s="143">
        <v>92</v>
      </c>
      <c r="Z120" s="152">
        <v>42</v>
      </c>
      <c r="AA120" s="143" t="s">
        <v>696</v>
      </c>
      <c r="AB120" s="9">
        <v>2.5</v>
      </c>
      <c r="AC120" s="151" t="s">
        <v>522</v>
      </c>
      <c r="AD120" s="151">
        <v>2.5</v>
      </c>
      <c r="AE120" s="151"/>
      <c r="AF120" s="152"/>
      <c r="AG120" s="143" t="s">
        <v>20222</v>
      </c>
      <c r="AH120" s="144">
        <v>0.17373913043478262</v>
      </c>
      <c r="AI120" s="144">
        <v>1.2537391304347827</v>
      </c>
      <c r="AJ120" s="144">
        <v>0.7</v>
      </c>
      <c r="AK120" s="143">
        <v>120</v>
      </c>
      <c r="AL120" s="144">
        <v>0.55373913043478273</v>
      </c>
      <c r="AM120" s="144">
        <v>0</v>
      </c>
      <c r="AN120" s="29">
        <v>2.625</v>
      </c>
      <c r="AO120" s="144">
        <v>2.0712608695652173</v>
      </c>
      <c r="AP120" s="144">
        <v>2.0712608695652173</v>
      </c>
      <c r="AQ120" s="145" t="s">
        <v>20211</v>
      </c>
      <c r="AR120" s="146" t="s">
        <v>20211</v>
      </c>
      <c r="AS120" s="56">
        <v>47.761490683229816</v>
      </c>
      <c r="AT120" s="58" t="s">
        <v>501</v>
      </c>
      <c r="AU120" s="118">
        <v>1983</v>
      </c>
      <c r="AV120" s="149" t="s">
        <v>2143</v>
      </c>
      <c r="AW120" s="120">
        <v>57.662026497903398</v>
      </c>
      <c r="AX120" s="120">
        <v>34.466291824711</v>
      </c>
    </row>
    <row r="121" spans="1:50" ht="15" customHeight="1" x14ac:dyDescent="0.25">
      <c r="A121" s="143">
        <v>93</v>
      </c>
      <c r="B121" s="143">
        <v>43</v>
      </c>
      <c r="C121" s="143" t="s">
        <v>697</v>
      </c>
      <c r="D121" s="9">
        <v>2.5</v>
      </c>
      <c r="E121" s="503" t="s">
        <v>522</v>
      </c>
      <c r="F121" s="503">
        <v>2.5</v>
      </c>
      <c r="G121" s="503"/>
      <c r="H121" s="501"/>
      <c r="I121" s="151" t="s">
        <v>20222</v>
      </c>
      <c r="J121" s="31">
        <v>0.45</v>
      </c>
      <c r="K121" s="504">
        <v>0</v>
      </c>
      <c r="L121" s="502">
        <v>0</v>
      </c>
      <c r="M121" s="144">
        <v>0.45</v>
      </c>
      <c r="N121" s="504">
        <v>0</v>
      </c>
      <c r="O121" s="29"/>
      <c r="P121" s="29">
        <v>2.625</v>
      </c>
      <c r="Q121" s="144">
        <v>2.1749999999999998</v>
      </c>
      <c r="R121" s="144">
        <v>2.1749999999999998</v>
      </c>
      <c r="S121" s="145" t="s">
        <v>20211</v>
      </c>
      <c r="T121" s="146" t="s">
        <v>20211</v>
      </c>
      <c r="U121" s="145">
        <v>17.142857142857142</v>
      </c>
      <c r="V121" s="505">
        <v>0.56999999999999995</v>
      </c>
      <c r="W121" s="505" t="s">
        <v>2024</v>
      </c>
      <c r="X121" s="43"/>
      <c r="Y121" s="143">
        <v>93</v>
      </c>
      <c r="Z121" s="152">
        <v>43</v>
      </c>
      <c r="AA121" s="143" t="s">
        <v>697</v>
      </c>
      <c r="AB121" s="9">
        <v>2.5</v>
      </c>
      <c r="AC121" s="151" t="s">
        <v>522</v>
      </c>
      <c r="AD121" s="151">
        <v>2.5</v>
      </c>
      <c r="AE121" s="151"/>
      <c r="AF121" s="152"/>
      <c r="AG121" s="143" t="s">
        <v>20222</v>
      </c>
      <c r="AH121" s="144">
        <v>0</v>
      </c>
      <c r="AI121" s="144">
        <v>0.45</v>
      </c>
      <c r="AJ121" s="144">
        <v>0</v>
      </c>
      <c r="AK121" s="143">
        <v>0</v>
      </c>
      <c r="AL121" s="144">
        <v>0.45</v>
      </c>
      <c r="AM121" s="144">
        <v>0</v>
      </c>
      <c r="AN121" s="29">
        <v>2.625</v>
      </c>
      <c r="AO121" s="144">
        <v>2.1749999999999998</v>
      </c>
      <c r="AP121" s="144">
        <v>2.1749999999999998</v>
      </c>
      <c r="AQ121" s="145" t="s">
        <v>20211</v>
      </c>
      <c r="AR121" s="146" t="s">
        <v>20211</v>
      </c>
      <c r="AS121" s="56">
        <v>17.142857142857142</v>
      </c>
      <c r="AT121" s="58" t="s">
        <v>501</v>
      </c>
      <c r="AU121" s="118">
        <v>1987</v>
      </c>
      <c r="AV121" s="149" t="s">
        <v>2143</v>
      </c>
      <c r="AW121" s="120">
        <v>57.5990458402567</v>
      </c>
      <c r="AX121" s="120">
        <v>33.802564181866003</v>
      </c>
    </row>
    <row r="122" spans="1:50" ht="15" customHeight="1" x14ac:dyDescent="0.25">
      <c r="A122" s="143">
        <v>94</v>
      </c>
      <c r="B122" s="143">
        <v>44</v>
      </c>
      <c r="C122" s="143" t="s">
        <v>698</v>
      </c>
      <c r="D122" s="9">
        <v>2.5</v>
      </c>
      <c r="E122" s="503" t="s">
        <v>522</v>
      </c>
      <c r="F122" s="503">
        <v>2.5</v>
      </c>
      <c r="G122" s="503"/>
      <c r="H122" s="501"/>
      <c r="I122" s="151" t="s">
        <v>20222</v>
      </c>
      <c r="J122" s="31">
        <v>0.28999999999999998</v>
      </c>
      <c r="K122" s="504">
        <v>0.3</v>
      </c>
      <c r="L122" s="502">
        <v>120</v>
      </c>
      <c r="M122" s="144">
        <v>-1.0000000000000009E-2</v>
      </c>
      <c r="N122" s="504">
        <v>0</v>
      </c>
      <c r="O122" s="29"/>
      <c r="P122" s="29">
        <v>2.625</v>
      </c>
      <c r="Q122" s="144">
        <v>2.6349999999999998</v>
      </c>
      <c r="R122" s="144">
        <v>2.6349999999999998</v>
      </c>
      <c r="S122" s="145" t="s">
        <v>20211</v>
      </c>
      <c r="T122" s="146" t="s">
        <v>20211</v>
      </c>
      <c r="U122" s="145">
        <v>11.047619047619046</v>
      </c>
      <c r="V122" s="505">
        <v>0.8</v>
      </c>
      <c r="W122" s="505" t="s">
        <v>2024</v>
      </c>
      <c r="X122" s="43"/>
      <c r="Y122" s="143">
        <v>94</v>
      </c>
      <c r="Z122" s="152">
        <v>44</v>
      </c>
      <c r="AA122" s="143" t="s">
        <v>698</v>
      </c>
      <c r="AB122" s="9">
        <v>2.5</v>
      </c>
      <c r="AC122" s="151" t="s">
        <v>522</v>
      </c>
      <c r="AD122" s="151">
        <v>2.5</v>
      </c>
      <c r="AE122" s="151"/>
      <c r="AF122" s="152"/>
      <c r="AG122" s="143" t="s">
        <v>20222</v>
      </c>
      <c r="AH122" s="144">
        <v>0</v>
      </c>
      <c r="AI122" s="144">
        <v>0.28999999999999998</v>
      </c>
      <c r="AJ122" s="144">
        <v>0.3</v>
      </c>
      <c r="AK122" s="143">
        <v>120</v>
      </c>
      <c r="AL122" s="144">
        <v>-1.0000000000000009E-2</v>
      </c>
      <c r="AM122" s="144">
        <v>0</v>
      </c>
      <c r="AN122" s="29">
        <v>2.625</v>
      </c>
      <c r="AO122" s="144">
        <v>2.6349999999999998</v>
      </c>
      <c r="AP122" s="144">
        <v>2.6349999999999998</v>
      </c>
      <c r="AQ122" s="145" t="s">
        <v>20211</v>
      </c>
      <c r="AR122" s="146" t="s">
        <v>20211</v>
      </c>
      <c r="AS122" s="56">
        <v>11.047619047619046</v>
      </c>
      <c r="AT122" s="58" t="s">
        <v>501</v>
      </c>
      <c r="AU122" s="118">
        <v>1983</v>
      </c>
      <c r="AV122" s="149" t="s">
        <v>2143</v>
      </c>
      <c r="AW122" s="120">
        <v>57.945300577811103</v>
      </c>
      <c r="AX122" s="120">
        <v>35.069401232814897</v>
      </c>
    </row>
    <row r="123" spans="1:50" ht="15" customHeight="1" x14ac:dyDescent="0.25">
      <c r="A123" s="143">
        <v>95</v>
      </c>
      <c r="B123" s="143">
        <v>45</v>
      </c>
      <c r="C123" s="143" t="s">
        <v>699</v>
      </c>
      <c r="D123" s="9">
        <v>1.6</v>
      </c>
      <c r="E123" s="503" t="s">
        <v>522</v>
      </c>
      <c r="F123" s="503">
        <v>1.6</v>
      </c>
      <c r="G123" s="503"/>
      <c r="H123" s="501"/>
      <c r="I123" s="151" t="s">
        <v>20234</v>
      </c>
      <c r="J123" s="31">
        <v>0.51</v>
      </c>
      <c r="K123" s="504">
        <v>0</v>
      </c>
      <c r="L123" s="502">
        <v>0</v>
      </c>
      <c r="M123" s="144">
        <v>0.51</v>
      </c>
      <c r="N123" s="504">
        <v>0</v>
      </c>
      <c r="O123" s="29"/>
      <c r="P123" s="29">
        <v>1.6800000000000002</v>
      </c>
      <c r="Q123" s="144">
        <v>1.1700000000000002</v>
      </c>
      <c r="R123" s="144">
        <v>1.1700000000000002</v>
      </c>
      <c r="S123" s="145" t="s">
        <v>20211</v>
      </c>
      <c r="T123" s="146" t="s">
        <v>20211</v>
      </c>
      <c r="U123" s="145">
        <v>30.357142857142854</v>
      </c>
      <c r="V123" s="505">
        <v>0.5</v>
      </c>
      <c r="W123" s="505" t="s">
        <v>2024</v>
      </c>
      <c r="X123" s="43"/>
      <c r="Y123" s="143">
        <v>95</v>
      </c>
      <c r="Z123" s="152">
        <v>45</v>
      </c>
      <c r="AA123" s="143" t="s">
        <v>699</v>
      </c>
      <c r="AB123" s="9">
        <v>1.6</v>
      </c>
      <c r="AC123" s="151" t="s">
        <v>522</v>
      </c>
      <c r="AD123" s="151">
        <v>1.6</v>
      </c>
      <c r="AE123" s="151"/>
      <c r="AF123" s="152"/>
      <c r="AG123" s="143" t="s">
        <v>20234</v>
      </c>
      <c r="AH123" s="144">
        <v>0</v>
      </c>
      <c r="AI123" s="144">
        <v>0.51</v>
      </c>
      <c r="AJ123" s="144">
        <v>0</v>
      </c>
      <c r="AK123" s="143">
        <v>0</v>
      </c>
      <c r="AL123" s="144">
        <v>0.51</v>
      </c>
      <c r="AM123" s="144">
        <v>0</v>
      </c>
      <c r="AN123" s="29">
        <v>1.6800000000000002</v>
      </c>
      <c r="AO123" s="144">
        <v>1.1700000000000002</v>
      </c>
      <c r="AP123" s="144">
        <v>1.1700000000000002</v>
      </c>
      <c r="AQ123" s="145" t="s">
        <v>20211</v>
      </c>
      <c r="AR123" s="146" t="s">
        <v>20211</v>
      </c>
      <c r="AS123" s="56">
        <v>30.357142857142854</v>
      </c>
      <c r="AT123" s="58" t="s">
        <v>501</v>
      </c>
      <c r="AU123" s="118">
        <v>1981</v>
      </c>
      <c r="AV123" s="149" t="s">
        <v>2143</v>
      </c>
      <c r="AW123" s="120">
        <v>58.0205494510083</v>
      </c>
      <c r="AX123" s="120">
        <v>34.479960034719802</v>
      </c>
    </row>
    <row r="124" spans="1:50" ht="15" customHeight="1" x14ac:dyDescent="0.25">
      <c r="A124" s="143">
        <v>96</v>
      </c>
      <c r="B124" s="143">
        <v>46</v>
      </c>
      <c r="C124" s="143" t="s">
        <v>700</v>
      </c>
      <c r="D124" s="9">
        <v>2.5</v>
      </c>
      <c r="E124" s="503" t="s">
        <v>522</v>
      </c>
      <c r="F124" s="503">
        <v>2.5</v>
      </c>
      <c r="G124" s="503"/>
      <c r="H124" s="501"/>
      <c r="I124" s="151" t="s">
        <v>20222</v>
      </c>
      <c r="J124" s="31">
        <v>0.73</v>
      </c>
      <c r="K124" s="504">
        <v>0</v>
      </c>
      <c r="L124" s="502">
        <v>0</v>
      </c>
      <c r="M124" s="144">
        <v>0.73</v>
      </c>
      <c r="N124" s="504">
        <v>0</v>
      </c>
      <c r="O124" s="29"/>
      <c r="P124" s="29">
        <v>2.625</v>
      </c>
      <c r="Q124" s="144">
        <v>1.895</v>
      </c>
      <c r="R124" s="144">
        <v>1.895</v>
      </c>
      <c r="S124" s="145" t="s">
        <v>20211</v>
      </c>
      <c r="T124" s="146" t="s">
        <v>20211</v>
      </c>
      <c r="U124" s="145">
        <v>27.80952380952381</v>
      </c>
      <c r="V124" s="505">
        <v>0.75</v>
      </c>
      <c r="W124" s="505" t="s">
        <v>2024</v>
      </c>
      <c r="X124" s="43"/>
      <c r="Y124" s="143">
        <v>96</v>
      </c>
      <c r="Z124" s="152">
        <v>46</v>
      </c>
      <c r="AA124" s="143" t="s">
        <v>700</v>
      </c>
      <c r="AB124" s="9">
        <v>2.5</v>
      </c>
      <c r="AC124" s="151" t="s">
        <v>522</v>
      </c>
      <c r="AD124" s="151">
        <v>2.5</v>
      </c>
      <c r="AE124" s="151"/>
      <c r="AF124" s="152"/>
      <c r="AG124" s="143" t="s">
        <v>20222</v>
      </c>
      <c r="AH124" s="144">
        <v>6.1630434782608698E-2</v>
      </c>
      <c r="AI124" s="144">
        <v>0.79163043478260864</v>
      </c>
      <c r="AJ124" s="144">
        <v>0</v>
      </c>
      <c r="AK124" s="143">
        <v>0</v>
      </c>
      <c r="AL124" s="144">
        <v>0.79163043478260864</v>
      </c>
      <c r="AM124" s="144">
        <v>0</v>
      </c>
      <c r="AN124" s="29">
        <v>2.625</v>
      </c>
      <c r="AO124" s="144">
        <v>1.8333695652173914</v>
      </c>
      <c r="AP124" s="144">
        <v>1.8333695652173914</v>
      </c>
      <c r="AQ124" s="145" t="s">
        <v>20211</v>
      </c>
      <c r="AR124" s="146" t="s">
        <v>20211</v>
      </c>
      <c r="AS124" s="56">
        <v>30.157349896480326</v>
      </c>
      <c r="AT124" s="58" t="s">
        <v>501</v>
      </c>
      <c r="AU124" s="118">
        <v>1985</v>
      </c>
      <c r="AV124" s="149" t="s">
        <v>2143</v>
      </c>
      <c r="AW124" s="120">
        <v>57.615550915135103</v>
      </c>
      <c r="AX124" s="120">
        <v>34.601271753156297</v>
      </c>
    </row>
    <row r="125" spans="1:50" ht="15" customHeight="1" x14ac:dyDescent="0.25">
      <c r="A125" s="143">
        <v>97</v>
      </c>
      <c r="B125" s="143">
        <v>47</v>
      </c>
      <c r="C125" s="143" t="s">
        <v>701</v>
      </c>
      <c r="D125" s="9">
        <v>1.6</v>
      </c>
      <c r="E125" s="503" t="s">
        <v>522</v>
      </c>
      <c r="F125" s="503">
        <v>1.6</v>
      </c>
      <c r="G125" s="503"/>
      <c r="H125" s="501"/>
      <c r="I125" s="151" t="s">
        <v>20234</v>
      </c>
      <c r="J125" s="31">
        <v>0.65</v>
      </c>
      <c r="K125" s="504">
        <v>0.65</v>
      </c>
      <c r="L125" s="502">
        <v>120</v>
      </c>
      <c r="M125" s="144">
        <v>0</v>
      </c>
      <c r="N125" s="504">
        <v>0</v>
      </c>
      <c r="O125" s="29"/>
      <c r="P125" s="29">
        <v>1.6800000000000002</v>
      </c>
      <c r="Q125" s="144">
        <v>1.6800000000000002</v>
      </c>
      <c r="R125" s="144">
        <v>1.6800000000000002</v>
      </c>
      <c r="S125" s="145" t="s">
        <v>20211</v>
      </c>
      <c r="T125" s="146" t="s">
        <v>20211</v>
      </c>
      <c r="U125" s="145">
        <v>38.69047619047619</v>
      </c>
      <c r="V125" s="505">
        <v>0.5</v>
      </c>
      <c r="W125" s="505" t="s">
        <v>2024</v>
      </c>
      <c r="X125" s="43"/>
      <c r="Y125" s="143">
        <v>97</v>
      </c>
      <c r="Z125" s="152">
        <v>47</v>
      </c>
      <c r="AA125" s="143" t="s">
        <v>701</v>
      </c>
      <c r="AB125" s="9">
        <v>1.6</v>
      </c>
      <c r="AC125" s="151" t="s">
        <v>522</v>
      </c>
      <c r="AD125" s="151">
        <v>1.6</v>
      </c>
      <c r="AE125" s="151"/>
      <c r="AF125" s="152"/>
      <c r="AG125" s="143" t="s">
        <v>20234</v>
      </c>
      <c r="AH125" s="144">
        <v>2.7391304347826089E-2</v>
      </c>
      <c r="AI125" s="144">
        <v>0.67739130434782613</v>
      </c>
      <c r="AJ125" s="144">
        <v>0.65</v>
      </c>
      <c r="AK125" s="143">
        <v>120</v>
      </c>
      <c r="AL125" s="144">
        <v>2.7391304347826106E-2</v>
      </c>
      <c r="AM125" s="144">
        <v>0</v>
      </c>
      <c r="AN125" s="29">
        <v>1.6800000000000002</v>
      </c>
      <c r="AO125" s="144">
        <v>1.6526086956521739</v>
      </c>
      <c r="AP125" s="144">
        <v>1.6526086956521739</v>
      </c>
      <c r="AQ125" s="145" t="s">
        <v>20211</v>
      </c>
      <c r="AR125" s="146" t="s">
        <v>20211</v>
      </c>
      <c r="AS125" s="56">
        <v>40.320910973084885</v>
      </c>
      <c r="AT125" s="58" t="s">
        <v>501</v>
      </c>
      <c r="AU125" s="118">
        <v>1987</v>
      </c>
      <c r="AV125" s="149" t="s">
        <v>2143</v>
      </c>
      <c r="AW125" s="120">
        <v>57.563012031619103</v>
      </c>
      <c r="AX125" s="120">
        <v>34.732428906605399</v>
      </c>
    </row>
    <row r="126" spans="1:50" ht="15" customHeight="1" x14ac:dyDescent="0.25">
      <c r="A126" s="143">
        <v>98</v>
      </c>
      <c r="B126" s="143">
        <v>48</v>
      </c>
      <c r="C126" s="143" t="s">
        <v>702</v>
      </c>
      <c r="D126" s="9">
        <v>1.6</v>
      </c>
      <c r="E126" s="503" t="s">
        <v>522</v>
      </c>
      <c r="F126" s="503">
        <v>1.6</v>
      </c>
      <c r="G126" s="503"/>
      <c r="H126" s="501"/>
      <c r="I126" s="151" t="s">
        <v>20234</v>
      </c>
      <c r="J126" s="31">
        <v>0.41</v>
      </c>
      <c r="K126" s="504">
        <v>0</v>
      </c>
      <c r="L126" s="502">
        <v>0</v>
      </c>
      <c r="M126" s="144">
        <v>0.41</v>
      </c>
      <c r="N126" s="504">
        <v>0</v>
      </c>
      <c r="O126" s="29"/>
      <c r="P126" s="29">
        <v>1.6800000000000002</v>
      </c>
      <c r="Q126" s="144">
        <v>1.2700000000000002</v>
      </c>
      <c r="R126" s="144">
        <v>1.2700000000000002</v>
      </c>
      <c r="S126" s="145" t="s">
        <v>20211</v>
      </c>
      <c r="T126" s="146" t="s">
        <v>20211</v>
      </c>
      <c r="U126" s="145">
        <v>24.404761904761902</v>
      </c>
      <c r="V126" s="505">
        <v>0.5</v>
      </c>
      <c r="W126" s="505" t="s">
        <v>2024</v>
      </c>
      <c r="X126" s="43"/>
      <c r="Y126" s="143">
        <v>98</v>
      </c>
      <c r="Z126" s="152">
        <v>48</v>
      </c>
      <c r="AA126" s="143" t="s">
        <v>702</v>
      </c>
      <c r="AB126" s="9">
        <v>1.6</v>
      </c>
      <c r="AC126" s="151" t="s">
        <v>522</v>
      </c>
      <c r="AD126" s="151">
        <v>1.6</v>
      </c>
      <c r="AE126" s="151"/>
      <c r="AF126" s="152"/>
      <c r="AG126" s="143" t="s">
        <v>20234</v>
      </c>
      <c r="AH126" s="144">
        <v>0.18195652173913041</v>
      </c>
      <c r="AI126" s="144">
        <v>0.59195652173913038</v>
      </c>
      <c r="AJ126" s="144">
        <v>0</v>
      </c>
      <c r="AK126" s="143">
        <v>0</v>
      </c>
      <c r="AL126" s="144">
        <v>0.59195652173913038</v>
      </c>
      <c r="AM126" s="144">
        <v>0</v>
      </c>
      <c r="AN126" s="29">
        <v>1.6800000000000002</v>
      </c>
      <c r="AO126" s="144">
        <v>1.0880434782608699</v>
      </c>
      <c r="AP126" s="144">
        <v>1.0880434782608699</v>
      </c>
      <c r="AQ126" s="145" t="s">
        <v>20211</v>
      </c>
      <c r="AR126" s="146" t="s">
        <v>20211</v>
      </c>
      <c r="AS126" s="56">
        <v>35.235507246376805</v>
      </c>
      <c r="AT126" s="58" t="s">
        <v>501</v>
      </c>
      <c r="AU126" s="118">
        <v>1978</v>
      </c>
      <c r="AV126" s="149" t="s">
        <v>2143</v>
      </c>
      <c r="AW126" s="120">
        <v>58.004625137083501</v>
      </c>
      <c r="AX126" s="120">
        <v>34.259169822107403</v>
      </c>
    </row>
    <row r="127" spans="1:50" ht="15" customHeight="1" x14ac:dyDescent="0.25">
      <c r="A127" s="143">
        <v>99</v>
      </c>
      <c r="B127" s="143">
        <v>49</v>
      </c>
      <c r="C127" s="143" t="s">
        <v>703</v>
      </c>
      <c r="D127" s="9">
        <v>2.5</v>
      </c>
      <c r="E127" s="503" t="s">
        <v>522</v>
      </c>
      <c r="F127" s="503">
        <v>2.5</v>
      </c>
      <c r="G127" s="503"/>
      <c r="H127" s="501"/>
      <c r="I127" s="151" t="s">
        <v>20222</v>
      </c>
      <c r="J127" s="31">
        <v>1.39</v>
      </c>
      <c r="K127" s="504">
        <v>1.39</v>
      </c>
      <c r="L127" s="502">
        <v>120</v>
      </c>
      <c r="M127" s="144">
        <v>0</v>
      </c>
      <c r="N127" s="504">
        <v>0</v>
      </c>
      <c r="O127" s="29"/>
      <c r="P127" s="29">
        <v>2.625</v>
      </c>
      <c r="Q127" s="144">
        <v>2.625</v>
      </c>
      <c r="R127" s="144">
        <v>2.625</v>
      </c>
      <c r="S127" s="145" t="s">
        <v>20211</v>
      </c>
      <c r="T127" s="146" t="s">
        <v>20211</v>
      </c>
      <c r="U127" s="145">
        <v>52.952380952380949</v>
      </c>
      <c r="V127" s="505">
        <v>0.56999999999999995</v>
      </c>
      <c r="W127" s="505" t="s">
        <v>2024</v>
      </c>
      <c r="X127" s="43"/>
      <c r="Y127" s="143">
        <v>99</v>
      </c>
      <c r="Z127" s="152">
        <v>49</v>
      </c>
      <c r="AA127" s="143" t="s">
        <v>703</v>
      </c>
      <c r="AB127" s="9">
        <v>2.5</v>
      </c>
      <c r="AC127" s="151" t="s">
        <v>522</v>
      </c>
      <c r="AD127" s="151">
        <v>2.5</v>
      </c>
      <c r="AE127" s="151"/>
      <c r="AF127" s="152"/>
      <c r="AG127" s="143" t="s">
        <v>20222</v>
      </c>
      <c r="AH127" s="144">
        <v>2.4456521739130436E-2</v>
      </c>
      <c r="AI127" s="144">
        <v>1.4144565217391303</v>
      </c>
      <c r="AJ127" s="144">
        <v>1.39</v>
      </c>
      <c r="AK127" s="143">
        <v>120</v>
      </c>
      <c r="AL127" s="144">
        <v>2.4456521739130377E-2</v>
      </c>
      <c r="AM127" s="144">
        <v>0</v>
      </c>
      <c r="AN127" s="29">
        <v>2.625</v>
      </c>
      <c r="AO127" s="144">
        <v>2.6005434782608696</v>
      </c>
      <c r="AP127" s="144">
        <v>2.6005434782608696</v>
      </c>
      <c r="AQ127" s="145" t="s">
        <v>20211</v>
      </c>
      <c r="AR127" s="146" t="s">
        <v>20211</v>
      </c>
      <c r="AS127" s="56">
        <v>53.884057971014485</v>
      </c>
      <c r="AT127" s="58" t="s">
        <v>501</v>
      </c>
      <c r="AU127" s="118">
        <v>1985</v>
      </c>
      <c r="AV127" s="149" t="s">
        <v>2143</v>
      </c>
      <c r="AW127" s="120">
        <v>57.466965577883599</v>
      </c>
      <c r="AX127" s="120">
        <v>33.685654540797998</v>
      </c>
    </row>
    <row r="128" spans="1:50" ht="15" customHeight="1" x14ac:dyDescent="0.25">
      <c r="A128" s="143">
        <v>100</v>
      </c>
      <c r="B128" s="143">
        <v>50</v>
      </c>
      <c r="C128" s="143" t="s">
        <v>704</v>
      </c>
      <c r="D128" s="9">
        <v>7.5</v>
      </c>
      <c r="E128" s="503" t="s">
        <v>522</v>
      </c>
      <c r="F128" s="503">
        <v>10</v>
      </c>
      <c r="G128" s="503"/>
      <c r="H128" s="501"/>
      <c r="I128" s="151" t="s">
        <v>20240</v>
      </c>
      <c r="J128" s="31">
        <v>5.8</v>
      </c>
      <c r="K128" s="504">
        <v>0.9</v>
      </c>
      <c r="L128" s="502">
        <v>120</v>
      </c>
      <c r="M128" s="144">
        <v>4.8999999999999995</v>
      </c>
      <c r="N128" s="504">
        <v>0</v>
      </c>
      <c r="O128" s="29"/>
      <c r="P128" s="29">
        <v>7.875</v>
      </c>
      <c r="Q128" s="144">
        <v>2.9750000000000005</v>
      </c>
      <c r="R128" s="144">
        <v>2.9750000000000005</v>
      </c>
      <c r="S128" s="145" t="s">
        <v>20211</v>
      </c>
      <c r="T128" s="146" t="s">
        <v>20211</v>
      </c>
      <c r="U128" s="145">
        <v>73.650793650793645</v>
      </c>
      <c r="V128" s="505">
        <v>0.43</v>
      </c>
      <c r="W128" s="505" t="s">
        <v>2024</v>
      </c>
      <c r="X128" s="43"/>
      <c r="Y128" s="143">
        <v>100</v>
      </c>
      <c r="Z128" s="152">
        <v>50</v>
      </c>
      <c r="AA128" s="143" t="s">
        <v>704</v>
      </c>
      <c r="AB128" s="9">
        <v>7.5</v>
      </c>
      <c r="AC128" s="151" t="s">
        <v>522</v>
      </c>
      <c r="AD128" s="151">
        <v>10</v>
      </c>
      <c r="AE128" s="151"/>
      <c r="AF128" s="152"/>
      <c r="AG128" s="143" t="s">
        <v>20240</v>
      </c>
      <c r="AH128" s="144">
        <v>0</v>
      </c>
      <c r="AI128" s="144">
        <v>5.8</v>
      </c>
      <c r="AJ128" s="144">
        <v>0.9</v>
      </c>
      <c r="AK128" s="143">
        <v>120</v>
      </c>
      <c r="AL128" s="144">
        <v>4.8999999999999995</v>
      </c>
      <c r="AM128" s="144">
        <v>0</v>
      </c>
      <c r="AN128" s="29">
        <v>7.875</v>
      </c>
      <c r="AO128" s="144">
        <v>2.9750000000000005</v>
      </c>
      <c r="AP128" s="144">
        <v>2.9750000000000005</v>
      </c>
      <c r="AQ128" s="145" t="s">
        <v>20211</v>
      </c>
      <c r="AR128" s="146" t="s">
        <v>20211</v>
      </c>
      <c r="AS128" s="56">
        <v>73.650793650793645</v>
      </c>
      <c r="AT128" s="58" t="s">
        <v>501</v>
      </c>
      <c r="AU128" s="118">
        <v>1974</v>
      </c>
      <c r="AV128" s="149" t="s">
        <v>2143</v>
      </c>
      <c r="AW128" s="120">
        <v>57.586412116685999</v>
      </c>
      <c r="AX128" s="120">
        <v>34.539257743638998</v>
      </c>
    </row>
    <row r="129" spans="1:50" ht="15" customHeight="1" x14ac:dyDescent="0.25">
      <c r="A129" s="143">
        <v>101</v>
      </c>
      <c r="B129" s="143">
        <v>51</v>
      </c>
      <c r="C129" s="143" t="s">
        <v>705</v>
      </c>
      <c r="D129" s="9">
        <v>2.5</v>
      </c>
      <c r="E129" s="503" t="s">
        <v>522</v>
      </c>
      <c r="F129" s="503">
        <v>2.5</v>
      </c>
      <c r="G129" s="503"/>
      <c r="H129" s="501"/>
      <c r="I129" s="151" t="s">
        <v>20222</v>
      </c>
      <c r="J129" s="31">
        <v>0.13</v>
      </c>
      <c r="K129" s="504">
        <v>0.17</v>
      </c>
      <c r="L129" s="502">
        <v>120</v>
      </c>
      <c r="M129" s="144">
        <v>-4.0000000000000008E-2</v>
      </c>
      <c r="N129" s="504">
        <v>0</v>
      </c>
      <c r="O129" s="29"/>
      <c r="P129" s="29">
        <v>2.625</v>
      </c>
      <c r="Q129" s="144">
        <v>2.665</v>
      </c>
      <c r="R129" s="144">
        <v>2.665</v>
      </c>
      <c r="S129" s="145" t="s">
        <v>20211</v>
      </c>
      <c r="T129" s="146" t="s">
        <v>20211</v>
      </c>
      <c r="U129" s="145">
        <v>4.9523809523809526</v>
      </c>
      <c r="V129" s="505">
        <v>0.8</v>
      </c>
      <c r="W129" s="505" t="s">
        <v>2024</v>
      </c>
      <c r="X129" s="43"/>
      <c r="Y129" s="143">
        <v>101</v>
      </c>
      <c r="Z129" s="152">
        <v>51</v>
      </c>
      <c r="AA129" s="143" t="s">
        <v>705</v>
      </c>
      <c r="AB129" s="9">
        <v>2.5</v>
      </c>
      <c r="AC129" s="151" t="s">
        <v>522</v>
      </c>
      <c r="AD129" s="151">
        <v>2.5</v>
      </c>
      <c r="AE129" s="151"/>
      <c r="AF129" s="152"/>
      <c r="AG129" s="143" t="s">
        <v>20222</v>
      </c>
      <c r="AH129" s="144">
        <v>0</v>
      </c>
      <c r="AI129" s="144">
        <v>0.13</v>
      </c>
      <c r="AJ129" s="144">
        <v>0.17</v>
      </c>
      <c r="AK129" s="143">
        <v>120</v>
      </c>
      <c r="AL129" s="144">
        <v>-4.0000000000000008E-2</v>
      </c>
      <c r="AM129" s="144">
        <v>0</v>
      </c>
      <c r="AN129" s="29">
        <v>2.625</v>
      </c>
      <c r="AO129" s="144">
        <v>2.665</v>
      </c>
      <c r="AP129" s="144">
        <v>2.665</v>
      </c>
      <c r="AQ129" s="145" t="s">
        <v>20211</v>
      </c>
      <c r="AR129" s="146" t="s">
        <v>20211</v>
      </c>
      <c r="AS129" s="56">
        <v>4.9523809523809526</v>
      </c>
      <c r="AT129" s="58" t="s">
        <v>501</v>
      </c>
      <c r="AU129" s="118">
        <v>1984</v>
      </c>
      <c r="AV129" s="149" t="s">
        <v>2143</v>
      </c>
      <c r="AW129" s="120">
        <v>57.462721817982199</v>
      </c>
      <c r="AX129" s="120">
        <v>34.072403200208498</v>
      </c>
    </row>
    <row r="130" spans="1:50" ht="15" customHeight="1" x14ac:dyDescent="0.25">
      <c r="A130" s="875">
        <v>102</v>
      </c>
      <c r="B130" s="871">
        <v>52</v>
      </c>
      <c r="C130" s="143" t="s">
        <v>706</v>
      </c>
      <c r="D130" s="9">
        <v>10</v>
      </c>
      <c r="E130" s="503" t="s">
        <v>522</v>
      </c>
      <c r="F130" s="503">
        <v>10</v>
      </c>
      <c r="G130" s="503"/>
      <c r="H130" s="501"/>
      <c r="I130" s="151" t="s">
        <v>20227</v>
      </c>
      <c r="J130" s="31">
        <v>2.5</v>
      </c>
      <c r="K130" s="504">
        <v>1.37</v>
      </c>
      <c r="L130" s="502">
        <v>120</v>
      </c>
      <c r="M130" s="144">
        <v>1.1299999999999999</v>
      </c>
      <c r="N130" s="504">
        <v>0</v>
      </c>
      <c r="O130" s="29"/>
      <c r="P130" s="29">
        <v>10.5</v>
      </c>
      <c r="Q130" s="144">
        <v>9.370000000000001</v>
      </c>
      <c r="R130" s="877">
        <v>9.370000000000001</v>
      </c>
      <c r="S130" s="880" t="s">
        <v>20211</v>
      </c>
      <c r="T130" s="146" t="s">
        <v>20211</v>
      </c>
      <c r="U130" s="878">
        <v>23.80952380952381</v>
      </c>
      <c r="V130" s="878"/>
      <c r="W130" s="878" t="s">
        <v>2023</v>
      </c>
      <c r="X130" s="43"/>
      <c r="Y130" s="875">
        <v>102</v>
      </c>
      <c r="Z130" s="885">
        <v>52</v>
      </c>
      <c r="AA130" s="143" t="s">
        <v>706</v>
      </c>
      <c r="AB130" s="9">
        <v>10</v>
      </c>
      <c r="AC130" s="151" t="s">
        <v>522</v>
      </c>
      <c r="AD130" s="151">
        <v>10</v>
      </c>
      <c r="AE130" s="151"/>
      <c r="AF130" s="152"/>
      <c r="AG130" s="143" t="s">
        <v>20227</v>
      </c>
      <c r="AH130" s="144">
        <v>1.2913043478260867E-2</v>
      </c>
      <c r="AI130" s="144">
        <v>2.5129130434782607</v>
      </c>
      <c r="AJ130" s="144">
        <v>1.37</v>
      </c>
      <c r="AK130" s="143">
        <v>120</v>
      </c>
      <c r="AL130" s="144">
        <v>1.1429130434782606</v>
      </c>
      <c r="AM130" s="144">
        <v>0</v>
      </c>
      <c r="AN130" s="29">
        <v>10.5</v>
      </c>
      <c r="AO130" s="144">
        <v>9.3570869565217389</v>
      </c>
      <c r="AP130" s="902">
        <v>9.3570869565217389</v>
      </c>
      <c r="AQ130" s="878" t="s">
        <v>20211</v>
      </c>
      <c r="AR130" s="146" t="s">
        <v>20211</v>
      </c>
      <c r="AS130" s="945">
        <v>23.932505175983437</v>
      </c>
      <c r="AT130" s="58" t="s">
        <v>501</v>
      </c>
      <c r="AU130" s="118">
        <v>1982</v>
      </c>
      <c r="AV130" s="149" t="s">
        <v>2143</v>
      </c>
      <c r="AW130" s="120">
        <v>57.8456706899387</v>
      </c>
      <c r="AX130" s="120">
        <v>35.396921230622802</v>
      </c>
    </row>
    <row r="131" spans="1:50" ht="15" customHeight="1" x14ac:dyDescent="0.25">
      <c r="A131" s="875"/>
      <c r="B131" s="872"/>
      <c r="C131" s="143" t="s">
        <v>1142</v>
      </c>
      <c r="D131" s="9">
        <v>10</v>
      </c>
      <c r="E131" s="503" t="s">
        <v>522</v>
      </c>
      <c r="F131" s="503">
        <v>10</v>
      </c>
      <c r="G131" s="503"/>
      <c r="H131" s="501"/>
      <c r="I131" s="151" t="s">
        <v>20227</v>
      </c>
      <c r="J131" s="31">
        <v>1.43</v>
      </c>
      <c r="K131" s="504">
        <v>1.43</v>
      </c>
      <c r="L131" s="502">
        <v>120</v>
      </c>
      <c r="M131" s="144">
        <v>0</v>
      </c>
      <c r="N131" s="504">
        <v>0</v>
      </c>
      <c r="O131" s="29"/>
      <c r="P131" s="29">
        <v>10.5</v>
      </c>
      <c r="Q131" s="144">
        <v>10.5</v>
      </c>
      <c r="R131" s="877"/>
      <c r="S131" s="881"/>
      <c r="T131" s="146" t="s">
        <v>20211</v>
      </c>
      <c r="U131" s="879"/>
      <c r="V131" s="879"/>
      <c r="W131" s="879" t="s">
        <v>2025</v>
      </c>
      <c r="X131" s="43"/>
      <c r="Y131" s="875"/>
      <c r="Z131" s="954"/>
      <c r="AA131" s="143" t="s">
        <v>1142</v>
      </c>
      <c r="AB131" s="9">
        <v>10</v>
      </c>
      <c r="AC131" s="151" t="s">
        <v>522</v>
      </c>
      <c r="AD131" s="151">
        <v>10</v>
      </c>
      <c r="AE131" s="151"/>
      <c r="AF131" s="152"/>
      <c r="AG131" s="143" t="s">
        <v>20227</v>
      </c>
      <c r="AH131" s="144">
        <v>0</v>
      </c>
      <c r="AI131" s="144">
        <v>1.43</v>
      </c>
      <c r="AJ131" s="144">
        <v>1.43</v>
      </c>
      <c r="AK131" s="143">
        <v>120</v>
      </c>
      <c r="AL131" s="144">
        <v>0</v>
      </c>
      <c r="AM131" s="144">
        <v>0</v>
      </c>
      <c r="AN131" s="29">
        <v>10.5</v>
      </c>
      <c r="AO131" s="144">
        <v>10.5</v>
      </c>
      <c r="AP131" s="903"/>
      <c r="AQ131" s="879" t="s">
        <v>20211</v>
      </c>
      <c r="AR131" s="146" t="s">
        <v>20211</v>
      </c>
      <c r="AS131" s="946"/>
      <c r="AT131" s="58" t="s">
        <v>501</v>
      </c>
      <c r="AU131" s="118">
        <v>1982</v>
      </c>
      <c r="AV131" s="149" t="s">
        <v>2143</v>
      </c>
      <c r="AW131" s="120">
        <v>57.8456706899387</v>
      </c>
      <c r="AX131" s="120">
        <v>35.396921230622802</v>
      </c>
    </row>
    <row r="132" spans="1:50" ht="15" customHeight="1" x14ac:dyDescent="0.25">
      <c r="A132" s="875"/>
      <c r="B132" s="873"/>
      <c r="C132" s="143" t="s">
        <v>1141</v>
      </c>
      <c r="D132" s="9">
        <v>10</v>
      </c>
      <c r="E132" s="503" t="s">
        <v>522</v>
      </c>
      <c r="F132" s="503">
        <v>10</v>
      </c>
      <c r="G132" s="503"/>
      <c r="H132" s="501"/>
      <c r="I132" s="151" t="s">
        <v>20227</v>
      </c>
      <c r="J132" s="31">
        <v>1.07</v>
      </c>
      <c r="K132" s="504">
        <v>0</v>
      </c>
      <c r="L132" s="502">
        <v>120</v>
      </c>
      <c r="M132" s="144">
        <v>1.07</v>
      </c>
      <c r="N132" s="504">
        <v>0</v>
      </c>
      <c r="O132" s="29"/>
      <c r="P132" s="29">
        <v>10.5</v>
      </c>
      <c r="Q132" s="144">
        <v>9.43</v>
      </c>
      <c r="R132" s="877"/>
      <c r="S132" s="882"/>
      <c r="T132" s="146" t="s">
        <v>20211</v>
      </c>
      <c r="U132" s="879"/>
      <c r="V132" s="879"/>
      <c r="W132" s="879" t="s">
        <v>2025</v>
      </c>
      <c r="X132" s="43"/>
      <c r="Y132" s="875"/>
      <c r="Z132" s="886"/>
      <c r="AA132" s="143" t="s">
        <v>1141</v>
      </c>
      <c r="AB132" s="9">
        <v>10</v>
      </c>
      <c r="AC132" s="151" t="s">
        <v>522</v>
      </c>
      <c r="AD132" s="151">
        <v>10</v>
      </c>
      <c r="AE132" s="151"/>
      <c r="AF132" s="152"/>
      <c r="AG132" s="143" t="s">
        <v>20227</v>
      </c>
      <c r="AH132" s="144">
        <v>1.2913043478260867E-2</v>
      </c>
      <c r="AI132" s="144">
        <v>1.082913043478261</v>
      </c>
      <c r="AJ132" s="144">
        <v>0</v>
      </c>
      <c r="AK132" s="143">
        <v>120</v>
      </c>
      <c r="AL132" s="144">
        <v>1.082913043478261</v>
      </c>
      <c r="AM132" s="144">
        <v>0</v>
      </c>
      <c r="AN132" s="29">
        <v>10.5</v>
      </c>
      <c r="AO132" s="144">
        <v>9.4170869565217394</v>
      </c>
      <c r="AP132" s="904"/>
      <c r="AQ132" s="879" t="s">
        <v>20211</v>
      </c>
      <c r="AR132" s="146" t="s">
        <v>20211</v>
      </c>
      <c r="AS132" s="947"/>
      <c r="AT132" s="58" t="s">
        <v>501</v>
      </c>
      <c r="AU132" s="118">
        <v>1982</v>
      </c>
      <c r="AV132" s="149" t="s">
        <v>2143</v>
      </c>
      <c r="AW132" s="120">
        <v>57.8456706899387</v>
      </c>
      <c r="AX132" s="120">
        <v>35.396921230622802</v>
      </c>
    </row>
    <row r="133" spans="1:50" ht="15" customHeight="1" x14ac:dyDescent="0.25">
      <c r="A133" s="875">
        <v>103</v>
      </c>
      <c r="B133" s="875">
        <v>53</v>
      </c>
      <c r="C133" s="143" t="s">
        <v>14810</v>
      </c>
      <c r="D133" s="9">
        <v>10</v>
      </c>
      <c r="E133" s="503" t="s">
        <v>522</v>
      </c>
      <c r="F133" s="503">
        <v>10</v>
      </c>
      <c r="G133" s="503"/>
      <c r="H133" s="501"/>
      <c r="I133" s="151" t="s">
        <v>20227</v>
      </c>
      <c r="J133" s="31">
        <v>3.82</v>
      </c>
      <c r="K133" s="504">
        <v>1.08</v>
      </c>
      <c r="L133" s="502">
        <v>120</v>
      </c>
      <c r="M133" s="144">
        <v>2.7399999999999998</v>
      </c>
      <c r="N133" s="504">
        <v>0</v>
      </c>
      <c r="O133" s="29"/>
      <c r="P133" s="29">
        <v>10.5</v>
      </c>
      <c r="Q133" s="144">
        <v>7.76</v>
      </c>
      <c r="R133" s="877">
        <v>7.76</v>
      </c>
      <c r="S133" s="880" t="s">
        <v>20211</v>
      </c>
      <c r="T133" s="146" t="s">
        <v>20211</v>
      </c>
      <c r="U133" s="878">
        <v>36.38095238095238</v>
      </c>
      <c r="V133" s="878"/>
      <c r="W133" s="878" t="s">
        <v>2023</v>
      </c>
      <c r="X133" s="43"/>
      <c r="Y133" s="875">
        <v>103</v>
      </c>
      <c r="Z133" s="874">
        <v>53</v>
      </c>
      <c r="AA133" s="143" t="s">
        <v>14810</v>
      </c>
      <c r="AB133" s="9">
        <v>10</v>
      </c>
      <c r="AC133" s="151" t="s">
        <v>522</v>
      </c>
      <c r="AD133" s="151">
        <v>10</v>
      </c>
      <c r="AE133" s="151"/>
      <c r="AF133" s="152"/>
      <c r="AG133" s="143" t="s">
        <v>20227</v>
      </c>
      <c r="AH133" s="144">
        <v>0.89517391304347826</v>
      </c>
      <c r="AI133" s="144">
        <v>4.7151739130434782</v>
      </c>
      <c r="AJ133" s="144">
        <v>1.08</v>
      </c>
      <c r="AK133" s="143">
        <v>120</v>
      </c>
      <c r="AL133" s="144">
        <v>3.6351739130434781</v>
      </c>
      <c r="AM133" s="144">
        <v>0</v>
      </c>
      <c r="AN133" s="29">
        <v>10.5</v>
      </c>
      <c r="AO133" s="144">
        <v>6.8648260869565219</v>
      </c>
      <c r="AP133" s="902">
        <v>6.8648260869565219</v>
      </c>
      <c r="AQ133" s="878" t="s">
        <v>20211</v>
      </c>
      <c r="AR133" s="146" t="s">
        <v>20211</v>
      </c>
      <c r="AS133" s="945">
        <v>44.906418219461699</v>
      </c>
      <c r="AT133" s="58" t="s">
        <v>501</v>
      </c>
      <c r="AU133" s="118">
        <v>1972</v>
      </c>
      <c r="AV133" s="149" t="s">
        <v>2143</v>
      </c>
      <c r="AW133" s="120">
        <v>57.894637354718498</v>
      </c>
      <c r="AX133" s="120">
        <v>33.661370068374403</v>
      </c>
    </row>
    <row r="134" spans="1:50" ht="15" customHeight="1" x14ac:dyDescent="0.25">
      <c r="A134" s="875"/>
      <c r="B134" s="875"/>
      <c r="C134" s="143" t="s">
        <v>1142</v>
      </c>
      <c r="D134" s="9">
        <v>10</v>
      </c>
      <c r="E134" s="503" t="s">
        <v>522</v>
      </c>
      <c r="F134" s="503">
        <v>10</v>
      </c>
      <c r="G134" s="503"/>
      <c r="H134" s="501"/>
      <c r="I134" s="151" t="s">
        <v>20227</v>
      </c>
      <c r="J134" s="31">
        <v>2.2400000000000002</v>
      </c>
      <c r="K134" s="504">
        <v>0</v>
      </c>
      <c r="L134" s="502">
        <v>120</v>
      </c>
      <c r="M134" s="144">
        <v>2.2400000000000002</v>
      </c>
      <c r="N134" s="504">
        <v>0</v>
      </c>
      <c r="O134" s="29"/>
      <c r="P134" s="29">
        <v>10.5</v>
      </c>
      <c r="Q134" s="144">
        <v>8.26</v>
      </c>
      <c r="R134" s="877"/>
      <c r="S134" s="881"/>
      <c r="T134" s="146" t="s">
        <v>20211</v>
      </c>
      <c r="U134" s="879"/>
      <c r="V134" s="879"/>
      <c r="W134" s="879" t="s">
        <v>2025</v>
      </c>
      <c r="X134" s="43"/>
      <c r="Y134" s="875"/>
      <c r="Z134" s="874"/>
      <c r="AA134" s="143" t="s">
        <v>1142</v>
      </c>
      <c r="AB134" s="9">
        <v>10</v>
      </c>
      <c r="AC134" s="151" t="s">
        <v>522</v>
      </c>
      <c r="AD134" s="151">
        <v>10</v>
      </c>
      <c r="AE134" s="151"/>
      <c r="AF134" s="152"/>
      <c r="AG134" s="143" t="s">
        <v>20227</v>
      </c>
      <c r="AH134" s="144">
        <v>0.81234782608695655</v>
      </c>
      <c r="AI134" s="144">
        <v>3.0523478260869568</v>
      </c>
      <c r="AJ134" s="144">
        <v>0</v>
      </c>
      <c r="AK134" s="143">
        <v>120</v>
      </c>
      <c r="AL134" s="144">
        <v>3.0523478260869568</v>
      </c>
      <c r="AM134" s="144">
        <v>0</v>
      </c>
      <c r="AN134" s="29">
        <v>10.5</v>
      </c>
      <c r="AO134" s="144">
        <v>7.4476521739130437</v>
      </c>
      <c r="AP134" s="903"/>
      <c r="AQ134" s="879" t="s">
        <v>20211</v>
      </c>
      <c r="AR134" s="146" t="s">
        <v>20211</v>
      </c>
      <c r="AS134" s="946"/>
      <c r="AT134" s="58" t="s">
        <v>501</v>
      </c>
      <c r="AU134" s="118">
        <v>1972</v>
      </c>
      <c r="AV134" s="149" t="s">
        <v>2143</v>
      </c>
      <c r="AW134" s="120">
        <v>57.894637354718498</v>
      </c>
      <c r="AX134" s="120">
        <v>33.661370068374403</v>
      </c>
    </row>
    <row r="135" spans="1:50" ht="15" customHeight="1" x14ac:dyDescent="0.25">
      <c r="A135" s="875"/>
      <c r="B135" s="875"/>
      <c r="C135" s="143" t="s">
        <v>1141</v>
      </c>
      <c r="D135" s="9">
        <v>10</v>
      </c>
      <c r="E135" s="503" t="s">
        <v>522</v>
      </c>
      <c r="F135" s="503">
        <v>10</v>
      </c>
      <c r="G135" s="503"/>
      <c r="H135" s="501"/>
      <c r="I135" s="151" t="s">
        <v>20227</v>
      </c>
      <c r="J135" s="31">
        <v>1.58</v>
      </c>
      <c r="K135" s="504">
        <v>1.58</v>
      </c>
      <c r="L135" s="502">
        <v>120</v>
      </c>
      <c r="M135" s="144">
        <v>0</v>
      </c>
      <c r="N135" s="504">
        <v>0</v>
      </c>
      <c r="O135" s="29"/>
      <c r="P135" s="29">
        <v>10.5</v>
      </c>
      <c r="Q135" s="144">
        <v>10.5</v>
      </c>
      <c r="R135" s="877"/>
      <c r="S135" s="882"/>
      <c r="T135" s="146" t="s">
        <v>20211</v>
      </c>
      <c r="U135" s="879"/>
      <c r="V135" s="879"/>
      <c r="W135" s="879" t="s">
        <v>2025</v>
      </c>
      <c r="X135" s="43"/>
      <c r="Y135" s="875"/>
      <c r="Z135" s="874"/>
      <c r="AA135" s="143" t="s">
        <v>1141</v>
      </c>
      <c r="AB135" s="9">
        <v>10</v>
      </c>
      <c r="AC135" s="151" t="s">
        <v>522</v>
      </c>
      <c r="AD135" s="151">
        <v>10</v>
      </c>
      <c r="AE135" s="151"/>
      <c r="AF135" s="152"/>
      <c r="AG135" s="143" t="s">
        <v>20227</v>
      </c>
      <c r="AH135" s="144">
        <v>8.2826086956521744E-2</v>
      </c>
      <c r="AI135" s="144">
        <v>1.6628260869565219</v>
      </c>
      <c r="AJ135" s="144">
        <v>1.58</v>
      </c>
      <c r="AK135" s="143">
        <v>120</v>
      </c>
      <c r="AL135" s="144">
        <v>8.2826086956521827E-2</v>
      </c>
      <c r="AM135" s="144">
        <v>0</v>
      </c>
      <c r="AN135" s="29">
        <v>10.5</v>
      </c>
      <c r="AO135" s="144">
        <v>10.417173913043477</v>
      </c>
      <c r="AP135" s="904"/>
      <c r="AQ135" s="879" t="s">
        <v>20211</v>
      </c>
      <c r="AR135" s="146" t="s">
        <v>20211</v>
      </c>
      <c r="AS135" s="947"/>
      <c r="AT135" s="58" t="s">
        <v>501</v>
      </c>
      <c r="AU135" s="118">
        <v>1972</v>
      </c>
      <c r="AV135" s="149" t="s">
        <v>2143</v>
      </c>
      <c r="AW135" s="120">
        <v>57.894637354718498</v>
      </c>
      <c r="AX135" s="120">
        <v>33.661370068374403</v>
      </c>
    </row>
    <row r="136" spans="1:50" ht="15" customHeight="1" x14ac:dyDescent="0.25">
      <c r="A136" s="875">
        <v>104</v>
      </c>
      <c r="B136" s="875">
        <v>54</v>
      </c>
      <c r="C136" s="143" t="s">
        <v>707</v>
      </c>
      <c r="D136" s="9">
        <v>40</v>
      </c>
      <c r="E136" s="503" t="s">
        <v>522</v>
      </c>
      <c r="F136" s="503">
        <v>40</v>
      </c>
      <c r="G136" s="503"/>
      <c r="H136" s="501"/>
      <c r="I136" s="151" t="s">
        <v>20241</v>
      </c>
      <c r="J136" s="31">
        <v>22.48</v>
      </c>
      <c r="K136" s="504">
        <v>0</v>
      </c>
      <c r="L136" s="502">
        <v>120</v>
      </c>
      <c r="M136" s="144">
        <v>22.48</v>
      </c>
      <c r="N136" s="504">
        <v>0</v>
      </c>
      <c r="O136" s="29"/>
      <c r="P136" s="29">
        <v>42</v>
      </c>
      <c r="Q136" s="144">
        <v>19.52</v>
      </c>
      <c r="R136" s="877">
        <v>19.52</v>
      </c>
      <c r="S136" s="880" t="s">
        <v>20211</v>
      </c>
      <c r="T136" s="146" t="s">
        <v>20211</v>
      </c>
      <c r="U136" s="878">
        <v>53.523809523809526</v>
      </c>
      <c r="V136" s="878">
        <v>0.43</v>
      </c>
      <c r="W136" s="878" t="s">
        <v>2024</v>
      </c>
      <c r="X136" s="43"/>
      <c r="Y136" s="875">
        <v>104</v>
      </c>
      <c r="Z136" s="874">
        <v>54</v>
      </c>
      <c r="AA136" s="143" t="s">
        <v>707</v>
      </c>
      <c r="AB136" s="9">
        <v>40</v>
      </c>
      <c r="AC136" s="151" t="s">
        <v>522</v>
      </c>
      <c r="AD136" s="151">
        <v>40</v>
      </c>
      <c r="AE136" s="151"/>
      <c r="AF136" s="152"/>
      <c r="AG136" s="143" t="s">
        <v>20241</v>
      </c>
      <c r="AH136" s="144">
        <v>0.53272826086956526</v>
      </c>
      <c r="AI136" s="144">
        <v>23.012728260869565</v>
      </c>
      <c r="AJ136" s="144">
        <v>0</v>
      </c>
      <c r="AK136" s="143">
        <v>120</v>
      </c>
      <c r="AL136" s="144">
        <v>23.012728260869565</v>
      </c>
      <c r="AM136" s="144">
        <v>0</v>
      </c>
      <c r="AN136" s="29">
        <v>42</v>
      </c>
      <c r="AO136" s="144">
        <v>18.987271739130435</v>
      </c>
      <c r="AP136" s="902">
        <v>18.987271739130435</v>
      </c>
      <c r="AQ136" s="878" t="s">
        <v>20211</v>
      </c>
      <c r="AR136" s="146" t="s">
        <v>20211</v>
      </c>
      <c r="AS136" s="945">
        <v>54.792210144927537</v>
      </c>
      <c r="AT136" s="58" t="s">
        <v>501</v>
      </c>
      <c r="AU136" s="118">
        <v>1957</v>
      </c>
      <c r="AV136" s="149" t="s">
        <v>2143</v>
      </c>
      <c r="AW136" s="120">
        <v>57.600507797324703</v>
      </c>
      <c r="AX136" s="120">
        <v>34.507950699587497</v>
      </c>
    </row>
    <row r="137" spans="1:50" ht="15" customHeight="1" x14ac:dyDescent="0.25">
      <c r="A137" s="875"/>
      <c r="B137" s="875"/>
      <c r="C137" s="143" t="s">
        <v>1142</v>
      </c>
      <c r="D137" s="9">
        <v>40</v>
      </c>
      <c r="E137" s="503" t="s">
        <v>522</v>
      </c>
      <c r="F137" s="503">
        <v>40</v>
      </c>
      <c r="G137" s="503"/>
      <c r="H137" s="501"/>
      <c r="I137" s="151" t="s">
        <v>20241</v>
      </c>
      <c r="J137" s="31">
        <v>17.3</v>
      </c>
      <c r="K137" s="504">
        <v>0</v>
      </c>
      <c r="L137" s="502">
        <v>120</v>
      </c>
      <c r="M137" s="144">
        <v>17.3</v>
      </c>
      <c r="N137" s="504">
        <v>0</v>
      </c>
      <c r="O137" s="29"/>
      <c r="P137" s="29">
        <v>42</v>
      </c>
      <c r="Q137" s="144">
        <v>24.7</v>
      </c>
      <c r="R137" s="877"/>
      <c r="S137" s="881"/>
      <c r="T137" s="146" t="s">
        <v>20211</v>
      </c>
      <c r="U137" s="879"/>
      <c r="V137" s="879"/>
      <c r="W137" s="879" t="s">
        <v>2025</v>
      </c>
      <c r="X137" s="43"/>
      <c r="Y137" s="875"/>
      <c r="Z137" s="874"/>
      <c r="AA137" s="143" t="s">
        <v>1142</v>
      </c>
      <c r="AB137" s="9">
        <v>40</v>
      </c>
      <c r="AC137" s="151" t="s">
        <v>522</v>
      </c>
      <c r="AD137" s="151">
        <v>40</v>
      </c>
      <c r="AE137" s="151"/>
      <c r="AF137" s="152"/>
      <c r="AG137" s="143" t="s">
        <v>20241</v>
      </c>
      <c r="AH137" s="144">
        <v>0.53272826086956526</v>
      </c>
      <c r="AI137" s="144">
        <v>17.832728260869565</v>
      </c>
      <c r="AJ137" s="144">
        <v>0</v>
      </c>
      <c r="AK137" s="143">
        <v>120</v>
      </c>
      <c r="AL137" s="144">
        <v>17.832728260869565</v>
      </c>
      <c r="AM137" s="144">
        <v>0</v>
      </c>
      <c r="AN137" s="29">
        <v>42</v>
      </c>
      <c r="AO137" s="144">
        <v>24.167271739130435</v>
      </c>
      <c r="AP137" s="903"/>
      <c r="AQ137" s="879" t="s">
        <v>20211</v>
      </c>
      <c r="AR137" s="146" t="s">
        <v>20211</v>
      </c>
      <c r="AS137" s="946"/>
      <c r="AT137" s="58" t="s">
        <v>501</v>
      </c>
      <c r="AU137" s="118">
        <v>1957</v>
      </c>
      <c r="AV137" s="149" t="s">
        <v>2143</v>
      </c>
      <c r="AW137" s="120">
        <v>57.600507797324703</v>
      </c>
      <c r="AX137" s="120">
        <v>34.507950699587497</v>
      </c>
    </row>
    <row r="138" spans="1:50" ht="15" customHeight="1" x14ac:dyDescent="0.25">
      <c r="A138" s="875"/>
      <c r="B138" s="875"/>
      <c r="C138" s="143" t="s">
        <v>1141</v>
      </c>
      <c r="D138" s="9">
        <v>40</v>
      </c>
      <c r="E138" s="503" t="s">
        <v>522</v>
      </c>
      <c r="F138" s="503">
        <v>40</v>
      </c>
      <c r="G138" s="503"/>
      <c r="H138" s="501"/>
      <c r="I138" s="151" t="s">
        <v>20241</v>
      </c>
      <c r="J138" s="31">
        <v>5.18</v>
      </c>
      <c r="K138" s="504">
        <v>0</v>
      </c>
      <c r="L138" s="502">
        <v>120</v>
      </c>
      <c r="M138" s="144">
        <v>5.18</v>
      </c>
      <c r="N138" s="504">
        <v>0</v>
      </c>
      <c r="O138" s="29"/>
      <c r="P138" s="29">
        <v>42</v>
      </c>
      <c r="Q138" s="144">
        <v>36.82</v>
      </c>
      <c r="R138" s="877"/>
      <c r="S138" s="882"/>
      <c r="T138" s="146" t="s">
        <v>20211</v>
      </c>
      <c r="U138" s="879"/>
      <c r="V138" s="879"/>
      <c r="W138" s="879" t="s">
        <v>2025</v>
      </c>
      <c r="X138" s="43"/>
      <c r="Y138" s="875"/>
      <c r="Z138" s="874"/>
      <c r="AA138" s="143" t="s">
        <v>1141</v>
      </c>
      <c r="AB138" s="9">
        <v>40</v>
      </c>
      <c r="AC138" s="151" t="s">
        <v>522</v>
      </c>
      <c r="AD138" s="151">
        <v>40</v>
      </c>
      <c r="AE138" s="151"/>
      <c r="AF138" s="152"/>
      <c r="AG138" s="143" t="s">
        <v>20241</v>
      </c>
      <c r="AH138" s="144">
        <v>0</v>
      </c>
      <c r="AI138" s="144">
        <v>5.18</v>
      </c>
      <c r="AJ138" s="144">
        <v>0</v>
      </c>
      <c r="AK138" s="143">
        <v>120</v>
      </c>
      <c r="AL138" s="144">
        <v>5.18</v>
      </c>
      <c r="AM138" s="144">
        <v>0</v>
      </c>
      <c r="AN138" s="29">
        <v>42</v>
      </c>
      <c r="AO138" s="144">
        <v>36.82</v>
      </c>
      <c r="AP138" s="904"/>
      <c r="AQ138" s="879" t="s">
        <v>20211</v>
      </c>
      <c r="AR138" s="146" t="s">
        <v>20211</v>
      </c>
      <c r="AS138" s="947"/>
      <c r="AT138" s="58" t="s">
        <v>501</v>
      </c>
      <c r="AU138" s="118">
        <v>1957</v>
      </c>
      <c r="AV138" s="149" t="s">
        <v>2143</v>
      </c>
      <c r="AW138" s="120">
        <v>57.600507797324703</v>
      </c>
      <c r="AX138" s="120">
        <v>34.507950699587497</v>
      </c>
    </row>
    <row r="139" spans="1:50" ht="15" customHeight="1" x14ac:dyDescent="0.25">
      <c r="A139" s="871">
        <v>105</v>
      </c>
      <c r="B139" s="871">
        <v>55</v>
      </c>
      <c r="C139" s="143" t="s">
        <v>708</v>
      </c>
      <c r="D139" s="9">
        <v>25</v>
      </c>
      <c r="E139" s="503" t="s">
        <v>522</v>
      </c>
      <c r="F139" s="503">
        <v>20</v>
      </c>
      <c r="G139" s="503"/>
      <c r="H139" s="501"/>
      <c r="I139" s="151" t="s">
        <v>20242</v>
      </c>
      <c r="J139" s="31">
        <v>9.0399999999999991</v>
      </c>
      <c r="K139" s="504">
        <v>3.34</v>
      </c>
      <c r="L139" s="502">
        <v>120</v>
      </c>
      <c r="M139" s="144">
        <v>5.6999999999999993</v>
      </c>
      <c r="N139" s="504">
        <v>0</v>
      </c>
      <c r="O139" s="29"/>
      <c r="P139" s="29">
        <v>21</v>
      </c>
      <c r="Q139" s="144">
        <v>15.3</v>
      </c>
      <c r="R139" s="902">
        <v>15.3</v>
      </c>
      <c r="S139" s="880" t="s">
        <v>20211</v>
      </c>
      <c r="T139" s="146" t="s">
        <v>20211</v>
      </c>
      <c r="U139" s="880">
        <v>43.047619047619044</v>
      </c>
      <c r="V139" s="880"/>
      <c r="W139" s="880" t="s">
        <v>2023</v>
      </c>
      <c r="X139" s="43"/>
      <c r="Y139" s="871">
        <v>105</v>
      </c>
      <c r="Z139" s="871">
        <v>55</v>
      </c>
      <c r="AA139" s="143" t="s">
        <v>708</v>
      </c>
      <c r="AB139" s="9">
        <v>25</v>
      </c>
      <c r="AC139" s="151" t="s">
        <v>522</v>
      </c>
      <c r="AD139" s="151">
        <v>20</v>
      </c>
      <c r="AE139" s="151"/>
      <c r="AF139" s="152"/>
      <c r="AG139" s="143" t="s">
        <v>20242</v>
      </c>
      <c r="AH139" s="144">
        <v>0</v>
      </c>
      <c r="AI139" s="144">
        <v>9.0399999999999991</v>
      </c>
      <c r="AJ139" s="144">
        <v>3.34</v>
      </c>
      <c r="AK139" s="143">
        <v>120</v>
      </c>
      <c r="AL139" s="144">
        <v>5.6999999999999993</v>
      </c>
      <c r="AM139" s="144">
        <v>0</v>
      </c>
      <c r="AN139" s="29">
        <v>21</v>
      </c>
      <c r="AO139" s="144">
        <v>15.3</v>
      </c>
      <c r="AP139" s="902">
        <v>15.3</v>
      </c>
      <c r="AQ139" s="880" t="s">
        <v>20211</v>
      </c>
      <c r="AR139" s="146" t="s">
        <v>20211</v>
      </c>
      <c r="AS139" s="945">
        <v>43.047619047619044</v>
      </c>
      <c r="AT139" s="58" t="s">
        <v>501</v>
      </c>
      <c r="AU139" s="118">
        <v>1974</v>
      </c>
      <c r="AV139" s="149" t="s">
        <v>2143</v>
      </c>
      <c r="AW139" s="120">
        <v>57.561058143833897</v>
      </c>
      <c r="AX139" s="120">
        <v>34.552623945873101</v>
      </c>
    </row>
    <row r="140" spans="1:50" ht="15" customHeight="1" x14ac:dyDescent="0.25">
      <c r="A140" s="872"/>
      <c r="B140" s="872"/>
      <c r="C140" s="143" t="s">
        <v>1142</v>
      </c>
      <c r="D140" s="9">
        <v>25</v>
      </c>
      <c r="E140" s="503" t="s">
        <v>522</v>
      </c>
      <c r="F140" s="503">
        <v>20</v>
      </c>
      <c r="G140" s="503"/>
      <c r="H140" s="501"/>
      <c r="I140" s="151" t="s">
        <v>20242</v>
      </c>
      <c r="J140" s="31">
        <v>3.99</v>
      </c>
      <c r="K140" s="504">
        <v>3.99</v>
      </c>
      <c r="L140" s="502">
        <v>120</v>
      </c>
      <c r="M140" s="144">
        <v>0</v>
      </c>
      <c r="N140" s="504">
        <v>0</v>
      </c>
      <c r="O140" s="29"/>
      <c r="P140" s="29">
        <v>21</v>
      </c>
      <c r="Q140" s="144">
        <v>21</v>
      </c>
      <c r="R140" s="903"/>
      <c r="S140" s="881"/>
      <c r="T140" s="146" t="s">
        <v>20211</v>
      </c>
      <c r="U140" s="881"/>
      <c r="V140" s="881"/>
      <c r="W140" s="881" t="s">
        <v>2025</v>
      </c>
      <c r="X140" s="43"/>
      <c r="Y140" s="872"/>
      <c r="Z140" s="872"/>
      <c r="AA140" s="143" t="s">
        <v>1142</v>
      </c>
      <c r="AB140" s="9">
        <v>25</v>
      </c>
      <c r="AC140" s="151" t="s">
        <v>522</v>
      </c>
      <c r="AD140" s="151">
        <v>20</v>
      </c>
      <c r="AE140" s="151"/>
      <c r="AF140" s="152"/>
      <c r="AG140" s="143" t="s">
        <v>20242</v>
      </c>
      <c r="AH140" s="144">
        <v>0</v>
      </c>
      <c r="AI140" s="144">
        <v>3.99</v>
      </c>
      <c r="AJ140" s="144">
        <v>3.99</v>
      </c>
      <c r="AK140" s="143">
        <v>120</v>
      </c>
      <c r="AL140" s="144">
        <v>0</v>
      </c>
      <c r="AM140" s="144">
        <v>0</v>
      </c>
      <c r="AN140" s="29">
        <v>21</v>
      </c>
      <c r="AO140" s="144">
        <v>21</v>
      </c>
      <c r="AP140" s="903"/>
      <c r="AQ140" s="881" t="s">
        <v>20211</v>
      </c>
      <c r="AR140" s="146" t="s">
        <v>20211</v>
      </c>
      <c r="AS140" s="946"/>
      <c r="AT140" s="58" t="s">
        <v>501</v>
      </c>
      <c r="AU140" s="118">
        <v>1974</v>
      </c>
      <c r="AV140" s="149" t="s">
        <v>2143</v>
      </c>
      <c r="AW140" s="120">
        <v>57.561058143833897</v>
      </c>
      <c r="AX140" s="120">
        <v>34.552623945873101</v>
      </c>
    </row>
    <row r="141" spans="1:50" ht="15" customHeight="1" x14ac:dyDescent="0.25">
      <c r="A141" s="873"/>
      <c r="B141" s="873"/>
      <c r="C141" s="143" t="s">
        <v>1141</v>
      </c>
      <c r="D141" s="9">
        <v>25</v>
      </c>
      <c r="E141" s="503" t="s">
        <v>522</v>
      </c>
      <c r="F141" s="503">
        <v>20</v>
      </c>
      <c r="G141" s="503"/>
      <c r="H141" s="501"/>
      <c r="I141" s="151" t="s">
        <v>20242</v>
      </c>
      <c r="J141" s="31">
        <v>5.05</v>
      </c>
      <c r="K141" s="504">
        <v>5.05</v>
      </c>
      <c r="L141" s="502">
        <v>120</v>
      </c>
      <c r="M141" s="144">
        <v>0</v>
      </c>
      <c r="N141" s="504">
        <v>0</v>
      </c>
      <c r="O141" s="29"/>
      <c r="P141" s="29">
        <v>21</v>
      </c>
      <c r="Q141" s="144">
        <v>21</v>
      </c>
      <c r="R141" s="904"/>
      <c r="S141" s="882"/>
      <c r="T141" s="146" t="s">
        <v>20211</v>
      </c>
      <c r="U141" s="882"/>
      <c r="V141" s="882"/>
      <c r="W141" s="882" t="s">
        <v>2025</v>
      </c>
      <c r="X141" s="43"/>
      <c r="Y141" s="873"/>
      <c r="Z141" s="873"/>
      <c r="AA141" s="143" t="s">
        <v>1141</v>
      </c>
      <c r="AB141" s="9">
        <v>25</v>
      </c>
      <c r="AC141" s="151" t="s">
        <v>522</v>
      </c>
      <c r="AD141" s="151">
        <v>20</v>
      </c>
      <c r="AE141" s="151"/>
      <c r="AF141" s="152"/>
      <c r="AG141" s="143" t="s">
        <v>20242</v>
      </c>
      <c r="AH141" s="144">
        <v>0</v>
      </c>
      <c r="AI141" s="144">
        <v>5.05</v>
      </c>
      <c r="AJ141" s="144">
        <v>5.05</v>
      </c>
      <c r="AK141" s="143">
        <v>120</v>
      </c>
      <c r="AL141" s="144">
        <v>0</v>
      </c>
      <c r="AM141" s="144">
        <v>0</v>
      </c>
      <c r="AN141" s="29">
        <v>21</v>
      </c>
      <c r="AO141" s="144">
        <v>21</v>
      </c>
      <c r="AP141" s="904"/>
      <c r="AQ141" s="882" t="s">
        <v>20211</v>
      </c>
      <c r="AR141" s="146" t="s">
        <v>20211</v>
      </c>
      <c r="AS141" s="947"/>
      <c r="AT141" s="58" t="s">
        <v>501</v>
      </c>
      <c r="AU141" s="118">
        <v>1974</v>
      </c>
      <c r="AV141" s="149" t="s">
        <v>2143</v>
      </c>
      <c r="AW141" s="120">
        <v>57.561058143833897</v>
      </c>
      <c r="AX141" s="120">
        <v>34.552623945873101</v>
      </c>
    </row>
    <row r="142" spans="1:50" ht="15" customHeight="1" x14ac:dyDescent="0.25">
      <c r="A142" s="875">
        <v>106</v>
      </c>
      <c r="B142" s="875">
        <v>56</v>
      </c>
      <c r="C142" s="143" t="s">
        <v>709</v>
      </c>
      <c r="D142" s="9">
        <v>16</v>
      </c>
      <c r="E142" s="503" t="s">
        <v>522</v>
      </c>
      <c r="F142" s="503">
        <v>16</v>
      </c>
      <c r="G142" s="503"/>
      <c r="H142" s="501"/>
      <c r="I142" s="151" t="s">
        <v>20243</v>
      </c>
      <c r="J142" s="31">
        <v>1.52</v>
      </c>
      <c r="K142" s="504">
        <v>0</v>
      </c>
      <c r="L142" s="517">
        <v>120</v>
      </c>
      <c r="M142" s="144">
        <v>1.52</v>
      </c>
      <c r="N142" s="504">
        <v>0</v>
      </c>
      <c r="O142" s="29"/>
      <c r="P142" s="29">
        <v>16.8</v>
      </c>
      <c r="Q142" s="144">
        <v>15.280000000000001</v>
      </c>
      <c r="R142" s="877">
        <v>15.280000000000001</v>
      </c>
      <c r="S142" s="880" t="s">
        <v>20211</v>
      </c>
      <c r="T142" s="146" t="s">
        <v>20211</v>
      </c>
      <c r="U142" s="878">
        <v>9.0476190476190474</v>
      </c>
      <c r="V142" s="878">
        <v>0.4</v>
      </c>
      <c r="W142" s="878" t="s">
        <v>2024</v>
      </c>
      <c r="X142" s="43"/>
      <c r="Y142" s="875">
        <v>106</v>
      </c>
      <c r="Z142" s="874">
        <v>56</v>
      </c>
      <c r="AA142" s="143" t="s">
        <v>709</v>
      </c>
      <c r="AB142" s="9">
        <v>16</v>
      </c>
      <c r="AC142" s="151" t="s">
        <v>522</v>
      </c>
      <c r="AD142" s="151">
        <v>16</v>
      </c>
      <c r="AE142" s="151"/>
      <c r="AF142" s="152"/>
      <c r="AG142" s="143" t="s">
        <v>20243</v>
      </c>
      <c r="AH142" s="144">
        <v>7.7713043478260857E-2</v>
      </c>
      <c r="AI142" s="144">
        <v>1.5977130434782609</v>
      </c>
      <c r="AJ142" s="144">
        <v>0</v>
      </c>
      <c r="AK142" s="143">
        <v>120</v>
      </c>
      <c r="AL142" s="144">
        <v>1.5977130434782609</v>
      </c>
      <c r="AM142" s="144">
        <v>0</v>
      </c>
      <c r="AN142" s="29">
        <v>16.8</v>
      </c>
      <c r="AO142" s="144">
        <v>15.202286956521739</v>
      </c>
      <c r="AP142" s="902">
        <v>15.202286956521739</v>
      </c>
      <c r="AQ142" s="878" t="s">
        <v>20211</v>
      </c>
      <c r="AR142" s="146" t="s">
        <v>20211</v>
      </c>
      <c r="AS142" s="945">
        <v>9.5101966873706001</v>
      </c>
      <c r="AT142" s="58" t="s">
        <v>501</v>
      </c>
      <c r="AU142" s="118">
        <v>1989</v>
      </c>
      <c r="AV142" s="149" t="s">
        <v>2143</v>
      </c>
      <c r="AW142" s="120">
        <v>57.424520442148101</v>
      </c>
      <c r="AX142" s="120">
        <v>35.000676085974902</v>
      </c>
    </row>
    <row r="143" spans="1:50" ht="15" customHeight="1" x14ac:dyDescent="0.25">
      <c r="A143" s="875"/>
      <c r="B143" s="875"/>
      <c r="C143" s="143" t="s">
        <v>1142</v>
      </c>
      <c r="D143" s="9">
        <v>16</v>
      </c>
      <c r="E143" s="503" t="s">
        <v>522</v>
      </c>
      <c r="F143" s="503">
        <v>16</v>
      </c>
      <c r="G143" s="503"/>
      <c r="H143" s="501"/>
      <c r="I143" s="151" t="s">
        <v>20243</v>
      </c>
      <c r="J143" s="31">
        <v>0.8</v>
      </c>
      <c r="K143" s="504">
        <v>0</v>
      </c>
      <c r="L143" s="517">
        <v>120</v>
      </c>
      <c r="M143" s="144">
        <v>0.8</v>
      </c>
      <c r="N143" s="504">
        <v>0</v>
      </c>
      <c r="O143" s="29"/>
      <c r="P143" s="29">
        <v>16.8</v>
      </c>
      <c r="Q143" s="144">
        <v>16</v>
      </c>
      <c r="R143" s="877"/>
      <c r="S143" s="881"/>
      <c r="T143" s="146" t="s">
        <v>20211</v>
      </c>
      <c r="U143" s="879"/>
      <c r="V143" s="879"/>
      <c r="W143" s="879" t="s">
        <v>2025</v>
      </c>
      <c r="X143" s="43"/>
      <c r="Y143" s="875"/>
      <c r="Z143" s="874"/>
      <c r="AA143" s="143" t="s">
        <v>1142</v>
      </c>
      <c r="AB143" s="9">
        <v>16</v>
      </c>
      <c r="AC143" s="151" t="s">
        <v>522</v>
      </c>
      <c r="AD143" s="151">
        <v>16</v>
      </c>
      <c r="AE143" s="151"/>
      <c r="AF143" s="152"/>
      <c r="AG143" s="143" t="s">
        <v>20243</v>
      </c>
      <c r="AH143" s="144">
        <v>5.1065217391304339E-2</v>
      </c>
      <c r="AI143" s="144">
        <v>0.85106521739130436</v>
      </c>
      <c r="AJ143" s="144">
        <v>0</v>
      </c>
      <c r="AK143" s="143">
        <v>120</v>
      </c>
      <c r="AL143" s="144">
        <v>0.85106521739130436</v>
      </c>
      <c r="AM143" s="144">
        <v>0</v>
      </c>
      <c r="AN143" s="29">
        <v>16.8</v>
      </c>
      <c r="AO143" s="144">
        <v>15.948934782608696</v>
      </c>
      <c r="AP143" s="903"/>
      <c r="AQ143" s="879" t="s">
        <v>20211</v>
      </c>
      <c r="AR143" s="146" t="s">
        <v>20211</v>
      </c>
      <c r="AS143" s="946"/>
      <c r="AT143" s="58" t="s">
        <v>501</v>
      </c>
      <c r="AU143" s="118">
        <v>1989</v>
      </c>
      <c r="AV143" s="149" t="s">
        <v>2143</v>
      </c>
      <c r="AW143" s="120">
        <v>57.424520442148101</v>
      </c>
      <c r="AX143" s="120">
        <v>35.000676085974902</v>
      </c>
    </row>
    <row r="144" spans="1:50" ht="15" customHeight="1" x14ac:dyDescent="0.25">
      <c r="A144" s="875"/>
      <c r="B144" s="875"/>
      <c r="C144" s="143" t="s">
        <v>1141</v>
      </c>
      <c r="D144" s="9">
        <v>16</v>
      </c>
      <c r="E144" s="503" t="s">
        <v>522</v>
      </c>
      <c r="F144" s="503">
        <v>16</v>
      </c>
      <c r="G144" s="503"/>
      <c r="H144" s="501"/>
      <c r="I144" s="151" t="s">
        <v>20243</v>
      </c>
      <c r="J144" s="31">
        <v>0.72</v>
      </c>
      <c r="K144" s="504">
        <v>0</v>
      </c>
      <c r="L144" s="517">
        <v>120</v>
      </c>
      <c r="M144" s="144">
        <v>0.72</v>
      </c>
      <c r="N144" s="504">
        <v>0</v>
      </c>
      <c r="O144" s="29"/>
      <c r="P144" s="29">
        <v>16.8</v>
      </c>
      <c r="Q144" s="144">
        <v>16.080000000000002</v>
      </c>
      <c r="R144" s="877"/>
      <c r="S144" s="882"/>
      <c r="T144" s="146" t="s">
        <v>20211</v>
      </c>
      <c r="U144" s="879"/>
      <c r="V144" s="879"/>
      <c r="W144" s="879" t="s">
        <v>2025</v>
      </c>
      <c r="X144" s="43"/>
      <c r="Y144" s="875"/>
      <c r="Z144" s="874"/>
      <c r="AA144" s="143" t="s">
        <v>1141</v>
      </c>
      <c r="AB144" s="9">
        <v>16</v>
      </c>
      <c r="AC144" s="151" t="s">
        <v>522</v>
      </c>
      <c r="AD144" s="151">
        <v>16</v>
      </c>
      <c r="AE144" s="151"/>
      <c r="AF144" s="152"/>
      <c r="AG144" s="143" t="s">
        <v>20243</v>
      </c>
      <c r="AH144" s="144">
        <v>2.6647826086956521E-2</v>
      </c>
      <c r="AI144" s="144">
        <v>0.74664782608695646</v>
      </c>
      <c r="AJ144" s="144">
        <v>0</v>
      </c>
      <c r="AK144" s="143">
        <v>120</v>
      </c>
      <c r="AL144" s="144">
        <v>0.74664782608695646</v>
      </c>
      <c r="AM144" s="144">
        <v>0</v>
      </c>
      <c r="AN144" s="29">
        <v>16.8</v>
      </c>
      <c r="AO144" s="144">
        <v>16.053352173913044</v>
      </c>
      <c r="AP144" s="904"/>
      <c r="AQ144" s="879" t="s">
        <v>20211</v>
      </c>
      <c r="AR144" s="146" t="s">
        <v>20211</v>
      </c>
      <c r="AS144" s="947"/>
      <c r="AT144" s="58" t="s">
        <v>501</v>
      </c>
      <c r="AU144" s="118">
        <v>1989</v>
      </c>
      <c r="AV144" s="149" t="s">
        <v>2143</v>
      </c>
      <c r="AW144" s="120">
        <v>57.424520442148101</v>
      </c>
      <c r="AX144" s="120">
        <v>35.000676085974902</v>
      </c>
    </row>
    <row r="145" spans="1:50" ht="15" customHeight="1" x14ac:dyDescent="0.25">
      <c r="A145" s="875">
        <v>107</v>
      </c>
      <c r="B145" s="875">
        <v>57</v>
      </c>
      <c r="C145" s="143" t="s">
        <v>710</v>
      </c>
      <c r="D145" s="9">
        <v>16</v>
      </c>
      <c r="E145" s="503" t="s">
        <v>522</v>
      </c>
      <c r="F145" s="503">
        <v>16</v>
      </c>
      <c r="G145" s="503"/>
      <c r="H145" s="501"/>
      <c r="I145" s="151" t="s">
        <v>20243</v>
      </c>
      <c r="J145" s="31">
        <v>2.54</v>
      </c>
      <c r="K145" s="504">
        <v>2.74</v>
      </c>
      <c r="L145" s="517">
        <v>120</v>
      </c>
      <c r="M145" s="144">
        <v>-0.20000000000000018</v>
      </c>
      <c r="N145" s="504">
        <v>0</v>
      </c>
      <c r="O145" s="29"/>
      <c r="P145" s="29">
        <v>16.8</v>
      </c>
      <c r="Q145" s="144">
        <v>17</v>
      </c>
      <c r="R145" s="877">
        <v>16.63</v>
      </c>
      <c r="S145" s="880" t="s">
        <v>20211</v>
      </c>
      <c r="T145" s="146" t="s">
        <v>20211</v>
      </c>
      <c r="U145" s="878">
        <v>15.119047619047619</v>
      </c>
      <c r="V145" s="878">
        <v>0.5</v>
      </c>
      <c r="W145" s="878" t="s">
        <v>2024</v>
      </c>
      <c r="X145" s="43"/>
      <c r="Y145" s="875">
        <v>107</v>
      </c>
      <c r="Z145" s="874">
        <v>57</v>
      </c>
      <c r="AA145" s="143" t="s">
        <v>710</v>
      </c>
      <c r="AB145" s="9">
        <v>16</v>
      </c>
      <c r="AC145" s="151" t="s">
        <v>522</v>
      </c>
      <c r="AD145" s="151">
        <v>16</v>
      </c>
      <c r="AE145" s="151"/>
      <c r="AF145" s="152"/>
      <c r="AG145" s="143" t="s">
        <v>20243</v>
      </c>
      <c r="AH145" s="144">
        <v>9.7239130434782606E-2</v>
      </c>
      <c r="AI145" s="144">
        <v>2.6372391304347826</v>
      </c>
      <c r="AJ145" s="144">
        <v>2.74</v>
      </c>
      <c r="AK145" s="143">
        <v>120</v>
      </c>
      <c r="AL145" s="144">
        <v>-0.10276086956521757</v>
      </c>
      <c r="AM145" s="144">
        <v>0</v>
      </c>
      <c r="AN145" s="29">
        <v>16.8</v>
      </c>
      <c r="AO145" s="144">
        <v>16.902760869565217</v>
      </c>
      <c r="AP145" s="902">
        <v>16.63</v>
      </c>
      <c r="AQ145" s="878" t="s">
        <v>20211</v>
      </c>
      <c r="AR145" s="146" t="s">
        <v>20211</v>
      </c>
      <c r="AS145" s="945">
        <v>15.697851966873705</v>
      </c>
      <c r="AT145" s="58" t="s">
        <v>501</v>
      </c>
      <c r="AU145" s="118">
        <v>1976</v>
      </c>
      <c r="AV145" s="149" t="s">
        <v>2143</v>
      </c>
      <c r="AW145" s="120">
        <v>57.5990178775236</v>
      </c>
      <c r="AX145" s="120">
        <v>33.975736921093798</v>
      </c>
    </row>
    <row r="146" spans="1:50" ht="15" customHeight="1" x14ac:dyDescent="0.25">
      <c r="A146" s="875"/>
      <c r="B146" s="875"/>
      <c r="C146" s="143" t="s">
        <v>1142</v>
      </c>
      <c r="D146" s="9">
        <v>16</v>
      </c>
      <c r="E146" s="503" t="s">
        <v>522</v>
      </c>
      <c r="F146" s="503">
        <v>16</v>
      </c>
      <c r="G146" s="503"/>
      <c r="H146" s="501"/>
      <c r="I146" s="151" t="s">
        <v>20243</v>
      </c>
      <c r="J146" s="31">
        <v>2.37</v>
      </c>
      <c r="K146" s="504">
        <v>2.37</v>
      </c>
      <c r="L146" s="517">
        <v>120</v>
      </c>
      <c r="M146" s="144">
        <v>0</v>
      </c>
      <c r="N146" s="504">
        <v>0</v>
      </c>
      <c r="O146" s="29"/>
      <c r="P146" s="29">
        <v>16.8</v>
      </c>
      <c r="Q146" s="144">
        <v>16.8</v>
      </c>
      <c r="R146" s="877"/>
      <c r="S146" s="881"/>
      <c r="T146" s="146" t="s">
        <v>20211</v>
      </c>
      <c r="U146" s="879"/>
      <c r="V146" s="879"/>
      <c r="W146" s="879" t="s">
        <v>2025</v>
      </c>
      <c r="X146" s="43"/>
      <c r="Y146" s="875"/>
      <c r="Z146" s="874"/>
      <c r="AA146" s="143" t="s">
        <v>1142</v>
      </c>
      <c r="AB146" s="9">
        <v>16</v>
      </c>
      <c r="AC146" s="151" t="s">
        <v>522</v>
      </c>
      <c r="AD146" s="151">
        <v>16</v>
      </c>
      <c r="AE146" s="151"/>
      <c r="AF146" s="152"/>
      <c r="AG146" s="143" t="s">
        <v>20243</v>
      </c>
      <c r="AH146" s="144">
        <v>9.7239130434782606E-2</v>
      </c>
      <c r="AI146" s="144">
        <v>2.4672391304347827</v>
      </c>
      <c r="AJ146" s="144">
        <v>2.37</v>
      </c>
      <c r="AK146" s="143">
        <v>120</v>
      </c>
      <c r="AL146" s="144">
        <v>9.7239130434782606E-2</v>
      </c>
      <c r="AM146" s="144">
        <v>0</v>
      </c>
      <c r="AN146" s="29">
        <v>16.8</v>
      </c>
      <c r="AO146" s="144">
        <v>16.702760869565218</v>
      </c>
      <c r="AP146" s="903"/>
      <c r="AQ146" s="879" t="s">
        <v>20211</v>
      </c>
      <c r="AR146" s="146" t="s">
        <v>20211</v>
      </c>
      <c r="AS146" s="946"/>
      <c r="AT146" s="58" t="s">
        <v>501</v>
      </c>
      <c r="AU146" s="118">
        <v>1976</v>
      </c>
      <c r="AV146" s="149" t="s">
        <v>2143</v>
      </c>
      <c r="AW146" s="120">
        <v>57.5990178775236</v>
      </c>
      <c r="AX146" s="120">
        <v>33.975736921093798</v>
      </c>
    </row>
    <row r="147" spans="1:50" ht="15" customHeight="1" x14ac:dyDescent="0.25">
      <c r="A147" s="875"/>
      <c r="B147" s="875"/>
      <c r="C147" s="143" t="s">
        <v>1141</v>
      </c>
      <c r="D147" s="9">
        <v>16</v>
      </c>
      <c r="E147" s="503" t="s">
        <v>522</v>
      </c>
      <c r="F147" s="503">
        <v>16</v>
      </c>
      <c r="G147" s="503"/>
      <c r="H147" s="501"/>
      <c r="I147" s="151" t="s">
        <v>20243</v>
      </c>
      <c r="J147" s="31">
        <v>0.17</v>
      </c>
      <c r="K147" s="504">
        <v>0</v>
      </c>
      <c r="L147" s="517">
        <v>0</v>
      </c>
      <c r="M147" s="144">
        <v>0.17</v>
      </c>
      <c r="N147" s="504">
        <v>0</v>
      </c>
      <c r="O147" s="29"/>
      <c r="P147" s="29">
        <v>16.8</v>
      </c>
      <c r="Q147" s="144">
        <v>16.63</v>
      </c>
      <c r="R147" s="877"/>
      <c r="S147" s="882"/>
      <c r="T147" s="146" t="s">
        <v>20211</v>
      </c>
      <c r="U147" s="879"/>
      <c r="V147" s="879"/>
      <c r="W147" s="879" t="s">
        <v>2025</v>
      </c>
      <c r="X147" s="43"/>
      <c r="Y147" s="875"/>
      <c r="Z147" s="874"/>
      <c r="AA147" s="143" t="s">
        <v>1141</v>
      </c>
      <c r="AB147" s="9">
        <v>16</v>
      </c>
      <c r="AC147" s="151" t="s">
        <v>522</v>
      </c>
      <c r="AD147" s="151">
        <v>16</v>
      </c>
      <c r="AE147" s="151"/>
      <c r="AF147" s="152"/>
      <c r="AG147" s="143" t="s">
        <v>20243</v>
      </c>
      <c r="AH147" s="144">
        <v>0</v>
      </c>
      <c r="AI147" s="144">
        <v>0.17</v>
      </c>
      <c r="AJ147" s="144">
        <v>0</v>
      </c>
      <c r="AK147" s="143">
        <v>0</v>
      </c>
      <c r="AL147" s="144">
        <v>0.17</v>
      </c>
      <c r="AM147" s="144">
        <v>0</v>
      </c>
      <c r="AN147" s="29">
        <v>16.8</v>
      </c>
      <c r="AO147" s="144">
        <v>16.63</v>
      </c>
      <c r="AP147" s="904"/>
      <c r="AQ147" s="879" t="s">
        <v>20211</v>
      </c>
      <c r="AR147" s="146" t="s">
        <v>20211</v>
      </c>
      <c r="AS147" s="947"/>
      <c r="AT147" s="58" t="s">
        <v>501</v>
      </c>
      <c r="AU147" s="118">
        <v>1976</v>
      </c>
      <c r="AV147" s="149" t="s">
        <v>2143</v>
      </c>
      <c r="AW147" s="120">
        <v>57.5990178775236</v>
      </c>
      <c r="AX147" s="120">
        <v>33.975736921093798</v>
      </c>
    </row>
    <row r="148" spans="1:50" ht="15" customHeight="1" x14ac:dyDescent="0.25">
      <c r="A148" s="875">
        <v>108</v>
      </c>
      <c r="B148" s="875">
        <v>58</v>
      </c>
      <c r="C148" s="143" t="s">
        <v>711</v>
      </c>
      <c r="D148" s="9">
        <v>25</v>
      </c>
      <c r="E148" s="503" t="s">
        <v>522</v>
      </c>
      <c r="F148" s="503">
        <v>25</v>
      </c>
      <c r="G148" s="503"/>
      <c r="H148" s="501"/>
      <c r="I148" s="151" t="s">
        <v>20226</v>
      </c>
      <c r="J148" s="31">
        <v>12.98</v>
      </c>
      <c r="K148" s="504">
        <v>6.98</v>
      </c>
      <c r="L148" s="517">
        <v>120</v>
      </c>
      <c r="M148" s="144">
        <v>6</v>
      </c>
      <c r="N148" s="504">
        <v>0</v>
      </c>
      <c r="O148" s="29"/>
      <c r="P148" s="29">
        <v>26.25</v>
      </c>
      <c r="Q148" s="144">
        <v>20.25</v>
      </c>
      <c r="R148" s="877">
        <v>20.25</v>
      </c>
      <c r="S148" s="880" t="s">
        <v>20211</v>
      </c>
      <c r="T148" s="146" t="s">
        <v>20211</v>
      </c>
      <c r="U148" s="878">
        <v>49.44761904761905</v>
      </c>
      <c r="V148" s="878">
        <v>0.4</v>
      </c>
      <c r="W148" s="878" t="s">
        <v>2024</v>
      </c>
      <c r="X148" s="43"/>
      <c r="Y148" s="875">
        <v>108</v>
      </c>
      <c r="Z148" s="874">
        <v>58</v>
      </c>
      <c r="AA148" s="143" t="s">
        <v>711</v>
      </c>
      <c r="AB148" s="9">
        <v>25</v>
      </c>
      <c r="AC148" s="151" t="s">
        <v>522</v>
      </c>
      <c r="AD148" s="151">
        <v>25</v>
      </c>
      <c r="AE148" s="151"/>
      <c r="AF148" s="152"/>
      <c r="AG148" s="143" t="s">
        <v>20226</v>
      </c>
      <c r="AH148" s="144">
        <v>1.1821304347826085</v>
      </c>
      <c r="AI148" s="144">
        <v>14.162130434782609</v>
      </c>
      <c r="AJ148" s="144">
        <v>6.98</v>
      </c>
      <c r="AK148" s="143">
        <v>120</v>
      </c>
      <c r="AL148" s="144">
        <v>7.1821304347826089</v>
      </c>
      <c r="AM148" s="144">
        <v>0</v>
      </c>
      <c r="AN148" s="29">
        <v>26.25</v>
      </c>
      <c r="AO148" s="144">
        <v>19.067869565217393</v>
      </c>
      <c r="AP148" s="902">
        <v>19.067869565217393</v>
      </c>
      <c r="AQ148" s="878" t="s">
        <v>20211</v>
      </c>
      <c r="AR148" s="146" t="s">
        <v>20211</v>
      </c>
      <c r="AS148" s="945">
        <v>53.95097308488613</v>
      </c>
      <c r="AT148" s="58" t="s">
        <v>501</v>
      </c>
      <c r="AU148" s="118">
        <v>1982</v>
      </c>
      <c r="AV148" s="149" t="s">
        <v>2143</v>
      </c>
      <c r="AW148" s="120">
        <v>57.866844936852402</v>
      </c>
      <c r="AX148" s="120">
        <v>35.008621730403597</v>
      </c>
    </row>
    <row r="149" spans="1:50" ht="15" customHeight="1" x14ac:dyDescent="0.25">
      <c r="A149" s="875"/>
      <c r="B149" s="875"/>
      <c r="C149" s="143" t="s">
        <v>1142</v>
      </c>
      <c r="D149" s="9">
        <v>25</v>
      </c>
      <c r="E149" s="503" t="s">
        <v>522</v>
      </c>
      <c r="F149" s="503">
        <v>25</v>
      </c>
      <c r="G149" s="503"/>
      <c r="H149" s="501"/>
      <c r="I149" s="151" t="s">
        <v>20226</v>
      </c>
      <c r="J149" s="31">
        <v>8.6999999999999993</v>
      </c>
      <c r="K149" s="504">
        <v>8.6999999999999993</v>
      </c>
      <c r="L149" s="517">
        <v>120</v>
      </c>
      <c r="M149" s="144">
        <v>0</v>
      </c>
      <c r="N149" s="504">
        <v>0</v>
      </c>
      <c r="O149" s="29"/>
      <c r="P149" s="29">
        <v>26.25</v>
      </c>
      <c r="Q149" s="144">
        <v>26.25</v>
      </c>
      <c r="R149" s="877"/>
      <c r="S149" s="881"/>
      <c r="T149" s="146" t="s">
        <v>20211</v>
      </c>
      <c r="U149" s="879"/>
      <c r="V149" s="879"/>
      <c r="W149" s="879" t="s">
        <v>2025</v>
      </c>
      <c r="X149" s="43"/>
      <c r="Y149" s="875"/>
      <c r="Z149" s="874"/>
      <c r="AA149" s="143" t="s">
        <v>1142</v>
      </c>
      <c r="AB149" s="9">
        <v>25</v>
      </c>
      <c r="AC149" s="151" t="s">
        <v>522</v>
      </c>
      <c r="AD149" s="151">
        <v>25</v>
      </c>
      <c r="AE149" s="151"/>
      <c r="AF149" s="152"/>
      <c r="AG149" s="143" t="s">
        <v>20226</v>
      </c>
      <c r="AH149" s="144">
        <v>7.7478260869565219E-2</v>
      </c>
      <c r="AI149" s="144">
        <v>8.7774782608695645</v>
      </c>
      <c r="AJ149" s="144">
        <v>8.6999999999999993</v>
      </c>
      <c r="AK149" s="143">
        <v>120</v>
      </c>
      <c r="AL149" s="144">
        <v>7.7478260869565219E-2</v>
      </c>
      <c r="AM149" s="144">
        <v>0</v>
      </c>
      <c r="AN149" s="29">
        <v>26.25</v>
      </c>
      <c r="AO149" s="144">
        <v>26.172521739130435</v>
      </c>
      <c r="AP149" s="903"/>
      <c r="AQ149" s="879" t="s">
        <v>20211</v>
      </c>
      <c r="AR149" s="146" t="s">
        <v>20211</v>
      </c>
      <c r="AS149" s="946"/>
      <c r="AT149" s="58" t="s">
        <v>501</v>
      </c>
      <c r="AU149" s="118">
        <v>1982</v>
      </c>
      <c r="AV149" s="149" t="s">
        <v>2143</v>
      </c>
      <c r="AW149" s="120">
        <v>57.866844936852402</v>
      </c>
      <c r="AX149" s="120">
        <v>35.008621730403597</v>
      </c>
    </row>
    <row r="150" spans="1:50" ht="15" customHeight="1" x14ac:dyDescent="0.25">
      <c r="A150" s="875"/>
      <c r="B150" s="875"/>
      <c r="C150" s="143" t="s">
        <v>1141</v>
      </c>
      <c r="D150" s="9">
        <v>25</v>
      </c>
      <c r="E150" s="503" t="s">
        <v>522</v>
      </c>
      <c r="F150" s="503">
        <v>25</v>
      </c>
      <c r="G150" s="503"/>
      <c r="H150" s="501"/>
      <c r="I150" s="151" t="s">
        <v>20226</v>
      </c>
      <c r="J150" s="31">
        <v>4.28</v>
      </c>
      <c r="K150" s="504">
        <v>0</v>
      </c>
      <c r="L150" s="517">
        <v>120</v>
      </c>
      <c r="M150" s="144">
        <v>4.28</v>
      </c>
      <c r="N150" s="504">
        <v>0</v>
      </c>
      <c r="O150" s="29"/>
      <c r="P150" s="29">
        <v>26.25</v>
      </c>
      <c r="Q150" s="144">
        <v>21.97</v>
      </c>
      <c r="R150" s="877"/>
      <c r="S150" s="882"/>
      <c r="T150" s="146" t="s">
        <v>20211</v>
      </c>
      <c r="U150" s="879"/>
      <c r="V150" s="879"/>
      <c r="W150" s="879" t="s">
        <v>2025</v>
      </c>
      <c r="X150" s="43"/>
      <c r="Y150" s="875"/>
      <c r="Z150" s="874"/>
      <c r="AA150" s="143" t="s">
        <v>1141</v>
      </c>
      <c r="AB150" s="9">
        <v>25</v>
      </c>
      <c r="AC150" s="151" t="s">
        <v>522</v>
      </c>
      <c r="AD150" s="151">
        <v>25</v>
      </c>
      <c r="AE150" s="151"/>
      <c r="AF150" s="152"/>
      <c r="AG150" s="143" t="s">
        <v>20226</v>
      </c>
      <c r="AH150" s="144">
        <v>1.1046521739130433</v>
      </c>
      <c r="AI150" s="144">
        <v>5.3846521739130431</v>
      </c>
      <c r="AJ150" s="144">
        <v>0</v>
      </c>
      <c r="AK150" s="143">
        <v>120</v>
      </c>
      <c r="AL150" s="144">
        <v>5.3846521739130431</v>
      </c>
      <c r="AM150" s="144">
        <v>0</v>
      </c>
      <c r="AN150" s="29">
        <v>26.25</v>
      </c>
      <c r="AO150" s="144">
        <v>20.865347826086957</v>
      </c>
      <c r="AP150" s="904"/>
      <c r="AQ150" s="879" t="s">
        <v>20211</v>
      </c>
      <c r="AR150" s="146" t="s">
        <v>20211</v>
      </c>
      <c r="AS150" s="947"/>
      <c r="AT150" s="58" t="s">
        <v>501</v>
      </c>
      <c r="AU150" s="118">
        <v>1982</v>
      </c>
      <c r="AV150" s="149" t="s">
        <v>2143</v>
      </c>
      <c r="AW150" s="120">
        <v>57.866844936852402</v>
      </c>
      <c r="AX150" s="120">
        <v>35.008621730403597</v>
      </c>
    </row>
    <row r="151" spans="1:50" ht="15" customHeight="1" x14ac:dyDescent="0.25">
      <c r="A151" s="875">
        <v>109</v>
      </c>
      <c r="B151" s="875">
        <v>59</v>
      </c>
      <c r="C151" s="143" t="s">
        <v>712</v>
      </c>
      <c r="D151" s="9">
        <v>6.3</v>
      </c>
      <c r="E151" s="503" t="s">
        <v>522</v>
      </c>
      <c r="F151" s="503">
        <v>6.3</v>
      </c>
      <c r="G151" s="503"/>
      <c r="H151" s="501"/>
      <c r="I151" s="151" t="s">
        <v>20225</v>
      </c>
      <c r="J151" s="31">
        <v>2.5099999999999998</v>
      </c>
      <c r="K151" s="504">
        <v>1.1599999999999999</v>
      </c>
      <c r="L151" s="502">
        <v>120</v>
      </c>
      <c r="M151" s="144">
        <v>1.3499999999999999</v>
      </c>
      <c r="N151" s="504">
        <v>0</v>
      </c>
      <c r="O151" s="29"/>
      <c r="P151" s="29">
        <v>6.6150000000000002</v>
      </c>
      <c r="Q151" s="144">
        <v>5.2650000000000006</v>
      </c>
      <c r="R151" s="877">
        <v>5.2650000000000006</v>
      </c>
      <c r="S151" s="880" t="s">
        <v>20211</v>
      </c>
      <c r="T151" s="146" t="s">
        <v>20211</v>
      </c>
      <c r="U151" s="878">
        <v>37.944066515495081</v>
      </c>
      <c r="V151" s="878">
        <v>0.4</v>
      </c>
      <c r="W151" s="878" t="s">
        <v>2024</v>
      </c>
      <c r="X151" s="43"/>
      <c r="Y151" s="875">
        <v>109</v>
      </c>
      <c r="Z151" s="874">
        <v>59</v>
      </c>
      <c r="AA151" s="143" t="s">
        <v>712</v>
      </c>
      <c r="AB151" s="9">
        <v>6.3</v>
      </c>
      <c r="AC151" s="151" t="s">
        <v>522</v>
      </c>
      <c r="AD151" s="151">
        <v>6.3</v>
      </c>
      <c r="AE151" s="151"/>
      <c r="AF151" s="152"/>
      <c r="AG151" s="143" t="s">
        <v>20225</v>
      </c>
      <c r="AH151" s="144">
        <v>0.12590217391304348</v>
      </c>
      <c r="AI151" s="144">
        <v>2.6359021739130433</v>
      </c>
      <c r="AJ151" s="144">
        <v>1.1599999999999999</v>
      </c>
      <c r="AK151" s="143">
        <v>120</v>
      </c>
      <c r="AL151" s="144">
        <v>1.4759021739130433</v>
      </c>
      <c r="AM151" s="144">
        <v>0</v>
      </c>
      <c r="AN151" s="29">
        <v>6.6150000000000002</v>
      </c>
      <c r="AO151" s="144">
        <v>5.1390978260869566</v>
      </c>
      <c r="AP151" s="902">
        <v>5.1390978260869566</v>
      </c>
      <c r="AQ151" s="878" t="s">
        <v>20211</v>
      </c>
      <c r="AR151" s="146" t="s">
        <v>20211</v>
      </c>
      <c r="AS151" s="945">
        <v>39.847349567846464</v>
      </c>
      <c r="AT151" s="58" t="s">
        <v>501</v>
      </c>
      <c r="AU151" s="118">
        <v>1974</v>
      </c>
      <c r="AV151" s="149" t="s">
        <v>2143</v>
      </c>
      <c r="AW151" s="120">
        <v>57.468765872844202</v>
      </c>
      <c r="AX151" s="120">
        <v>34.716617163861798</v>
      </c>
    </row>
    <row r="152" spans="1:50" ht="15" customHeight="1" x14ac:dyDescent="0.25">
      <c r="A152" s="875"/>
      <c r="B152" s="875"/>
      <c r="C152" s="143" t="s">
        <v>1142</v>
      </c>
      <c r="D152" s="9">
        <v>6.3</v>
      </c>
      <c r="E152" s="503" t="s">
        <v>522</v>
      </c>
      <c r="F152" s="503">
        <v>6.3</v>
      </c>
      <c r="G152" s="503"/>
      <c r="H152" s="501"/>
      <c r="I152" s="151" t="s">
        <v>20225</v>
      </c>
      <c r="J152" s="31">
        <v>1.86</v>
      </c>
      <c r="K152" s="504">
        <v>1.86</v>
      </c>
      <c r="L152" s="502">
        <v>120</v>
      </c>
      <c r="M152" s="144">
        <v>0</v>
      </c>
      <c r="N152" s="504">
        <v>0</v>
      </c>
      <c r="O152" s="29"/>
      <c r="P152" s="29">
        <v>6.6150000000000002</v>
      </c>
      <c r="Q152" s="144">
        <v>6.6150000000000002</v>
      </c>
      <c r="R152" s="877"/>
      <c r="S152" s="881"/>
      <c r="T152" s="146" t="s">
        <v>20211</v>
      </c>
      <c r="U152" s="879"/>
      <c r="V152" s="879"/>
      <c r="W152" s="879" t="s">
        <v>2025</v>
      </c>
      <c r="X152" s="43"/>
      <c r="Y152" s="875"/>
      <c r="Z152" s="874"/>
      <c r="AA152" s="143" t="s">
        <v>1142</v>
      </c>
      <c r="AB152" s="9">
        <v>6.3</v>
      </c>
      <c r="AC152" s="151" t="s">
        <v>522</v>
      </c>
      <c r="AD152" s="151">
        <v>6.3</v>
      </c>
      <c r="AE152" s="151"/>
      <c r="AF152" s="152"/>
      <c r="AG152" s="143" t="s">
        <v>20225</v>
      </c>
      <c r="AH152" s="144">
        <v>9.8217391304347812E-2</v>
      </c>
      <c r="AI152" s="144">
        <v>1.9582173913043479</v>
      </c>
      <c r="AJ152" s="144">
        <v>1.86</v>
      </c>
      <c r="AK152" s="143">
        <v>120</v>
      </c>
      <c r="AL152" s="144">
        <v>9.8217391304347812E-2</v>
      </c>
      <c r="AM152" s="144">
        <v>0</v>
      </c>
      <c r="AN152" s="29">
        <v>6.6150000000000002</v>
      </c>
      <c r="AO152" s="144">
        <v>6.5167826086956522</v>
      </c>
      <c r="AP152" s="903"/>
      <c r="AQ152" s="879" t="s">
        <v>20211</v>
      </c>
      <c r="AR152" s="146" t="s">
        <v>20211</v>
      </c>
      <c r="AS152" s="946"/>
      <c r="AT152" s="58" t="s">
        <v>501</v>
      </c>
      <c r="AU152" s="118">
        <v>1974</v>
      </c>
      <c r="AV152" s="149" t="s">
        <v>2143</v>
      </c>
      <c r="AW152" s="120">
        <v>57.468765872844202</v>
      </c>
      <c r="AX152" s="120">
        <v>34.716617163861798</v>
      </c>
    </row>
    <row r="153" spans="1:50" ht="15" customHeight="1" x14ac:dyDescent="0.25">
      <c r="A153" s="875"/>
      <c r="B153" s="875"/>
      <c r="C153" s="143" t="s">
        <v>1141</v>
      </c>
      <c r="D153" s="9">
        <v>6.3</v>
      </c>
      <c r="E153" s="503" t="s">
        <v>522</v>
      </c>
      <c r="F153" s="503">
        <v>6.3</v>
      </c>
      <c r="G153" s="503"/>
      <c r="H153" s="501"/>
      <c r="I153" s="151" t="s">
        <v>20225</v>
      </c>
      <c r="J153" s="31">
        <v>0.65</v>
      </c>
      <c r="K153" s="504">
        <v>0</v>
      </c>
      <c r="L153" s="502">
        <v>0</v>
      </c>
      <c r="M153" s="144">
        <v>0.65</v>
      </c>
      <c r="N153" s="504">
        <v>0</v>
      </c>
      <c r="O153" s="29"/>
      <c r="P153" s="29">
        <v>6.6150000000000002</v>
      </c>
      <c r="Q153" s="144">
        <v>5.9649999999999999</v>
      </c>
      <c r="R153" s="877"/>
      <c r="S153" s="882"/>
      <c r="T153" s="146" t="s">
        <v>20211</v>
      </c>
      <c r="U153" s="879"/>
      <c r="V153" s="879"/>
      <c r="W153" s="879" t="s">
        <v>2025</v>
      </c>
      <c r="X153" s="43"/>
      <c r="Y153" s="875"/>
      <c r="Z153" s="874"/>
      <c r="AA153" s="143" t="s">
        <v>1141</v>
      </c>
      <c r="AB153" s="9">
        <v>6.3</v>
      </c>
      <c r="AC153" s="151" t="s">
        <v>522</v>
      </c>
      <c r="AD153" s="151">
        <v>6.3</v>
      </c>
      <c r="AE153" s="151"/>
      <c r="AF153" s="152"/>
      <c r="AG153" s="143" t="s">
        <v>20225</v>
      </c>
      <c r="AH153" s="148">
        <v>2.7684782608695654E-2</v>
      </c>
      <c r="AI153" s="144">
        <v>0.67768478260869569</v>
      </c>
      <c r="AJ153" s="144">
        <v>0</v>
      </c>
      <c r="AK153" s="143">
        <v>0</v>
      </c>
      <c r="AL153" s="144">
        <v>0.67768478260869569</v>
      </c>
      <c r="AM153" s="144">
        <v>0</v>
      </c>
      <c r="AN153" s="29">
        <v>6.6150000000000002</v>
      </c>
      <c r="AO153" s="144">
        <v>5.9373152173913049</v>
      </c>
      <c r="AP153" s="904"/>
      <c r="AQ153" s="879" t="s">
        <v>20211</v>
      </c>
      <c r="AR153" s="146" t="s">
        <v>20211</v>
      </c>
      <c r="AS153" s="947"/>
      <c r="AT153" s="58" t="s">
        <v>501</v>
      </c>
      <c r="AU153" s="118">
        <v>1974</v>
      </c>
      <c r="AV153" s="149" t="s">
        <v>2143</v>
      </c>
      <c r="AW153" s="120">
        <v>57.468765872844202</v>
      </c>
      <c r="AX153" s="120">
        <v>34.716617163861798</v>
      </c>
    </row>
    <row r="154" spans="1:50" ht="15" customHeight="1" x14ac:dyDescent="0.25">
      <c r="A154" s="871">
        <v>110</v>
      </c>
      <c r="B154" s="871">
        <v>60</v>
      </c>
      <c r="C154" s="152" t="s">
        <v>713</v>
      </c>
      <c r="D154" s="9">
        <v>25</v>
      </c>
      <c r="E154" s="503" t="s">
        <v>522</v>
      </c>
      <c r="F154" s="503">
        <v>25</v>
      </c>
      <c r="G154" s="503"/>
      <c r="H154" s="501"/>
      <c r="I154" s="151" t="s">
        <v>20226</v>
      </c>
      <c r="J154" s="31">
        <v>0.37</v>
      </c>
      <c r="K154" s="504">
        <v>0.62</v>
      </c>
      <c r="L154" s="502">
        <v>120</v>
      </c>
      <c r="M154" s="144">
        <v>-0.25</v>
      </c>
      <c r="N154" s="504">
        <v>0</v>
      </c>
      <c r="O154" s="29"/>
      <c r="P154" s="29">
        <v>26.25</v>
      </c>
      <c r="Q154" s="144">
        <v>26.5</v>
      </c>
      <c r="R154" s="902">
        <v>26.2</v>
      </c>
      <c r="S154" s="880" t="s">
        <v>20211</v>
      </c>
      <c r="T154" s="146" t="s">
        <v>20211</v>
      </c>
      <c r="U154" s="878">
        <v>1.4095238095238096</v>
      </c>
      <c r="V154" s="878">
        <v>0.4</v>
      </c>
      <c r="W154" s="878" t="s">
        <v>2024</v>
      </c>
      <c r="X154" s="43"/>
      <c r="Y154" s="871">
        <v>110</v>
      </c>
      <c r="Z154" s="885">
        <v>60</v>
      </c>
      <c r="AA154" s="152" t="s">
        <v>713</v>
      </c>
      <c r="AB154" s="9">
        <v>25</v>
      </c>
      <c r="AC154" s="151" t="s">
        <v>522</v>
      </c>
      <c r="AD154" s="151">
        <v>25</v>
      </c>
      <c r="AE154" s="151"/>
      <c r="AF154" s="152"/>
      <c r="AG154" s="143" t="s">
        <v>20226</v>
      </c>
      <c r="AH154" s="144">
        <v>0</v>
      </c>
      <c r="AI154" s="144">
        <v>0.37</v>
      </c>
      <c r="AJ154" s="144">
        <v>0.62</v>
      </c>
      <c r="AK154" s="143">
        <v>120</v>
      </c>
      <c r="AL154" s="144">
        <v>-0.25</v>
      </c>
      <c r="AM154" s="144">
        <v>0</v>
      </c>
      <c r="AN154" s="29">
        <v>26.25</v>
      </c>
      <c r="AO154" s="144">
        <v>26.5</v>
      </c>
      <c r="AP154" s="902">
        <v>26.2</v>
      </c>
      <c r="AQ154" s="878" t="s">
        <v>20211</v>
      </c>
      <c r="AR154" s="146" t="s">
        <v>20211</v>
      </c>
      <c r="AS154" s="945">
        <v>1.4095238095238096</v>
      </c>
      <c r="AT154" s="58" t="s">
        <v>501</v>
      </c>
      <c r="AU154" s="118">
        <v>1959</v>
      </c>
      <c r="AV154" s="149" t="s">
        <v>2143</v>
      </c>
      <c r="AW154" s="120">
        <v>57.637373082097099</v>
      </c>
      <c r="AX154" s="120">
        <v>34.465650829909301</v>
      </c>
    </row>
    <row r="155" spans="1:50" ht="15" customHeight="1" x14ac:dyDescent="0.25">
      <c r="A155" s="933"/>
      <c r="B155" s="872"/>
      <c r="C155" s="152" t="s">
        <v>1142</v>
      </c>
      <c r="D155" s="9">
        <v>25</v>
      </c>
      <c r="E155" s="503" t="s">
        <v>522</v>
      </c>
      <c r="F155" s="503">
        <v>25</v>
      </c>
      <c r="G155" s="503"/>
      <c r="H155" s="501"/>
      <c r="I155" s="151" t="s">
        <v>20226</v>
      </c>
      <c r="J155" s="31">
        <v>0.32</v>
      </c>
      <c r="K155" s="504">
        <v>0.32</v>
      </c>
      <c r="L155" s="502">
        <v>120</v>
      </c>
      <c r="M155" s="144">
        <v>0</v>
      </c>
      <c r="N155" s="504">
        <v>0</v>
      </c>
      <c r="O155" s="29"/>
      <c r="P155" s="29">
        <v>26.25</v>
      </c>
      <c r="Q155" s="144">
        <v>26.25</v>
      </c>
      <c r="R155" s="903"/>
      <c r="S155" s="881"/>
      <c r="T155" s="146" t="s">
        <v>20211</v>
      </c>
      <c r="U155" s="879"/>
      <c r="V155" s="879"/>
      <c r="W155" s="879" t="s">
        <v>2025</v>
      </c>
      <c r="X155" s="43"/>
      <c r="Y155" s="933"/>
      <c r="Z155" s="954"/>
      <c r="AA155" s="152" t="s">
        <v>1142</v>
      </c>
      <c r="AB155" s="9">
        <v>25</v>
      </c>
      <c r="AC155" s="151" t="s">
        <v>522</v>
      </c>
      <c r="AD155" s="151">
        <v>25</v>
      </c>
      <c r="AE155" s="151"/>
      <c r="AF155" s="152"/>
      <c r="AG155" s="143" t="s">
        <v>20226</v>
      </c>
      <c r="AH155" s="144">
        <v>0</v>
      </c>
      <c r="AI155" s="144">
        <v>0.32</v>
      </c>
      <c r="AJ155" s="144">
        <v>0.32</v>
      </c>
      <c r="AK155" s="143">
        <v>120</v>
      </c>
      <c r="AL155" s="144">
        <v>0</v>
      </c>
      <c r="AM155" s="144">
        <v>0</v>
      </c>
      <c r="AN155" s="29">
        <v>26.25</v>
      </c>
      <c r="AO155" s="144">
        <v>26.25</v>
      </c>
      <c r="AP155" s="903"/>
      <c r="AQ155" s="879" t="s">
        <v>20211</v>
      </c>
      <c r="AR155" s="146" t="s">
        <v>20211</v>
      </c>
      <c r="AS155" s="946"/>
      <c r="AT155" s="58" t="s">
        <v>501</v>
      </c>
      <c r="AU155" s="118">
        <v>1959</v>
      </c>
      <c r="AV155" s="149" t="s">
        <v>2143</v>
      </c>
      <c r="AW155" s="120">
        <v>57.637373082097099</v>
      </c>
      <c r="AX155" s="120">
        <v>34.465650829909301</v>
      </c>
    </row>
    <row r="156" spans="1:50" ht="15" customHeight="1" x14ac:dyDescent="0.25">
      <c r="A156" s="934"/>
      <c r="B156" s="873"/>
      <c r="C156" s="152" t="s">
        <v>1141</v>
      </c>
      <c r="D156" s="9">
        <v>25</v>
      </c>
      <c r="E156" s="503" t="s">
        <v>522</v>
      </c>
      <c r="F156" s="503">
        <v>25</v>
      </c>
      <c r="G156" s="503"/>
      <c r="H156" s="501"/>
      <c r="I156" s="151" t="s">
        <v>20226</v>
      </c>
      <c r="J156" s="31">
        <v>0.05</v>
      </c>
      <c r="K156" s="504">
        <v>0</v>
      </c>
      <c r="L156" s="502">
        <v>0</v>
      </c>
      <c r="M156" s="144">
        <v>0.05</v>
      </c>
      <c r="N156" s="504">
        <v>0</v>
      </c>
      <c r="O156" s="29"/>
      <c r="P156" s="29">
        <v>26.25</v>
      </c>
      <c r="Q156" s="144">
        <v>26.2</v>
      </c>
      <c r="R156" s="904"/>
      <c r="S156" s="882"/>
      <c r="T156" s="146" t="s">
        <v>20211</v>
      </c>
      <c r="U156" s="879"/>
      <c r="V156" s="879"/>
      <c r="W156" s="879" t="s">
        <v>2025</v>
      </c>
      <c r="X156" s="43"/>
      <c r="Y156" s="934"/>
      <c r="Z156" s="886"/>
      <c r="AA156" s="152" t="s">
        <v>1141</v>
      </c>
      <c r="AB156" s="9">
        <v>25</v>
      </c>
      <c r="AC156" s="151" t="s">
        <v>522</v>
      </c>
      <c r="AD156" s="151">
        <v>25</v>
      </c>
      <c r="AE156" s="151"/>
      <c r="AF156" s="152"/>
      <c r="AG156" s="143" t="s">
        <v>20226</v>
      </c>
      <c r="AH156" s="148">
        <v>0</v>
      </c>
      <c r="AI156" s="144">
        <v>0.05</v>
      </c>
      <c r="AJ156" s="144">
        <v>0</v>
      </c>
      <c r="AK156" s="143">
        <v>0</v>
      </c>
      <c r="AL156" s="144">
        <v>0.05</v>
      </c>
      <c r="AM156" s="144">
        <v>0</v>
      </c>
      <c r="AN156" s="29">
        <v>26.25</v>
      </c>
      <c r="AO156" s="144">
        <v>26.2</v>
      </c>
      <c r="AP156" s="904"/>
      <c r="AQ156" s="879" t="s">
        <v>20211</v>
      </c>
      <c r="AR156" s="146" t="s">
        <v>20211</v>
      </c>
      <c r="AS156" s="947"/>
      <c r="AT156" s="58" t="s">
        <v>501</v>
      </c>
      <c r="AU156" s="118">
        <v>1959</v>
      </c>
      <c r="AV156" s="149" t="s">
        <v>2143</v>
      </c>
      <c r="AW156" s="120">
        <v>57.637373082097099</v>
      </c>
      <c r="AX156" s="120">
        <v>34.465650829909301</v>
      </c>
    </row>
    <row r="157" spans="1:50" ht="15" customHeight="1" x14ac:dyDescent="0.25">
      <c r="A157" s="162">
        <v>111</v>
      </c>
      <c r="B157" s="162">
        <v>1</v>
      </c>
      <c r="C157" s="162" t="s">
        <v>714</v>
      </c>
      <c r="D157" s="9">
        <v>6.3</v>
      </c>
      <c r="E157" s="503"/>
      <c r="F157" s="503"/>
      <c r="G157" s="503"/>
      <c r="H157" s="501"/>
      <c r="I157" s="151" t="s">
        <v>20215</v>
      </c>
      <c r="J157" s="31">
        <v>2.5099999999999998</v>
      </c>
      <c r="K157" s="510">
        <v>1</v>
      </c>
      <c r="L157" s="509" t="s">
        <v>248</v>
      </c>
      <c r="M157" s="165">
        <v>1</v>
      </c>
      <c r="N157" s="504">
        <v>0</v>
      </c>
      <c r="O157" s="29"/>
      <c r="P157" s="30">
        <v>1</v>
      </c>
      <c r="Q157" s="165">
        <v>-1.5099999999999998</v>
      </c>
      <c r="R157" s="165">
        <v>-1.5099999999999998</v>
      </c>
      <c r="S157" s="145" t="s">
        <v>2217</v>
      </c>
      <c r="T157" s="146" t="s">
        <v>2217</v>
      </c>
      <c r="U157" s="145">
        <v>37.944066515495081</v>
      </c>
      <c r="V157" s="18">
        <v>0.39</v>
      </c>
      <c r="W157" s="505" t="s">
        <v>2260</v>
      </c>
      <c r="X157" s="43"/>
      <c r="Y157" s="162">
        <v>111</v>
      </c>
      <c r="Z157" s="163">
        <v>1</v>
      </c>
      <c r="AA157" s="162" t="s">
        <v>714</v>
      </c>
      <c r="AB157" s="9">
        <v>6.3</v>
      </c>
      <c r="AC157" s="151"/>
      <c r="AD157" s="151"/>
      <c r="AE157" s="151"/>
      <c r="AF157" s="152"/>
      <c r="AG157" s="143" t="s">
        <v>20215</v>
      </c>
      <c r="AH157" s="165">
        <v>0.93391304347826076</v>
      </c>
      <c r="AI157" s="165">
        <v>3.4439130434782603</v>
      </c>
      <c r="AJ157" s="144">
        <v>1</v>
      </c>
      <c r="AK157" s="143" t="s">
        <v>248</v>
      </c>
      <c r="AL157" s="144">
        <v>1</v>
      </c>
      <c r="AM157" s="144">
        <v>0</v>
      </c>
      <c r="AN157" s="30">
        <v>1</v>
      </c>
      <c r="AO157" s="165">
        <v>-2.4439130434782603</v>
      </c>
      <c r="AP157" s="165">
        <v>-2.4439130434782603</v>
      </c>
      <c r="AQ157" s="162" t="s">
        <v>2217</v>
      </c>
      <c r="AR157" s="146" t="s">
        <v>2217</v>
      </c>
      <c r="AS157" s="56">
        <v>52.062177528016022</v>
      </c>
      <c r="AT157" s="58" t="s">
        <v>503</v>
      </c>
      <c r="AU157" s="118">
        <v>1980</v>
      </c>
      <c r="AV157" s="149" t="s">
        <v>2143</v>
      </c>
      <c r="AW157" s="120">
        <v>56.888055490109899</v>
      </c>
      <c r="AX157" s="120">
        <v>37.371419727633999</v>
      </c>
    </row>
    <row r="158" spans="1:50" ht="15" customHeight="1" x14ac:dyDescent="0.25">
      <c r="A158" s="162">
        <v>112</v>
      </c>
      <c r="B158" s="162">
        <v>2</v>
      </c>
      <c r="C158" s="162" t="s">
        <v>715</v>
      </c>
      <c r="D158" s="9">
        <v>2.5</v>
      </c>
      <c r="E158" s="503" t="s">
        <v>522</v>
      </c>
      <c r="F158" s="503">
        <v>2.5</v>
      </c>
      <c r="G158" s="503"/>
      <c r="H158" s="501"/>
      <c r="I158" s="151" t="s">
        <v>20222</v>
      </c>
      <c r="J158" s="31">
        <v>1.1399999999999999</v>
      </c>
      <c r="K158" s="510">
        <v>0</v>
      </c>
      <c r="L158" s="2">
        <v>0</v>
      </c>
      <c r="M158" s="165">
        <v>1.1399999999999999</v>
      </c>
      <c r="N158" s="504">
        <v>0</v>
      </c>
      <c r="O158" s="29"/>
      <c r="P158" s="29">
        <v>2.625</v>
      </c>
      <c r="Q158" s="165">
        <v>1.4850000000000001</v>
      </c>
      <c r="R158" s="165">
        <v>1.4850000000000001</v>
      </c>
      <c r="S158" s="145" t="s">
        <v>20211</v>
      </c>
      <c r="T158" s="146" t="s">
        <v>20211</v>
      </c>
      <c r="U158" s="145">
        <v>43.428571428571423</v>
      </c>
      <c r="V158" s="505"/>
      <c r="W158" s="506" t="s">
        <v>2023</v>
      </c>
      <c r="X158" s="43"/>
      <c r="Y158" s="162">
        <v>112</v>
      </c>
      <c r="Z158" s="163">
        <v>2</v>
      </c>
      <c r="AA158" s="162" t="s">
        <v>715</v>
      </c>
      <c r="AB158" s="9">
        <v>2.5</v>
      </c>
      <c r="AC158" s="151" t="s">
        <v>522</v>
      </c>
      <c r="AD158" s="151">
        <v>2.5</v>
      </c>
      <c r="AE158" s="151"/>
      <c r="AF158" s="152"/>
      <c r="AG158" s="143" t="s">
        <v>20222</v>
      </c>
      <c r="AH158" s="165">
        <v>0.98471739130434766</v>
      </c>
      <c r="AI158" s="165">
        <v>2.1247173913043476</v>
      </c>
      <c r="AJ158" s="144">
        <v>0</v>
      </c>
      <c r="AK158" s="143">
        <v>0</v>
      </c>
      <c r="AL158" s="144">
        <v>2.1247173913043476</v>
      </c>
      <c r="AM158" s="144">
        <v>0</v>
      </c>
      <c r="AN158" s="29">
        <v>2.625</v>
      </c>
      <c r="AO158" s="165">
        <v>0.50028260869565244</v>
      </c>
      <c r="AP158" s="165">
        <v>0.50028260869565244</v>
      </c>
      <c r="AQ158" s="162" t="s">
        <v>20211</v>
      </c>
      <c r="AR158" s="146" t="s">
        <v>20211</v>
      </c>
      <c r="AS158" s="56">
        <v>80.941614906832285</v>
      </c>
      <c r="AT158" s="58" t="s">
        <v>503</v>
      </c>
      <c r="AU158" s="118">
        <v>1977</v>
      </c>
      <c r="AV158" s="149" t="s">
        <v>2143</v>
      </c>
      <c r="AW158" s="120">
        <v>57.244514696535497</v>
      </c>
      <c r="AX158" s="120">
        <v>37.584015705671703</v>
      </c>
    </row>
    <row r="159" spans="1:50" ht="15" customHeight="1" x14ac:dyDescent="0.25">
      <c r="A159" s="162">
        <v>113</v>
      </c>
      <c r="B159" s="162">
        <v>3</v>
      </c>
      <c r="C159" s="162" t="s">
        <v>1746</v>
      </c>
      <c r="D159" s="9">
        <v>5.6</v>
      </c>
      <c r="E159" s="503" t="s">
        <v>522</v>
      </c>
      <c r="F159" s="503">
        <v>6.3</v>
      </c>
      <c r="G159" s="503"/>
      <c r="H159" s="501"/>
      <c r="I159" s="151" t="s">
        <v>20244</v>
      </c>
      <c r="J159" s="31">
        <v>2.4300000000000002</v>
      </c>
      <c r="K159" s="510">
        <v>0</v>
      </c>
      <c r="L159" s="2">
        <v>0</v>
      </c>
      <c r="M159" s="165">
        <v>2.4300000000000002</v>
      </c>
      <c r="N159" s="504">
        <v>0</v>
      </c>
      <c r="O159" s="29"/>
      <c r="P159" s="29">
        <v>5.88</v>
      </c>
      <c r="Q159" s="165">
        <v>3.4499999999999997</v>
      </c>
      <c r="R159" s="165">
        <v>3.4499999999999997</v>
      </c>
      <c r="S159" s="145" t="s">
        <v>20211</v>
      </c>
      <c r="T159" s="146" t="s">
        <v>20211</v>
      </c>
      <c r="U159" s="145">
        <v>41.326530612244902</v>
      </c>
      <c r="V159" s="18"/>
      <c r="W159" s="506" t="s">
        <v>2023</v>
      </c>
      <c r="X159" s="43"/>
      <c r="Y159" s="162">
        <v>113</v>
      </c>
      <c r="Z159" s="163">
        <v>3</v>
      </c>
      <c r="AA159" s="162" t="s">
        <v>1746</v>
      </c>
      <c r="AB159" s="9">
        <v>5.6</v>
      </c>
      <c r="AC159" s="151" t="s">
        <v>522</v>
      </c>
      <c r="AD159" s="151">
        <v>6.3</v>
      </c>
      <c r="AE159" s="151"/>
      <c r="AF159" s="152"/>
      <c r="AG159" s="143" t="s">
        <v>20244</v>
      </c>
      <c r="AH159" s="165">
        <v>1.2019354838709677</v>
      </c>
      <c r="AI159" s="165">
        <v>3.6319354838709677</v>
      </c>
      <c r="AJ159" s="144">
        <v>0</v>
      </c>
      <c r="AK159" s="143">
        <v>0</v>
      </c>
      <c r="AL159" s="144">
        <v>3.6319354838709677</v>
      </c>
      <c r="AM159" s="144">
        <v>0</v>
      </c>
      <c r="AN159" s="29">
        <v>5.88</v>
      </c>
      <c r="AO159" s="165">
        <v>2.2480645161290322</v>
      </c>
      <c r="AP159" s="165">
        <v>2.2480645161290322</v>
      </c>
      <c r="AQ159" s="162" t="s">
        <v>20211</v>
      </c>
      <c r="AR159" s="146" t="s">
        <v>20211</v>
      </c>
      <c r="AS159" s="56">
        <v>61.767610269914421</v>
      </c>
      <c r="AT159" s="58" t="s">
        <v>503</v>
      </c>
      <c r="AU159" s="118">
        <v>1963</v>
      </c>
      <c r="AV159" s="149" t="s">
        <v>2143</v>
      </c>
      <c r="AW159" s="120">
        <v>56.959902731357602</v>
      </c>
      <c r="AX159" s="120">
        <v>37.513246034750402</v>
      </c>
    </row>
    <row r="160" spans="1:50" ht="15" customHeight="1" x14ac:dyDescent="0.25">
      <c r="A160" s="162">
        <v>114</v>
      </c>
      <c r="B160" s="162">
        <v>4</v>
      </c>
      <c r="C160" s="162" t="s">
        <v>716</v>
      </c>
      <c r="D160" s="9">
        <v>2.5</v>
      </c>
      <c r="E160" s="503" t="s">
        <v>522</v>
      </c>
      <c r="F160" s="503">
        <v>2.5</v>
      </c>
      <c r="G160" s="503"/>
      <c r="H160" s="501"/>
      <c r="I160" s="151" t="s">
        <v>20222</v>
      </c>
      <c r="J160" s="31">
        <v>1.1499999999999999</v>
      </c>
      <c r="K160" s="510">
        <v>0</v>
      </c>
      <c r="L160" s="2">
        <v>0</v>
      </c>
      <c r="M160" s="165">
        <v>1.1499999999999999</v>
      </c>
      <c r="N160" s="504">
        <v>0</v>
      </c>
      <c r="O160" s="29"/>
      <c r="P160" s="29">
        <v>2.625</v>
      </c>
      <c r="Q160" s="165">
        <v>1.4750000000000001</v>
      </c>
      <c r="R160" s="165">
        <v>1.4750000000000001</v>
      </c>
      <c r="S160" s="145" t="s">
        <v>20211</v>
      </c>
      <c r="T160" s="146" t="s">
        <v>20211</v>
      </c>
      <c r="U160" s="145">
        <v>43.809523809523803</v>
      </c>
      <c r="V160" s="18">
        <v>0.37</v>
      </c>
      <c r="W160" s="505" t="s">
        <v>2260</v>
      </c>
      <c r="X160" s="43"/>
      <c r="Y160" s="162">
        <v>114</v>
      </c>
      <c r="Z160" s="163">
        <v>4</v>
      </c>
      <c r="AA160" s="162" t="s">
        <v>716</v>
      </c>
      <c r="AB160" s="9">
        <v>2.5</v>
      </c>
      <c r="AC160" s="151" t="s">
        <v>522</v>
      </c>
      <c r="AD160" s="151">
        <v>2.5</v>
      </c>
      <c r="AE160" s="151"/>
      <c r="AF160" s="152"/>
      <c r="AG160" s="143" t="s">
        <v>20222</v>
      </c>
      <c r="AH160" s="165">
        <v>1.0813695652173911</v>
      </c>
      <c r="AI160" s="165">
        <v>2.231369565217391</v>
      </c>
      <c r="AJ160" s="144">
        <v>0</v>
      </c>
      <c r="AK160" s="143">
        <v>0</v>
      </c>
      <c r="AL160" s="144">
        <v>2.231369565217391</v>
      </c>
      <c r="AM160" s="144">
        <v>0</v>
      </c>
      <c r="AN160" s="29">
        <v>2.625</v>
      </c>
      <c r="AO160" s="165">
        <v>0.39363043478260895</v>
      </c>
      <c r="AP160" s="165">
        <v>0.39363043478260895</v>
      </c>
      <c r="AQ160" s="162" t="s">
        <v>20211</v>
      </c>
      <c r="AR160" s="146" t="s">
        <v>20211</v>
      </c>
      <c r="AS160" s="56">
        <v>85.004554865424424</v>
      </c>
      <c r="AT160" s="58" t="s">
        <v>503</v>
      </c>
      <c r="AU160" s="118">
        <v>1988</v>
      </c>
      <c r="AV160" s="149" t="s">
        <v>2143</v>
      </c>
      <c r="AW160" s="120">
        <v>57.242480311326098</v>
      </c>
      <c r="AX160" s="120">
        <v>37.884221681446903</v>
      </c>
    </row>
    <row r="161" spans="1:50" ht="15" customHeight="1" x14ac:dyDescent="0.25">
      <c r="A161" s="162">
        <v>115</v>
      </c>
      <c r="B161" s="162">
        <v>5</v>
      </c>
      <c r="C161" s="162" t="s">
        <v>717</v>
      </c>
      <c r="D161" s="9">
        <v>6.3</v>
      </c>
      <c r="E161" s="503" t="s">
        <v>522</v>
      </c>
      <c r="F161" s="503">
        <v>6.3</v>
      </c>
      <c r="G161" s="503"/>
      <c r="H161" s="501"/>
      <c r="I161" s="151" t="s">
        <v>20225</v>
      </c>
      <c r="J161" s="31">
        <v>3.46</v>
      </c>
      <c r="K161" s="510">
        <v>0</v>
      </c>
      <c r="L161" s="2">
        <v>0</v>
      </c>
      <c r="M161" s="165">
        <v>3.46</v>
      </c>
      <c r="N161" s="504">
        <v>0</v>
      </c>
      <c r="O161" s="29"/>
      <c r="P161" s="29">
        <v>6.6150000000000002</v>
      </c>
      <c r="Q161" s="165">
        <v>3.1550000000000002</v>
      </c>
      <c r="R161" s="165">
        <v>3.1550000000000002</v>
      </c>
      <c r="S161" s="145" t="s">
        <v>20211</v>
      </c>
      <c r="T161" s="146" t="s">
        <v>20211</v>
      </c>
      <c r="U161" s="145">
        <v>52.305366591080876</v>
      </c>
      <c r="V161" s="18">
        <v>0.33</v>
      </c>
      <c r="W161" s="505" t="s">
        <v>2260</v>
      </c>
      <c r="X161" s="43"/>
      <c r="Y161" s="162">
        <v>115</v>
      </c>
      <c r="Z161" s="163">
        <v>5</v>
      </c>
      <c r="AA161" s="162" t="s">
        <v>717</v>
      </c>
      <c r="AB161" s="9">
        <v>6.3</v>
      </c>
      <c r="AC161" s="151" t="s">
        <v>522</v>
      </c>
      <c r="AD161" s="151">
        <v>6.3</v>
      </c>
      <c r="AE161" s="151"/>
      <c r="AF161" s="152"/>
      <c r="AG161" s="143" t="s">
        <v>20225</v>
      </c>
      <c r="AH161" s="165">
        <v>0</v>
      </c>
      <c r="AI161" s="165">
        <v>3.46</v>
      </c>
      <c r="AJ161" s="144">
        <v>0</v>
      </c>
      <c r="AK161" s="143">
        <v>0</v>
      </c>
      <c r="AL161" s="144">
        <v>3.46</v>
      </c>
      <c r="AM161" s="144">
        <v>0</v>
      </c>
      <c r="AN161" s="29">
        <v>6.6150000000000002</v>
      </c>
      <c r="AO161" s="165">
        <v>3.1550000000000002</v>
      </c>
      <c r="AP161" s="165">
        <v>3.1550000000000002</v>
      </c>
      <c r="AQ161" s="162" t="s">
        <v>20211</v>
      </c>
      <c r="AR161" s="146" t="s">
        <v>20211</v>
      </c>
      <c r="AS161" s="56">
        <v>52.305366591080876</v>
      </c>
      <c r="AT161" s="58" t="s">
        <v>503</v>
      </c>
      <c r="AU161" s="118">
        <v>1992</v>
      </c>
      <c r="AV161" s="149" t="s">
        <v>2143</v>
      </c>
      <c r="AW161" s="120">
        <v>56.848672463074998</v>
      </c>
      <c r="AX161" s="120">
        <v>37.379829413867697</v>
      </c>
    </row>
    <row r="162" spans="1:50" ht="15" customHeight="1" x14ac:dyDescent="0.25">
      <c r="A162" s="162">
        <v>116</v>
      </c>
      <c r="B162" s="162">
        <v>6</v>
      </c>
      <c r="C162" s="162" t="s">
        <v>718</v>
      </c>
      <c r="D162" s="9">
        <v>4</v>
      </c>
      <c r="E162" s="503" t="s">
        <v>522</v>
      </c>
      <c r="F162" s="503">
        <v>2.5</v>
      </c>
      <c r="G162" s="503"/>
      <c r="H162" s="501"/>
      <c r="I162" s="151" t="s">
        <v>20221</v>
      </c>
      <c r="J162" s="31">
        <v>1.6</v>
      </c>
      <c r="K162" s="510">
        <v>0</v>
      </c>
      <c r="L162" s="2">
        <v>0</v>
      </c>
      <c r="M162" s="165">
        <v>1.6</v>
      </c>
      <c r="N162" s="504">
        <v>0</v>
      </c>
      <c r="O162" s="29"/>
      <c r="P162" s="29">
        <v>2.625</v>
      </c>
      <c r="Q162" s="165">
        <v>1.0249999999999999</v>
      </c>
      <c r="R162" s="165">
        <v>1.0249999999999999</v>
      </c>
      <c r="S162" s="145" t="s">
        <v>20211</v>
      </c>
      <c r="T162" s="146" t="s">
        <v>20211</v>
      </c>
      <c r="U162" s="145">
        <v>60.952380952380949</v>
      </c>
      <c r="V162" s="18"/>
      <c r="W162" s="506" t="s">
        <v>2023</v>
      </c>
      <c r="X162" s="43"/>
      <c r="Y162" s="162">
        <v>116</v>
      </c>
      <c r="Z162" s="163">
        <v>6</v>
      </c>
      <c r="AA162" s="162" t="s">
        <v>718</v>
      </c>
      <c r="AB162" s="9">
        <v>4</v>
      </c>
      <c r="AC162" s="151" t="s">
        <v>522</v>
      </c>
      <c r="AD162" s="151">
        <v>2.5</v>
      </c>
      <c r="AE162" s="151"/>
      <c r="AF162" s="152"/>
      <c r="AG162" s="143" t="s">
        <v>20221</v>
      </c>
      <c r="AH162" s="165">
        <v>0.59311956521739129</v>
      </c>
      <c r="AI162" s="165">
        <v>2.1931195652173914</v>
      </c>
      <c r="AJ162" s="144">
        <v>0</v>
      </c>
      <c r="AK162" s="143">
        <v>0</v>
      </c>
      <c r="AL162" s="144">
        <v>2.1931195652173914</v>
      </c>
      <c r="AM162" s="144">
        <v>0</v>
      </c>
      <c r="AN162" s="29">
        <v>2.625</v>
      </c>
      <c r="AO162" s="165">
        <v>0.43188043478260862</v>
      </c>
      <c r="AP162" s="165">
        <v>0.43188043478260862</v>
      </c>
      <c r="AQ162" s="162" t="s">
        <v>20211</v>
      </c>
      <c r="AR162" s="146" t="s">
        <v>20211</v>
      </c>
      <c r="AS162" s="56">
        <v>83.547412008281583</v>
      </c>
      <c r="AT162" s="58" t="s">
        <v>503</v>
      </c>
      <c r="AU162" s="118">
        <v>1960</v>
      </c>
      <c r="AV162" s="149" t="s">
        <v>2143</v>
      </c>
      <c r="AW162" s="120">
        <v>56.947236572806403</v>
      </c>
      <c r="AX162" s="120">
        <v>37.166472023563799</v>
      </c>
    </row>
    <row r="163" spans="1:50" ht="15" customHeight="1" x14ac:dyDescent="0.25">
      <c r="A163" s="162">
        <v>117</v>
      </c>
      <c r="B163" s="162">
        <v>7</v>
      </c>
      <c r="C163" s="162" t="s">
        <v>719</v>
      </c>
      <c r="D163" s="9">
        <v>6.3</v>
      </c>
      <c r="E163" s="503" t="s">
        <v>522</v>
      </c>
      <c r="F163" s="503">
        <v>6.3</v>
      </c>
      <c r="G163" s="503"/>
      <c r="H163" s="501"/>
      <c r="I163" s="151" t="s">
        <v>20225</v>
      </c>
      <c r="J163" s="31">
        <v>4.79</v>
      </c>
      <c r="K163" s="510">
        <v>0</v>
      </c>
      <c r="L163" s="2">
        <v>0</v>
      </c>
      <c r="M163" s="165">
        <v>4.79</v>
      </c>
      <c r="N163" s="504">
        <v>0</v>
      </c>
      <c r="O163" s="29"/>
      <c r="P163" s="29">
        <v>6.6150000000000002</v>
      </c>
      <c r="Q163" s="165">
        <v>1.8250000000000002</v>
      </c>
      <c r="R163" s="165">
        <v>1.8250000000000002</v>
      </c>
      <c r="S163" s="145" t="s">
        <v>20211</v>
      </c>
      <c r="T163" s="146" t="s">
        <v>20211</v>
      </c>
      <c r="U163" s="145">
        <v>72.411186696900984</v>
      </c>
      <c r="V163" s="18">
        <v>0.3</v>
      </c>
      <c r="W163" s="505" t="s">
        <v>2260</v>
      </c>
      <c r="X163" s="43"/>
      <c r="Y163" s="162">
        <v>117</v>
      </c>
      <c r="Z163" s="163">
        <v>7</v>
      </c>
      <c r="AA163" s="162" t="s">
        <v>719</v>
      </c>
      <c r="AB163" s="9">
        <v>6.3</v>
      </c>
      <c r="AC163" s="151" t="s">
        <v>522</v>
      </c>
      <c r="AD163" s="151">
        <v>6.3</v>
      </c>
      <c r="AE163" s="151"/>
      <c r="AF163" s="152"/>
      <c r="AG163" s="143" t="s">
        <v>20225</v>
      </c>
      <c r="AH163" s="165">
        <v>0.41928260869565226</v>
      </c>
      <c r="AI163" s="165">
        <v>5.2092826086956521</v>
      </c>
      <c r="AJ163" s="144">
        <v>0</v>
      </c>
      <c r="AK163" s="143">
        <v>0</v>
      </c>
      <c r="AL163" s="144">
        <v>5.2092826086956521</v>
      </c>
      <c r="AM163" s="144">
        <v>0</v>
      </c>
      <c r="AN163" s="29">
        <v>6.6150000000000002</v>
      </c>
      <c r="AO163" s="165">
        <v>1.4057173913043481</v>
      </c>
      <c r="AP163" s="165">
        <v>1.4057173913043481</v>
      </c>
      <c r="AQ163" s="5" t="s">
        <v>20211</v>
      </c>
      <c r="AR163" s="146" t="s">
        <v>20211</v>
      </c>
      <c r="AS163" s="56">
        <v>78.749548128430106</v>
      </c>
      <c r="AT163" s="58" t="s">
        <v>503</v>
      </c>
      <c r="AU163" s="118">
        <v>1972</v>
      </c>
      <c r="AV163" s="149" t="s">
        <v>2143</v>
      </c>
      <c r="AW163" s="120">
        <v>57.2325275754039</v>
      </c>
      <c r="AX163" s="120">
        <v>37.856639171112803</v>
      </c>
    </row>
    <row r="164" spans="1:50" ht="15" customHeight="1" x14ac:dyDescent="0.25">
      <c r="A164" s="162">
        <v>118</v>
      </c>
      <c r="B164" s="162">
        <v>8</v>
      </c>
      <c r="C164" s="162" t="s">
        <v>720</v>
      </c>
      <c r="D164" s="9">
        <v>16</v>
      </c>
      <c r="E164" s="503" t="s">
        <v>522</v>
      </c>
      <c r="F164" s="503">
        <v>16</v>
      </c>
      <c r="G164" s="503"/>
      <c r="H164" s="501"/>
      <c r="I164" s="151" t="s">
        <v>20243</v>
      </c>
      <c r="J164" s="31">
        <v>6.6</v>
      </c>
      <c r="K164" s="510">
        <v>0</v>
      </c>
      <c r="L164" s="2">
        <v>0</v>
      </c>
      <c r="M164" s="165">
        <v>6.6</v>
      </c>
      <c r="N164" s="504">
        <v>0</v>
      </c>
      <c r="O164" s="29"/>
      <c r="P164" s="29">
        <v>16.8</v>
      </c>
      <c r="Q164" s="165">
        <v>10.200000000000001</v>
      </c>
      <c r="R164" s="165">
        <v>10.200000000000001</v>
      </c>
      <c r="S164" s="145" t="s">
        <v>20211</v>
      </c>
      <c r="T164" s="146" t="s">
        <v>20211</v>
      </c>
      <c r="U164" s="145">
        <v>39.285714285714285</v>
      </c>
      <c r="V164" s="18">
        <v>0.37</v>
      </c>
      <c r="W164" s="505" t="s">
        <v>2260</v>
      </c>
      <c r="X164" s="43"/>
      <c r="Y164" s="162">
        <v>118</v>
      </c>
      <c r="Z164" s="163">
        <v>8</v>
      </c>
      <c r="AA164" s="162" t="s">
        <v>720</v>
      </c>
      <c r="AB164" s="9">
        <v>16</v>
      </c>
      <c r="AC164" s="151" t="s">
        <v>522</v>
      </c>
      <c r="AD164" s="151">
        <v>16</v>
      </c>
      <c r="AE164" s="151"/>
      <c r="AF164" s="152"/>
      <c r="AG164" s="143" t="s">
        <v>20243</v>
      </c>
      <c r="AH164" s="165">
        <v>0</v>
      </c>
      <c r="AI164" s="165">
        <v>6.6</v>
      </c>
      <c r="AJ164" s="144">
        <v>0</v>
      </c>
      <c r="AK164" s="143">
        <v>0</v>
      </c>
      <c r="AL164" s="144">
        <v>6.6</v>
      </c>
      <c r="AM164" s="144">
        <v>0</v>
      </c>
      <c r="AN164" s="29">
        <v>16.8</v>
      </c>
      <c r="AO164" s="165">
        <v>10.200000000000001</v>
      </c>
      <c r="AP164" s="165">
        <v>10.200000000000001</v>
      </c>
      <c r="AQ164" s="5" t="s">
        <v>20211</v>
      </c>
      <c r="AR164" s="146" t="s">
        <v>20211</v>
      </c>
      <c r="AS164" s="56">
        <v>39.285714285714285</v>
      </c>
      <c r="AT164" s="58" t="s">
        <v>503</v>
      </c>
      <c r="AU164" s="118">
        <v>1954</v>
      </c>
      <c r="AV164" s="149" t="s">
        <v>2143</v>
      </c>
      <c r="AW164" s="120">
        <v>56.851855272636001</v>
      </c>
      <c r="AX164" s="120">
        <v>37.355667217227797</v>
      </c>
    </row>
    <row r="165" spans="1:50" ht="15" customHeight="1" x14ac:dyDescent="0.25">
      <c r="A165" s="162">
        <v>119</v>
      </c>
      <c r="B165" s="162">
        <v>9</v>
      </c>
      <c r="C165" s="162" t="s">
        <v>721</v>
      </c>
      <c r="D165" s="9">
        <v>2.5</v>
      </c>
      <c r="E165" s="503" t="s">
        <v>522</v>
      </c>
      <c r="F165" s="503">
        <v>2.5</v>
      </c>
      <c r="G165" s="503"/>
      <c r="H165" s="501"/>
      <c r="I165" s="151" t="s">
        <v>20222</v>
      </c>
      <c r="J165" s="31">
        <v>0.55000000000000004</v>
      </c>
      <c r="K165" s="510">
        <v>0</v>
      </c>
      <c r="L165" s="2">
        <v>0</v>
      </c>
      <c r="M165" s="165">
        <v>0.55000000000000004</v>
      </c>
      <c r="N165" s="504">
        <v>0</v>
      </c>
      <c r="O165" s="29"/>
      <c r="P165" s="29">
        <v>2.625</v>
      </c>
      <c r="Q165" s="165">
        <v>2.0750000000000002</v>
      </c>
      <c r="R165" s="165">
        <v>2.0750000000000002</v>
      </c>
      <c r="S165" s="145" t="s">
        <v>20211</v>
      </c>
      <c r="T165" s="146" t="s">
        <v>20211</v>
      </c>
      <c r="U165" s="145">
        <v>20.952380952380956</v>
      </c>
      <c r="V165" s="18">
        <v>0.68</v>
      </c>
      <c r="W165" s="505" t="s">
        <v>2260</v>
      </c>
      <c r="X165" s="43"/>
      <c r="Y165" s="162">
        <v>119</v>
      </c>
      <c r="Z165" s="163">
        <v>9</v>
      </c>
      <c r="AA165" s="162" t="s">
        <v>721</v>
      </c>
      <c r="AB165" s="9">
        <v>2.5</v>
      </c>
      <c r="AC165" s="151" t="s">
        <v>522</v>
      </c>
      <c r="AD165" s="151">
        <v>2.5</v>
      </c>
      <c r="AE165" s="151"/>
      <c r="AF165" s="152"/>
      <c r="AG165" s="143" t="s">
        <v>20222</v>
      </c>
      <c r="AH165" s="165">
        <v>0</v>
      </c>
      <c r="AI165" s="165">
        <v>0.55000000000000004</v>
      </c>
      <c r="AJ165" s="144">
        <v>0</v>
      </c>
      <c r="AK165" s="143">
        <v>0</v>
      </c>
      <c r="AL165" s="144">
        <v>0.55000000000000004</v>
      </c>
      <c r="AM165" s="144">
        <v>0</v>
      </c>
      <c r="AN165" s="29">
        <v>2.625</v>
      </c>
      <c r="AO165" s="165">
        <v>2.0750000000000002</v>
      </c>
      <c r="AP165" s="165">
        <v>2.0750000000000002</v>
      </c>
      <c r="AQ165" s="5" t="s">
        <v>20211</v>
      </c>
      <c r="AR165" s="146" t="s">
        <v>20211</v>
      </c>
      <c r="AS165" s="56">
        <v>20.952380952380956</v>
      </c>
      <c r="AT165" s="58" t="s">
        <v>503</v>
      </c>
      <c r="AU165" s="118">
        <v>1981</v>
      </c>
      <c r="AV165" s="149" t="s">
        <v>2143</v>
      </c>
      <c r="AW165" s="120">
        <v>57.487016724667797</v>
      </c>
      <c r="AX165" s="120">
        <v>37.667822676991896</v>
      </c>
    </row>
    <row r="166" spans="1:50" ht="15" customHeight="1" x14ac:dyDescent="0.25">
      <c r="A166" s="162">
        <v>120</v>
      </c>
      <c r="B166" s="162">
        <v>10</v>
      </c>
      <c r="C166" s="162" t="s">
        <v>722</v>
      </c>
      <c r="D166" s="9">
        <v>4</v>
      </c>
      <c r="E166" s="503" t="s">
        <v>522</v>
      </c>
      <c r="F166" s="503">
        <v>4</v>
      </c>
      <c r="G166" s="503"/>
      <c r="H166" s="501"/>
      <c r="I166" s="151" t="s">
        <v>20235</v>
      </c>
      <c r="J166" s="31">
        <v>2.9</v>
      </c>
      <c r="K166" s="510">
        <v>0</v>
      </c>
      <c r="L166" s="2">
        <v>0</v>
      </c>
      <c r="M166" s="165">
        <v>2.9</v>
      </c>
      <c r="N166" s="504">
        <v>0</v>
      </c>
      <c r="O166" s="29"/>
      <c r="P166" s="29">
        <v>4.2</v>
      </c>
      <c r="Q166" s="165">
        <v>1.3000000000000003</v>
      </c>
      <c r="R166" s="165">
        <v>1.3000000000000003</v>
      </c>
      <c r="S166" s="145" t="s">
        <v>20211</v>
      </c>
      <c r="T166" s="146" t="s">
        <v>20211</v>
      </c>
      <c r="U166" s="145">
        <v>69.047619047619051</v>
      </c>
      <c r="V166" s="18">
        <v>0.37</v>
      </c>
      <c r="W166" s="505" t="s">
        <v>2260</v>
      </c>
      <c r="X166" s="43"/>
      <c r="Y166" s="162">
        <v>120</v>
      </c>
      <c r="Z166" s="163">
        <v>10</v>
      </c>
      <c r="AA166" s="162" t="s">
        <v>722</v>
      </c>
      <c r="AB166" s="9">
        <v>4</v>
      </c>
      <c r="AC166" s="151" t="s">
        <v>522</v>
      </c>
      <c r="AD166" s="151">
        <v>4</v>
      </c>
      <c r="AE166" s="151"/>
      <c r="AF166" s="152"/>
      <c r="AG166" s="143" t="s">
        <v>20235</v>
      </c>
      <c r="AH166" s="165">
        <v>0</v>
      </c>
      <c r="AI166" s="165">
        <v>2.9</v>
      </c>
      <c r="AJ166" s="144">
        <v>0</v>
      </c>
      <c r="AK166" s="143">
        <v>0</v>
      </c>
      <c r="AL166" s="144">
        <v>2.9</v>
      </c>
      <c r="AM166" s="144">
        <v>0</v>
      </c>
      <c r="AN166" s="29">
        <v>4.2</v>
      </c>
      <c r="AO166" s="165">
        <v>1.3000000000000003</v>
      </c>
      <c r="AP166" s="165">
        <v>1.3000000000000003</v>
      </c>
      <c r="AQ166" s="5" t="s">
        <v>20211</v>
      </c>
      <c r="AR166" s="146" t="s">
        <v>20211</v>
      </c>
      <c r="AS166" s="56">
        <v>69.047619047619051</v>
      </c>
      <c r="AT166" s="58" t="s">
        <v>503</v>
      </c>
      <c r="AU166" s="118">
        <v>1987</v>
      </c>
      <c r="AV166" s="149" t="s">
        <v>2143</v>
      </c>
      <c r="AW166" s="120">
        <v>57.365484080460902</v>
      </c>
      <c r="AX166" s="120">
        <v>37.609359391820099</v>
      </c>
    </row>
    <row r="167" spans="1:50" ht="15" customHeight="1" x14ac:dyDescent="0.25">
      <c r="A167" s="162">
        <v>121</v>
      </c>
      <c r="B167" s="162">
        <v>11</v>
      </c>
      <c r="C167" s="162" t="s">
        <v>723</v>
      </c>
      <c r="D167" s="9">
        <v>6.3</v>
      </c>
      <c r="E167" s="503" t="s">
        <v>522</v>
      </c>
      <c r="F167" s="503">
        <v>6.3</v>
      </c>
      <c r="G167" s="503"/>
      <c r="H167" s="501"/>
      <c r="I167" s="151" t="s">
        <v>20225</v>
      </c>
      <c r="J167" s="31">
        <v>2.98</v>
      </c>
      <c r="K167" s="510">
        <v>0</v>
      </c>
      <c r="L167" s="2">
        <v>0</v>
      </c>
      <c r="M167" s="165">
        <v>2.98</v>
      </c>
      <c r="N167" s="504">
        <v>0</v>
      </c>
      <c r="O167" s="29"/>
      <c r="P167" s="29">
        <v>6.6150000000000002</v>
      </c>
      <c r="Q167" s="165">
        <v>3.6350000000000002</v>
      </c>
      <c r="R167" s="165">
        <v>3.6350000000000002</v>
      </c>
      <c r="S167" s="145" t="s">
        <v>20211</v>
      </c>
      <c r="T167" s="146" t="s">
        <v>20211</v>
      </c>
      <c r="U167" s="145">
        <v>45.049130763416478</v>
      </c>
      <c r="V167" s="18">
        <v>0.37</v>
      </c>
      <c r="W167" s="505" t="s">
        <v>2260</v>
      </c>
      <c r="X167" s="43"/>
      <c r="Y167" s="162">
        <v>121</v>
      </c>
      <c r="Z167" s="163">
        <v>11</v>
      </c>
      <c r="AA167" s="162" t="s">
        <v>723</v>
      </c>
      <c r="AB167" s="9">
        <v>6.3</v>
      </c>
      <c r="AC167" s="151" t="s">
        <v>522</v>
      </c>
      <c r="AD167" s="151">
        <v>6.3</v>
      </c>
      <c r="AE167" s="151"/>
      <c r="AF167" s="152"/>
      <c r="AG167" s="143" t="s">
        <v>20225</v>
      </c>
      <c r="AH167" s="165">
        <v>0</v>
      </c>
      <c r="AI167" s="165">
        <v>2.98</v>
      </c>
      <c r="AJ167" s="144">
        <v>0</v>
      </c>
      <c r="AK167" s="143">
        <v>0</v>
      </c>
      <c r="AL167" s="144">
        <v>2.98</v>
      </c>
      <c r="AM167" s="144">
        <v>0</v>
      </c>
      <c r="AN167" s="29">
        <v>6.6150000000000002</v>
      </c>
      <c r="AO167" s="165">
        <v>3.6350000000000002</v>
      </c>
      <c r="AP167" s="165">
        <v>3.6350000000000002</v>
      </c>
      <c r="AQ167" s="5" t="s">
        <v>20211</v>
      </c>
      <c r="AR167" s="146" t="s">
        <v>20211</v>
      </c>
      <c r="AS167" s="56">
        <v>45.049130763416478</v>
      </c>
      <c r="AT167" s="58" t="s">
        <v>503</v>
      </c>
      <c r="AU167" s="118">
        <v>1977</v>
      </c>
      <c r="AV167" s="149" t="s">
        <v>2143</v>
      </c>
      <c r="AW167" s="120">
        <v>56.885961433885598</v>
      </c>
      <c r="AX167" s="120">
        <v>37.382196841384498</v>
      </c>
    </row>
    <row r="168" spans="1:50" ht="15" customHeight="1" x14ac:dyDescent="0.25">
      <c r="A168" s="162">
        <v>122</v>
      </c>
      <c r="B168" s="162">
        <v>12</v>
      </c>
      <c r="C168" s="162" t="s">
        <v>724</v>
      </c>
      <c r="D168" s="9">
        <v>4</v>
      </c>
      <c r="E168" s="503" t="s">
        <v>522</v>
      </c>
      <c r="F168" s="503">
        <v>4</v>
      </c>
      <c r="G168" s="503"/>
      <c r="H168" s="501"/>
      <c r="I168" s="151" t="s">
        <v>20235</v>
      </c>
      <c r="J168" s="31">
        <v>2.68</v>
      </c>
      <c r="K168" s="510">
        <v>0</v>
      </c>
      <c r="L168" s="2">
        <v>0</v>
      </c>
      <c r="M168" s="165">
        <v>2.68</v>
      </c>
      <c r="N168" s="504">
        <v>0</v>
      </c>
      <c r="O168" s="29"/>
      <c r="P168" s="29">
        <v>4.2</v>
      </c>
      <c r="Q168" s="165">
        <v>1.52</v>
      </c>
      <c r="R168" s="165">
        <v>1.52</v>
      </c>
      <c r="S168" s="145" t="s">
        <v>20211</v>
      </c>
      <c r="T168" s="146" t="s">
        <v>20211</v>
      </c>
      <c r="U168" s="145">
        <v>63.80952380952381</v>
      </c>
      <c r="V168" s="505"/>
      <c r="W168" s="506" t="s">
        <v>2023</v>
      </c>
      <c r="X168" s="43"/>
      <c r="Y168" s="162">
        <v>122</v>
      </c>
      <c r="Z168" s="163">
        <v>12</v>
      </c>
      <c r="AA168" s="162" t="s">
        <v>724</v>
      </c>
      <c r="AB168" s="9">
        <v>4</v>
      </c>
      <c r="AC168" s="151" t="s">
        <v>522</v>
      </c>
      <c r="AD168" s="151">
        <v>4</v>
      </c>
      <c r="AE168" s="151"/>
      <c r="AF168" s="152"/>
      <c r="AG168" s="143" t="s">
        <v>20235</v>
      </c>
      <c r="AH168" s="165">
        <v>0.46516304347826087</v>
      </c>
      <c r="AI168" s="165">
        <v>3.1451630434782611</v>
      </c>
      <c r="AJ168" s="144">
        <v>0</v>
      </c>
      <c r="AK168" s="143">
        <v>0</v>
      </c>
      <c r="AL168" s="144">
        <v>3.1451630434782611</v>
      </c>
      <c r="AM168" s="144">
        <v>0</v>
      </c>
      <c r="AN168" s="29">
        <v>4.2</v>
      </c>
      <c r="AO168" s="165">
        <v>1.054836956521739</v>
      </c>
      <c r="AP168" s="165">
        <v>1.054836956521739</v>
      </c>
      <c r="AQ168" s="5" t="s">
        <v>20211</v>
      </c>
      <c r="AR168" s="146" t="s">
        <v>20211</v>
      </c>
      <c r="AS168" s="56">
        <v>74.884834368530022</v>
      </c>
      <c r="AT168" s="58" t="s">
        <v>503</v>
      </c>
      <c r="AU168" s="118">
        <v>1980</v>
      </c>
      <c r="AV168" s="149" t="s">
        <v>2143</v>
      </c>
      <c r="AW168" s="120">
        <v>56.888055490109899</v>
      </c>
      <c r="AX168" s="120">
        <v>37.371419727633999</v>
      </c>
    </row>
    <row r="169" spans="1:50" ht="15" customHeight="1" x14ac:dyDescent="0.25">
      <c r="A169" s="162">
        <v>123</v>
      </c>
      <c r="B169" s="162">
        <v>13</v>
      </c>
      <c r="C169" s="162" t="s">
        <v>1747</v>
      </c>
      <c r="D169" s="9">
        <v>2.5</v>
      </c>
      <c r="E169" s="503" t="s">
        <v>522</v>
      </c>
      <c r="F169" s="503">
        <v>1.8</v>
      </c>
      <c r="G169" s="503"/>
      <c r="H169" s="501"/>
      <c r="I169" s="151" t="s">
        <v>20245</v>
      </c>
      <c r="J169" s="31">
        <v>0.76</v>
      </c>
      <c r="K169" s="510">
        <v>0</v>
      </c>
      <c r="L169" s="2">
        <v>0</v>
      </c>
      <c r="M169" s="165">
        <v>0.76</v>
      </c>
      <c r="N169" s="504">
        <v>0</v>
      </c>
      <c r="O169" s="29"/>
      <c r="P169" s="29">
        <v>1.8900000000000001</v>
      </c>
      <c r="Q169" s="165">
        <v>1.1300000000000001</v>
      </c>
      <c r="R169" s="165">
        <v>1.1300000000000001</v>
      </c>
      <c r="S169" s="145" t="s">
        <v>20211</v>
      </c>
      <c r="T169" s="146" t="s">
        <v>20211</v>
      </c>
      <c r="U169" s="145">
        <v>40.211640211640209</v>
      </c>
      <c r="V169" s="18">
        <v>0.3</v>
      </c>
      <c r="W169" s="505" t="s">
        <v>2260</v>
      </c>
      <c r="X169" s="43"/>
      <c r="Y169" s="162">
        <v>123</v>
      </c>
      <c r="Z169" s="163">
        <v>13</v>
      </c>
      <c r="AA169" s="162" t="s">
        <v>1747</v>
      </c>
      <c r="AB169" s="9">
        <v>2.5</v>
      </c>
      <c r="AC169" s="151" t="s">
        <v>522</v>
      </c>
      <c r="AD169" s="151">
        <v>1.8</v>
      </c>
      <c r="AE169" s="151"/>
      <c r="AF169" s="152"/>
      <c r="AG169" s="143" t="s">
        <v>20245</v>
      </c>
      <c r="AH169" s="165">
        <v>0.65709782608695655</v>
      </c>
      <c r="AI169" s="165">
        <v>1.4170978260869567</v>
      </c>
      <c r="AJ169" s="144">
        <v>0</v>
      </c>
      <c r="AK169" s="143">
        <v>0</v>
      </c>
      <c r="AL169" s="144">
        <v>1.4170978260869567</v>
      </c>
      <c r="AM169" s="144">
        <v>0</v>
      </c>
      <c r="AN169" s="29">
        <v>1.8900000000000001</v>
      </c>
      <c r="AO169" s="165">
        <v>0.47290217391304346</v>
      </c>
      <c r="AP169" s="165">
        <v>0.47290217391304346</v>
      </c>
      <c r="AQ169" s="5" t="s">
        <v>20211</v>
      </c>
      <c r="AR169" s="146" t="s">
        <v>20211</v>
      </c>
      <c r="AS169" s="56">
        <v>74.978720956981832</v>
      </c>
      <c r="AT169" s="58" t="s">
        <v>503</v>
      </c>
      <c r="AU169" s="118">
        <v>1977</v>
      </c>
      <c r="AV169" s="149" t="s">
        <v>2143</v>
      </c>
      <c r="AW169" s="120">
        <v>56.911075359962503</v>
      </c>
      <c r="AX169" s="120">
        <v>38.091555987739802</v>
      </c>
    </row>
    <row r="170" spans="1:50" ht="15" customHeight="1" x14ac:dyDescent="0.25">
      <c r="A170" s="162">
        <v>124</v>
      </c>
      <c r="B170" s="162">
        <v>14</v>
      </c>
      <c r="C170" s="162" t="s">
        <v>1748</v>
      </c>
      <c r="D170" s="9">
        <v>1.6</v>
      </c>
      <c r="E170" s="503" t="s">
        <v>522</v>
      </c>
      <c r="F170" s="503">
        <v>1.6</v>
      </c>
      <c r="G170" s="503"/>
      <c r="H170" s="501"/>
      <c r="I170" s="151" t="s">
        <v>20234</v>
      </c>
      <c r="J170" s="31">
        <v>1.1499999999999999</v>
      </c>
      <c r="K170" s="510">
        <v>0</v>
      </c>
      <c r="L170" s="2">
        <v>0</v>
      </c>
      <c r="M170" s="165">
        <v>1.1499999999999999</v>
      </c>
      <c r="N170" s="504">
        <v>0</v>
      </c>
      <c r="O170" s="29"/>
      <c r="P170" s="29">
        <v>1.6800000000000002</v>
      </c>
      <c r="Q170" s="165">
        <v>0.53000000000000025</v>
      </c>
      <c r="R170" s="165">
        <v>0.53000000000000025</v>
      </c>
      <c r="S170" s="145" t="s">
        <v>20211</v>
      </c>
      <c r="T170" s="146" t="s">
        <v>20211</v>
      </c>
      <c r="U170" s="145">
        <v>68.452380952380935</v>
      </c>
      <c r="V170" s="505"/>
      <c r="W170" s="506" t="s">
        <v>2023</v>
      </c>
      <c r="X170" s="43"/>
      <c r="Y170" s="162">
        <v>124</v>
      </c>
      <c r="Z170" s="163">
        <v>14</v>
      </c>
      <c r="AA170" s="162" t="s">
        <v>1748</v>
      </c>
      <c r="AB170" s="9">
        <v>1.6</v>
      </c>
      <c r="AC170" s="151" t="s">
        <v>522</v>
      </c>
      <c r="AD170" s="151">
        <v>1.6</v>
      </c>
      <c r="AE170" s="151"/>
      <c r="AF170" s="152"/>
      <c r="AG170" s="143" t="s">
        <v>20234</v>
      </c>
      <c r="AH170" s="165">
        <v>1.0021304347826085</v>
      </c>
      <c r="AI170" s="165">
        <v>2.1521304347826087</v>
      </c>
      <c r="AJ170" s="144">
        <v>0</v>
      </c>
      <c r="AK170" s="143">
        <v>0</v>
      </c>
      <c r="AL170" s="144">
        <v>2.1521304347826087</v>
      </c>
      <c r="AM170" s="144">
        <v>0</v>
      </c>
      <c r="AN170" s="29">
        <v>1.6800000000000002</v>
      </c>
      <c r="AO170" s="165">
        <v>-0.47213043478260852</v>
      </c>
      <c r="AP170" s="165">
        <v>-0.47213043478260852</v>
      </c>
      <c r="AQ170" s="5" t="s">
        <v>2217</v>
      </c>
      <c r="AR170" s="146" t="s">
        <v>2217</v>
      </c>
      <c r="AS170" s="56">
        <v>128.10300207039336</v>
      </c>
      <c r="AT170" s="58" t="s">
        <v>503</v>
      </c>
      <c r="AU170" s="118">
        <v>1962</v>
      </c>
      <c r="AV170" s="149" t="s">
        <v>2143</v>
      </c>
      <c r="AW170" s="120">
        <v>57.143513457773402</v>
      </c>
      <c r="AX170" s="120">
        <v>37.344154651262798</v>
      </c>
    </row>
    <row r="171" spans="1:50" ht="15" customHeight="1" x14ac:dyDescent="0.25">
      <c r="A171" s="162">
        <v>125</v>
      </c>
      <c r="B171" s="162">
        <v>15</v>
      </c>
      <c r="C171" s="162" t="s">
        <v>1749</v>
      </c>
      <c r="D171" s="9">
        <v>4</v>
      </c>
      <c r="E171" s="503" t="s">
        <v>522</v>
      </c>
      <c r="F171" s="503">
        <v>2.5</v>
      </c>
      <c r="G171" s="503"/>
      <c r="H171" s="501"/>
      <c r="I171" s="151" t="s">
        <v>20221</v>
      </c>
      <c r="J171" s="31">
        <v>1.8</v>
      </c>
      <c r="K171" s="510">
        <v>0</v>
      </c>
      <c r="L171" s="2">
        <v>0</v>
      </c>
      <c r="M171" s="165">
        <v>1.8</v>
      </c>
      <c r="N171" s="504">
        <v>0</v>
      </c>
      <c r="O171" s="29"/>
      <c r="P171" s="29">
        <v>2.625</v>
      </c>
      <c r="Q171" s="165">
        <v>0.82499999999999996</v>
      </c>
      <c r="R171" s="165">
        <v>0.82499999999999996</v>
      </c>
      <c r="S171" s="145" t="s">
        <v>20211</v>
      </c>
      <c r="T171" s="146" t="s">
        <v>20211</v>
      </c>
      <c r="U171" s="145">
        <v>68.571428571428569</v>
      </c>
      <c r="V171" s="18">
        <v>0.38</v>
      </c>
      <c r="W171" s="505" t="s">
        <v>2260</v>
      </c>
      <c r="X171" s="43"/>
      <c r="Y171" s="162">
        <v>125</v>
      </c>
      <c r="Z171" s="163">
        <v>15</v>
      </c>
      <c r="AA171" s="162" t="s">
        <v>1749</v>
      </c>
      <c r="AB171" s="9">
        <v>4</v>
      </c>
      <c r="AC171" s="151" t="s">
        <v>522</v>
      </c>
      <c r="AD171" s="151">
        <v>2.5</v>
      </c>
      <c r="AE171" s="151"/>
      <c r="AF171" s="152"/>
      <c r="AG171" s="143" t="s">
        <v>20221</v>
      </c>
      <c r="AH171" s="165">
        <v>1.2402391304347824</v>
      </c>
      <c r="AI171" s="165">
        <v>3.0402391304347827</v>
      </c>
      <c r="AJ171" s="144">
        <v>0</v>
      </c>
      <c r="AK171" s="143">
        <v>0</v>
      </c>
      <c r="AL171" s="144">
        <v>3.0402391304347827</v>
      </c>
      <c r="AM171" s="144">
        <v>0</v>
      </c>
      <c r="AN171" s="29">
        <v>2.625</v>
      </c>
      <c r="AO171" s="165">
        <v>-0.41523913043478267</v>
      </c>
      <c r="AP171" s="165">
        <v>-0.41523913043478267</v>
      </c>
      <c r="AQ171" s="5" t="s">
        <v>2217</v>
      </c>
      <c r="AR171" s="146" t="s">
        <v>2217</v>
      </c>
      <c r="AS171" s="56">
        <v>115.81863354037267</v>
      </c>
      <c r="AT171" s="58" t="s">
        <v>503</v>
      </c>
      <c r="AU171" s="118">
        <v>1976</v>
      </c>
      <c r="AV171" s="149" t="s">
        <v>2143</v>
      </c>
      <c r="AW171" s="120">
        <v>57.040704268934398</v>
      </c>
      <c r="AX171" s="120">
        <v>37.980212651178803</v>
      </c>
    </row>
    <row r="172" spans="1:50" ht="15" customHeight="1" x14ac:dyDescent="0.25">
      <c r="A172" s="162">
        <v>126</v>
      </c>
      <c r="B172" s="162">
        <v>16</v>
      </c>
      <c r="C172" s="162" t="s">
        <v>725</v>
      </c>
      <c r="D172" s="9">
        <v>2.5</v>
      </c>
      <c r="E172" s="503" t="s">
        <v>522</v>
      </c>
      <c r="F172" s="503">
        <v>2.5</v>
      </c>
      <c r="G172" s="503"/>
      <c r="H172" s="501"/>
      <c r="I172" s="151" t="s">
        <v>20222</v>
      </c>
      <c r="J172" s="31">
        <v>2.0099999999999998</v>
      </c>
      <c r="K172" s="510">
        <v>0</v>
      </c>
      <c r="L172" s="2">
        <v>0</v>
      </c>
      <c r="M172" s="165">
        <v>2.0099999999999998</v>
      </c>
      <c r="N172" s="504">
        <v>0</v>
      </c>
      <c r="O172" s="29"/>
      <c r="P172" s="29">
        <v>2.625</v>
      </c>
      <c r="Q172" s="165">
        <v>0.61500000000000021</v>
      </c>
      <c r="R172" s="165">
        <v>0.61500000000000021</v>
      </c>
      <c r="S172" s="145" t="s">
        <v>20211</v>
      </c>
      <c r="T172" s="146" t="s">
        <v>20211</v>
      </c>
      <c r="U172" s="145">
        <v>76.571428571428555</v>
      </c>
      <c r="V172" s="18">
        <v>0.28000000000000003</v>
      </c>
      <c r="W172" s="505" t="s">
        <v>2260</v>
      </c>
      <c r="X172" s="43"/>
      <c r="Y172" s="162">
        <v>126</v>
      </c>
      <c r="Z172" s="163">
        <v>16</v>
      </c>
      <c r="AA172" s="162" t="s">
        <v>725</v>
      </c>
      <c r="AB172" s="9">
        <v>2.5</v>
      </c>
      <c r="AC172" s="151" t="s">
        <v>522</v>
      </c>
      <c r="AD172" s="151">
        <v>2.5</v>
      </c>
      <c r="AE172" s="151"/>
      <c r="AF172" s="152"/>
      <c r="AG172" s="143" t="s">
        <v>20222</v>
      </c>
      <c r="AH172" s="165">
        <v>1.3499021739130432</v>
      </c>
      <c r="AI172" s="165">
        <v>3.359902173913043</v>
      </c>
      <c r="AJ172" s="144">
        <v>0</v>
      </c>
      <c r="AK172" s="143">
        <v>0</v>
      </c>
      <c r="AL172" s="144">
        <v>3.359902173913043</v>
      </c>
      <c r="AM172" s="144">
        <v>0</v>
      </c>
      <c r="AN172" s="29">
        <v>2.625</v>
      </c>
      <c r="AO172" s="165">
        <v>-0.73490217391304302</v>
      </c>
      <c r="AP172" s="165">
        <v>-0.73490217391304302</v>
      </c>
      <c r="AQ172" s="5" t="s">
        <v>2217</v>
      </c>
      <c r="AR172" s="146" t="s">
        <v>2217</v>
      </c>
      <c r="AS172" s="56">
        <v>127.99627329192546</v>
      </c>
      <c r="AT172" s="58" t="s">
        <v>503</v>
      </c>
      <c r="AU172" s="118">
        <v>1983</v>
      </c>
      <c r="AV172" s="149" t="s">
        <v>2143</v>
      </c>
      <c r="AW172" s="120">
        <v>57.113641995156897</v>
      </c>
      <c r="AX172" s="120">
        <v>37.869835747962298</v>
      </c>
    </row>
    <row r="173" spans="1:50" ht="15" customHeight="1" x14ac:dyDescent="0.25">
      <c r="A173" s="162">
        <v>127</v>
      </c>
      <c r="B173" s="162">
        <v>17</v>
      </c>
      <c r="C173" s="162" t="s">
        <v>726</v>
      </c>
      <c r="D173" s="9">
        <v>2.5</v>
      </c>
      <c r="E173" s="503" t="s">
        <v>522</v>
      </c>
      <c r="F173" s="503">
        <v>2.5</v>
      </c>
      <c r="G173" s="503"/>
      <c r="H173" s="501"/>
      <c r="I173" s="151" t="s">
        <v>20222</v>
      </c>
      <c r="J173" s="31">
        <v>0.24</v>
      </c>
      <c r="K173" s="510">
        <v>0</v>
      </c>
      <c r="L173" s="2">
        <v>0</v>
      </c>
      <c r="M173" s="165">
        <v>0.24</v>
      </c>
      <c r="N173" s="504">
        <v>0</v>
      </c>
      <c r="O173" s="29"/>
      <c r="P173" s="29">
        <v>2.625</v>
      </c>
      <c r="Q173" s="165">
        <v>2.3849999999999998</v>
      </c>
      <c r="R173" s="165">
        <v>2.3849999999999998</v>
      </c>
      <c r="S173" s="145" t="s">
        <v>20211</v>
      </c>
      <c r="T173" s="146" t="s">
        <v>20211</v>
      </c>
      <c r="U173" s="145">
        <v>9.1428571428571423</v>
      </c>
      <c r="V173" s="505"/>
      <c r="W173" s="506" t="s">
        <v>2023</v>
      </c>
      <c r="X173" s="43"/>
      <c r="Y173" s="162">
        <v>127</v>
      </c>
      <c r="Z173" s="163">
        <v>17</v>
      </c>
      <c r="AA173" s="162" t="s">
        <v>726</v>
      </c>
      <c r="AB173" s="9">
        <v>2.5</v>
      </c>
      <c r="AC173" s="151" t="s">
        <v>522</v>
      </c>
      <c r="AD173" s="151">
        <v>2.5</v>
      </c>
      <c r="AE173" s="151"/>
      <c r="AF173" s="152"/>
      <c r="AG173" s="143" t="s">
        <v>20222</v>
      </c>
      <c r="AH173" s="165">
        <v>7.7282608695652164E-2</v>
      </c>
      <c r="AI173" s="165">
        <v>0.31728260869565217</v>
      </c>
      <c r="AJ173" s="144">
        <v>0</v>
      </c>
      <c r="AK173" s="143">
        <v>0</v>
      </c>
      <c r="AL173" s="144">
        <v>0.31728260869565217</v>
      </c>
      <c r="AM173" s="144">
        <v>0</v>
      </c>
      <c r="AN173" s="29">
        <v>2.625</v>
      </c>
      <c r="AO173" s="165">
        <v>2.3077173913043478</v>
      </c>
      <c r="AP173" s="165">
        <v>2.3077173913043478</v>
      </c>
      <c r="AQ173" s="145" t="s">
        <v>20211</v>
      </c>
      <c r="AR173" s="146" t="s">
        <v>20211</v>
      </c>
      <c r="AS173" s="56">
        <v>12.086956521739131</v>
      </c>
      <c r="AT173" s="58" t="s">
        <v>503</v>
      </c>
      <c r="AU173" s="118">
        <v>1976</v>
      </c>
      <c r="AV173" s="149" t="s">
        <v>2143</v>
      </c>
      <c r="AW173" s="120">
        <v>57.424677325910203</v>
      </c>
      <c r="AX173" s="120">
        <v>37.159661361161703</v>
      </c>
    </row>
    <row r="174" spans="1:50" ht="15" customHeight="1" x14ac:dyDescent="0.25">
      <c r="A174" s="162">
        <v>128</v>
      </c>
      <c r="B174" s="162">
        <v>18</v>
      </c>
      <c r="C174" s="162" t="s">
        <v>727</v>
      </c>
      <c r="D174" s="9">
        <v>1.6</v>
      </c>
      <c r="E174" s="503" t="s">
        <v>522</v>
      </c>
      <c r="F174" s="503">
        <v>2.5</v>
      </c>
      <c r="G174" s="503"/>
      <c r="H174" s="501"/>
      <c r="I174" s="151" t="s">
        <v>20223</v>
      </c>
      <c r="J174" s="31">
        <v>0.3</v>
      </c>
      <c r="K174" s="510">
        <v>0</v>
      </c>
      <c r="L174" s="2">
        <v>0</v>
      </c>
      <c r="M174" s="165">
        <v>0.3</v>
      </c>
      <c r="N174" s="504">
        <v>0</v>
      </c>
      <c r="O174" s="29"/>
      <c r="P174" s="29">
        <v>1.6800000000000002</v>
      </c>
      <c r="Q174" s="165">
        <v>1.3800000000000001</v>
      </c>
      <c r="R174" s="165">
        <v>1.3800000000000001</v>
      </c>
      <c r="S174" s="145" t="s">
        <v>20211</v>
      </c>
      <c r="T174" s="146" t="s">
        <v>20211</v>
      </c>
      <c r="U174" s="145">
        <v>17.857142857142854</v>
      </c>
      <c r="V174" s="18">
        <v>0.28999999999999998</v>
      </c>
      <c r="W174" s="505" t="s">
        <v>2260</v>
      </c>
      <c r="X174" s="43"/>
      <c r="Y174" s="162">
        <v>128</v>
      </c>
      <c r="Z174" s="163">
        <v>18</v>
      </c>
      <c r="AA174" s="162" t="s">
        <v>727</v>
      </c>
      <c r="AB174" s="9">
        <v>1.6</v>
      </c>
      <c r="AC174" s="151" t="s">
        <v>522</v>
      </c>
      <c r="AD174" s="151">
        <v>2.5</v>
      </c>
      <c r="AE174" s="151"/>
      <c r="AF174" s="152"/>
      <c r="AG174" s="143" t="s">
        <v>20223</v>
      </c>
      <c r="AH174" s="165">
        <v>2.1717391304347824E-2</v>
      </c>
      <c r="AI174" s="165">
        <v>0.32171739130434779</v>
      </c>
      <c r="AJ174" s="144">
        <v>0</v>
      </c>
      <c r="AK174" s="143">
        <v>0</v>
      </c>
      <c r="AL174" s="144">
        <v>0.32171739130434779</v>
      </c>
      <c r="AM174" s="144">
        <v>0</v>
      </c>
      <c r="AN174" s="29">
        <v>1.6800000000000002</v>
      </c>
      <c r="AO174" s="165">
        <v>1.3582826086956523</v>
      </c>
      <c r="AP174" s="165">
        <v>1.3582826086956523</v>
      </c>
      <c r="AQ174" s="145" t="s">
        <v>20211</v>
      </c>
      <c r="AR174" s="146" t="s">
        <v>20211</v>
      </c>
      <c r="AS174" s="56">
        <v>19.14984472049689</v>
      </c>
      <c r="AT174" s="58" t="s">
        <v>503</v>
      </c>
      <c r="AU174" s="118">
        <v>1976</v>
      </c>
      <c r="AV174" s="149" t="s">
        <v>2143</v>
      </c>
      <c r="AW174" s="120">
        <v>57.104954332715103</v>
      </c>
      <c r="AX174" s="120">
        <v>37.133904858659001</v>
      </c>
    </row>
    <row r="175" spans="1:50" ht="15" customHeight="1" x14ac:dyDescent="0.25">
      <c r="A175" s="162">
        <v>129</v>
      </c>
      <c r="B175" s="162">
        <v>19</v>
      </c>
      <c r="C175" s="162" t="s">
        <v>728</v>
      </c>
      <c r="D175" s="9">
        <v>2.5</v>
      </c>
      <c r="E175" s="503" t="s">
        <v>522</v>
      </c>
      <c r="F175" s="503">
        <v>2.5</v>
      </c>
      <c r="G175" s="503"/>
      <c r="H175" s="501"/>
      <c r="I175" s="151" t="s">
        <v>20222</v>
      </c>
      <c r="J175" s="31">
        <v>0.34</v>
      </c>
      <c r="K175" s="510">
        <v>0</v>
      </c>
      <c r="L175" s="2">
        <v>0</v>
      </c>
      <c r="M175" s="165">
        <v>0.34</v>
      </c>
      <c r="N175" s="504">
        <v>0</v>
      </c>
      <c r="O175" s="29"/>
      <c r="P175" s="29">
        <v>2.625</v>
      </c>
      <c r="Q175" s="165">
        <v>2.2850000000000001</v>
      </c>
      <c r="R175" s="165">
        <v>2.2850000000000001</v>
      </c>
      <c r="S175" s="145" t="s">
        <v>20211</v>
      </c>
      <c r="T175" s="146" t="s">
        <v>20211</v>
      </c>
      <c r="U175" s="145">
        <v>12.952380952380953</v>
      </c>
      <c r="V175" s="18">
        <v>0.55000000000000004</v>
      </c>
      <c r="W175" s="505" t="s">
        <v>2260</v>
      </c>
      <c r="X175" s="43"/>
      <c r="Y175" s="162">
        <v>129</v>
      </c>
      <c r="Z175" s="163">
        <v>19</v>
      </c>
      <c r="AA175" s="162" t="s">
        <v>728</v>
      </c>
      <c r="AB175" s="9">
        <v>2.5</v>
      </c>
      <c r="AC175" s="151" t="s">
        <v>522</v>
      </c>
      <c r="AD175" s="151">
        <v>2.5</v>
      </c>
      <c r="AE175" s="151"/>
      <c r="AF175" s="152"/>
      <c r="AG175" s="143" t="s">
        <v>20222</v>
      </c>
      <c r="AH175" s="165">
        <v>0.450195652173913</v>
      </c>
      <c r="AI175" s="165">
        <v>0.79019565217391308</v>
      </c>
      <c r="AJ175" s="144">
        <v>0</v>
      </c>
      <c r="AK175" s="143">
        <v>0</v>
      </c>
      <c r="AL175" s="144">
        <v>0.79019565217391308</v>
      </c>
      <c r="AM175" s="144">
        <v>0</v>
      </c>
      <c r="AN175" s="29">
        <v>2.625</v>
      </c>
      <c r="AO175" s="165">
        <v>1.8348043478260869</v>
      </c>
      <c r="AP175" s="165">
        <v>1.8348043478260869</v>
      </c>
      <c r="AQ175" s="145" t="s">
        <v>20211</v>
      </c>
      <c r="AR175" s="146" t="s">
        <v>20211</v>
      </c>
      <c r="AS175" s="56">
        <v>30.102691511387164</v>
      </c>
      <c r="AT175" s="58" t="s">
        <v>503</v>
      </c>
      <c r="AU175" s="118">
        <v>1979</v>
      </c>
      <c r="AV175" s="149" t="s">
        <v>2143</v>
      </c>
      <c r="AW175" s="120">
        <v>57.010822911731402</v>
      </c>
      <c r="AX175" s="120">
        <v>36.838749029188499</v>
      </c>
    </row>
    <row r="176" spans="1:50" ht="15" customHeight="1" x14ac:dyDescent="0.25">
      <c r="A176" s="162">
        <v>130</v>
      </c>
      <c r="B176" s="162">
        <v>20</v>
      </c>
      <c r="C176" s="162" t="s">
        <v>69</v>
      </c>
      <c r="D176" s="9">
        <v>1.6</v>
      </c>
      <c r="E176" s="503" t="s">
        <v>522</v>
      </c>
      <c r="F176" s="503">
        <v>1.6</v>
      </c>
      <c r="G176" s="503"/>
      <c r="H176" s="501"/>
      <c r="I176" s="151" t="s">
        <v>20234</v>
      </c>
      <c r="J176" s="31">
        <v>1.6</v>
      </c>
      <c r="K176" s="510">
        <v>0</v>
      </c>
      <c r="L176" s="2">
        <v>0</v>
      </c>
      <c r="M176" s="165">
        <v>1.6</v>
      </c>
      <c r="N176" s="504">
        <v>0</v>
      </c>
      <c r="O176" s="29"/>
      <c r="P176" s="29">
        <v>1.6800000000000002</v>
      </c>
      <c r="Q176" s="165">
        <v>8.0000000000000071E-2</v>
      </c>
      <c r="R176" s="165">
        <v>8.0000000000000071E-2</v>
      </c>
      <c r="S176" s="145" t="s">
        <v>20211</v>
      </c>
      <c r="T176" s="146" t="s">
        <v>20211</v>
      </c>
      <c r="U176" s="145">
        <v>95.238095238095227</v>
      </c>
      <c r="V176" s="18">
        <v>0.45</v>
      </c>
      <c r="W176" s="505" t="s">
        <v>2260</v>
      </c>
      <c r="X176" s="43"/>
      <c r="Y176" s="162">
        <v>130</v>
      </c>
      <c r="Z176" s="163">
        <v>20</v>
      </c>
      <c r="AA176" s="162" t="s">
        <v>69</v>
      </c>
      <c r="AB176" s="9">
        <v>1.6</v>
      </c>
      <c r="AC176" s="151" t="s">
        <v>522</v>
      </c>
      <c r="AD176" s="151">
        <v>1.6</v>
      </c>
      <c r="AE176" s="151"/>
      <c r="AF176" s="152"/>
      <c r="AG176" s="143" t="s">
        <v>20234</v>
      </c>
      <c r="AH176" s="165">
        <v>0.32791304347826083</v>
      </c>
      <c r="AI176" s="165">
        <v>1.927913043478261</v>
      </c>
      <c r="AJ176" s="144">
        <v>0</v>
      </c>
      <c r="AK176" s="143">
        <v>0</v>
      </c>
      <c r="AL176" s="144">
        <v>1.927913043478261</v>
      </c>
      <c r="AM176" s="144">
        <v>0</v>
      </c>
      <c r="AN176" s="29">
        <v>1.6800000000000002</v>
      </c>
      <c r="AO176" s="165">
        <v>-0.24791304347826082</v>
      </c>
      <c r="AP176" s="165">
        <v>-0.24791304347826082</v>
      </c>
      <c r="AQ176" s="145" t="s">
        <v>2217</v>
      </c>
      <c r="AR176" s="146" t="s">
        <v>2217</v>
      </c>
      <c r="AS176" s="56">
        <v>114.7567287784679</v>
      </c>
      <c r="AT176" s="58" t="s">
        <v>503</v>
      </c>
      <c r="AU176" s="118">
        <v>1979</v>
      </c>
      <c r="AV176" s="149" t="s">
        <v>2143</v>
      </c>
      <c r="AW176" s="120">
        <v>57.270063332480298</v>
      </c>
      <c r="AX176" s="120">
        <v>38.043739479595203</v>
      </c>
    </row>
    <row r="177" spans="1:50" ht="15" customHeight="1" x14ac:dyDescent="0.25">
      <c r="A177" s="162">
        <v>131</v>
      </c>
      <c r="B177" s="162">
        <v>21</v>
      </c>
      <c r="C177" s="162" t="s">
        <v>70</v>
      </c>
      <c r="D177" s="9">
        <v>4</v>
      </c>
      <c r="E177" s="503" t="s">
        <v>522</v>
      </c>
      <c r="F177" s="503">
        <v>4</v>
      </c>
      <c r="G177" s="503"/>
      <c r="H177" s="501"/>
      <c r="I177" s="151" t="s">
        <v>20235</v>
      </c>
      <c r="J177" s="31">
        <v>0.23</v>
      </c>
      <c r="K177" s="510">
        <v>0</v>
      </c>
      <c r="L177" s="2">
        <v>0</v>
      </c>
      <c r="M177" s="165">
        <v>0.23</v>
      </c>
      <c r="N177" s="504">
        <v>0</v>
      </c>
      <c r="O177" s="29"/>
      <c r="P177" s="29">
        <v>4.2</v>
      </c>
      <c r="Q177" s="165">
        <v>3.97</v>
      </c>
      <c r="R177" s="165">
        <v>3.97</v>
      </c>
      <c r="S177" s="145" t="s">
        <v>20211</v>
      </c>
      <c r="T177" s="146" t="s">
        <v>20211</v>
      </c>
      <c r="U177" s="145">
        <v>5.4761904761904763</v>
      </c>
      <c r="V177" s="505"/>
      <c r="W177" s="506" t="s">
        <v>2023</v>
      </c>
      <c r="X177" s="43"/>
      <c r="Y177" s="162">
        <v>131</v>
      </c>
      <c r="Z177" s="163">
        <v>21</v>
      </c>
      <c r="AA177" s="162" t="s">
        <v>70</v>
      </c>
      <c r="AB177" s="9">
        <v>4</v>
      </c>
      <c r="AC177" s="151" t="s">
        <v>522</v>
      </c>
      <c r="AD177" s="151">
        <v>4</v>
      </c>
      <c r="AE177" s="151"/>
      <c r="AF177" s="152"/>
      <c r="AG177" s="143" t="s">
        <v>20235</v>
      </c>
      <c r="AH177" s="165">
        <v>0</v>
      </c>
      <c r="AI177" s="165">
        <v>0.23</v>
      </c>
      <c r="AJ177" s="144">
        <v>0</v>
      </c>
      <c r="AK177" s="143">
        <v>0</v>
      </c>
      <c r="AL177" s="144">
        <v>0.23</v>
      </c>
      <c r="AM177" s="144">
        <v>0</v>
      </c>
      <c r="AN177" s="29">
        <v>4.2</v>
      </c>
      <c r="AO177" s="165">
        <v>3.97</v>
      </c>
      <c r="AP177" s="165">
        <v>3.97</v>
      </c>
      <c r="AQ177" s="145" t="s">
        <v>20211</v>
      </c>
      <c r="AR177" s="146" t="s">
        <v>20211</v>
      </c>
      <c r="AS177" s="56">
        <v>5.4761904761904763</v>
      </c>
      <c r="AT177" s="58" t="s">
        <v>503</v>
      </c>
      <c r="AU177" s="118">
        <v>1982</v>
      </c>
      <c r="AV177" s="149" t="s">
        <v>2143</v>
      </c>
      <c r="AW177" s="120">
        <v>57.462203326509403</v>
      </c>
      <c r="AX177" s="120">
        <v>37.240774155752497</v>
      </c>
    </row>
    <row r="178" spans="1:50" ht="15" customHeight="1" x14ac:dyDescent="0.25">
      <c r="A178" s="162">
        <v>132</v>
      </c>
      <c r="B178" s="162">
        <v>22</v>
      </c>
      <c r="C178" s="162" t="s">
        <v>71</v>
      </c>
      <c r="D178" s="9">
        <v>2.5</v>
      </c>
      <c r="E178" s="503" t="s">
        <v>522</v>
      </c>
      <c r="F178" s="503">
        <v>2.5</v>
      </c>
      <c r="G178" s="503"/>
      <c r="H178" s="501"/>
      <c r="I178" s="151" t="s">
        <v>20222</v>
      </c>
      <c r="J178" s="31">
        <v>0.2</v>
      </c>
      <c r="K178" s="510">
        <v>0</v>
      </c>
      <c r="L178" s="2">
        <v>0</v>
      </c>
      <c r="M178" s="165">
        <v>0.2</v>
      </c>
      <c r="N178" s="504">
        <v>0</v>
      </c>
      <c r="O178" s="29"/>
      <c r="P178" s="29">
        <v>2.625</v>
      </c>
      <c r="Q178" s="165">
        <v>2.4249999999999998</v>
      </c>
      <c r="R178" s="165">
        <v>2.4249999999999998</v>
      </c>
      <c r="S178" s="145" t="s">
        <v>20211</v>
      </c>
      <c r="T178" s="146" t="s">
        <v>20211</v>
      </c>
      <c r="U178" s="145">
        <v>7.6190476190476186</v>
      </c>
      <c r="V178" s="18">
        <v>0.66</v>
      </c>
      <c r="W178" s="506" t="s">
        <v>2260</v>
      </c>
      <c r="X178" s="43"/>
      <c r="Y178" s="162">
        <v>132</v>
      </c>
      <c r="Z178" s="163">
        <v>22</v>
      </c>
      <c r="AA178" s="162" t="s">
        <v>71</v>
      </c>
      <c r="AB178" s="9">
        <v>2.5</v>
      </c>
      <c r="AC178" s="151" t="s">
        <v>522</v>
      </c>
      <c r="AD178" s="151">
        <v>2.5</v>
      </c>
      <c r="AE178" s="151"/>
      <c r="AF178" s="152"/>
      <c r="AG178" s="143" t="s">
        <v>20222</v>
      </c>
      <c r="AH178" s="165">
        <v>0</v>
      </c>
      <c r="AI178" s="165">
        <v>0.2</v>
      </c>
      <c r="AJ178" s="144">
        <v>0</v>
      </c>
      <c r="AK178" s="143">
        <v>0</v>
      </c>
      <c r="AL178" s="144">
        <v>0.2</v>
      </c>
      <c r="AM178" s="144">
        <v>0</v>
      </c>
      <c r="AN178" s="29">
        <v>2.625</v>
      </c>
      <c r="AO178" s="165">
        <v>2.4249999999999998</v>
      </c>
      <c r="AP178" s="165">
        <v>2.4249999999999998</v>
      </c>
      <c r="AQ178" s="145" t="s">
        <v>20211</v>
      </c>
      <c r="AR178" s="146" t="s">
        <v>20211</v>
      </c>
      <c r="AS178" s="56">
        <v>7.6190476190476186</v>
      </c>
      <c r="AT178" s="58" t="s">
        <v>503</v>
      </c>
      <c r="AU178" s="118">
        <v>1977</v>
      </c>
      <c r="AV178" s="149" t="s">
        <v>2143</v>
      </c>
      <c r="AW178" s="120">
        <v>57.5999979455177</v>
      </c>
      <c r="AX178" s="120">
        <v>37.4899907307936</v>
      </c>
    </row>
    <row r="179" spans="1:50" ht="15" customHeight="1" x14ac:dyDescent="0.25">
      <c r="A179" s="162">
        <v>133</v>
      </c>
      <c r="B179" s="162">
        <v>23</v>
      </c>
      <c r="C179" s="162" t="s">
        <v>72</v>
      </c>
      <c r="D179" s="9">
        <v>2.5</v>
      </c>
      <c r="E179" s="503" t="s">
        <v>522</v>
      </c>
      <c r="F179" s="503">
        <v>2.5</v>
      </c>
      <c r="G179" s="503"/>
      <c r="H179" s="501"/>
      <c r="I179" s="151" t="s">
        <v>20222</v>
      </c>
      <c r="J179" s="31">
        <v>0.54</v>
      </c>
      <c r="K179" s="510">
        <v>0</v>
      </c>
      <c r="L179" s="2">
        <v>0</v>
      </c>
      <c r="M179" s="165">
        <v>0.54</v>
      </c>
      <c r="N179" s="504">
        <v>0</v>
      </c>
      <c r="O179" s="29"/>
      <c r="P179" s="29">
        <v>2.625</v>
      </c>
      <c r="Q179" s="165">
        <v>2.085</v>
      </c>
      <c r="R179" s="165">
        <v>2.085</v>
      </c>
      <c r="S179" s="145" t="s">
        <v>20211</v>
      </c>
      <c r="T179" s="146" t="s">
        <v>20211</v>
      </c>
      <c r="U179" s="145">
        <v>20.571428571428573</v>
      </c>
      <c r="V179" s="18">
        <v>0.41</v>
      </c>
      <c r="W179" s="505" t="s">
        <v>2260</v>
      </c>
      <c r="X179" s="43"/>
      <c r="Y179" s="162">
        <v>133</v>
      </c>
      <c r="Z179" s="163">
        <v>23</v>
      </c>
      <c r="AA179" s="162" t="s">
        <v>72</v>
      </c>
      <c r="AB179" s="9">
        <v>2.5</v>
      </c>
      <c r="AC179" s="151" t="s">
        <v>522</v>
      </c>
      <c r="AD179" s="151">
        <v>2.5</v>
      </c>
      <c r="AE179" s="151"/>
      <c r="AF179" s="152"/>
      <c r="AG179" s="143" t="s">
        <v>20222</v>
      </c>
      <c r="AH179" s="165">
        <v>0.62791304347826093</v>
      </c>
      <c r="AI179" s="165">
        <v>1.167913043478261</v>
      </c>
      <c r="AJ179" s="144">
        <v>0</v>
      </c>
      <c r="AK179" s="143">
        <v>0</v>
      </c>
      <c r="AL179" s="144">
        <v>1.167913043478261</v>
      </c>
      <c r="AM179" s="144">
        <v>0</v>
      </c>
      <c r="AN179" s="29">
        <v>2.625</v>
      </c>
      <c r="AO179" s="165">
        <v>1.457086956521739</v>
      </c>
      <c r="AP179" s="165">
        <v>1.457086956521739</v>
      </c>
      <c r="AQ179" s="145" t="s">
        <v>20211</v>
      </c>
      <c r="AR179" s="146" t="s">
        <v>20211</v>
      </c>
      <c r="AS179" s="56">
        <v>44.491925465838513</v>
      </c>
      <c r="AT179" s="58" t="s">
        <v>503</v>
      </c>
      <c r="AU179" s="118">
        <v>1976</v>
      </c>
      <c r="AV179" s="149" t="s">
        <v>2143</v>
      </c>
      <c r="AW179" s="120">
        <v>57.317433032703804</v>
      </c>
      <c r="AX179" s="120">
        <v>37.754084161422298</v>
      </c>
    </row>
    <row r="180" spans="1:50" ht="15" customHeight="1" x14ac:dyDescent="0.25">
      <c r="A180" s="162">
        <v>134</v>
      </c>
      <c r="B180" s="162">
        <v>24</v>
      </c>
      <c r="C180" s="162" t="s">
        <v>73</v>
      </c>
      <c r="D180" s="9">
        <v>10</v>
      </c>
      <c r="E180" s="503" t="s">
        <v>522</v>
      </c>
      <c r="F180" s="503">
        <v>10</v>
      </c>
      <c r="G180" s="503"/>
      <c r="H180" s="501"/>
      <c r="I180" s="151" t="s">
        <v>20227</v>
      </c>
      <c r="J180" s="31">
        <v>0.1</v>
      </c>
      <c r="K180" s="510">
        <v>0</v>
      </c>
      <c r="L180" s="2">
        <v>0</v>
      </c>
      <c r="M180" s="165">
        <v>0.1</v>
      </c>
      <c r="N180" s="504">
        <v>0</v>
      </c>
      <c r="O180" s="29"/>
      <c r="P180" s="29">
        <v>10.5</v>
      </c>
      <c r="Q180" s="165">
        <v>10.4</v>
      </c>
      <c r="R180" s="165">
        <v>10.4</v>
      </c>
      <c r="S180" s="145" t="s">
        <v>20211</v>
      </c>
      <c r="T180" s="146" t="s">
        <v>20211</v>
      </c>
      <c r="U180" s="145">
        <v>0.95238095238095233</v>
      </c>
      <c r="V180" s="505"/>
      <c r="W180" s="506" t="s">
        <v>2023</v>
      </c>
      <c r="X180" s="43"/>
      <c r="Y180" s="162">
        <v>134</v>
      </c>
      <c r="Z180" s="163">
        <v>24</v>
      </c>
      <c r="AA180" s="162" t="s">
        <v>73</v>
      </c>
      <c r="AB180" s="9">
        <v>10</v>
      </c>
      <c r="AC180" s="151" t="s">
        <v>522</v>
      </c>
      <c r="AD180" s="151">
        <v>10</v>
      </c>
      <c r="AE180" s="151"/>
      <c r="AF180" s="152"/>
      <c r="AG180" s="143" t="s">
        <v>20227</v>
      </c>
      <c r="AH180" s="165">
        <v>0.27293478260869564</v>
      </c>
      <c r="AI180" s="165">
        <v>0.37293478260869561</v>
      </c>
      <c r="AJ180" s="144">
        <v>0</v>
      </c>
      <c r="AK180" s="143">
        <v>0</v>
      </c>
      <c r="AL180" s="144">
        <v>0.37293478260869561</v>
      </c>
      <c r="AM180" s="144">
        <v>0</v>
      </c>
      <c r="AN180" s="29">
        <v>10.5</v>
      </c>
      <c r="AO180" s="165">
        <v>10.127065217391305</v>
      </c>
      <c r="AP180" s="165">
        <v>10.127065217391305</v>
      </c>
      <c r="AQ180" s="145" t="s">
        <v>20211</v>
      </c>
      <c r="AR180" s="146" t="s">
        <v>20211</v>
      </c>
      <c r="AS180" s="56">
        <v>3.5517598343685299</v>
      </c>
      <c r="AT180" s="58" t="s">
        <v>503</v>
      </c>
      <c r="AU180" s="118">
        <v>1994</v>
      </c>
      <c r="AV180" s="149" t="s">
        <v>2143</v>
      </c>
      <c r="AW180" s="120">
        <v>56.901222455107998</v>
      </c>
      <c r="AX180" s="120">
        <v>37.041569596253701</v>
      </c>
    </row>
    <row r="181" spans="1:50" ht="15" customHeight="1" x14ac:dyDescent="0.25">
      <c r="A181" s="162">
        <v>135</v>
      </c>
      <c r="B181" s="162">
        <v>25</v>
      </c>
      <c r="C181" s="162" t="s">
        <v>74</v>
      </c>
      <c r="D181" s="9">
        <v>2.5</v>
      </c>
      <c r="E181" s="503" t="s">
        <v>522</v>
      </c>
      <c r="F181" s="503">
        <v>2.5</v>
      </c>
      <c r="G181" s="503"/>
      <c r="H181" s="501"/>
      <c r="I181" s="151" t="s">
        <v>20222</v>
      </c>
      <c r="J181" s="31">
        <v>0.43</v>
      </c>
      <c r="K181" s="510">
        <v>0</v>
      </c>
      <c r="L181" s="2">
        <v>0</v>
      </c>
      <c r="M181" s="165">
        <v>0.43</v>
      </c>
      <c r="N181" s="504">
        <v>0</v>
      </c>
      <c r="O181" s="29"/>
      <c r="P181" s="29">
        <v>2.625</v>
      </c>
      <c r="Q181" s="165">
        <v>2.1949999999999998</v>
      </c>
      <c r="R181" s="165">
        <v>2.1949999999999998</v>
      </c>
      <c r="S181" s="145" t="s">
        <v>20211</v>
      </c>
      <c r="T181" s="146" t="s">
        <v>20211</v>
      </c>
      <c r="U181" s="145">
        <v>16.38095238095238</v>
      </c>
      <c r="V181" s="505"/>
      <c r="W181" s="506" t="s">
        <v>2023</v>
      </c>
      <c r="X181" s="43"/>
      <c r="Y181" s="162">
        <v>135</v>
      </c>
      <c r="Z181" s="163">
        <v>25</v>
      </c>
      <c r="AA181" s="162" t="s">
        <v>74</v>
      </c>
      <c r="AB181" s="9">
        <v>2.5</v>
      </c>
      <c r="AC181" s="151" t="s">
        <v>522</v>
      </c>
      <c r="AD181" s="151">
        <v>2.5</v>
      </c>
      <c r="AE181" s="151"/>
      <c r="AF181" s="152"/>
      <c r="AG181" s="143" t="s">
        <v>20222</v>
      </c>
      <c r="AH181" s="165">
        <v>0.34552173913043477</v>
      </c>
      <c r="AI181" s="165">
        <v>0.77552173913043476</v>
      </c>
      <c r="AJ181" s="144">
        <v>0</v>
      </c>
      <c r="AK181" s="143">
        <v>0</v>
      </c>
      <c r="AL181" s="144">
        <v>0.77552173913043476</v>
      </c>
      <c r="AM181" s="144">
        <v>0</v>
      </c>
      <c r="AN181" s="29">
        <v>2.625</v>
      </c>
      <c r="AO181" s="165">
        <v>1.8494782608695652</v>
      </c>
      <c r="AP181" s="165">
        <v>1.8494782608695652</v>
      </c>
      <c r="AQ181" s="145" t="s">
        <v>20211</v>
      </c>
      <c r="AR181" s="146" t="s">
        <v>20211</v>
      </c>
      <c r="AS181" s="56">
        <v>29.543685300207038</v>
      </c>
      <c r="AT181" s="58" t="s">
        <v>503</v>
      </c>
      <c r="AU181" s="118">
        <v>1979</v>
      </c>
      <c r="AV181" s="149" t="s">
        <v>2143</v>
      </c>
      <c r="AW181" s="120">
        <v>57.3255850846136</v>
      </c>
      <c r="AX181" s="120">
        <v>37.373048823625098</v>
      </c>
    </row>
    <row r="182" spans="1:50" ht="15" customHeight="1" x14ac:dyDescent="0.25">
      <c r="A182" s="162">
        <v>136</v>
      </c>
      <c r="B182" s="162">
        <v>26</v>
      </c>
      <c r="C182" s="162" t="s">
        <v>75</v>
      </c>
      <c r="D182" s="9">
        <v>25</v>
      </c>
      <c r="E182" s="503" t="s">
        <v>522</v>
      </c>
      <c r="F182" s="503">
        <v>25</v>
      </c>
      <c r="G182" s="503"/>
      <c r="H182" s="501"/>
      <c r="I182" s="151" t="s">
        <v>20226</v>
      </c>
      <c r="J182" s="31">
        <v>0.17</v>
      </c>
      <c r="K182" s="510">
        <v>0</v>
      </c>
      <c r="L182" s="2">
        <v>0</v>
      </c>
      <c r="M182" s="165">
        <v>0.17</v>
      </c>
      <c r="N182" s="504">
        <v>0</v>
      </c>
      <c r="O182" s="29"/>
      <c r="P182" s="29">
        <v>26.25</v>
      </c>
      <c r="Q182" s="165">
        <v>26.08</v>
      </c>
      <c r="R182" s="165">
        <v>26.08</v>
      </c>
      <c r="S182" s="145" t="s">
        <v>20211</v>
      </c>
      <c r="T182" s="146" t="s">
        <v>20211</v>
      </c>
      <c r="U182" s="145">
        <v>0.64761904761904765</v>
      </c>
      <c r="V182" s="18">
        <v>0.66</v>
      </c>
      <c r="W182" s="505" t="s">
        <v>2260</v>
      </c>
      <c r="X182" s="43"/>
      <c r="Y182" s="162">
        <v>136</v>
      </c>
      <c r="Z182" s="163">
        <v>26</v>
      </c>
      <c r="AA182" s="162" t="s">
        <v>75</v>
      </c>
      <c r="AB182" s="9">
        <v>25</v>
      </c>
      <c r="AC182" s="151" t="s">
        <v>522</v>
      </c>
      <c r="AD182" s="151">
        <v>25</v>
      </c>
      <c r="AE182" s="151"/>
      <c r="AF182" s="152"/>
      <c r="AG182" s="143" t="s">
        <v>20226</v>
      </c>
      <c r="AH182" s="165">
        <v>0</v>
      </c>
      <c r="AI182" s="165">
        <v>0.17</v>
      </c>
      <c r="AJ182" s="144">
        <v>0</v>
      </c>
      <c r="AK182" s="143">
        <v>0</v>
      </c>
      <c r="AL182" s="144">
        <v>0.17</v>
      </c>
      <c r="AM182" s="144">
        <v>0</v>
      </c>
      <c r="AN182" s="29">
        <v>26.25</v>
      </c>
      <c r="AO182" s="165">
        <v>26.08</v>
      </c>
      <c r="AP182" s="165">
        <v>26.08</v>
      </c>
      <c r="AQ182" s="145" t="s">
        <v>20211</v>
      </c>
      <c r="AR182" s="146" t="s">
        <v>20211</v>
      </c>
      <c r="AS182" s="56">
        <v>0.64761904761904765</v>
      </c>
      <c r="AT182" s="58" t="s">
        <v>503</v>
      </c>
      <c r="AU182" s="118">
        <v>1982</v>
      </c>
      <c r="AV182" s="149" t="s">
        <v>2143</v>
      </c>
      <c r="AW182" s="120">
        <v>57.594402733937599</v>
      </c>
      <c r="AX182" s="120">
        <v>37.209907777282098</v>
      </c>
    </row>
    <row r="183" spans="1:50" ht="15" customHeight="1" x14ac:dyDescent="0.25">
      <c r="A183" s="905">
        <v>137</v>
      </c>
      <c r="B183" s="905">
        <v>27</v>
      </c>
      <c r="C183" s="162" t="s">
        <v>76</v>
      </c>
      <c r="D183" s="9">
        <v>6.3</v>
      </c>
      <c r="E183" s="503" t="s">
        <v>522</v>
      </c>
      <c r="F183" s="503">
        <v>6.3</v>
      </c>
      <c r="G183" s="503"/>
      <c r="H183" s="501"/>
      <c r="I183" s="151" t="s">
        <v>20225</v>
      </c>
      <c r="J183" s="31">
        <v>0.12</v>
      </c>
      <c r="K183" s="510">
        <v>0</v>
      </c>
      <c r="L183" s="2">
        <v>0</v>
      </c>
      <c r="M183" s="165">
        <v>0.12</v>
      </c>
      <c r="N183" s="504">
        <v>0</v>
      </c>
      <c r="O183" s="29"/>
      <c r="P183" s="29">
        <v>6.6150000000000002</v>
      </c>
      <c r="Q183" s="165">
        <v>6.4950000000000001</v>
      </c>
      <c r="R183" s="913">
        <v>6.4950000000000001</v>
      </c>
      <c r="S183" s="880" t="s">
        <v>20211</v>
      </c>
      <c r="T183" s="146" t="s">
        <v>20211</v>
      </c>
      <c r="U183" s="878">
        <v>1.8140589569160996</v>
      </c>
      <c r="V183" s="908">
        <v>0.38</v>
      </c>
      <c r="W183" s="878" t="s">
        <v>2260</v>
      </c>
      <c r="X183" s="43"/>
      <c r="Y183" s="905">
        <v>137</v>
      </c>
      <c r="Z183" s="907">
        <v>27</v>
      </c>
      <c r="AA183" s="162" t="s">
        <v>76</v>
      </c>
      <c r="AB183" s="9">
        <v>6.3</v>
      </c>
      <c r="AC183" s="151" t="s">
        <v>522</v>
      </c>
      <c r="AD183" s="151">
        <v>6.3</v>
      </c>
      <c r="AE183" s="151"/>
      <c r="AF183" s="152"/>
      <c r="AG183" s="143" t="s">
        <v>20225</v>
      </c>
      <c r="AH183" s="165">
        <v>7.1608695652173898E-2</v>
      </c>
      <c r="AI183" s="165">
        <v>0.19160869565217389</v>
      </c>
      <c r="AJ183" s="144">
        <v>0</v>
      </c>
      <c r="AK183" s="143">
        <v>0</v>
      </c>
      <c r="AL183" s="144">
        <v>0.19160869565217389</v>
      </c>
      <c r="AM183" s="144">
        <v>0</v>
      </c>
      <c r="AN183" s="29">
        <v>6.6150000000000002</v>
      </c>
      <c r="AO183" s="165">
        <v>6.4233913043478266</v>
      </c>
      <c r="AP183" s="914">
        <v>6.4233913043478266</v>
      </c>
      <c r="AQ183" s="878" t="s">
        <v>20211</v>
      </c>
      <c r="AR183" s="146" t="s">
        <v>20211</v>
      </c>
      <c r="AS183" s="945">
        <v>2.8965789214236417</v>
      </c>
      <c r="AT183" s="58" t="s">
        <v>503</v>
      </c>
      <c r="AU183" s="118">
        <v>1983</v>
      </c>
      <c r="AV183" s="149" t="s">
        <v>2143</v>
      </c>
      <c r="AW183" s="120">
        <v>56.995250953051503</v>
      </c>
      <c r="AX183" s="120">
        <v>37.062664254766702</v>
      </c>
    </row>
    <row r="184" spans="1:50" ht="15" customHeight="1" x14ac:dyDescent="0.25">
      <c r="A184" s="905"/>
      <c r="B184" s="905"/>
      <c r="C184" s="162" t="s">
        <v>1142</v>
      </c>
      <c r="D184" s="9">
        <v>6.3</v>
      </c>
      <c r="E184" s="503" t="s">
        <v>522</v>
      </c>
      <c r="F184" s="503">
        <v>6.3</v>
      </c>
      <c r="G184" s="503"/>
      <c r="H184" s="501"/>
      <c r="I184" s="151" t="s">
        <v>20225</v>
      </c>
      <c r="J184" s="31">
        <v>0</v>
      </c>
      <c r="K184" s="510">
        <v>0</v>
      </c>
      <c r="L184" s="2">
        <v>0</v>
      </c>
      <c r="M184" s="165">
        <v>0</v>
      </c>
      <c r="N184" s="504">
        <v>0</v>
      </c>
      <c r="O184" s="29"/>
      <c r="P184" s="29">
        <v>6.6150000000000002</v>
      </c>
      <c r="Q184" s="165">
        <v>6.6150000000000002</v>
      </c>
      <c r="R184" s="913"/>
      <c r="S184" s="881"/>
      <c r="T184" s="146" t="s">
        <v>20211</v>
      </c>
      <c r="U184" s="879"/>
      <c r="V184" s="909"/>
      <c r="W184" s="879"/>
      <c r="X184" s="43"/>
      <c r="Y184" s="905"/>
      <c r="Z184" s="907"/>
      <c r="AA184" s="162" t="s">
        <v>1142</v>
      </c>
      <c r="AB184" s="9">
        <v>6.3</v>
      </c>
      <c r="AC184" s="151" t="s">
        <v>522</v>
      </c>
      <c r="AD184" s="151">
        <v>6.3</v>
      </c>
      <c r="AE184" s="151"/>
      <c r="AF184" s="152"/>
      <c r="AG184" s="143" t="s">
        <v>20225</v>
      </c>
      <c r="AH184" s="165">
        <v>0</v>
      </c>
      <c r="AI184" s="165">
        <v>0</v>
      </c>
      <c r="AJ184" s="144">
        <v>0</v>
      </c>
      <c r="AK184" s="143">
        <v>0</v>
      </c>
      <c r="AL184" s="144">
        <v>0</v>
      </c>
      <c r="AM184" s="144">
        <v>0</v>
      </c>
      <c r="AN184" s="29">
        <v>6.6150000000000002</v>
      </c>
      <c r="AO184" s="165">
        <v>6.6150000000000002</v>
      </c>
      <c r="AP184" s="915"/>
      <c r="AQ184" s="879" t="s">
        <v>20211</v>
      </c>
      <c r="AR184" s="146" t="s">
        <v>20211</v>
      </c>
      <c r="AS184" s="946"/>
      <c r="AT184" s="58" t="s">
        <v>503</v>
      </c>
      <c r="AU184" s="118">
        <v>1983</v>
      </c>
      <c r="AV184" s="149" t="s">
        <v>2143</v>
      </c>
      <c r="AW184" s="120">
        <v>56.995250953051503</v>
      </c>
      <c r="AX184" s="120">
        <v>37.062664254766702</v>
      </c>
    </row>
    <row r="185" spans="1:50" ht="15" customHeight="1" x14ac:dyDescent="0.25">
      <c r="A185" s="905"/>
      <c r="B185" s="905"/>
      <c r="C185" s="162" t="s">
        <v>1141</v>
      </c>
      <c r="D185" s="9">
        <v>6.3</v>
      </c>
      <c r="E185" s="503" t="s">
        <v>522</v>
      </c>
      <c r="F185" s="503">
        <v>6.3</v>
      </c>
      <c r="G185" s="503"/>
      <c r="H185" s="501"/>
      <c r="I185" s="151" t="s">
        <v>20225</v>
      </c>
      <c r="J185" s="31">
        <v>0.12</v>
      </c>
      <c r="K185" s="510">
        <v>0</v>
      </c>
      <c r="L185" s="2">
        <v>0</v>
      </c>
      <c r="M185" s="165">
        <v>0.12</v>
      </c>
      <c r="N185" s="504">
        <v>0</v>
      </c>
      <c r="O185" s="29"/>
      <c r="P185" s="29">
        <v>6.6150000000000002</v>
      </c>
      <c r="Q185" s="165">
        <v>6.4950000000000001</v>
      </c>
      <c r="R185" s="913"/>
      <c r="S185" s="882"/>
      <c r="T185" s="146" t="s">
        <v>20211</v>
      </c>
      <c r="U185" s="879"/>
      <c r="V185" s="910"/>
      <c r="W185" s="879"/>
      <c r="X185" s="43"/>
      <c r="Y185" s="905"/>
      <c r="Z185" s="907"/>
      <c r="AA185" s="162" t="s">
        <v>1141</v>
      </c>
      <c r="AB185" s="9">
        <v>6.3</v>
      </c>
      <c r="AC185" s="151" t="s">
        <v>522</v>
      </c>
      <c r="AD185" s="151">
        <v>6.3</v>
      </c>
      <c r="AE185" s="151"/>
      <c r="AF185" s="152"/>
      <c r="AG185" s="143" t="s">
        <v>20225</v>
      </c>
      <c r="AH185" s="165">
        <v>7.1608695652173898E-2</v>
      </c>
      <c r="AI185" s="165">
        <v>0.19160869565217389</v>
      </c>
      <c r="AJ185" s="144">
        <v>0</v>
      </c>
      <c r="AK185" s="143">
        <v>0</v>
      </c>
      <c r="AL185" s="144">
        <v>0.19160869565217389</v>
      </c>
      <c r="AM185" s="144">
        <v>0</v>
      </c>
      <c r="AN185" s="29">
        <v>6.6150000000000002</v>
      </c>
      <c r="AO185" s="165">
        <v>6.4233913043478266</v>
      </c>
      <c r="AP185" s="916"/>
      <c r="AQ185" s="879" t="s">
        <v>20211</v>
      </c>
      <c r="AR185" s="146" t="s">
        <v>20211</v>
      </c>
      <c r="AS185" s="947"/>
      <c r="AT185" s="58" t="s">
        <v>503</v>
      </c>
      <c r="AU185" s="118">
        <v>1983</v>
      </c>
      <c r="AV185" s="149" t="s">
        <v>2143</v>
      </c>
      <c r="AW185" s="120">
        <v>56.995250953051503</v>
      </c>
      <c r="AX185" s="120">
        <v>37.062664254766702</v>
      </c>
    </row>
    <row r="186" spans="1:50" ht="15" customHeight="1" x14ac:dyDescent="0.25">
      <c r="A186" s="905">
        <v>138</v>
      </c>
      <c r="B186" s="905">
        <v>28</v>
      </c>
      <c r="C186" s="162" t="s">
        <v>77</v>
      </c>
      <c r="D186" s="9">
        <v>40</v>
      </c>
      <c r="E186" s="503" t="s">
        <v>522</v>
      </c>
      <c r="F186" s="503">
        <v>25</v>
      </c>
      <c r="G186" s="503"/>
      <c r="H186" s="501"/>
      <c r="I186" s="151" t="s">
        <v>20246</v>
      </c>
      <c r="J186" s="31">
        <v>17.18</v>
      </c>
      <c r="K186" s="510">
        <v>0</v>
      </c>
      <c r="L186" s="2">
        <v>0</v>
      </c>
      <c r="M186" s="165">
        <v>17.18</v>
      </c>
      <c r="N186" s="504">
        <v>0</v>
      </c>
      <c r="O186" s="29"/>
      <c r="P186" s="29">
        <v>26.25</v>
      </c>
      <c r="Q186" s="165">
        <v>9.07</v>
      </c>
      <c r="R186" s="913">
        <v>9.07</v>
      </c>
      <c r="S186" s="880" t="s">
        <v>20211</v>
      </c>
      <c r="T186" s="146" t="s">
        <v>20211</v>
      </c>
      <c r="U186" s="878">
        <v>65.447619047619042</v>
      </c>
      <c r="V186" s="908">
        <v>0.5</v>
      </c>
      <c r="W186" s="878" t="s">
        <v>2260</v>
      </c>
      <c r="X186" s="43"/>
      <c r="Y186" s="905">
        <v>138</v>
      </c>
      <c r="Z186" s="907">
        <v>28</v>
      </c>
      <c r="AA186" s="162" t="s">
        <v>77</v>
      </c>
      <c r="AB186" s="9">
        <v>40</v>
      </c>
      <c r="AC186" s="151" t="s">
        <v>522</v>
      </c>
      <c r="AD186" s="151">
        <v>25</v>
      </c>
      <c r="AE186" s="151"/>
      <c r="AF186" s="152"/>
      <c r="AG186" s="143" t="s">
        <v>20246</v>
      </c>
      <c r="AH186" s="165">
        <v>2.232112903225806</v>
      </c>
      <c r="AI186" s="165">
        <v>19.412112903225804</v>
      </c>
      <c r="AJ186" s="144">
        <v>0</v>
      </c>
      <c r="AK186" s="143">
        <v>0</v>
      </c>
      <c r="AL186" s="144">
        <v>19.412112903225804</v>
      </c>
      <c r="AM186" s="144">
        <v>0</v>
      </c>
      <c r="AN186" s="29">
        <v>26.25</v>
      </c>
      <c r="AO186" s="165">
        <v>6.837887096774196</v>
      </c>
      <c r="AP186" s="914">
        <v>6.837887096774196</v>
      </c>
      <c r="AQ186" s="880" t="s">
        <v>20211</v>
      </c>
      <c r="AR186" s="146" t="s">
        <v>20211</v>
      </c>
      <c r="AS186" s="945">
        <v>73.950906298003062</v>
      </c>
      <c r="AT186" s="58" t="s">
        <v>503</v>
      </c>
      <c r="AU186" s="118">
        <v>1963</v>
      </c>
      <c r="AV186" s="149" t="s">
        <v>2143</v>
      </c>
      <c r="AW186" s="120">
        <v>56.823144738473701</v>
      </c>
      <c r="AX186" s="120">
        <v>37.3579739629226</v>
      </c>
    </row>
    <row r="187" spans="1:50" ht="15" customHeight="1" x14ac:dyDescent="0.25">
      <c r="A187" s="905"/>
      <c r="B187" s="905"/>
      <c r="C187" s="162" t="s">
        <v>1142</v>
      </c>
      <c r="D187" s="9">
        <v>40</v>
      </c>
      <c r="E187" s="503" t="s">
        <v>522</v>
      </c>
      <c r="F187" s="503">
        <v>25</v>
      </c>
      <c r="G187" s="503"/>
      <c r="H187" s="501"/>
      <c r="I187" s="151" t="s">
        <v>20246</v>
      </c>
      <c r="J187" s="31">
        <v>14.46</v>
      </c>
      <c r="K187" s="510">
        <v>0</v>
      </c>
      <c r="L187" s="2">
        <v>0</v>
      </c>
      <c r="M187" s="165">
        <v>14.46</v>
      </c>
      <c r="N187" s="504">
        <v>0</v>
      </c>
      <c r="O187" s="29"/>
      <c r="P187" s="29">
        <v>26.25</v>
      </c>
      <c r="Q187" s="165">
        <v>11.79</v>
      </c>
      <c r="R187" s="913"/>
      <c r="S187" s="881"/>
      <c r="T187" s="146" t="s">
        <v>20211</v>
      </c>
      <c r="U187" s="879"/>
      <c r="V187" s="909"/>
      <c r="W187" s="879"/>
      <c r="X187" s="43"/>
      <c r="Y187" s="905"/>
      <c r="Z187" s="907"/>
      <c r="AA187" s="162" t="s">
        <v>1142</v>
      </c>
      <c r="AB187" s="9">
        <v>40</v>
      </c>
      <c r="AC187" s="151" t="s">
        <v>522</v>
      </c>
      <c r="AD187" s="151">
        <v>25</v>
      </c>
      <c r="AE187" s="151"/>
      <c r="AF187" s="152"/>
      <c r="AG187" s="143" t="s">
        <v>20246</v>
      </c>
      <c r="AH187" s="165">
        <v>1.2019354838709677</v>
      </c>
      <c r="AI187" s="165">
        <v>15.661935483870968</v>
      </c>
      <c r="AJ187" s="144">
        <v>0</v>
      </c>
      <c r="AK187" s="143">
        <v>0</v>
      </c>
      <c r="AL187" s="144">
        <v>15.661935483870968</v>
      </c>
      <c r="AM187" s="144">
        <v>0</v>
      </c>
      <c r="AN187" s="29">
        <v>26.25</v>
      </c>
      <c r="AO187" s="165">
        <v>10.588064516129032</v>
      </c>
      <c r="AP187" s="915"/>
      <c r="AQ187" s="881"/>
      <c r="AR187" s="146" t="s">
        <v>20211</v>
      </c>
      <c r="AS187" s="946"/>
      <c r="AT187" s="58" t="s">
        <v>503</v>
      </c>
      <c r="AU187" s="118">
        <v>1963</v>
      </c>
      <c r="AV187" s="149" t="s">
        <v>2143</v>
      </c>
      <c r="AW187" s="120">
        <v>56.823144738473701</v>
      </c>
      <c r="AX187" s="120">
        <v>37.3579739629226</v>
      </c>
    </row>
    <row r="188" spans="1:50" ht="15" customHeight="1" x14ac:dyDescent="0.25">
      <c r="A188" s="905"/>
      <c r="B188" s="905"/>
      <c r="C188" s="162" t="s">
        <v>1141</v>
      </c>
      <c r="D188" s="9">
        <v>40</v>
      </c>
      <c r="E188" s="503" t="s">
        <v>522</v>
      </c>
      <c r="F188" s="503">
        <v>25</v>
      </c>
      <c r="G188" s="503"/>
      <c r="H188" s="501"/>
      <c r="I188" s="151" t="s">
        <v>20246</v>
      </c>
      <c r="J188" s="31">
        <v>2.72</v>
      </c>
      <c r="K188" s="510">
        <v>0</v>
      </c>
      <c r="L188" s="2">
        <v>0</v>
      </c>
      <c r="M188" s="165">
        <v>2.72</v>
      </c>
      <c r="N188" s="504">
        <v>0</v>
      </c>
      <c r="O188" s="29"/>
      <c r="P188" s="29">
        <v>26.25</v>
      </c>
      <c r="Q188" s="165">
        <v>23.53</v>
      </c>
      <c r="R188" s="913"/>
      <c r="S188" s="882"/>
      <c r="T188" s="146" t="s">
        <v>20211</v>
      </c>
      <c r="U188" s="879"/>
      <c r="V188" s="910"/>
      <c r="W188" s="879"/>
      <c r="X188" s="43"/>
      <c r="Y188" s="905"/>
      <c r="Z188" s="907"/>
      <c r="AA188" s="162" t="s">
        <v>1141</v>
      </c>
      <c r="AB188" s="9">
        <v>40</v>
      </c>
      <c r="AC188" s="151" t="s">
        <v>522</v>
      </c>
      <c r="AD188" s="151">
        <v>25</v>
      </c>
      <c r="AE188" s="151"/>
      <c r="AF188" s="152"/>
      <c r="AG188" s="143" t="s">
        <v>20246</v>
      </c>
      <c r="AH188" s="165">
        <v>1.0301774193548385</v>
      </c>
      <c r="AI188" s="165">
        <v>3.7501774193548387</v>
      </c>
      <c r="AJ188" s="144">
        <v>0</v>
      </c>
      <c r="AK188" s="143">
        <v>0</v>
      </c>
      <c r="AL188" s="144">
        <v>3.7501774193548387</v>
      </c>
      <c r="AM188" s="144">
        <v>0</v>
      </c>
      <c r="AN188" s="29">
        <v>26.25</v>
      </c>
      <c r="AO188" s="165">
        <v>22.499822580645162</v>
      </c>
      <c r="AP188" s="916"/>
      <c r="AQ188" s="882"/>
      <c r="AR188" s="146" t="s">
        <v>20211</v>
      </c>
      <c r="AS188" s="947"/>
      <c r="AT188" s="58" t="s">
        <v>503</v>
      </c>
      <c r="AU188" s="118">
        <v>1963</v>
      </c>
      <c r="AV188" s="149" t="s">
        <v>2143</v>
      </c>
      <c r="AW188" s="120">
        <v>56.823144738473701</v>
      </c>
      <c r="AX188" s="120">
        <v>37.3579739629226</v>
      </c>
    </row>
    <row r="189" spans="1:50" ht="15" customHeight="1" x14ac:dyDescent="0.25">
      <c r="A189" s="905">
        <v>139</v>
      </c>
      <c r="B189" s="905">
        <v>29</v>
      </c>
      <c r="C189" s="162" t="s">
        <v>78</v>
      </c>
      <c r="D189" s="9">
        <v>6.3</v>
      </c>
      <c r="E189" s="503" t="s">
        <v>522</v>
      </c>
      <c r="F189" s="503">
        <v>6.3</v>
      </c>
      <c r="G189" s="503"/>
      <c r="H189" s="501"/>
      <c r="I189" s="151" t="s">
        <v>20225</v>
      </c>
      <c r="J189" s="31">
        <v>3.92</v>
      </c>
      <c r="K189" s="515">
        <v>2.06</v>
      </c>
      <c r="L189" s="509" t="s">
        <v>248</v>
      </c>
      <c r="M189" s="165">
        <v>1.8599999999999999</v>
      </c>
      <c r="N189" s="504">
        <v>0</v>
      </c>
      <c r="O189" s="29"/>
      <c r="P189" s="29">
        <v>6.6150000000000002</v>
      </c>
      <c r="Q189" s="165">
        <v>4.7550000000000008</v>
      </c>
      <c r="R189" s="913">
        <v>4.7549999999999999</v>
      </c>
      <c r="S189" s="880" t="s">
        <v>20211</v>
      </c>
      <c r="T189" s="146" t="s">
        <v>20211</v>
      </c>
      <c r="U189" s="878">
        <v>59.25925925925926</v>
      </c>
      <c r="V189" s="908">
        <v>0.46</v>
      </c>
      <c r="W189" s="878" t="s">
        <v>2260</v>
      </c>
      <c r="X189" s="43"/>
      <c r="Y189" s="905">
        <v>139</v>
      </c>
      <c r="Z189" s="907">
        <v>29</v>
      </c>
      <c r="AA189" s="162" t="s">
        <v>78</v>
      </c>
      <c r="AB189" s="9">
        <v>6.3</v>
      </c>
      <c r="AC189" s="151" t="s">
        <v>522</v>
      </c>
      <c r="AD189" s="151">
        <v>6.3</v>
      </c>
      <c r="AE189" s="151"/>
      <c r="AF189" s="152"/>
      <c r="AG189" s="143" t="s">
        <v>20225</v>
      </c>
      <c r="AH189" s="165">
        <v>1.7608108695652174</v>
      </c>
      <c r="AI189" s="165">
        <v>5.6808108695652173</v>
      </c>
      <c r="AJ189" s="144">
        <v>2.06</v>
      </c>
      <c r="AK189" s="143" t="s">
        <v>248</v>
      </c>
      <c r="AL189" s="144">
        <v>3.6208108695652172</v>
      </c>
      <c r="AM189" s="144">
        <v>0</v>
      </c>
      <c r="AN189" s="29">
        <v>6.6150000000000002</v>
      </c>
      <c r="AO189" s="165">
        <v>2.994189130434783</v>
      </c>
      <c r="AP189" s="914">
        <v>2.994189130434783</v>
      </c>
      <c r="AQ189" s="878" t="s">
        <v>20211</v>
      </c>
      <c r="AR189" s="146" t="s">
        <v>20211</v>
      </c>
      <c r="AS189" s="945">
        <v>85.877715337342664</v>
      </c>
      <c r="AT189" s="58" t="s">
        <v>503</v>
      </c>
      <c r="AU189" s="118">
        <v>1960</v>
      </c>
      <c r="AV189" s="149" t="s">
        <v>2143</v>
      </c>
      <c r="AW189" s="120">
        <v>57.2552919177947</v>
      </c>
      <c r="AX189" s="120">
        <v>37.140592446362398</v>
      </c>
    </row>
    <row r="190" spans="1:50" ht="15" customHeight="1" x14ac:dyDescent="0.25">
      <c r="A190" s="905"/>
      <c r="B190" s="905"/>
      <c r="C190" s="162" t="s">
        <v>1142</v>
      </c>
      <c r="D190" s="9">
        <v>6.3</v>
      </c>
      <c r="E190" s="503" t="s">
        <v>522</v>
      </c>
      <c r="F190" s="503">
        <v>6.3</v>
      </c>
      <c r="G190" s="503"/>
      <c r="H190" s="501"/>
      <c r="I190" s="151" t="s">
        <v>20225</v>
      </c>
      <c r="J190" s="31">
        <v>2.06</v>
      </c>
      <c r="K190" s="515">
        <v>2.06</v>
      </c>
      <c r="L190" s="509" t="s">
        <v>248</v>
      </c>
      <c r="M190" s="165">
        <v>0</v>
      </c>
      <c r="N190" s="504">
        <v>0</v>
      </c>
      <c r="O190" s="29"/>
      <c r="P190" s="29">
        <v>6.6150000000000002</v>
      </c>
      <c r="Q190" s="165">
        <v>6.6150000000000002</v>
      </c>
      <c r="R190" s="913"/>
      <c r="S190" s="881"/>
      <c r="T190" s="146" t="s">
        <v>20211</v>
      </c>
      <c r="U190" s="879"/>
      <c r="V190" s="909"/>
      <c r="W190" s="879"/>
      <c r="X190" s="43"/>
      <c r="Y190" s="905"/>
      <c r="Z190" s="907"/>
      <c r="AA190" s="162" t="s">
        <v>1142</v>
      </c>
      <c r="AB190" s="9">
        <v>6.3</v>
      </c>
      <c r="AC190" s="151" t="s">
        <v>522</v>
      </c>
      <c r="AD190" s="151">
        <v>6.3</v>
      </c>
      <c r="AE190" s="151"/>
      <c r="AF190" s="152"/>
      <c r="AG190" s="143" t="s">
        <v>20225</v>
      </c>
      <c r="AH190" s="165">
        <v>1.0238478260869563</v>
      </c>
      <c r="AI190" s="165">
        <v>3.0838478260869566</v>
      </c>
      <c r="AJ190" s="144">
        <v>2.06</v>
      </c>
      <c r="AK190" s="143" t="s">
        <v>248</v>
      </c>
      <c r="AL190" s="144">
        <v>1.0238478260869566</v>
      </c>
      <c r="AM190" s="144">
        <v>0</v>
      </c>
      <c r="AN190" s="29">
        <v>6.6150000000000002</v>
      </c>
      <c r="AO190" s="165">
        <v>5.5911521739130432</v>
      </c>
      <c r="AP190" s="915"/>
      <c r="AQ190" s="879" t="s">
        <v>20211</v>
      </c>
      <c r="AR190" s="146" t="s">
        <v>20211</v>
      </c>
      <c r="AS190" s="946"/>
      <c r="AT190" s="58" t="s">
        <v>503</v>
      </c>
      <c r="AU190" s="118">
        <v>1960</v>
      </c>
      <c r="AV190" s="149" t="s">
        <v>2143</v>
      </c>
      <c r="AW190" s="120">
        <v>57.2552919177947</v>
      </c>
      <c r="AX190" s="120">
        <v>37.140592446362398</v>
      </c>
    </row>
    <row r="191" spans="1:50" ht="15" customHeight="1" x14ac:dyDescent="0.25">
      <c r="A191" s="905"/>
      <c r="B191" s="905"/>
      <c r="C191" s="162" t="s">
        <v>1141</v>
      </c>
      <c r="D191" s="9">
        <v>6.3</v>
      </c>
      <c r="E191" s="503" t="s">
        <v>522</v>
      </c>
      <c r="F191" s="503">
        <v>6.3</v>
      </c>
      <c r="G191" s="503"/>
      <c r="H191" s="501"/>
      <c r="I191" s="151" t="s">
        <v>20225</v>
      </c>
      <c r="J191" s="31">
        <v>1.86</v>
      </c>
      <c r="K191" s="510">
        <v>0</v>
      </c>
      <c r="L191" s="2">
        <v>0</v>
      </c>
      <c r="M191" s="165">
        <v>1.86</v>
      </c>
      <c r="N191" s="504">
        <v>0</v>
      </c>
      <c r="O191" s="29"/>
      <c r="P191" s="29">
        <v>6.6150000000000002</v>
      </c>
      <c r="Q191" s="165">
        <v>4.7549999999999999</v>
      </c>
      <c r="R191" s="913"/>
      <c r="S191" s="882"/>
      <c r="T191" s="146" t="s">
        <v>20211</v>
      </c>
      <c r="U191" s="879"/>
      <c r="V191" s="910"/>
      <c r="W191" s="879"/>
      <c r="X191" s="43"/>
      <c r="Y191" s="905"/>
      <c r="Z191" s="907"/>
      <c r="AA191" s="162" t="s">
        <v>1141</v>
      </c>
      <c r="AB191" s="9">
        <v>6.3</v>
      </c>
      <c r="AC191" s="151" t="s">
        <v>522</v>
      </c>
      <c r="AD191" s="151">
        <v>6.3</v>
      </c>
      <c r="AE191" s="151"/>
      <c r="AF191" s="152"/>
      <c r="AG191" s="143" t="s">
        <v>20225</v>
      </c>
      <c r="AH191" s="165">
        <v>0.73696304347826092</v>
      </c>
      <c r="AI191" s="165">
        <v>2.5969630434782611</v>
      </c>
      <c r="AJ191" s="144">
        <v>0</v>
      </c>
      <c r="AK191" s="143">
        <v>0</v>
      </c>
      <c r="AL191" s="144">
        <v>2.5969630434782611</v>
      </c>
      <c r="AM191" s="144">
        <v>0</v>
      </c>
      <c r="AN191" s="29">
        <v>6.6150000000000002</v>
      </c>
      <c r="AO191" s="165">
        <v>4.0180369565217386</v>
      </c>
      <c r="AP191" s="916"/>
      <c r="AQ191" s="879" t="s">
        <v>20211</v>
      </c>
      <c r="AR191" s="146" t="s">
        <v>20211</v>
      </c>
      <c r="AS191" s="947"/>
      <c r="AT191" s="58" t="s">
        <v>503</v>
      </c>
      <c r="AU191" s="118">
        <v>1960</v>
      </c>
      <c r="AV191" s="149" t="s">
        <v>2143</v>
      </c>
      <c r="AW191" s="120">
        <v>57.2552919177947</v>
      </c>
      <c r="AX191" s="120">
        <v>37.140592446362398</v>
      </c>
    </row>
    <row r="192" spans="1:50" ht="15" customHeight="1" x14ac:dyDescent="0.25">
      <c r="A192" s="905">
        <v>140</v>
      </c>
      <c r="B192" s="905">
        <v>30</v>
      </c>
      <c r="C192" s="162" t="s">
        <v>79</v>
      </c>
      <c r="D192" s="9">
        <v>6.3</v>
      </c>
      <c r="E192" s="503" t="s">
        <v>522</v>
      </c>
      <c r="F192" s="503">
        <v>6.3</v>
      </c>
      <c r="G192" s="503"/>
      <c r="H192" s="501"/>
      <c r="I192" s="151" t="s">
        <v>20225</v>
      </c>
      <c r="J192" s="31">
        <v>1.33</v>
      </c>
      <c r="K192" s="515">
        <v>0.19</v>
      </c>
      <c r="L192" s="509" t="s">
        <v>248</v>
      </c>
      <c r="M192" s="165">
        <v>1.1400000000000001</v>
      </c>
      <c r="N192" s="504">
        <v>0</v>
      </c>
      <c r="O192" s="29"/>
      <c r="P192" s="29">
        <v>6.6150000000000002</v>
      </c>
      <c r="Q192" s="165">
        <v>5.4749999999999996</v>
      </c>
      <c r="R192" s="913">
        <v>5.4749999999999996</v>
      </c>
      <c r="S192" s="880" t="s">
        <v>20211</v>
      </c>
      <c r="T192" s="146" t="s">
        <v>20211</v>
      </c>
      <c r="U192" s="878">
        <v>20.105820105820104</v>
      </c>
      <c r="V192" s="908">
        <v>0.74</v>
      </c>
      <c r="W192" s="878" t="s">
        <v>2260</v>
      </c>
      <c r="X192" s="43"/>
      <c r="Y192" s="905">
        <v>140</v>
      </c>
      <c r="Z192" s="907">
        <v>30</v>
      </c>
      <c r="AA192" s="162" t="s">
        <v>79</v>
      </c>
      <c r="AB192" s="9">
        <v>6.3</v>
      </c>
      <c r="AC192" s="151" t="s">
        <v>522</v>
      </c>
      <c r="AD192" s="151">
        <v>6.3</v>
      </c>
      <c r="AE192" s="151"/>
      <c r="AF192" s="152"/>
      <c r="AG192" s="143" t="s">
        <v>20225</v>
      </c>
      <c r="AH192" s="165">
        <v>0.8352391304347826</v>
      </c>
      <c r="AI192" s="165">
        <v>2.1652391304347827</v>
      </c>
      <c r="AJ192" s="144">
        <v>0.19</v>
      </c>
      <c r="AK192" s="143" t="s">
        <v>248</v>
      </c>
      <c r="AL192" s="144">
        <v>1.9752391304347827</v>
      </c>
      <c r="AM192" s="144">
        <v>0</v>
      </c>
      <c r="AN192" s="29">
        <v>6.6150000000000002</v>
      </c>
      <c r="AO192" s="165">
        <v>4.639760869565217</v>
      </c>
      <c r="AP192" s="914">
        <v>4.639760869565217</v>
      </c>
      <c r="AQ192" s="878" t="s">
        <v>20211</v>
      </c>
      <c r="AR192" s="146" t="s">
        <v>20211</v>
      </c>
      <c r="AS192" s="945">
        <v>32.732261986920371</v>
      </c>
      <c r="AT192" s="58" t="s">
        <v>503</v>
      </c>
      <c r="AU192" s="118">
        <v>1963</v>
      </c>
      <c r="AV192" s="149" t="s">
        <v>2143</v>
      </c>
      <c r="AW192" s="120">
        <v>57.156631058685001</v>
      </c>
      <c r="AX192" s="120">
        <v>36.744036796905199</v>
      </c>
    </row>
    <row r="193" spans="1:50" ht="15" customHeight="1" x14ac:dyDescent="0.25">
      <c r="A193" s="905"/>
      <c r="B193" s="905"/>
      <c r="C193" s="162" t="s">
        <v>1142</v>
      </c>
      <c r="D193" s="9">
        <v>6.3</v>
      </c>
      <c r="E193" s="503" t="s">
        <v>522</v>
      </c>
      <c r="F193" s="503">
        <v>6.3</v>
      </c>
      <c r="G193" s="503"/>
      <c r="H193" s="501"/>
      <c r="I193" s="151" t="s">
        <v>20225</v>
      </c>
      <c r="J193" s="31">
        <v>0.19</v>
      </c>
      <c r="K193" s="515">
        <v>0.19</v>
      </c>
      <c r="L193" s="509" t="s">
        <v>248</v>
      </c>
      <c r="M193" s="165">
        <v>0</v>
      </c>
      <c r="N193" s="504">
        <v>0</v>
      </c>
      <c r="O193" s="29"/>
      <c r="P193" s="29">
        <v>6.6150000000000002</v>
      </c>
      <c r="Q193" s="165">
        <v>6.6150000000000002</v>
      </c>
      <c r="R193" s="913"/>
      <c r="S193" s="881"/>
      <c r="T193" s="146" t="s">
        <v>20211</v>
      </c>
      <c r="U193" s="879"/>
      <c r="V193" s="909"/>
      <c r="W193" s="879"/>
      <c r="X193" s="43"/>
      <c r="Y193" s="905"/>
      <c r="Z193" s="907"/>
      <c r="AA193" s="162" t="s">
        <v>1142</v>
      </c>
      <c r="AB193" s="9">
        <v>6.3</v>
      </c>
      <c r="AC193" s="151" t="s">
        <v>522</v>
      </c>
      <c r="AD193" s="151">
        <v>6.3</v>
      </c>
      <c r="AE193" s="151"/>
      <c r="AF193" s="152"/>
      <c r="AG193" s="143" t="s">
        <v>20225</v>
      </c>
      <c r="AH193" s="165">
        <v>0.450195652173913</v>
      </c>
      <c r="AI193" s="165">
        <v>0.64019565217391294</v>
      </c>
      <c r="AJ193" s="144">
        <v>0.19</v>
      </c>
      <c r="AK193" s="143" t="s">
        <v>248</v>
      </c>
      <c r="AL193" s="144">
        <v>0.45019565217391294</v>
      </c>
      <c r="AM193" s="144">
        <v>0</v>
      </c>
      <c r="AN193" s="29">
        <v>6.6150000000000002</v>
      </c>
      <c r="AO193" s="165">
        <v>6.1648043478260872</v>
      </c>
      <c r="AP193" s="915"/>
      <c r="AQ193" s="879" t="s">
        <v>20211</v>
      </c>
      <c r="AR193" s="146" t="s">
        <v>20211</v>
      </c>
      <c r="AS193" s="946"/>
      <c r="AT193" s="58" t="s">
        <v>503</v>
      </c>
      <c r="AU193" s="118">
        <v>1963</v>
      </c>
      <c r="AV193" s="149" t="s">
        <v>2143</v>
      </c>
      <c r="AW193" s="120">
        <v>57.156631058685001</v>
      </c>
      <c r="AX193" s="120">
        <v>36.744036796905199</v>
      </c>
    </row>
    <row r="194" spans="1:50" ht="15" customHeight="1" x14ac:dyDescent="0.25">
      <c r="A194" s="905"/>
      <c r="B194" s="905"/>
      <c r="C194" s="162" t="s">
        <v>1141</v>
      </c>
      <c r="D194" s="9">
        <v>6.3</v>
      </c>
      <c r="E194" s="503" t="s">
        <v>522</v>
      </c>
      <c r="F194" s="503">
        <v>6.3</v>
      </c>
      <c r="G194" s="503"/>
      <c r="H194" s="501"/>
      <c r="I194" s="151" t="s">
        <v>20225</v>
      </c>
      <c r="J194" s="31">
        <v>1.1399999999999999</v>
      </c>
      <c r="K194" s="510">
        <v>0</v>
      </c>
      <c r="L194" s="2">
        <v>0</v>
      </c>
      <c r="M194" s="165">
        <v>1.1399999999999999</v>
      </c>
      <c r="N194" s="504">
        <v>0</v>
      </c>
      <c r="O194" s="29"/>
      <c r="P194" s="29">
        <v>6.6150000000000002</v>
      </c>
      <c r="Q194" s="165">
        <v>5.4750000000000005</v>
      </c>
      <c r="R194" s="913"/>
      <c r="S194" s="882"/>
      <c r="T194" s="146" t="s">
        <v>20211</v>
      </c>
      <c r="U194" s="879"/>
      <c r="V194" s="910"/>
      <c r="W194" s="879"/>
      <c r="X194" s="43"/>
      <c r="Y194" s="905"/>
      <c r="Z194" s="907"/>
      <c r="AA194" s="162" t="s">
        <v>1141</v>
      </c>
      <c r="AB194" s="9">
        <v>6.3</v>
      </c>
      <c r="AC194" s="151" t="s">
        <v>522</v>
      </c>
      <c r="AD194" s="151">
        <v>6.3</v>
      </c>
      <c r="AE194" s="151"/>
      <c r="AF194" s="152"/>
      <c r="AG194" s="143" t="s">
        <v>20225</v>
      </c>
      <c r="AH194" s="165">
        <v>0.38504347826086954</v>
      </c>
      <c r="AI194" s="165">
        <v>1.5250434782608695</v>
      </c>
      <c r="AJ194" s="144">
        <v>0</v>
      </c>
      <c r="AK194" s="143">
        <v>0</v>
      </c>
      <c r="AL194" s="144">
        <v>1.5250434782608695</v>
      </c>
      <c r="AM194" s="144">
        <v>0</v>
      </c>
      <c r="AN194" s="29">
        <v>6.6150000000000002</v>
      </c>
      <c r="AO194" s="165">
        <v>5.0899565217391309</v>
      </c>
      <c r="AP194" s="916"/>
      <c r="AQ194" s="879" t="s">
        <v>20211</v>
      </c>
      <c r="AR194" s="146" t="s">
        <v>20211</v>
      </c>
      <c r="AS194" s="947"/>
      <c r="AT194" s="58" t="s">
        <v>503</v>
      </c>
      <c r="AU194" s="118">
        <v>1963</v>
      </c>
      <c r="AV194" s="149" t="s">
        <v>2143</v>
      </c>
      <c r="AW194" s="120">
        <v>57.156631058685001</v>
      </c>
      <c r="AX194" s="120">
        <v>36.744036796905199</v>
      </c>
    </row>
    <row r="195" spans="1:50" ht="15" customHeight="1" x14ac:dyDescent="0.25">
      <c r="A195" s="906">
        <v>141</v>
      </c>
      <c r="B195" s="906">
        <v>31</v>
      </c>
      <c r="C195" s="123" t="s">
        <v>80</v>
      </c>
      <c r="D195" s="124">
        <v>16</v>
      </c>
      <c r="E195" s="125" t="s">
        <v>522</v>
      </c>
      <c r="F195" s="125">
        <v>16</v>
      </c>
      <c r="G195" s="125"/>
      <c r="H195" s="507"/>
      <c r="I195" s="125" t="s">
        <v>20243</v>
      </c>
      <c r="J195" s="126">
        <v>19.46</v>
      </c>
      <c r="K195" s="174">
        <v>0</v>
      </c>
      <c r="L195" s="128">
        <v>0</v>
      </c>
      <c r="M195" s="127">
        <v>19.46</v>
      </c>
      <c r="N195" s="514">
        <v>0</v>
      </c>
      <c r="O195" s="129"/>
      <c r="P195" s="129">
        <v>16.8</v>
      </c>
      <c r="Q195" s="127">
        <v>-2.66</v>
      </c>
      <c r="R195" s="918">
        <v>-2.66</v>
      </c>
      <c r="S195" s="894" t="s">
        <v>2217</v>
      </c>
      <c r="T195" s="173" t="s">
        <v>2217</v>
      </c>
      <c r="U195" s="893">
        <v>115.83333333333333</v>
      </c>
      <c r="V195" s="893">
        <v>0.44</v>
      </c>
      <c r="W195" s="893" t="s">
        <v>2260</v>
      </c>
      <c r="X195" s="43"/>
      <c r="Y195" s="906">
        <v>141</v>
      </c>
      <c r="Z195" s="917">
        <v>31</v>
      </c>
      <c r="AA195" s="123" t="s">
        <v>80</v>
      </c>
      <c r="AB195" s="124">
        <v>16</v>
      </c>
      <c r="AC195" s="125" t="s">
        <v>522</v>
      </c>
      <c r="AD195" s="125">
        <v>16</v>
      </c>
      <c r="AE195" s="125"/>
      <c r="AF195" s="156"/>
      <c r="AG195" s="166" t="s">
        <v>20243</v>
      </c>
      <c r="AH195" s="127">
        <v>4.1943913043478256</v>
      </c>
      <c r="AI195" s="127">
        <v>23.654391304347826</v>
      </c>
      <c r="AJ195" s="164">
        <v>0</v>
      </c>
      <c r="AK195" s="166">
        <v>0</v>
      </c>
      <c r="AL195" s="164">
        <v>23.654391304347826</v>
      </c>
      <c r="AM195" s="164">
        <v>0</v>
      </c>
      <c r="AN195" s="129">
        <v>16.8</v>
      </c>
      <c r="AO195" s="127">
        <v>-6.8543913043478248</v>
      </c>
      <c r="AP195" s="918">
        <v>-6.8543913043478248</v>
      </c>
      <c r="AQ195" s="894" t="s">
        <v>2217</v>
      </c>
      <c r="AR195" s="173" t="s">
        <v>2217</v>
      </c>
      <c r="AS195" s="951">
        <v>140.79994824016563</v>
      </c>
      <c r="AT195" s="175" t="s">
        <v>503</v>
      </c>
      <c r="AU195" s="176">
        <v>1982</v>
      </c>
      <c r="AV195" s="177" t="s">
        <v>2143</v>
      </c>
      <c r="AW195" s="178">
        <v>57.223869448804102</v>
      </c>
      <c r="AX195" s="178">
        <v>37.802553604275602</v>
      </c>
    </row>
    <row r="196" spans="1:50" ht="15" customHeight="1" x14ac:dyDescent="0.25">
      <c r="A196" s="906"/>
      <c r="B196" s="906"/>
      <c r="C196" s="123" t="s">
        <v>1142</v>
      </c>
      <c r="D196" s="124">
        <v>16</v>
      </c>
      <c r="E196" s="125" t="s">
        <v>522</v>
      </c>
      <c r="F196" s="125">
        <v>16</v>
      </c>
      <c r="G196" s="125"/>
      <c r="H196" s="507"/>
      <c r="I196" s="125" t="s">
        <v>20243</v>
      </c>
      <c r="J196" s="126">
        <v>14.02</v>
      </c>
      <c r="K196" s="127">
        <v>0</v>
      </c>
      <c r="L196" s="128">
        <v>0</v>
      </c>
      <c r="M196" s="127">
        <v>14.02</v>
      </c>
      <c r="N196" s="514">
        <v>0</v>
      </c>
      <c r="O196" s="129"/>
      <c r="P196" s="129">
        <v>16.8</v>
      </c>
      <c r="Q196" s="127">
        <v>2.7800000000000011</v>
      </c>
      <c r="R196" s="919"/>
      <c r="S196" s="895"/>
      <c r="T196" s="173" t="s">
        <v>20211</v>
      </c>
      <c r="U196" s="893"/>
      <c r="V196" s="893"/>
      <c r="W196" s="893"/>
      <c r="X196" s="43"/>
      <c r="Y196" s="906"/>
      <c r="Z196" s="917"/>
      <c r="AA196" s="123" t="s">
        <v>1142</v>
      </c>
      <c r="AB196" s="124">
        <v>16</v>
      </c>
      <c r="AC196" s="125" t="s">
        <v>522</v>
      </c>
      <c r="AD196" s="125">
        <v>16</v>
      </c>
      <c r="AE196" s="125"/>
      <c r="AF196" s="156"/>
      <c r="AG196" s="166" t="s">
        <v>20243</v>
      </c>
      <c r="AH196" s="127">
        <v>3.835565217391304</v>
      </c>
      <c r="AI196" s="127">
        <v>17.855565217391302</v>
      </c>
      <c r="AJ196" s="164">
        <v>0</v>
      </c>
      <c r="AK196" s="166">
        <v>0</v>
      </c>
      <c r="AL196" s="164">
        <v>17.855565217391302</v>
      </c>
      <c r="AM196" s="164">
        <v>0</v>
      </c>
      <c r="AN196" s="129">
        <v>16.8</v>
      </c>
      <c r="AO196" s="127">
        <v>-1.055565217391301</v>
      </c>
      <c r="AP196" s="919"/>
      <c r="AQ196" s="895"/>
      <c r="AR196" s="173" t="s">
        <v>20211</v>
      </c>
      <c r="AS196" s="952"/>
      <c r="AT196" s="175" t="s">
        <v>503</v>
      </c>
      <c r="AU196" s="176">
        <v>1982</v>
      </c>
      <c r="AV196" s="177" t="s">
        <v>2143</v>
      </c>
      <c r="AW196" s="178">
        <v>57.223869448804102</v>
      </c>
      <c r="AX196" s="178">
        <v>37.802553604275602</v>
      </c>
    </row>
    <row r="197" spans="1:50" ht="15" customHeight="1" x14ac:dyDescent="0.25">
      <c r="A197" s="906"/>
      <c r="B197" s="906"/>
      <c r="C197" s="123" t="s">
        <v>1141</v>
      </c>
      <c r="D197" s="124">
        <v>16</v>
      </c>
      <c r="E197" s="125" t="s">
        <v>522</v>
      </c>
      <c r="F197" s="125">
        <v>16</v>
      </c>
      <c r="G197" s="125"/>
      <c r="H197" s="507"/>
      <c r="I197" s="125" t="s">
        <v>20243</v>
      </c>
      <c r="J197" s="126">
        <v>5.44</v>
      </c>
      <c r="K197" s="127">
        <v>0</v>
      </c>
      <c r="L197" s="128">
        <v>0</v>
      </c>
      <c r="M197" s="127">
        <v>5.44</v>
      </c>
      <c r="N197" s="514">
        <v>0</v>
      </c>
      <c r="O197" s="129"/>
      <c r="P197" s="129">
        <v>16.8</v>
      </c>
      <c r="Q197" s="127">
        <v>11.36</v>
      </c>
      <c r="R197" s="920"/>
      <c r="S197" s="896"/>
      <c r="T197" s="173" t="s">
        <v>20211</v>
      </c>
      <c r="U197" s="893"/>
      <c r="V197" s="893"/>
      <c r="W197" s="893"/>
      <c r="X197" s="43"/>
      <c r="Y197" s="906"/>
      <c r="Z197" s="917"/>
      <c r="AA197" s="123" t="s">
        <v>1141</v>
      </c>
      <c r="AB197" s="124">
        <v>16</v>
      </c>
      <c r="AC197" s="125" t="s">
        <v>522</v>
      </c>
      <c r="AD197" s="125">
        <v>16</v>
      </c>
      <c r="AE197" s="125"/>
      <c r="AF197" s="156"/>
      <c r="AG197" s="166" t="s">
        <v>20243</v>
      </c>
      <c r="AH197" s="127">
        <v>0.35882608695652174</v>
      </c>
      <c r="AI197" s="127">
        <v>5.798826086956522</v>
      </c>
      <c r="AJ197" s="164">
        <v>0</v>
      </c>
      <c r="AK197" s="166">
        <v>0</v>
      </c>
      <c r="AL197" s="164">
        <v>5.798826086956522</v>
      </c>
      <c r="AM197" s="164">
        <v>0</v>
      </c>
      <c r="AN197" s="129">
        <v>16.8</v>
      </c>
      <c r="AO197" s="127">
        <v>11.001173913043479</v>
      </c>
      <c r="AP197" s="920"/>
      <c r="AQ197" s="896"/>
      <c r="AR197" s="173" t="s">
        <v>20211</v>
      </c>
      <c r="AS197" s="953"/>
      <c r="AT197" s="175" t="s">
        <v>503</v>
      </c>
      <c r="AU197" s="176">
        <v>1982</v>
      </c>
      <c r="AV197" s="177" t="s">
        <v>2143</v>
      </c>
      <c r="AW197" s="178">
        <v>57.223869448804102</v>
      </c>
      <c r="AX197" s="178">
        <v>37.802553604275602</v>
      </c>
    </row>
    <row r="198" spans="1:50" ht="15" customHeight="1" x14ac:dyDescent="0.25">
      <c r="A198" s="905">
        <v>142</v>
      </c>
      <c r="B198" s="905">
        <v>32</v>
      </c>
      <c r="C198" s="162" t="s">
        <v>81</v>
      </c>
      <c r="D198" s="9">
        <v>25</v>
      </c>
      <c r="E198" s="503" t="s">
        <v>522</v>
      </c>
      <c r="F198" s="503">
        <v>25</v>
      </c>
      <c r="G198" s="503"/>
      <c r="H198" s="501"/>
      <c r="I198" s="151" t="s">
        <v>20226</v>
      </c>
      <c r="J198" s="31">
        <v>13.84</v>
      </c>
      <c r="K198" s="515">
        <v>0.31</v>
      </c>
      <c r="L198" s="509" t="s">
        <v>248</v>
      </c>
      <c r="M198" s="165">
        <v>13.53</v>
      </c>
      <c r="N198" s="504">
        <v>0</v>
      </c>
      <c r="O198" s="29"/>
      <c r="P198" s="29">
        <v>26.25</v>
      </c>
      <c r="Q198" s="165">
        <v>12.72</v>
      </c>
      <c r="R198" s="913">
        <v>12.72</v>
      </c>
      <c r="S198" s="880" t="s">
        <v>20211</v>
      </c>
      <c r="T198" s="146" t="s">
        <v>20211</v>
      </c>
      <c r="U198" s="878">
        <v>52.723809523809521</v>
      </c>
      <c r="V198" s="908">
        <v>0.44</v>
      </c>
      <c r="W198" s="878" t="s">
        <v>2260</v>
      </c>
      <c r="X198" s="43"/>
      <c r="Y198" s="905">
        <v>142</v>
      </c>
      <c r="Z198" s="907">
        <v>32</v>
      </c>
      <c r="AA198" s="162" t="s">
        <v>81</v>
      </c>
      <c r="AB198" s="9">
        <v>25</v>
      </c>
      <c r="AC198" s="151" t="s">
        <v>522</v>
      </c>
      <c r="AD198" s="151">
        <v>25</v>
      </c>
      <c r="AE198" s="151"/>
      <c r="AF198" s="152"/>
      <c r="AG198" s="143" t="s">
        <v>20226</v>
      </c>
      <c r="AH198" s="165">
        <v>1.6701521739130434</v>
      </c>
      <c r="AI198" s="165">
        <v>15.510152173913044</v>
      </c>
      <c r="AJ198" s="144">
        <v>0.31</v>
      </c>
      <c r="AK198" s="143" t="s">
        <v>248</v>
      </c>
      <c r="AL198" s="144">
        <v>15.200152173913043</v>
      </c>
      <c r="AM198" s="144">
        <v>0</v>
      </c>
      <c r="AN198" s="29">
        <v>26.25</v>
      </c>
      <c r="AO198" s="165">
        <v>11.049847826086957</v>
      </c>
      <c r="AP198" s="914">
        <v>11.049847826086957</v>
      </c>
      <c r="AQ198" s="878" t="s">
        <v>20211</v>
      </c>
      <c r="AR198" s="146" t="s">
        <v>20211</v>
      </c>
      <c r="AS198" s="945">
        <v>59.086293995859215</v>
      </c>
      <c r="AT198" s="58" t="s">
        <v>503</v>
      </c>
      <c r="AU198" s="118">
        <v>1963</v>
      </c>
      <c r="AV198" s="150">
        <v>2011</v>
      </c>
      <c r="AW198" s="120">
        <v>57.351743114366101</v>
      </c>
      <c r="AX198" s="120">
        <v>37.575931682148699</v>
      </c>
    </row>
    <row r="199" spans="1:50" ht="15" customHeight="1" x14ac:dyDescent="0.25">
      <c r="A199" s="905"/>
      <c r="B199" s="905"/>
      <c r="C199" s="162" t="s">
        <v>1142</v>
      </c>
      <c r="D199" s="9">
        <v>25</v>
      </c>
      <c r="E199" s="503" t="s">
        <v>522</v>
      </c>
      <c r="F199" s="503">
        <v>25</v>
      </c>
      <c r="G199" s="503"/>
      <c r="H199" s="501"/>
      <c r="I199" s="151" t="s">
        <v>20226</v>
      </c>
      <c r="J199" s="31">
        <v>5.47</v>
      </c>
      <c r="K199" s="510">
        <v>0.31</v>
      </c>
      <c r="L199" s="509" t="s">
        <v>248</v>
      </c>
      <c r="M199" s="165">
        <v>5.16</v>
      </c>
      <c r="N199" s="504">
        <v>0</v>
      </c>
      <c r="O199" s="29"/>
      <c r="P199" s="29">
        <v>26.25</v>
      </c>
      <c r="Q199" s="165">
        <v>21.09</v>
      </c>
      <c r="R199" s="913"/>
      <c r="S199" s="881"/>
      <c r="T199" s="146" t="s">
        <v>20211</v>
      </c>
      <c r="U199" s="879"/>
      <c r="V199" s="911"/>
      <c r="W199" s="879"/>
      <c r="X199" s="43"/>
      <c r="Y199" s="905"/>
      <c r="Z199" s="907"/>
      <c r="AA199" s="162" t="s">
        <v>1142</v>
      </c>
      <c r="AB199" s="9">
        <v>25</v>
      </c>
      <c r="AC199" s="151" t="s">
        <v>522</v>
      </c>
      <c r="AD199" s="151">
        <v>25</v>
      </c>
      <c r="AE199" s="151"/>
      <c r="AF199" s="152"/>
      <c r="AG199" s="143" t="s">
        <v>20226</v>
      </c>
      <c r="AH199" s="165">
        <v>1.6126304347826086</v>
      </c>
      <c r="AI199" s="165">
        <v>7.0826304347826081</v>
      </c>
      <c r="AJ199" s="144">
        <v>0.31</v>
      </c>
      <c r="AK199" s="143" t="s">
        <v>248</v>
      </c>
      <c r="AL199" s="144">
        <v>6.7726304347826085</v>
      </c>
      <c r="AM199" s="144">
        <v>0</v>
      </c>
      <c r="AN199" s="29">
        <v>26.25</v>
      </c>
      <c r="AO199" s="165">
        <v>19.477369565217391</v>
      </c>
      <c r="AP199" s="915"/>
      <c r="AQ199" s="879" t="s">
        <v>20211</v>
      </c>
      <c r="AR199" s="146" t="s">
        <v>20211</v>
      </c>
      <c r="AS199" s="946"/>
      <c r="AT199" s="58" t="s">
        <v>503</v>
      </c>
      <c r="AU199" s="118">
        <v>1963</v>
      </c>
      <c r="AV199" s="150">
        <v>2011</v>
      </c>
      <c r="AW199" s="120">
        <v>57.351743114366101</v>
      </c>
      <c r="AX199" s="120">
        <v>37.575931682148699</v>
      </c>
    </row>
    <row r="200" spans="1:50" ht="15" customHeight="1" x14ac:dyDescent="0.25">
      <c r="A200" s="905"/>
      <c r="B200" s="905"/>
      <c r="C200" s="162" t="s">
        <v>1141</v>
      </c>
      <c r="D200" s="9">
        <v>25</v>
      </c>
      <c r="E200" s="503" t="s">
        <v>522</v>
      </c>
      <c r="F200" s="503">
        <v>25</v>
      </c>
      <c r="G200" s="503"/>
      <c r="H200" s="501"/>
      <c r="I200" s="151" t="s">
        <v>20226</v>
      </c>
      <c r="J200" s="31">
        <v>8.3699999999999992</v>
      </c>
      <c r="K200" s="510">
        <v>0</v>
      </c>
      <c r="L200" s="2">
        <v>0</v>
      </c>
      <c r="M200" s="165">
        <v>8.3699999999999992</v>
      </c>
      <c r="N200" s="504">
        <v>0</v>
      </c>
      <c r="O200" s="29"/>
      <c r="P200" s="29">
        <v>26.25</v>
      </c>
      <c r="Q200" s="165">
        <v>17.880000000000003</v>
      </c>
      <c r="R200" s="913"/>
      <c r="S200" s="882"/>
      <c r="T200" s="146" t="s">
        <v>20211</v>
      </c>
      <c r="U200" s="879"/>
      <c r="V200" s="912"/>
      <c r="W200" s="879"/>
      <c r="X200" s="43"/>
      <c r="Y200" s="905"/>
      <c r="Z200" s="907"/>
      <c r="AA200" s="162" t="s">
        <v>1141</v>
      </c>
      <c r="AB200" s="9">
        <v>25</v>
      </c>
      <c r="AC200" s="151" t="s">
        <v>522</v>
      </c>
      <c r="AD200" s="151">
        <v>25</v>
      </c>
      <c r="AE200" s="151"/>
      <c r="AF200" s="152"/>
      <c r="AG200" s="143" t="s">
        <v>20226</v>
      </c>
      <c r="AH200" s="165">
        <v>5.7521739130434783E-2</v>
      </c>
      <c r="AI200" s="165">
        <v>8.4275217391304338</v>
      </c>
      <c r="AJ200" s="144">
        <v>0</v>
      </c>
      <c r="AK200" s="143">
        <v>0</v>
      </c>
      <c r="AL200" s="144">
        <v>8.4275217391304338</v>
      </c>
      <c r="AM200" s="144">
        <v>0</v>
      </c>
      <c r="AN200" s="29">
        <v>26.25</v>
      </c>
      <c r="AO200" s="165">
        <v>17.822478260869566</v>
      </c>
      <c r="AP200" s="916"/>
      <c r="AQ200" s="879" t="s">
        <v>20211</v>
      </c>
      <c r="AR200" s="146" t="s">
        <v>20211</v>
      </c>
      <c r="AS200" s="947"/>
      <c r="AT200" s="58" t="s">
        <v>503</v>
      </c>
      <c r="AU200" s="118">
        <v>1963</v>
      </c>
      <c r="AV200" s="150">
        <v>2011</v>
      </c>
      <c r="AW200" s="120">
        <v>57.351743114366101</v>
      </c>
      <c r="AX200" s="120">
        <v>37.575931682148699</v>
      </c>
    </row>
    <row r="201" spans="1:50" ht="15" customHeight="1" x14ac:dyDescent="0.25">
      <c r="A201" s="905">
        <v>143</v>
      </c>
      <c r="B201" s="905">
        <v>33</v>
      </c>
      <c r="C201" s="162" t="s">
        <v>82</v>
      </c>
      <c r="D201" s="9">
        <v>40</v>
      </c>
      <c r="E201" s="503" t="s">
        <v>522</v>
      </c>
      <c r="F201" s="503">
        <v>25</v>
      </c>
      <c r="G201" s="503"/>
      <c r="H201" s="501"/>
      <c r="I201" s="151" t="s">
        <v>20246</v>
      </c>
      <c r="J201" s="31">
        <v>25.65</v>
      </c>
      <c r="K201" s="515">
        <v>0.21</v>
      </c>
      <c r="L201" s="509" t="s">
        <v>248</v>
      </c>
      <c r="M201" s="165">
        <v>25.439999999999998</v>
      </c>
      <c r="N201" s="504">
        <v>0</v>
      </c>
      <c r="O201" s="29"/>
      <c r="P201" s="29">
        <v>26.25</v>
      </c>
      <c r="Q201" s="165">
        <v>0.81000000000000227</v>
      </c>
      <c r="R201" s="914">
        <v>0.81000000000000227</v>
      </c>
      <c r="S201" s="880" t="s">
        <v>20211</v>
      </c>
      <c r="T201" s="146" t="s">
        <v>20211</v>
      </c>
      <c r="U201" s="878">
        <v>97.714285714285708</v>
      </c>
      <c r="V201" s="908">
        <v>0.4</v>
      </c>
      <c r="W201" s="878" t="s">
        <v>2260</v>
      </c>
      <c r="X201" s="43"/>
      <c r="Y201" s="906">
        <v>143</v>
      </c>
      <c r="Z201" s="917">
        <v>33</v>
      </c>
      <c r="AA201" s="123" t="s">
        <v>82</v>
      </c>
      <c r="AB201" s="124">
        <v>40</v>
      </c>
      <c r="AC201" s="125" t="s">
        <v>522</v>
      </c>
      <c r="AD201" s="125">
        <v>25</v>
      </c>
      <c r="AE201" s="125"/>
      <c r="AF201" s="156"/>
      <c r="AG201" s="166" t="s">
        <v>20246</v>
      </c>
      <c r="AH201" s="127">
        <v>4.3214347826086952</v>
      </c>
      <c r="AI201" s="127">
        <v>29.971434782608693</v>
      </c>
      <c r="AJ201" s="164">
        <v>0.21</v>
      </c>
      <c r="AK201" s="166" t="s">
        <v>248</v>
      </c>
      <c r="AL201" s="164">
        <v>29.761434782608692</v>
      </c>
      <c r="AM201" s="164">
        <v>0</v>
      </c>
      <c r="AN201" s="129">
        <v>26.25</v>
      </c>
      <c r="AO201" s="127">
        <v>-3.511434782608692</v>
      </c>
      <c r="AP201" s="918">
        <v>-3.511434782608692</v>
      </c>
      <c r="AQ201" s="894" t="s">
        <v>2217</v>
      </c>
      <c r="AR201" s="173" t="s">
        <v>2217</v>
      </c>
      <c r="AS201" s="951">
        <v>114.17689440993789</v>
      </c>
      <c r="AT201" s="175" t="s">
        <v>503</v>
      </c>
      <c r="AU201" s="176">
        <v>1980</v>
      </c>
      <c r="AV201" s="177" t="s">
        <v>2143</v>
      </c>
      <c r="AW201" s="178">
        <v>56.853632203928001</v>
      </c>
      <c r="AX201" s="178">
        <v>37.335026857522202</v>
      </c>
    </row>
    <row r="202" spans="1:50" ht="15" customHeight="1" x14ac:dyDescent="0.25">
      <c r="A202" s="905"/>
      <c r="B202" s="905"/>
      <c r="C202" s="162" t="s">
        <v>1142</v>
      </c>
      <c r="D202" s="9">
        <v>40</v>
      </c>
      <c r="E202" s="503" t="s">
        <v>522</v>
      </c>
      <c r="F202" s="503">
        <v>25</v>
      </c>
      <c r="G202" s="503"/>
      <c r="H202" s="501"/>
      <c r="I202" s="151" t="s">
        <v>20246</v>
      </c>
      <c r="J202" s="31">
        <v>17.760000000000002</v>
      </c>
      <c r="K202" s="510">
        <v>0.21</v>
      </c>
      <c r="L202" s="509" t="s">
        <v>248</v>
      </c>
      <c r="M202" s="165">
        <v>17.55</v>
      </c>
      <c r="N202" s="504">
        <v>0</v>
      </c>
      <c r="O202" s="29"/>
      <c r="P202" s="29">
        <v>26.25</v>
      </c>
      <c r="Q202" s="165">
        <v>8.6999999999999993</v>
      </c>
      <c r="R202" s="915"/>
      <c r="S202" s="881"/>
      <c r="T202" s="146" t="s">
        <v>20211</v>
      </c>
      <c r="U202" s="878"/>
      <c r="V202" s="911"/>
      <c r="W202" s="878"/>
      <c r="X202" s="43"/>
      <c r="Y202" s="906"/>
      <c r="Z202" s="917"/>
      <c r="AA202" s="123" t="s">
        <v>1142</v>
      </c>
      <c r="AB202" s="124">
        <v>40</v>
      </c>
      <c r="AC202" s="125" t="s">
        <v>522</v>
      </c>
      <c r="AD202" s="125">
        <v>25</v>
      </c>
      <c r="AE202" s="125"/>
      <c r="AF202" s="156"/>
      <c r="AG202" s="166" t="s">
        <v>20246</v>
      </c>
      <c r="AH202" s="127">
        <v>1.527032608695652</v>
      </c>
      <c r="AI202" s="127">
        <v>19.287032608695654</v>
      </c>
      <c r="AJ202" s="164">
        <v>0.21</v>
      </c>
      <c r="AK202" s="166" t="s">
        <v>248</v>
      </c>
      <c r="AL202" s="164">
        <v>19.077032608695653</v>
      </c>
      <c r="AM202" s="164">
        <v>0</v>
      </c>
      <c r="AN202" s="129">
        <v>26.25</v>
      </c>
      <c r="AO202" s="127">
        <v>7.172967391304347</v>
      </c>
      <c r="AP202" s="919"/>
      <c r="AQ202" s="895"/>
      <c r="AR202" s="173" t="s">
        <v>20211</v>
      </c>
      <c r="AS202" s="952"/>
      <c r="AT202" s="175" t="s">
        <v>503</v>
      </c>
      <c r="AU202" s="176">
        <v>1980</v>
      </c>
      <c r="AV202" s="177" t="s">
        <v>2143</v>
      </c>
      <c r="AW202" s="178">
        <v>56.853632203928001</v>
      </c>
      <c r="AX202" s="178">
        <v>37.335026857522202</v>
      </c>
    </row>
    <row r="203" spans="1:50" ht="15" customHeight="1" x14ac:dyDescent="0.25">
      <c r="A203" s="905"/>
      <c r="B203" s="905"/>
      <c r="C203" s="162" t="s">
        <v>1141</v>
      </c>
      <c r="D203" s="9">
        <v>40</v>
      </c>
      <c r="E203" s="503" t="s">
        <v>522</v>
      </c>
      <c r="F203" s="503">
        <v>25</v>
      </c>
      <c r="G203" s="503"/>
      <c r="H203" s="501"/>
      <c r="I203" s="151" t="s">
        <v>20246</v>
      </c>
      <c r="J203" s="31">
        <v>7.89</v>
      </c>
      <c r="K203" s="510">
        <v>0</v>
      </c>
      <c r="L203" s="2">
        <v>0</v>
      </c>
      <c r="M203" s="165">
        <v>7.89</v>
      </c>
      <c r="N203" s="504">
        <v>0</v>
      </c>
      <c r="O203" s="29"/>
      <c r="P203" s="29">
        <v>26.25</v>
      </c>
      <c r="Q203" s="165">
        <v>18.36</v>
      </c>
      <c r="R203" s="916"/>
      <c r="S203" s="882"/>
      <c r="T203" s="146" t="s">
        <v>20211</v>
      </c>
      <c r="U203" s="878"/>
      <c r="V203" s="912"/>
      <c r="W203" s="878"/>
      <c r="X203" s="43"/>
      <c r="Y203" s="906"/>
      <c r="Z203" s="917"/>
      <c r="AA203" s="123" t="s">
        <v>1141</v>
      </c>
      <c r="AB203" s="124">
        <v>40</v>
      </c>
      <c r="AC203" s="125" t="s">
        <v>522</v>
      </c>
      <c r="AD203" s="125">
        <v>25</v>
      </c>
      <c r="AE203" s="125"/>
      <c r="AF203" s="156"/>
      <c r="AG203" s="166" t="s">
        <v>20246</v>
      </c>
      <c r="AH203" s="127">
        <v>2.7944021739130434</v>
      </c>
      <c r="AI203" s="127">
        <v>10.684402173913043</v>
      </c>
      <c r="AJ203" s="164">
        <v>0</v>
      </c>
      <c r="AK203" s="166">
        <v>0</v>
      </c>
      <c r="AL203" s="164">
        <v>10.684402173913043</v>
      </c>
      <c r="AM203" s="164">
        <v>0</v>
      </c>
      <c r="AN203" s="129">
        <v>26.25</v>
      </c>
      <c r="AO203" s="127">
        <v>15.565597826086957</v>
      </c>
      <c r="AP203" s="920"/>
      <c r="AQ203" s="896"/>
      <c r="AR203" s="173" t="s">
        <v>20211</v>
      </c>
      <c r="AS203" s="953"/>
      <c r="AT203" s="175" t="s">
        <v>503</v>
      </c>
      <c r="AU203" s="176">
        <v>1980</v>
      </c>
      <c r="AV203" s="177" t="s">
        <v>2143</v>
      </c>
      <c r="AW203" s="178">
        <v>56.853632203928001</v>
      </c>
      <c r="AX203" s="178">
        <v>37.335026857522202</v>
      </c>
    </row>
    <row r="204" spans="1:50" ht="15" customHeight="1" x14ac:dyDescent="0.25">
      <c r="A204" s="905">
        <v>144</v>
      </c>
      <c r="B204" s="905">
        <v>34</v>
      </c>
      <c r="C204" s="162" t="s">
        <v>83</v>
      </c>
      <c r="D204" s="9">
        <v>10</v>
      </c>
      <c r="E204" s="503" t="s">
        <v>522</v>
      </c>
      <c r="F204" s="503">
        <v>10</v>
      </c>
      <c r="G204" s="503"/>
      <c r="H204" s="501"/>
      <c r="I204" s="151" t="s">
        <v>20227</v>
      </c>
      <c r="J204" s="31">
        <v>3.46</v>
      </c>
      <c r="K204" s="515">
        <v>0.24</v>
      </c>
      <c r="L204" s="509" t="s">
        <v>248</v>
      </c>
      <c r="M204" s="165">
        <v>3.2199999999999998</v>
      </c>
      <c r="N204" s="504">
        <v>0</v>
      </c>
      <c r="O204" s="29"/>
      <c r="P204" s="29">
        <v>10.5</v>
      </c>
      <c r="Q204" s="165">
        <v>7.28</v>
      </c>
      <c r="R204" s="913">
        <v>7.28</v>
      </c>
      <c r="S204" s="880" t="s">
        <v>20211</v>
      </c>
      <c r="T204" s="146" t="s">
        <v>20211</v>
      </c>
      <c r="U204" s="878">
        <v>32.952380952380949</v>
      </c>
      <c r="V204" s="908">
        <v>0.54</v>
      </c>
      <c r="W204" s="878" t="s">
        <v>2260</v>
      </c>
      <c r="X204" s="43"/>
      <c r="Y204" s="905">
        <v>144</v>
      </c>
      <c r="Z204" s="907">
        <v>34</v>
      </c>
      <c r="AA204" s="162" t="s">
        <v>83</v>
      </c>
      <c r="AB204" s="9">
        <v>10</v>
      </c>
      <c r="AC204" s="151" t="s">
        <v>522</v>
      </c>
      <c r="AD204" s="151">
        <v>10</v>
      </c>
      <c r="AE204" s="151"/>
      <c r="AF204" s="152"/>
      <c r="AG204" s="143" t="s">
        <v>20227</v>
      </c>
      <c r="AH204" s="165">
        <v>0.32954347826086955</v>
      </c>
      <c r="AI204" s="165">
        <v>3.7895434782608697</v>
      </c>
      <c r="AJ204" s="144">
        <v>0.24</v>
      </c>
      <c r="AK204" s="143" t="s">
        <v>248</v>
      </c>
      <c r="AL204" s="144">
        <v>3.5495434782608699</v>
      </c>
      <c r="AM204" s="144">
        <v>0</v>
      </c>
      <c r="AN204" s="29">
        <v>10.5</v>
      </c>
      <c r="AO204" s="165">
        <v>6.9504565217391301</v>
      </c>
      <c r="AP204" s="914">
        <v>6.9504565217391301</v>
      </c>
      <c r="AQ204" s="878" t="s">
        <v>20211</v>
      </c>
      <c r="AR204" s="146" t="s">
        <v>20211</v>
      </c>
      <c r="AS204" s="945">
        <v>36.090890269151139</v>
      </c>
      <c r="AT204" s="58" t="s">
        <v>503</v>
      </c>
      <c r="AU204" s="118">
        <v>1988</v>
      </c>
      <c r="AV204" s="149" t="s">
        <v>2143</v>
      </c>
      <c r="AW204" s="120">
        <v>57.595969576016401</v>
      </c>
      <c r="AX204" s="120">
        <v>37.280950339091802</v>
      </c>
    </row>
    <row r="205" spans="1:50" ht="15" customHeight="1" x14ac:dyDescent="0.25">
      <c r="A205" s="905"/>
      <c r="B205" s="905"/>
      <c r="C205" s="162" t="s">
        <v>1142</v>
      </c>
      <c r="D205" s="9">
        <v>10</v>
      </c>
      <c r="E205" s="503" t="s">
        <v>522</v>
      </c>
      <c r="F205" s="503">
        <v>10</v>
      </c>
      <c r="G205" s="503"/>
      <c r="H205" s="501"/>
      <c r="I205" s="151" t="s">
        <v>20227</v>
      </c>
      <c r="J205" s="31">
        <v>0.7</v>
      </c>
      <c r="K205" s="510">
        <v>0.24</v>
      </c>
      <c r="L205" s="509" t="s">
        <v>248</v>
      </c>
      <c r="M205" s="165">
        <v>0.45999999999999996</v>
      </c>
      <c r="N205" s="504">
        <v>0</v>
      </c>
      <c r="O205" s="29"/>
      <c r="P205" s="29">
        <v>10.5</v>
      </c>
      <c r="Q205" s="165">
        <v>10.039999999999999</v>
      </c>
      <c r="R205" s="913"/>
      <c r="S205" s="881"/>
      <c r="T205" s="146" t="s">
        <v>20211</v>
      </c>
      <c r="U205" s="879"/>
      <c r="V205" s="911"/>
      <c r="W205" s="879"/>
      <c r="X205" s="43"/>
      <c r="Y205" s="905"/>
      <c r="Z205" s="907"/>
      <c r="AA205" s="162" t="s">
        <v>1142</v>
      </c>
      <c r="AB205" s="9">
        <v>10</v>
      </c>
      <c r="AC205" s="151" t="s">
        <v>522</v>
      </c>
      <c r="AD205" s="151">
        <v>10</v>
      </c>
      <c r="AE205" s="151"/>
      <c r="AF205" s="152"/>
      <c r="AG205" s="143" t="s">
        <v>20227</v>
      </c>
      <c r="AH205" s="165">
        <v>0</v>
      </c>
      <c r="AI205" s="165">
        <v>0.7</v>
      </c>
      <c r="AJ205" s="144">
        <v>0.24</v>
      </c>
      <c r="AK205" s="143" t="s">
        <v>248</v>
      </c>
      <c r="AL205" s="144">
        <v>0.45999999999999996</v>
      </c>
      <c r="AM205" s="144">
        <v>0</v>
      </c>
      <c r="AN205" s="29">
        <v>10.5</v>
      </c>
      <c r="AO205" s="165">
        <v>10.039999999999999</v>
      </c>
      <c r="AP205" s="915"/>
      <c r="AQ205" s="879" t="s">
        <v>20211</v>
      </c>
      <c r="AR205" s="146" t="s">
        <v>20211</v>
      </c>
      <c r="AS205" s="946"/>
      <c r="AT205" s="58" t="s">
        <v>503</v>
      </c>
      <c r="AU205" s="118">
        <v>1988</v>
      </c>
      <c r="AV205" s="149" t="s">
        <v>2143</v>
      </c>
      <c r="AW205" s="120">
        <v>57.595969576016401</v>
      </c>
      <c r="AX205" s="120">
        <v>37.280950339091802</v>
      </c>
    </row>
    <row r="206" spans="1:50" ht="15" customHeight="1" x14ac:dyDescent="0.25">
      <c r="A206" s="905"/>
      <c r="B206" s="905"/>
      <c r="C206" s="162" t="s">
        <v>1141</v>
      </c>
      <c r="D206" s="9">
        <v>10</v>
      </c>
      <c r="E206" s="503" t="s">
        <v>522</v>
      </c>
      <c r="F206" s="503">
        <v>10</v>
      </c>
      <c r="G206" s="503"/>
      <c r="H206" s="501"/>
      <c r="I206" s="151" t="s">
        <v>20227</v>
      </c>
      <c r="J206" s="31">
        <v>2.76</v>
      </c>
      <c r="K206" s="510">
        <v>0</v>
      </c>
      <c r="L206" s="2">
        <v>0</v>
      </c>
      <c r="M206" s="165">
        <v>2.76</v>
      </c>
      <c r="N206" s="504">
        <v>0</v>
      </c>
      <c r="O206" s="29"/>
      <c r="P206" s="29">
        <v>10.5</v>
      </c>
      <c r="Q206" s="165">
        <v>7.74</v>
      </c>
      <c r="R206" s="913"/>
      <c r="S206" s="882"/>
      <c r="T206" s="146" t="s">
        <v>20211</v>
      </c>
      <c r="U206" s="879"/>
      <c r="V206" s="912"/>
      <c r="W206" s="879"/>
      <c r="X206" s="43"/>
      <c r="Y206" s="905"/>
      <c r="Z206" s="907"/>
      <c r="AA206" s="162" t="s">
        <v>1141</v>
      </c>
      <c r="AB206" s="9">
        <v>10</v>
      </c>
      <c r="AC206" s="151" t="s">
        <v>522</v>
      </c>
      <c r="AD206" s="151">
        <v>10</v>
      </c>
      <c r="AE206" s="151"/>
      <c r="AF206" s="152"/>
      <c r="AG206" s="143" t="s">
        <v>20227</v>
      </c>
      <c r="AH206" s="165">
        <v>0.32954347826086955</v>
      </c>
      <c r="AI206" s="165">
        <v>3.0895434782608695</v>
      </c>
      <c r="AJ206" s="144">
        <v>0</v>
      </c>
      <c r="AK206" s="143">
        <v>0</v>
      </c>
      <c r="AL206" s="144">
        <v>3.0895434782608695</v>
      </c>
      <c r="AM206" s="144">
        <v>0</v>
      </c>
      <c r="AN206" s="29">
        <v>10.5</v>
      </c>
      <c r="AO206" s="165">
        <v>7.4104565217391301</v>
      </c>
      <c r="AP206" s="916"/>
      <c r="AQ206" s="879" t="s">
        <v>20211</v>
      </c>
      <c r="AR206" s="146" t="s">
        <v>20211</v>
      </c>
      <c r="AS206" s="947"/>
      <c r="AT206" s="58" t="s">
        <v>503</v>
      </c>
      <c r="AU206" s="118">
        <v>1988</v>
      </c>
      <c r="AV206" s="149" t="s">
        <v>2143</v>
      </c>
      <c r="AW206" s="120">
        <v>57.595969576016401</v>
      </c>
      <c r="AX206" s="120">
        <v>37.280950339091802</v>
      </c>
    </row>
    <row r="207" spans="1:50" ht="15" customHeight="1" x14ac:dyDescent="0.25">
      <c r="A207" s="143">
        <v>145</v>
      </c>
      <c r="B207" s="143">
        <v>1</v>
      </c>
      <c r="C207" s="143" t="s">
        <v>1152</v>
      </c>
      <c r="D207" s="9">
        <v>2.5</v>
      </c>
      <c r="E207" s="503"/>
      <c r="F207" s="503"/>
      <c r="G207" s="503"/>
      <c r="H207" s="501"/>
      <c r="I207" s="151" t="s">
        <v>20212</v>
      </c>
      <c r="J207" s="31">
        <v>0.18</v>
      </c>
      <c r="K207" s="504">
        <v>1.33</v>
      </c>
      <c r="L207" s="502" t="s">
        <v>1153</v>
      </c>
      <c r="M207" s="144">
        <v>1.33</v>
      </c>
      <c r="N207" s="504">
        <v>0</v>
      </c>
      <c r="O207" s="29"/>
      <c r="P207" s="29">
        <v>1.33</v>
      </c>
      <c r="Q207" s="144">
        <v>1.1500000000000001</v>
      </c>
      <c r="R207" s="144">
        <v>1.1500000000000001</v>
      </c>
      <c r="S207" s="145" t="s">
        <v>20211</v>
      </c>
      <c r="T207" s="146" t="s">
        <v>20211</v>
      </c>
      <c r="U207" s="145">
        <v>6.8571428571428568</v>
      </c>
      <c r="V207" s="506"/>
      <c r="W207" s="506" t="s">
        <v>2023</v>
      </c>
      <c r="X207" s="43"/>
      <c r="Y207" s="143">
        <v>145</v>
      </c>
      <c r="Z207" s="152">
        <v>1</v>
      </c>
      <c r="AA207" s="143" t="s">
        <v>1152</v>
      </c>
      <c r="AB207" s="9">
        <v>2.5</v>
      </c>
      <c r="AC207" s="151"/>
      <c r="AD207" s="151"/>
      <c r="AE207" s="151"/>
      <c r="AF207" s="152"/>
      <c r="AG207" s="143" t="s">
        <v>20212</v>
      </c>
      <c r="AH207" s="144">
        <v>2.1130434782608693E-2</v>
      </c>
      <c r="AI207" s="144">
        <v>0.2011304347826087</v>
      </c>
      <c r="AJ207" s="144">
        <v>1.33</v>
      </c>
      <c r="AK207" s="143" t="s">
        <v>1153</v>
      </c>
      <c r="AL207" s="144">
        <v>1.33</v>
      </c>
      <c r="AM207" s="144">
        <v>0</v>
      </c>
      <c r="AN207" s="29">
        <v>1.33</v>
      </c>
      <c r="AO207" s="144">
        <v>1.1288695652173915</v>
      </c>
      <c r="AP207" s="144">
        <v>1.1288695652173915</v>
      </c>
      <c r="AQ207" s="145" t="s">
        <v>20211</v>
      </c>
      <c r="AR207" s="146" t="s">
        <v>20211</v>
      </c>
      <c r="AS207" s="56">
        <v>7.6621118012422365</v>
      </c>
      <c r="AT207" s="58" t="s">
        <v>48</v>
      </c>
      <c r="AU207" s="118">
        <v>1979</v>
      </c>
      <c r="AV207" s="149" t="s">
        <v>2143</v>
      </c>
      <c r="AW207" s="120">
        <v>56.389174849860403</v>
      </c>
      <c r="AX207" s="120">
        <v>32.317610468557497</v>
      </c>
    </row>
    <row r="208" spans="1:50" ht="15" customHeight="1" x14ac:dyDescent="0.25">
      <c r="A208" s="143">
        <v>146</v>
      </c>
      <c r="B208" s="143">
        <v>2</v>
      </c>
      <c r="C208" s="143" t="s">
        <v>1154</v>
      </c>
      <c r="D208" s="9">
        <v>1.6</v>
      </c>
      <c r="E208" s="503"/>
      <c r="F208" s="503"/>
      <c r="G208" s="503"/>
      <c r="H208" s="501"/>
      <c r="I208" s="151" t="s">
        <v>20210</v>
      </c>
      <c r="J208" s="31">
        <v>0.25</v>
      </c>
      <c r="K208" s="504">
        <v>1.34</v>
      </c>
      <c r="L208" s="502" t="s">
        <v>1153</v>
      </c>
      <c r="M208" s="144">
        <v>1.34</v>
      </c>
      <c r="N208" s="504">
        <v>0</v>
      </c>
      <c r="O208" s="29"/>
      <c r="P208" s="29">
        <v>1.34</v>
      </c>
      <c r="Q208" s="144">
        <v>1.0900000000000001</v>
      </c>
      <c r="R208" s="144">
        <v>1.0900000000000001</v>
      </c>
      <c r="S208" s="145" t="s">
        <v>20211</v>
      </c>
      <c r="T208" s="146" t="s">
        <v>20211</v>
      </c>
      <c r="U208" s="145">
        <v>14.88095238095238</v>
      </c>
      <c r="V208" s="506"/>
      <c r="W208" s="506" t="s">
        <v>2023</v>
      </c>
      <c r="X208" s="43"/>
      <c r="Y208" s="143">
        <v>146</v>
      </c>
      <c r="Z208" s="152">
        <v>2</v>
      </c>
      <c r="AA208" s="143" t="s">
        <v>1154</v>
      </c>
      <c r="AB208" s="9">
        <v>1.6</v>
      </c>
      <c r="AC208" s="151"/>
      <c r="AD208" s="151"/>
      <c r="AE208" s="151"/>
      <c r="AF208" s="152"/>
      <c r="AG208" s="143" t="s">
        <v>20210</v>
      </c>
      <c r="AH208" s="144">
        <v>9.7826086956521747E-3</v>
      </c>
      <c r="AI208" s="144">
        <v>0.25978260869565217</v>
      </c>
      <c r="AJ208" s="144">
        <v>1.34</v>
      </c>
      <c r="AK208" s="143" t="s">
        <v>1153</v>
      </c>
      <c r="AL208" s="144">
        <v>1.34</v>
      </c>
      <c r="AM208" s="144">
        <v>0</v>
      </c>
      <c r="AN208" s="29">
        <v>1.34</v>
      </c>
      <c r="AO208" s="144">
        <v>1.0802173913043478</v>
      </c>
      <c r="AP208" s="144">
        <v>1.0802173913043478</v>
      </c>
      <c r="AQ208" s="145" t="s">
        <v>20211</v>
      </c>
      <c r="AR208" s="146" t="s">
        <v>20211</v>
      </c>
      <c r="AS208" s="56">
        <v>15.463250517598343</v>
      </c>
      <c r="AT208" s="58" t="s">
        <v>48</v>
      </c>
      <c r="AU208" s="118">
        <v>1969</v>
      </c>
      <c r="AV208" s="149" t="s">
        <v>2143</v>
      </c>
      <c r="AW208" s="120">
        <v>56.4557735737027</v>
      </c>
      <c r="AX208" s="120">
        <v>31.380672378859799</v>
      </c>
    </row>
    <row r="209" spans="1:50" ht="15" customHeight="1" x14ac:dyDescent="0.25">
      <c r="A209" s="143">
        <v>147</v>
      </c>
      <c r="B209" s="143">
        <v>3</v>
      </c>
      <c r="C209" s="143" t="s">
        <v>1155</v>
      </c>
      <c r="D209" s="9">
        <v>2.5</v>
      </c>
      <c r="E209" s="503"/>
      <c r="F209" s="503"/>
      <c r="G209" s="503"/>
      <c r="H209" s="501"/>
      <c r="I209" s="151" t="s">
        <v>20212</v>
      </c>
      <c r="J209" s="31">
        <v>0.19</v>
      </c>
      <c r="K209" s="504">
        <v>1.36</v>
      </c>
      <c r="L209" s="502" t="s">
        <v>1153</v>
      </c>
      <c r="M209" s="144">
        <v>1.36</v>
      </c>
      <c r="N209" s="504">
        <v>0</v>
      </c>
      <c r="O209" s="29"/>
      <c r="P209" s="29">
        <v>1.36</v>
      </c>
      <c r="Q209" s="144">
        <v>1.1700000000000002</v>
      </c>
      <c r="R209" s="144">
        <v>1.1700000000000002</v>
      </c>
      <c r="S209" s="145" t="s">
        <v>20211</v>
      </c>
      <c r="T209" s="146" t="s">
        <v>20211</v>
      </c>
      <c r="U209" s="145">
        <v>7.2380952380952381</v>
      </c>
      <c r="V209" s="506">
        <v>1.1000000000000001</v>
      </c>
      <c r="W209" s="506" t="s">
        <v>2260</v>
      </c>
      <c r="X209" s="43"/>
      <c r="Y209" s="143">
        <v>147</v>
      </c>
      <c r="Z209" s="152">
        <v>3</v>
      </c>
      <c r="AA209" s="143" t="s">
        <v>1155</v>
      </c>
      <c r="AB209" s="9">
        <v>2.5</v>
      </c>
      <c r="AC209" s="151"/>
      <c r="AD209" s="151"/>
      <c r="AE209" s="151"/>
      <c r="AF209" s="152"/>
      <c r="AG209" s="143" t="s">
        <v>20212</v>
      </c>
      <c r="AH209" s="144">
        <v>0</v>
      </c>
      <c r="AI209" s="144">
        <v>0.19</v>
      </c>
      <c r="AJ209" s="144">
        <v>1.36</v>
      </c>
      <c r="AK209" s="143" t="s">
        <v>1153</v>
      </c>
      <c r="AL209" s="144">
        <v>1.36</v>
      </c>
      <c r="AM209" s="144">
        <v>0</v>
      </c>
      <c r="AN209" s="29">
        <v>1.36</v>
      </c>
      <c r="AO209" s="144">
        <v>1.1700000000000002</v>
      </c>
      <c r="AP209" s="144">
        <v>1.1700000000000002</v>
      </c>
      <c r="AQ209" s="145" t="s">
        <v>20211</v>
      </c>
      <c r="AR209" s="146" t="s">
        <v>20211</v>
      </c>
      <c r="AS209" s="56">
        <v>7.2380952380952381</v>
      </c>
      <c r="AT209" s="58" t="s">
        <v>48</v>
      </c>
      <c r="AU209" s="118">
        <v>1992</v>
      </c>
      <c r="AV209" s="149" t="s">
        <v>2143</v>
      </c>
      <c r="AW209" s="120">
        <v>56.366589376127301</v>
      </c>
      <c r="AX209" s="120">
        <v>31.382266363149299</v>
      </c>
    </row>
    <row r="210" spans="1:50" ht="15" customHeight="1" x14ac:dyDescent="0.25">
      <c r="A210" s="143">
        <v>148</v>
      </c>
      <c r="B210" s="143"/>
      <c r="C210" s="143" t="s">
        <v>18195</v>
      </c>
      <c r="D210" s="9">
        <v>6.3</v>
      </c>
      <c r="E210" s="503"/>
      <c r="F210" s="503"/>
      <c r="G210" s="503"/>
      <c r="H210" s="501"/>
      <c r="I210" s="151" t="s">
        <v>20215</v>
      </c>
      <c r="J210" s="31">
        <v>2.2999999999999998</v>
      </c>
      <c r="K210" s="504">
        <v>1.85</v>
      </c>
      <c r="L210" s="502">
        <v>120</v>
      </c>
      <c r="M210" s="144">
        <v>1.85</v>
      </c>
      <c r="N210" s="504">
        <v>0</v>
      </c>
      <c r="O210" s="29"/>
      <c r="P210" s="29">
        <v>1.85</v>
      </c>
      <c r="Q210" s="144">
        <v>-0.44999999999999973</v>
      </c>
      <c r="R210" s="144">
        <v>-0.44999999999999973</v>
      </c>
      <c r="S210" s="145" t="s">
        <v>2217</v>
      </c>
      <c r="T210" s="146" t="s">
        <v>2217</v>
      </c>
      <c r="U210" s="145">
        <v>34.76946334089191</v>
      </c>
      <c r="V210" s="506">
        <v>0.5</v>
      </c>
      <c r="W210" s="506" t="s">
        <v>2260</v>
      </c>
      <c r="X210" s="43"/>
      <c r="Y210" s="143">
        <v>148</v>
      </c>
      <c r="Z210" s="152"/>
      <c r="AA210" s="143" t="s">
        <v>18195</v>
      </c>
      <c r="AB210" s="9">
        <v>6.3</v>
      </c>
      <c r="AC210" s="151"/>
      <c r="AD210" s="151"/>
      <c r="AE210" s="151"/>
      <c r="AF210" s="152"/>
      <c r="AG210" s="143" t="s">
        <v>20215</v>
      </c>
      <c r="AH210" s="144">
        <v>0</v>
      </c>
      <c r="AI210" s="144">
        <v>2.2999999999999998</v>
      </c>
      <c r="AJ210" s="144">
        <v>1.85</v>
      </c>
      <c r="AK210" s="143">
        <v>120</v>
      </c>
      <c r="AL210" s="144">
        <v>1.85</v>
      </c>
      <c r="AM210" s="144">
        <v>0</v>
      </c>
      <c r="AN210" s="29">
        <v>1.85</v>
      </c>
      <c r="AO210" s="144">
        <v>-0.44999999999999973</v>
      </c>
      <c r="AP210" s="144">
        <v>-0.44999999999999973</v>
      </c>
      <c r="AQ210" s="145" t="s">
        <v>2217</v>
      </c>
      <c r="AR210" s="146" t="s">
        <v>2217</v>
      </c>
      <c r="AS210" s="56">
        <v>34.76946334089191</v>
      </c>
      <c r="AT210" s="58" t="s">
        <v>48</v>
      </c>
      <c r="AU210" s="118">
        <v>2014</v>
      </c>
      <c r="AV210" s="149" t="s">
        <v>2143</v>
      </c>
      <c r="AW210" s="120">
        <v>56.408223</v>
      </c>
      <c r="AX210" s="120">
        <v>31.638242000000002</v>
      </c>
    </row>
    <row r="211" spans="1:50" ht="15" customHeight="1" x14ac:dyDescent="0.25">
      <c r="A211" s="143">
        <v>149</v>
      </c>
      <c r="B211" s="143">
        <v>4</v>
      </c>
      <c r="C211" s="143" t="s">
        <v>1156</v>
      </c>
      <c r="D211" s="9">
        <v>2.5</v>
      </c>
      <c r="E211" s="503"/>
      <c r="F211" s="503"/>
      <c r="G211" s="503"/>
      <c r="H211" s="501"/>
      <c r="I211" s="151" t="s">
        <v>20212</v>
      </c>
      <c r="J211" s="31">
        <v>0.05</v>
      </c>
      <c r="K211" s="504">
        <v>0</v>
      </c>
      <c r="L211" s="502">
        <v>0</v>
      </c>
      <c r="M211" s="144">
        <v>0</v>
      </c>
      <c r="N211" s="504">
        <v>0</v>
      </c>
      <c r="O211" s="29"/>
      <c r="P211" s="29">
        <v>0</v>
      </c>
      <c r="Q211" s="144">
        <v>-0.05</v>
      </c>
      <c r="R211" s="144">
        <v>-0.05</v>
      </c>
      <c r="S211" s="143" t="s">
        <v>2217</v>
      </c>
      <c r="T211" s="146" t="s">
        <v>2217</v>
      </c>
      <c r="U211" s="145">
        <v>1.9047619047619047</v>
      </c>
      <c r="V211" s="506"/>
      <c r="W211" s="506" t="s">
        <v>2023</v>
      </c>
      <c r="X211" s="43"/>
      <c r="Y211" s="143">
        <v>149</v>
      </c>
      <c r="Z211" s="152">
        <v>4</v>
      </c>
      <c r="AA211" s="143" t="s">
        <v>1156</v>
      </c>
      <c r="AB211" s="9">
        <v>2.5</v>
      </c>
      <c r="AC211" s="151"/>
      <c r="AD211" s="151"/>
      <c r="AE211" s="151"/>
      <c r="AF211" s="152"/>
      <c r="AG211" s="143" t="s">
        <v>20212</v>
      </c>
      <c r="AH211" s="144">
        <v>0</v>
      </c>
      <c r="AI211" s="144">
        <v>0.05</v>
      </c>
      <c r="AJ211" s="144">
        <v>0</v>
      </c>
      <c r="AK211" s="143">
        <v>0</v>
      </c>
      <c r="AL211" s="144">
        <v>0</v>
      </c>
      <c r="AM211" s="144">
        <v>0</v>
      </c>
      <c r="AN211" s="29">
        <v>0</v>
      </c>
      <c r="AO211" s="144">
        <v>-0.05</v>
      </c>
      <c r="AP211" s="144">
        <v>-0.05</v>
      </c>
      <c r="AQ211" s="153" t="s">
        <v>2217</v>
      </c>
      <c r="AR211" s="146" t="s">
        <v>2217</v>
      </c>
      <c r="AS211" s="56">
        <v>1.9047619047619047</v>
      </c>
      <c r="AT211" s="58" t="s">
        <v>48</v>
      </c>
      <c r="AU211" s="118">
        <v>1985</v>
      </c>
      <c r="AV211" s="149" t="s">
        <v>2143</v>
      </c>
      <c r="AW211" s="120">
        <v>55.815755702065999</v>
      </c>
      <c r="AX211" s="120">
        <v>31.4666890538183</v>
      </c>
    </row>
    <row r="212" spans="1:50" ht="15" customHeight="1" x14ac:dyDescent="0.25">
      <c r="A212" s="143">
        <v>150</v>
      </c>
      <c r="B212" s="143">
        <v>5</v>
      </c>
      <c r="C212" s="143" t="s">
        <v>1157</v>
      </c>
      <c r="D212" s="9">
        <v>2.5</v>
      </c>
      <c r="E212" s="503"/>
      <c r="F212" s="503"/>
      <c r="G212" s="503"/>
      <c r="H212" s="501"/>
      <c r="I212" s="151" t="s">
        <v>20212</v>
      </c>
      <c r="J212" s="31">
        <v>1.78</v>
      </c>
      <c r="K212" s="504">
        <v>0</v>
      </c>
      <c r="L212" s="502">
        <v>0</v>
      </c>
      <c r="M212" s="144">
        <v>0</v>
      </c>
      <c r="N212" s="504">
        <v>0</v>
      </c>
      <c r="O212" s="29"/>
      <c r="P212" s="29">
        <v>0</v>
      </c>
      <c r="Q212" s="144">
        <v>-1.78</v>
      </c>
      <c r="R212" s="144">
        <v>-1.78</v>
      </c>
      <c r="S212" s="143" t="s">
        <v>2217</v>
      </c>
      <c r="T212" s="146" t="s">
        <v>2217</v>
      </c>
      <c r="U212" s="145">
        <v>67.80952380952381</v>
      </c>
      <c r="V212" s="506">
        <v>0.7</v>
      </c>
      <c r="W212" s="506" t="s">
        <v>2260</v>
      </c>
      <c r="X212" s="43"/>
      <c r="Y212" s="143">
        <v>150</v>
      </c>
      <c r="Z212" s="152">
        <v>5</v>
      </c>
      <c r="AA212" s="143" t="s">
        <v>1157</v>
      </c>
      <c r="AB212" s="9">
        <v>2.5</v>
      </c>
      <c r="AC212" s="151"/>
      <c r="AD212" s="151"/>
      <c r="AE212" s="151"/>
      <c r="AF212" s="152"/>
      <c r="AG212" s="143" t="s">
        <v>20212</v>
      </c>
      <c r="AH212" s="144">
        <v>0.10793478260869566</v>
      </c>
      <c r="AI212" s="144">
        <v>1.8879347826086956</v>
      </c>
      <c r="AJ212" s="144">
        <v>0</v>
      </c>
      <c r="AK212" s="143">
        <v>0</v>
      </c>
      <c r="AL212" s="144">
        <v>0</v>
      </c>
      <c r="AM212" s="144">
        <v>0</v>
      </c>
      <c r="AN212" s="29">
        <v>0</v>
      </c>
      <c r="AO212" s="144">
        <v>-1.8879347826086956</v>
      </c>
      <c r="AP212" s="144">
        <v>-1.8879347826086956</v>
      </c>
      <c r="AQ212" s="153" t="s">
        <v>2217</v>
      </c>
      <c r="AR212" s="146" t="s">
        <v>2217</v>
      </c>
      <c r="AS212" s="56">
        <v>71.921325051759837</v>
      </c>
      <c r="AT212" s="58" t="s">
        <v>48</v>
      </c>
      <c r="AU212" s="118">
        <v>1968</v>
      </c>
      <c r="AV212" s="149">
        <v>2013</v>
      </c>
      <c r="AW212" s="120">
        <v>55.863897874483001</v>
      </c>
      <c r="AX212" s="120">
        <v>32.2785135593817</v>
      </c>
    </row>
    <row r="213" spans="1:50" ht="15" customHeight="1" x14ac:dyDescent="0.25">
      <c r="A213" s="143">
        <v>151</v>
      </c>
      <c r="B213" s="143">
        <v>6</v>
      </c>
      <c r="C213" s="143" t="s">
        <v>1158</v>
      </c>
      <c r="D213" s="9">
        <v>2.5</v>
      </c>
      <c r="E213" s="503"/>
      <c r="F213" s="503"/>
      <c r="G213" s="503"/>
      <c r="H213" s="501"/>
      <c r="I213" s="151" t="s">
        <v>20212</v>
      </c>
      <c r="J213" s="31">
        <v>0.4</v>
      </c>
      <c r="K213" s="504">
        <v>2.65</v>
      </c>
      <c r="L213" s="502" t="s">
        <v>1153</v>
      </c>
      <c r="M213" s="144">
        <v>2.65</v>
      </c>
      <c r="N213" s="504">
        <v>0</v>
      </c>
      <c r="O213" s="29"/>
      <c r="P213" s="29">
        <v>2.65</v>
      </c>
      <c r="Q213" s="144">
        <v>2.25</v>
      </c>
      <c r="R213" s="144">
        <v>2.25</v>
      </c>
      <c r="S213" s="143" t="s">
        <v>20211</v>
      </c>
      <c r="T213" s="146" t="s">
        <v>20211</v>
      </c>
      <c r="U213" s="145">
        <v>15.238095238095237</v>
      </c>
      <c r="V213" s="506">
        <v>0.5</v>
      </c>
      <c r="W213" s="506" t="s">
        <v>2260</v>
      </c>
      <c r="X213" s="43"/>
      <c r="Y213" s="143">
        <v>151</v>
      </c>
      <c r="Z213" s="152">
        <v>6</v>
      </c>
      <c r="AA213" s="143" t="s">
        <v>1158</v>
      </c>
      <c r="AB213" s="9">
        <v>2.5</v>
      </c>
      <c r="AC213" s="151"/>
      <c r="AD213" s="151"/>
      <c r="AE213" s="151"/>
      <c r="AF213" s="152"/>
      <c r="AG213" s="143" t="s">
        <v>20212</v>
      </c>
      <c r="AH213" s="144">
        <v>4.8913043478260873E-3</v>
      </c>
      <c r="AI213" s="144">
        <v>0.40489130434782611</v>
      </c>
      <c r="AJ213" s="144">
        <v>2.65</v>
      </c>
      <c r="AK213" s="143" t="s">
        <v>1153</v>
      </c>
      <c r="AL213" s="144">
        <v>2.65</v>
      </c>
      <c r="AM213" s="144">
        <v>0</v>
      </c>
      <c r="AN213" s="29">
        <v>2.65</v>
      </c>
      <c r="AO213" s="144">
        <v>2.2451086956521737</v>
      </c>
      <c r="AP213" s="144">
        <v>2.2451086956521737</v>
      </c>
      <c r="AQ213" s="153" t="s">
        <v>20211</v>
      </c>
      <c r="AR213" s="146" t="s">
        <v>20211</v>
      </c>
      <c r="AS213" s="56">
        <v>15.424430641821946</v>
      </c>
      <c r="AT213" s="58" t="s">
        <v>48</v>
      </c>
      <c r="AU213" s="118">
        <v>1969</v>
      </c>
      <c r="AV213" s="149" t="s">
        <v>2143</v>
      </c>
      <c r="AW213" s="120">
        <v>56.258005847280003</v>
      </c>
      <c r="AX213" s="120">
        <v>32.358977418513398</v>
      </c>
    </row>
    <row r="214" spans="1:50" ht="15" customHeight="1" x14ac:dyDescent="0.25">
      <c r="A214" s="143">
        <v>152</v>
      </c>
      <c r="B214" s="143">
        <v>7</v>
      </c>
      <c r="C214" s="143" t="s">
        <v>1159</v>
      </c>
      <c r="D214" s="9">
        <v>2.5</v>
      </c>
      <c r="E214" s="503"/>
      <c r="F214" s="503"/>
      <c r="G214" s="503"/>
      <c r="H214" s="501"/>
      <c r="I214" s="151" t="s">
        <v>20212</v>
      </c>
      <c r="J214" s="31">
        <v>0.18</v>
      </c>
      <c r="K214" s="504">
        <v>0.89</v>
      </c>
      <c r="L214" s="502" t="s">
        <v>1153</v>
      </c>
      <c r="M214" s="144">
        <v>0.89</v>
      </c>
      <c r="N214" s="504">
        <v>0</v>
      </c>
      <c r="O214" s="29"/>
      <c r="P214" s="29">
        <v>0.89</v>
      </c>
      <c r="Q214" s="144">
        <v>0.71</v>
      </c>
      <c r="R214" s="144">
        <v>0.71</v>
      </c>
      <c r="S214" s="143" t="s">
        <v>20211</v>
      </c>
      <c r="T214" s="146" t="s">
        <v>20211</v>
      </c>
      <c r="U214" s="145">
        <v>6.8571428571428568</v>
      </c>
      <c r="V214" s="506"/>
      <c r="W214" s="506" t="s">
        <v>2023</v>
      </c>
      <c r="X214" s="43"/>
      <c r="Y214" s="143">
        <v>152</v>
      </c>
      <c r="Z214" s="152">
        <v>7</v>
      </c>
      <c r="AA214" s="143" t="s">
        <v>1159</v>
      </c>
      <c r="AB214" s="9">
        <v>2.5</v>
      </c>
      <c r="AC214" s="151"/>
      <c r="AD214" s="151"/>
      <c r="AE214" s="151"/>
      <c r="AF214" s="152"/>
      <c r="AG214" s="143" t="s">
        <v>20212</v>
      </c>
      <c r="AH214" s="144">
        <v>2.0543478260869569E-2</v>
      </c>
      <c r="AI214" s="144">
        <v>0.20054347826086957</v>
      </c>
      <c r="AJ214" s="144">
        <v>0.89</v>
      </c>
      <c r="AK214" s="143" t="s">
        <v>1153</v>
      </c>
      <c r="AL214" s="144">
        <v>0.89</v>
      </c>
      <c r="AM214" s="144">
        <v>0</v>
      </c>
      <c r="AN214" s="29">
        <v>0.89</v>
      </c>
      <c r="AO214" s="144">
        <v>0.68945652173913041</v>
      </c>
      <c r="AP214" s="144">
        <v>0.68945652173913041</v>
      </c>
      <c r="AQ214" s="153" t="s">
        <v>20211</v>
      </c>
      <c r="AR214" s="146" t="s">
        <v>20211</v>
      </c>
      <c r="AS214" s="56">
        <v>7.6397515527950315</v>
      </c>
      <c r="AT214" s="58" t="s">
        <v>48</v>
      </c>
      <c r="AU214" s="118">
        <v>1982</v>
      </c>
      <c r="AV214" s="149" t="s">
        <v>2143</v>
      </c>
      <c r="AW214" s="120">
        <v>56.396138368713501</v>
      </c>
      <c r="AX214" s="120">
        <v>32.790010688667003</v>
      </c>
    </row>
    <row r="215" spans="1:50" ht="15" customHeight="1" x14ac:dyDescent="0.25">
      <c r="A215" s="143">
        <v>153</v>
      </c>
      <c r="B215" s="143">
        <v>8</v>
      </c>
      <c r="C215" s="143" t="s">
        <v>1160</v>
      </c>
      <c r="D215" s="9">
        <v>1.6</v>
      </c>
      <c r="E215" s="503"/>
      <c r="F215" s="503"/>
      <c r="G215" s="503"/>
      <c r="H215" s="501"/>
      <c r="I215" s="151" t="s">
        <v>20210</v>
      </c>
      <c r="J215" s="31">
        <v>0.11</v>
      </c>
      <c r="K215" s="504">
        <v>0.88</v>
      </c>
      <c r="L215" s="502" t="s">
        <v>1153</v>
      </c>
      <c r="M215" s="144">
        <v>0.88</v>
      </c>
      <c r="N215" s="504">
        <v>0</v>
      </c>
      <c r="O215" s="29"/>
      <c r="P215" s="29">
        <v>0.88</v>
      </c>
      <c r="Q215" s="144">
        <v>0.77</v>
      </c>
      <c r="R215" s="144">
        <v>0.77</v>
      </c>
      <c r="S215" s="143" t="s">
        <v>20211</v>
      </c>
      <c r="T215" s="146" t="s">
        <v>20211</v>
      </c>
      <c r="U215" s="145">
        <v>6.5476190476190466</v>
      </c>
      <c r="V215" s="506"/>
      <c r="W215" s="506" t="s">
        <v>2023</v>
      </c>
      <c r="X215" s="43"/>
      <c r="Y215" s="143">
        <v>153</v>
      </c>
      <c r="Z215" s="152">
        <v>8</v>
      </c>
      <c r="AA215" s="143" t="s">
        <v>1160</v>
      </c>
      <c r="AB215" s="9">
        <v>1.6</v>
      </c>
      <c r="AC215" s="151"/>
      <c r="AD215" s="151"/>
      <c r="AE215" s="151"/>
      <c r="AF215" s="152"/>
      <c r="AG215" s="143" t="s">
        <v>20210</v>
      </c>
      <c r="AH215" s="144">
        <v>0</v>
      </c>
      <c r="AI215" s="144">
        <v>0.11</v>
      </c>
      <c r="AJ215" s="144">
        <v>0.88</v>
      </c>
      <c r="AK215" s="143" t="s">
        <v>1153</v>
      </c>
      <c r="AL215" s="144">
        <v>0.88</v>
      </c>
      <c r="AM215" s="144">
        <v>0</v>
      </c>
      <c r="AN215" s="29">
        <v>0.88</v>
      </c>
      <c r="AO215" s="144">
        <v>0.77</v>
      </c>
      <c r="AP215" s="144">
        <v>0.77</v>
      </c>
      <c r="AQ215" s="153" t="s">
        <v>20211</v>
      </c>
      <c r="AR215" s="146" t="s">
        <v>20211</v>
      </c>
      <c r="AS215" s="56">
        <v>6.5476190476190466</v>
      </c>
      <c r="AT215" s="58" t="s">
        <v>48</v>
      </c>
      <c r="AU215" s="118">
        <v>1977</v>
      </c>
      <c r="AV215" s="149" t="s">
        <v>2143</v>
      </c>
      <c r="AW215" s="120">
        <v>56.085486214999698</v>
      </c>
      <c r="AX215" s="120">
        <v>31.859428192368</v>
      </c>
    </row>
    <row r="216" spans="1:50" ht="15" customHeight="1" x14ac:dyDescent="0.25">
      <c r="A216" s="143">
        <v>154</v>
      </c>
      <c r="B216" s="143">
        <v>9</v>
      </c>
      <c r="C216" s="143" t="s">
        <v>1161</v>
      </c>
      <c r="D216" s="9">
        <v>6.3</v>
      </c>
      <c r="E216" s="503"/>
      <c r="F216" s="503"/>
      <c r="G216" s="503"/>
      <c r="H216" s="501"/>
      <c r="I216" s="151" t="s">
        <v>20215</v>
      </c>
      <c r="J216" s="31">
        <v>0.93</v>
      </c>
      <c r="K216" s="504">
        <v>1.86</v>
      </c>
      <c r="L216" s="502" t="s">
        <v>1153</v>
      </c>
      <c r="M216" s="144">
        <v>1.86</v>
      </c>
      <c r="N216" s="504">
        <v>0</v>
      </c>
      <c r="O216" s="29"/>
      <c r="P216" s="29">
        <v>1.86</v>
      </c>
      <c r="Q216" s="144">
        <v>0.93</v>
      </c>
      <c r="R216" s="144">
        <v>0.93</v>
      </c>
      <c r="S216" s="143" t="s">
        <v>20211</v>
      </c>
      <c r="T216" s="146" t="s">
        <v>20211</v>
      </c>
      <c r="U216" s="145">
        <v>14.058956916099772</v>
      </c>
      <c r="V216" s="506">
        <v>0.6</v>
      </c>
      <c r="W216" s="506" t="s">
        <v>2260</v>
      </c>
      <c r="X216" s="43"/>
      <c r="Y216" s="143">
        <v>154</v>
      </c>
      <c r="Z216" s="152">
        <v>9</v>
      </c>
      <c r="AA216" s="143" t="s">
        <v>1161</v>
      </c>
      <c r="AB216" s="9">
        <v>6.3</v>
      </c>
      <c r="AC216" s="151"/>
      <c r="AD216" s="151"/>
      <c r="AE216" s="151"/>
      <c r="AF216" s="152"/>
      <c r="AG216" s="143" t="s">
        <v>20215</v>
      </c>
      <c r="AH216" s="144">
        <v>1.4086956521739131E-2</v>
      </c>
      <c r="AI216" s="144">
        <v>0.94408695652173913</v>
      </c>
      <c r="AJ216" s="144">
        <v>1.86</v>
      </c>
      <c r="AK216" s="143" t="s">
        <v>1153</v>
      </c>
      <c r="AL216" s="144">
        <v>1.86</v>
      </c>
      <c r="AM216" s="144">
        <v>0</v>
      </c>
      <c r="AN216" s="29">
        <v>1.86</v>
      </c>
      <c r="AO216" s="144">
        <v>0.91591304347826097</v>
      </c>
      <c r="AP216" s="144">
        <v>0.91591304347826097</v>
      </c>
      <c r="AQ216" s="153" t="s">
        <v>20211</v>
      </c>
      <c r="AR216" s="146" t="s">
        <v>20211</v>
      </c>
      <c r="AS216" s="56">
        <v>14.271911663216011</v>
      </c>
      <c r="AT216" s="58" t="s">
        <v>48</v>
      </c>
      <c r="AU216" s="118">
        <v>1969</v>
      </c>
      <c r="AV216" s="149" t="s">
        <v>2143</v>
      </c>
      <c r="AW216" s="120">
        <v>56.067237629597599</v>
      </c>
      <c r="AX216" s="120">
        <v>32.8443175433923</v>
      </c>
    </row>
    <row r="217" spans="1:50" ht="15" customHeight="1" x14ac:dyDescent="0.25">
      <c r="A217" s="143">
        <v>155</v>
      </c>
      <c r="B217" s="143">
        <v>10</v>
      </c>
      <c r="C217" s="143" t="s">
        <v>1162</v>
      </c>
      <c r="D217" s="9">
        <v>1</v>
      </c>
      <c r="E217" s="503"/>
      <c r="F217" s="503"/>
      <c r="G217" s="503"/>
      <c r="H217" s="501"/>
      <c r="I217" s="151" t="s">
        <v>2043</v>
      </c>
      <c r="J217" s="31">
        <v>0.16</v>
      </c>
      <c r="K217" s="504">
        <v>0.85</v>
      </c>
      <c r="L217" s="502" t="s">
        <v>1153</v>
      </c>
      <c r="M217" s="144">
        <v>0.85</v>
      </c>
      <c r="N217" s="504">
        <v>0</v>
      </c>
      <c r="O217" s="29"/>
      <c r="P217" s="29">
        <v>0.85</v>
      </c>
      <c r="Q217" s="144">
        <v>0.69</v>
      </c>
      <c r="R217" s="144">
        <v>0.69</v>
      </c>
      <c r="S217" s="143" t="s">
        <v>20211</v>
      </c>
      <c r="T217" s="146" t="s">
        <v>20211</v>
      </c>
      <c r="U217" s="145">
        <v>15.238095238095237</v>
      </c>
      <c r="V217" s="506"/>
      <c r="W217" s="506" t="s">
        <v>2023</v>
      </c>
      <c r="X217" s="43"/>
      <c r="Y217" s="143">
        <v>155</v>
      </c>
      <c r="Z217" s="152">
        <v>10</v>
      </c>
      <c r="AA217" s="143" t="s">
        <v>1162</v>
      </c>
      <c r="AB217" s="9">
        <v>1</v>
      </c>
      <c r="AC217" s="151"/>
      <c r="AD217" s="151"/>
      <c r="AE217" s="151"/>
      <c r="AF217" s="152"/>
      <c r="AG217" s="143" t="s">
        <v>2043</v>
      </c>
      <c r="AH217" s="144">
        <v>6.8478260869565214E-3</v>
      </c>
      <c r="AI217" s="144">
        <v>0.16684782608695653</v>
      </c>
      <c r="AJ217" s="144">
        <v>0.85</v>
      </c>
      <c r="AK217" s="143" t="s">
        <v>1153</v>
      </c>
      <c r="AL217" s="144">
        <v>0.85</v>
      </c>
      <c r="AM217" s="144">
        <v>0</v>
      </c>
      <c r="AN217" s="29">
        <v>0.85</v>
      </c>
      <c r="AO217" s="144">
        <v>0.6831521739130435</v>
      </c>
      <c r="AP217" s="144">
        <v>0.6831521739130435</v>
      </c>
      <c r="AQ217" s="153" t="s">
        <v>20211</v>
      </c>
      <c r="AR217" s="146" t="s">
        <v>20211</v>
      </c>
      <c r="AS217" s="56">
        <v>15.890269151138716</v>
      </c>
      <c r="AT217" s="58" t="s">
        <v>48</v>
      </c>
      <c r="AU217" s="118">
        <v>1987</v>
      </c>
      <c r="AV217" s="150">
        <v>2011</v>
      </c>
      <c r="AW217" s="120">
        <v>56.511311336791501</v>
      </c>
      <c r="AX217" s="120">
        <v>31.116721048774298</v>
      </c>
    </row>
    <row r="218" spans="1:50" ht="15" customHeight="1" x14ac:dyDescent="0.25">
      <c r="A218" s="143">
        <v>156</v>
      </c>
      <c r="B218" s="143">
        <v>11</v>
      </c>
      <c r="C218" s="143" t="s">
        <v>1163</v>
      </c>
      <c r="D218" s="9">
        <v>1.6</v>
      </c>
      <c r="E218" s="503"/>
      <c r="F218" s="503"/>
      <c r="G218" s="503"/>
      <c r="H218" s="501"/>
      <c r="I218" s="151" t="s">
        <v>20210</v>
      </c>
      <c r="J218" s="31">
        <v>0.35</v>
      </c>
      <c r="K218" s="504">
        <v>0.89</v>
      </c>
      <c r="L218" s="502" t="s">
        <v>1153</v>
      </c>
      <c r="M218" s="144">
        <v>0.89</v>
      </c>
      <c r="N218" s="504">
        <v>0</v>
      </c>
      <c r="O218" s="29"/>
      <c r="P218" s="29">
        <v>0.89</v>
      </c>
      <c r="Q218" s="144">
        <v>0.54</v>
      </c>
      <c r="R218" s="144">
        <v>0.54</v>
      </c>
      <c r="S218" s="143" t="s">
        <v>20211</v>
      </c>
      <c r="T218" s="146" t="s">
        <v>20211</v>
      </c>
      <c r="U218" s="145">
        <v>20.833333333333332</v>
      </c>
      <c r="V218" s="506"/>
      <c r="W218" s="506" t="s">
        <v>2023</v>
      </c>
      <c r="X218" s="43"/>
      <c r="Y218" s="143">
        <v>156</v>
      </c>
      <c r="Z218" s="152">
        <v>11</v>
      </c>
      <c r="AA218" s="143" t="s">
        <v>1163</v>
      </c>
      <c r="AB218" s="9">
        <v>1.6</v>
      </c>
      <c r="AC218" s="151"/>
      <c r="AD218" s="151"/>
      <c r="AE218" s="151"/>
      <c r="AF218" s="152"/>
      <c r="AG218" s="143" t="s">
        <v>20210</v>
      </c>
      <c r="AH218" s="144">
        <v>4.4021739130434785E-2</v>
      </c>
      <c r="AI218" s="144">
        <v>0.39402173913043476</v>
      </c>
      <c r="AJ218" s="144">
        <v>0.89</v>
      </c>
      <c r="AK218" s="143" t="s">
        <v>1153</v>
      </c>
      <c r="AL218" s="144">
        <v>0.89</v>
      </c>
      <c r="AM218" s="144">
        <v>0</v>
      </c>
      <c r="AN218" s="29">
        <v>0.89</v>
      </c>
      <c r="AO218" s="144">
        <v>0.49597826086956526</v>
      </c>
      <c r="AP218" s="144">
        <v>0.49597826086956526</v>
      </c>
      <c r="AQ218" s="153" t="s">
        <v>20211</v>
      </c>
      <c r="AR218" s="146" t="s">
        <v>20211</v>
      </c>
      <c r="AS218" s="56">
        <v>23.453674948240163</v>
      </c>
      <c r="AT218" s="58" t="s">
        <v>48</v>
      </c>
      <c r="AU218" s="118">
        <v>1981</v>
      </c>
      <c r="AV218" s="149" t="s">
        <v>2143</v>
      </c>
      <c r="AW218" s="120">
        <v>56.656234881491301</v>
      </c>
      <c r="AX218" s="120">
        <v>31.40388826337</v>
      </c>
    </row>
    <row r="219" spans="1:50" ht="15" customHeight="1" x14ac:dyDescent="0.25">
      <c r="A219" s="143">
        <v>157</v>
      </c>
      <c r="B219" s="143">
        <v>12</v>
      </c>
      <c r="C219" s="143" t="s">
        <v>1164</v>
      </c>
      <c r="D219" s="9">
        <v>1.6</v>
      </c>
      <c r="E219" s="503"/>
      <c r="F219" s="503"/>
      <c r="G219" s="503"/>
      <c r="H219" s="501"/>
      <c r="I219" s="151" t="s">
        <v>20210</v>
      </c>
      <c r="J219" s="31">
        <v>0.61</v>
      </c>
      <c r="K219" s="504">
        <v>1.05</v>
      </c>
      <c r="L219" s="502" t="s">
        <v>1153</v>
      </c>
      <c r="M219" s="144">
        <v>1.05</v>
      </c>
      <c r="N219" s="504">
        <v>0</v>
      </c>
      <c r="O219" s="29"/>
      <c r="P219" s="29">
        <v>1.05</v>
      </c>
      <c r="Q219" s="144">
        <v>0.44000000000000006</v>
      </c>
      <c r="R219" s="144">
        <v>0.44000000000000006</v>
      </c>
      <c r="S219" s="143" t="s">
        <v>20211</v>
      </c>
      <c r="T219" s="146" t="s">
        <v>20211</v>
      </c>
      <c r="U219" s="145">
        <v>36.309523809523803</v>
      </c>
      <c r="V219" s="506"/>
      <c r="W219" s="506" t="s">
        <v>2023</v>
      </c>
      <c r="X219" s="43"/>
      <c r="Y219" s="143">
        <v>157</v>
      </c>
      <c r="Z219" s="152">
        <v>12</v>
      </c>
      <c r="AA219" s="143" t="s">
        <v>1164</v>
      </c>
      <c r="AB219" s="9">
        <v>1.6</v>
      </c>
      <c r="AC219" s="151"/>
      <c r="AD219" s="151"/>
      <c r="AE219" s="151"/>
      <c r="AF219" s="152"/>
      <c r="AG219" s="143" t="s">
        <v>20210</v>
      </c>
      <c r="AH219" s="144">
        <v>5.6934782608695653E-2</v>
      </c>
      <c r="AI219" s="144">
        <v>0.66693478260869565</v>
      </c>
      <c r="AJ219" s="144">
        <v>1.05</v>
      </c>
      <c r="AK219" s="143" t="s">
        <v>1153</v>
      </c>
      <c r="AL219" s="144">
        <v>1.05</v>
      </c>
      <c r="AM219" s="144">
        <v>0</v>
      </c>
      <c r="AN219" s="29">
        <v>1.05</v>
      </c>
      <c r="AO219" s="144">
        <v>0.38306521739130439</v>
      </c>
      <c r="AP219" s="144">
        <v>0.38306521739130439</v>
      </c>
      <c r="AQ219" s="153" t="s">
        <v>20211</v>
      </c>
      <c r="AR219" s="146" t="s">
        <v>20211</v>
      </c>
      <c r="AS219" s="56">
        <v>39.698498964803314</v>
      </c>
      <c r="AT219" s="58" t="s">
        <v>48</v>
      </c>
      <c r="AU219" s="118">
        <v>1960</v>
      </c>
      <c r="AV219" s="149" t="s">
        <v>2143</v>
      </c>
      <c r="AW219" s="120">
        <v>56.221509931686597</v>
      </c>
      <c r="AX219" s="120">
        <v>32.748808156639399</v>
      </c>
    </row>
    <row r="220" spans="1:50" ht="15" customHeight="1" x14ac:dyDescent="0.25">
      <c r="A220" s="143">
        <v>158</v>
      </c>
      <c r="B220" s="143">
        <v>13</v>
      </c>
      <c r="C220" s="143" t="s">
        <v>1165</v>
      </c>
      <c r="D220" s="9">
        <v>2.5</v>
      </c>
      <c r="E220" s="503"/>
      <c r="F220" s="503"/>
      <c r="G220" s="503"/>
      <c r="H220" s="501"/>
      <c r="I220" s="151" t="s">
        <v>20212</v>
      </c>
      <c r="J220" s="31">
        <v>0.35</v>
      </c>
      <c r="K220" s="504">
        <v>2.4500000000000002</v>
      </c>
      <c r="L220" s="502" t="s">
        <v>1153</v>
      </c>
      <c r="M220" s="144">
        <v>2.4500000000000002</v>
      </c>
      <c r="N220" s="504">
        <v>0</v>
      </c>
      <c r="O220" s="29"/>
      <c r="P220" s="29">
        <v>2.4500000000000002</v>
      </c>
      <c r="Q220" s="144">
        <v>2.1</v>
      </c>
      <c r="R220" s="144">
        <v>2.1</v>
      </c>
      <c r="S220" s="143" t="s">
        <v>20211</v>
      </c>
      <c r="T220" s="146" t="s">
        <v>20211</v>
      </c>
      <c r="U220" s="145">
        <v>13.333333333333334</v>
      </c>
      <c r="V220" s="506">
        <v>0.5</v>
      </c>
      <c r="W220" s="506" t="s">
        <v>2260</v>
      </c>
      <c r="X220" s="43"/>
      <c r="Y220" s="143">
        <v>158</v>
      </c>
      <c r="Z220" s="152">
        <v>13</v>
      </c>
      <c r="AA220" s="143" t="s">
        <v>1165</v>
      </c>
      <c r="AB220" s="9">
        <v>2.5</v>
      </c>
      <c r="AC220" s="151"/>
      <c r="AD220" s="151"/>
      <c r="AE220" s="151"/>
      <c r="AF220" s="152"/>
      <c r="AG220" s="143" t="s">
        <v>20212</v>
      </c>
      <c r="AH220" s="144">
        <v>0</v>
      </c>
      <c r="AI220" s="144">
        <v>0.35</v>
      </c>
      <c r="AJ220" s="144">
        <v>2.4500000000000002</v>
      </c>
      <c r="AK220" s="143" t="s">
        <v>1153</v>
      </c>
      <c r="AL220" s="144">
        <v>2.4500000000000002</v>
      </c>
      <c r="AM220" s="144">
        <v>0</v>
      </c>
      <c r="AN220" s="29">
        <v>2.4500000000000002</v>
      </c>
      <c r="AO220" s="144">
        <v>2.1</v>
      </c>
      <c r="AP220" s="144">
        <v>2.1</v>
      </c>
      <c r="AQ220" s="153" t="s">
        <v>20211</v>
      </c>
      <c r="AR220" s="146" t="s">
        <v>20211</v>
      </c>
      <c r="AS220" s="56">
        <v>13.333333333333334</v>
      </c>
      <c r="AT220" s="58" t="s">
        <v>48</v>
      </c>
      <c r="AU220" s="118">
        <v>1987</v>
      </c>
      <c r="AV220" s="149" t="s">
        <v>2143</v>
      </c>
      <c r="AW220" s="120">
        <v>56.489109448289803</v>
      </c>
      <c r="AX220" s="120">
        <v>31.843254812482002</v>
      </c>
    </row>
    <row r="221" spans="1:50" ht="15" customHeight="1" x14ac:dyDescent="0.25">
      <c r="A221" s="143">
        <v>159</v>
      </c>
      <c r="B221" s="143">
        <v>14</v>
      </c>
      <c r="C221" s="143" t="s">
        <v>1166</v>
      </c>
      <c r="D221" s="9">
        <v>1</v>
      </c>
      <c r="E221" s="503"/>
      <c r="F221" s="503"/>
      <c r="G221" s="503"/>
      <c r="H221" s="501"/>
      <c r="I221" s="151" t="s">
        <v>2043</v>
      </c>
      <c r="J221" s="31">
        <v>0.35</v>
      </c>
      <c r="K221" s="504">
        <v>0.4</v>
      </c>
      <c r="L221" s="502" t="s">
        <v>1153</v>
      </c>
      <c r="M221" s="144">
        <v>0.4</v>
      </c>
      <c r="N221" s="504">
        <v>0</v>
      </c>
      <c r="O221" s="29"/>
      <c r="P221" s="29">
        <v>0.4</v>
      </c>
      <c r="Q221" s="144">
        <v>5.0000000000000044E-2</v>
      </c>
      <c r="R221" s="144">
        <v>5.0000000000000044E-2</v>
      </c>
      <c r="S221" s="143" t="s">
        <v>20211</v>
      </c>
      <c r="T221" s="146" t="s">
        <v>20211</v>
      </c>
      <c r="U221" s="145">
        <v>33.333333333333329</v>
      </c>
      <c r="V221" s="506"/>
      <c r="W221" s="506" t="s">
        <v>2023</v>
      </c>
      <c r="X221" s="43"/>
      <c r="Y221" s="143">
        <v>159</v>
      </c>
      <c r="Z221" s="152">
        <v>14</v>
      </c>
      <c r="AA221" s="143" t="s">
        <v>1166</v>
      </c>
      <c r="AB221" s="9">
        <v>1</v>
      </c>
      <c r="AC221" s="151"/>
      <c r="AD221" s="151"/>
      <c r="AE221" s="151"/>
      <c r="AF221" s="152"/>
      <c r="AG221" s="143" t="s">
        <v>2043</v>
      </c>
      <c r="AH221" s="144">
        <v>3.0521739130434784E-2</v>
      </c>
      <c r="AI221" s="144">
        <v>0.38052173913043474</v>
      </c>
      <c r="AJ221" s="144">
        <v>0.4</v>
      </c>
      <c r="AK221" s="143" t="s">
        <v>1153</v>
      </c>
      <c r="AL221" s="144">
        <v>0.4</v>
      </c>
      <c r="AM221" s="144">
        <v>0</v>
      </c>
      <c r="AN221" s="29">
        <v>0.4</v>
      </c>
      <c r="AO221" s="144">
        <v>1.9478260869565278E-2</v>
      </c>
      <c r="AP221" s="144">
        <v>1.9478260869565278E-2</v>
      </c>
      <c r="AQ221" s="153" t="s">
        <v>20211</v>
      </c>
      <c r="AR221" s="146" t="s">
        <v>20211</v>
      </c>
      <c r="AS221" s="56">
        <v>36.240165631469978</v>
      </c>
      <c r="AT221" s="58" t="s">
        <v>48</v>
      </c>
      <c r="AU221" s="118">
        <v>1968</v>
      </c>
      <c r="AV221" s="149" t="s">
        <v>2143</v>
      </c>
      <c r="AW221" s="120">
        <v>56.898108803443201</v>
      </c>
      <c r="AX221" s="120">
        <v>32.077245840508198</v>
      </c>
    </row>
    <row r="222" spans="1:50" ht="15" customHeight="1" x14ac:dyDescent="0.25">
      <c r="A222" s="143">
        <v>160</v>
      </c>
      <c r="B222" s="143">
        <v>15</v>
      </c>
      <c r="C222" s="143" t="s">
        <v>1167</v>
      </c>
      <c r="D222" s="9">
        <v>1.6</v>
      </c>
      <c r="E222" s="503"/>
      <c r="F222" s="503"/>
      <c r="G222" s="503"/>
      <c r="H222" s="501"/>
      <c r="I222" s="151" t="s">
        <v>20210</v>
      </c>
      <c r="J222" s="31">
        <v>0.28999999999999998</v>
      </c>
      <c r="K222" s="504">
        <v>0</v>
      </c>
      <c r="L222" s="502">
        <v>0</v>
      </c>
      <c r="M222" s="144">
        <v>0</v>
      </c>
      <c r="N222" s="504">
        <v>0</v>
      </c>
      <c r="O222" s="29"/>
      <c r="P222" s="29">
        <v>0</v>
      </c>
      <c r="Q222" s="144">
        <v>-0.28999999999999998</v>
      </c>
      <c r="R222" s="144">
        <v>-0.28999999999999998</v>
      </c>
      <c r="S222" s="143" t="s">
        <v>2217</v>
      </c>
      <c r="T222" s="146" t="s">
        <v>2217</v>
      </c>
      <c r="U222" s="145">
        <v>17.261904761904759</v>
      </c>
      <c r="V222" s="506"/>
      <c r="W222" s="506" t="s">
        <v>2023</v>
      </c>
      <c r="X222" s="43"/>
      <c r="Y222" s="143">
        <v>160</v>
      </c>
      <c r="Z222" s="152">
        <v>15</v>
      </c>
      <c r="AA222" s="143" t="s">
        <v>1167</v>
      </c>
      <c r="AB222" s="9">
        <v>1.6</v>
      </c>
      <c r="AC222" s="151"/>
      <c r="AD222" s="151"/>
      <c r="AE222" s="151"/>
      <c r="AF222" s="152"/>
      <c r="AG222" s="143" t="s">
        <v>20210</v>
      </c>
      <c r="AH222" s="144">
        <v>1.9565217391304349E-2</v>
      </c>
      <c r="AI222" s="144">
        <v>0.30956521739130433</v>
      </c>
      <c r="AJ222" s="144">
        <v>0</v>
      </c>
      <c r="AK222" s="143">
        <v>0</v>
      </c>
      <c r="AL222" s="144">
        <v>0</v>
      </c>
      <c r="AM222" s="144">
        <v>0</v>
      </c>
      <c r="AN222" s="29">
        <v>0</v>
      </c>
      <c r="AO222" s="144">
        <v>-0.30956521739130433</v>
      </c>
      <c r="AP222" s="144">
        <v>-0.30956521739130433</v>
      </c>
      <c r="AQ222" s="153" t="s">
        <v>2217</v>
      </c>
      <c r="AR222" s="146" t="s">
        <v>2217</v>
      </c>
      <c r="AS222" s="56">
        <v>18.426501035196686</v>
      </c>
      <c r="AT222" s="58" t="s">
        <v>48</v>
      </c>
      <c r="AU222" s="118">
        <v>1980</v>
      </c>
      <c r="AV222" s="149" t="s">
        <v>2143</v>
      </c>
      <c r="AW222" s="120">
        <v>56.275572606468899</v>
      </c>
      <c r="AX222" s="120">
        <v>31.9360874224983</v>
      </c>
    </row>
    <row r="223" spans="1:50" ht="15" customHeight="1" x14ac:dyDescent="0.25">
      <c r="A223" s="143">
        <v>161</v>
      </c>
      <c r="B223" s="143">
        <v>16</v>
      </c>
      <c r="C223" s="143" t="s">
        <v>1181</v>
      </c>
      <c r="D223" s="9">
        <v>2.5</v>
      </c>
      <c r="E223" s="503"/>
      <c r="F223" s="503"/>
      <c r="G223" s="503"/>
      <c r="H223" s="501"/>
      <c r="I223" s="151" t="s">
        <v>20212</v>
      </c>
      <c r="J223" s="31">
        <v>0.13</v>
      </c>
      <c r="K223" s="504">
        <v>1.8</v>
      </c>
      <c r="L223" s="502" t="s">
        <v>1153</v>
      </c>
      <c r="M223" s="144">
        <v>1.8</v>
      </c>
      <c r="N223" s="504">
        <v>0</v>
      </c>
      <c r="O223" s="29"/>
      <c r="P223" s="29">
        <v>1.8</v>
      </c>
      <c r="Q223" s="144">
        <v>1.67</v>
      </c>
      <c r="R223" s="144">
        <v>1.67</v>
      </c>
      <c r="S223" s="145" t="s">
        <v>20211</v>
      </c>
      <c r="T223" s="146" t="s">
        <v>20211</v>
      </c>
      <c r="U223" s="145">
        <v>4.9523809523809526</v>
      </c>
      <c r="V223" s="506">
        <v>0.9</v>
      </c>
      <c r="W223" s="506" t="s">
        <v>2260</v>
      </c>
      <c r="X223" s="43"/>
      <c r="Y223" s="143">
        <v>161</v>
      </c>
      <c r="Z223" s="152">
        <v>16</v>
      </c>
      <c r="AA223" s="143" t="s">
        <v>1181</v>
      </c>
      <c r="AB223" s="9">
        <v>2.5</v>
      </c>
      <c r="AC223" s="151"/>
      <c r="AD223" s="151"/>
      <c r="AE223" s="151"/>
      <c r="AF223" s="152"/>
      <c r="AG223" s="143" t="s">
        <v>20212</v>
      </c>
      <c r="AH223" s="144">
        <v>1.4673913043478259E-2</v>
      </c>
      <c r="AI223" s="144">
        <v>0.14467391304347826</v>
      </c>
      <c r="AJ223" s="144">
        <v>1.8</v>
      </c>
      <c r="AK223" s="143" t="s">
        <v>1153</v>
      </c>
      <c r="AL223" s="144">
        <v>1.8</v>
      </c>
      <c r="AM223" s="144">
        <v>0</v>
      </c>
      <c r="AN223" s="29">
        <v>1.8</v>
      </c>
      <c r="AO223" s="144">
        <v>1.6553260869565218</v>
      </c>
      <c r="AP223" s="144">
        <v>1.6553260869565218</v>
      </c>
      <c r="AQ223" s="145" t="s">
        <v>20211</v>
      </c>
      <c r="AR223" s="146" t="s">
        <v>20211</v>
      </c>
      <c r="AS223" s="56">
        <v>5.5113871635610767</v>
      </c>
      <c r="AT223" s="58" t="s">
        <v>48</v>
      </c>
      <c r="AU223" s="118">
        <v>1979</v>
      </c>
      <c r="AV223" s="149" t="s">
        <v>2143</v>
      </c>
      <c r="AW223" s="120">
        <v>55.801832313897698</v>
      </c>
      <c r="AX223" s="120">
        <v>33.105341542915497</v>
      </c>
    </row>
    <row r="224" spans="1:50" ht="15" customHeight="1" x14ac:dyDescent="0.25">
      <c r="A224" s="143">
        <v>162</v>
      </c>
      <c r="B224" s="143">
        <v>17</v>
      </c>
      <c r="C224" s="143" t="s">
        <v>1168</v>
      </c>
      <c r="D224" s="9">
        <v>1.6</v>
      </c>
      <c r="E224" s="503" t="s">
        <v>522</v>
      </c>
      <c r="F224" s="503">
        <v>2.5</v>
      </c>
      <c r="G224" s="503"/>
      <c r="H224" s="501"/>
      <c r="I224" s="151" t="s">
        <v>20223</v>
      </c>
      <c r="J224" s="31">
        <v>0.51</v>
      </c>
      <c r="K224" s="504">
        <v>0.51</v>
      </c>
      <c r="L224" s="502" t="s">
        <v>1153</v>
      </c>
      <c r="M224" s="144">
        <v>0</v>
      </c>
      <c r="N224" s="504">
        <v>0</v>
      </c>
      <c r="O224" s="29"/>
      <c r="P224" s="29">
        <v>1.6800000000000002</v>
      </c>
      <c r="Q224" s="144">
        <v>1.6800000000000002</v>
      </c>
      <c r="R224" s="144">
        <v>1.6800000000000002</v>
      </c>
      <c r="S224" s="145" t="s">
        <v>20211</v>
      </c>
      <c r="T224" s="146" t="s">
        <v>20211</v>
      </c>
      <c r="U224" s="145">
        <v>30.357142857142854</v>
      </c>
      <c r="V224" s="506"/>
      <c r="W224" s="506" t="s">
        <v>2023</v>
      </c>
      <c r="X224" s="43"/>
      <c r="Y224" s="143">
        <v>162</v>
      </c>
      <c r="Z224" s="152">
        <v>17</v>
      </c>
      <c r="AA224" s="143" t="s">
        <v>1168</v>
      </c>
      <c r="AB224" s="9">
        <v>1.6</v>
      </c>
      <c r="AC224" s="151" t="s">
        <v>522</v>
      </c>
      <c r="AD224" s="151">
        <v>2.5</v>
      </c>
      <c r="AE224" s="151"/>
      <c r="AF224" s="152"/>
      <c r="AG224" s="143" t="s">
        <v>20223</v>
      </c>
      <c r="AH224" s="144">
        <v>5.165217391304347E-2</v>
      </c>
      <c r="AI224" s="144">
        <v>0.56165217391304345</v>
      </c>
      <c r="AJ224" s="144">
        <v>0.51</v>
      </c>
      <c r="AK224" s="143" t="s">
        <v>1153</v>
      </c>
      <c r="AL224" s="144">
        <v>5.1652173913043442E-2</v>
      </c>
      <c r="AM224" s="144">
        <v>0</v>
      </c>
      <c r="AN224" s="29">
        <v>1.6800000000000002</v>
      </c>
      <c r="AO224" s="144">
        <v>1.6283478260869568</v>
      </c>
      <c r="AP224" s="144">
        <v>1.6283478260869568</v>
      </c>
      <c r="AQ224" s="145" t="s">
        <v>20211</v>
      </c>
      <c r="AR224" s="146" t="s">
        <v>20211</v>
      </c>
      <c r="AS224" s="56">
        <v>33.431677018633536</v>
      </c>
      <c r="AT224" s="58" t="s">
        <v>48</v>
      </c>
      <c r="AU224" s="118">
        <v>1969</v>
      </c>
      <c r="AV224" s="149" t="s">
        <v>2143</v>
      </c>
      <c r="AW224" s="120">
        <v>56.888937668135398</v>
      </c>
      <c r="AX224" s="120">
        <v>31.711828797538999</v>
      </c>
    </row>
    <row r="225" spans="1:50" ht="15" customHeight="1" x14ac:dyDescent="0.25">
      <c r="A225" s="143">
        <v>163</v>
      </c>
      <c r="B225" s="143">
        <v>18</v>
      </c>
      <c r="C225" s="143" t="s">
        <v>1169</v>
      </c>
      <c r="D225" s="9">
        <v>1</v>
      </c>
      <c r="E225" s="503" t="s">
        <v>522</v>
      </c>
      <c r="F225" s="503">
        <v>2.5</v>
      </c>
      <c r="G225" s="503"/>
      <c r="H225" s="501"/>
      <c r="I225" s="151" t="s">
        <v>20247</v>
      </c>
      <c r="J225" s="31">
        <v>0.22</v>
      </c>
      <c r="K225" s="504">
        <v>0.22</v>
      </c>
      <c r="L225" s="502">
        <v>120</v>
      </c>
      <c r="M225" s="144">
        <v>0</v>
      </c>
      <c r="N225" s="504">
        <v>0</v>
      </c>
      <c r="O225" s="29"/>
      <c r="P225" s="29">
        <v>1.05</v>
      </c>
      <c r="Q225" s="144">
        <v>1.05</v>
      </c>
      <c r="R225" s="144">
        <v>1.05</v>
      </c>
      <c r="S225" s="145" t="s">
        <v>20211</v>
      </c>
      <c r="T225" s="146" t="s">
        <v>20211</v>
      </c>
      <c r="U225" s="145">
        <v>20.952380952380953</v>
      </c>
      <c r="V225" s="506">
        <v>0.8</v>
      </c>
      <c r="W225" s="506" t="s">
        <v>2260</v>
      </c>
      <c r="X225" s="43"/>
      <c r="Y225" s="143">
        <v>163</v>
      </c>
      <c r="Z225" s="152">
        <v>18</v>
      </c>
      <c r="AA225" s="143" t="s">
        <v>1169</v>
      </c>
      <c r="AB225" s="9">
        <v>1</v>
      </c>
      <c r="AC225" s="151" t="s">
        <v>522</v>
      </c>
      <c r="AD225" s="151">
        <v>2.5</v>
      </c>
      <c r="AE225" s="151"/>
      <c r="AF225" s="152"/>
      <c r="AG225" s="143" t="s">
        <v>20247</v>
      </c>
      <c r="AH225" s="144">
        <v>1.173913043478261E-2</v>
      </c>
      <c r="AI225" s="144">
        <v>0.23173913043478261</v>
      </c>
      <c r="AJ225" s="144">
        <v>0.22</v>
      </c>
      <c r="AK225" s="143">
        <v>120</v>
      </c>
      <c r="AL225" s="144">
        <v>1.1739130434782613E-2</v>
      </c>
      <c r="AM225" s="144">
        <v>0</v>
      </c>
      <c r="AN225" s="29">
        <v>1.05</v>
      </c>
      <c r="AO225" s="144">
        <v>1.0382608695652173</v>
      </c>
      <c r="AP225" s="144">
        <v>1.0382608695652173</v>
      </c>
      <c r="AQ225" s="145" t="s">
        <v>20211</v>
      </c>
      <c r="AR225" s="146" t="s">
        <v>20211</v>
      </c>
      <c r="AS225" s="56">
        <v>22.070393374741201</v>
      </c>
      <c r="AT225" s="58" t="s">
        <v>48</v>
      </c>
      <c r="AU225" s="118">
        <v>1967</v>
      </c>
      <c r="AV225" s="149" t="s">
        <v>2143</v>
      </c>
      <c r="AW225" s="120">
        <v>55.901399261597497</v>
      </c>
      <c r="AX225" s="120">
        <v>33.376600993077801</v>
      </c>
    </row>
    <row r="226" spans="1:50" ht="15" customHeight="1" x14ac:dyDescent="0.25">
      <c r="A226" s="143">
        <v>164</v>
      </c>
      <c r="B226" s="143">
        <v>19</v>
      </c>
      <c r="C226" s="143" t="s">
        <v>1170</v>
      </c>
      <c r="D226" s="9">
        <v>1.6</v>
      </c>
      <c r="E226" s="503" t="s">
        <v>522</v>
      </c>
      <c r="F226" s="503">
        <v>1.6</v>
      </c>
      <c r="G226" s="503"/>
      <c r="H226" s="501"/>
      <c r="I226" s="151" t="s">
        <v>20234</v>
      </c>
      <c r="J226" s="31">
        <v>0.31</v>
      </c>
      <c r="K226" s="504">
        <v>0.31</v>
      </c>
      <c r="L226" s="502">
        <v>120</v>
      </c>
      <c r="M226" s="144">
        <v>0</v>
      </c>
      <c r="N226" s="504">
        <v>0</v>
      </c>
      <c r="O226" s="29"/>
      <c r="P226" s="29">
        <v>1.6800000000000002</v>
      </c>
      <c r="Q226" s="144">
        <v>1.6800000000000002</v>
      </c>
      <c r="R226" s="144">
        <v>1.6800000000000002</v>
      </c>
      <c r="S226" s="145" t="s">
        <v>20211</v>
      </c>
      <c r="T226" s="146" t="s">
        <v>20211</v>
      </c>
      <c r="U226" s="145">
        <v>18.452380952380949</v>
      </c>
      <c r="V226" s="506"/>
      <c r="W226" s="506" t="s">
        <v>2023</v>
      </c>
      <c r="X226" s="43"/>
      <c r="Y226" s="143">
        <v>164</v>
      </c>
      <c r="Z226" s="152">
        <v>19</v>
      </c>
      <c r="AA226" s="143" t="s">
        <v>1170</v>
      </c>
      <c r="AB226" s="9">
        <v>1.6</v>
      </c>
      <c r="AC226" s="151" t="s">
        <v>522</v>
      </c>
      <c r="AD226" s="151">
        <v>1.6</v>
      </c>
      <c r="AE226" s="151"/>
      <c r="AF226" s="152"/>
      <c r="AG226" s="143" t="s">
        <v>20234</v>
      </c>
      <c r="AH226" s="144">
        <v>2.5239130434782604E-2</v>
      </c>
      <c r="AI226" s="144">
        <v>0.3352391304347826</v>
      </c>
      <c r="AJ226" s="144">
        <v>0.31</v>
      </c>
      <c r="AK226" s="143">
        <v>120</v>
      </c>
      <c r="AL226" s="144">
        <v>2.5239130434782597E-2</v>
      </c>
      <c r="AM226" s="144">
        <v>0</v>
      </c>
      <c r="AN226" s="29">
        <v>1.6800000000000002</v>
      </c>
      <c r="AO226" s="144">
        <v>1.6547608695652176</v>
      </c>
      <c r="AP226" s="144">
        <v>1.6547608695652176</v>
      </c>
      <c r="AQ226" s="145" t="s">
        <v>20211</v>
      </c>
      <c r="AR226" s="146" t="s">
        <v>20211</v>
      </c>
      <c r="AS226" s="56">
        <v>19.954710144927535</v>
      </c>
      <c r="AT226" s="58" t="s">
        <v>48</v>
      </c>
      <c r="AU226" s="118">
        <v>1963</v>
      </c>
      <c r="AV226" s="149" t="s">
        <v>2143</v>
      </c>
      <c r="AW226" s="120">
        <v>56.645553124979401</v>
      </c>
      <c r="AX226" s="120">
        <v>31.7581185050953</v>
      </c>
    </row>
    <row r="227" spans="1:50" ht="15" customHeight="1" x14ac:dyDescent="0.25">
      <c r="A227" s="143">
        <v>165</v>
      </c>
      <c r="B227" s="143">
        <v>20</v>
      </c>
      <c r="C227" s="143" t="s">
        <v>1171</v>
      </c>
      <c r="D227" s="9">
        <v>4</v>
      </c>
      <c r="E227" s="503" t="s">
        <v>522</v>
      </c>
      <c r="F227" s="503">
        <v>4</v>
      </c>
      <c r="G227" s="503"/>
      <c r="H227" s="501"/>
      <c r="I227" s="151" t="s">
        <v>20235</v>
      </c>
      <c r="J227" s="31">
        <v>0.94</v>
      </c>
      <c r="K227" s="504">
        <v>0.89</v>
      </c>
      <c r="L227" s="502">
        <v>120</v>
      </c>
      <c r="M227" s="144">
        <v>4.9999999999999933E-2</v>
      </c>
      <c r="N227" s="504">
        <v>0</v>
      </c>
      <c r="O227" s="29"/>
      <c r="P227" s="29">
        <v>4.2</v>
      </c>
      <c r="Q227" s="144">
        <v>4.1500000000000004</v>
      </c>
      <c r="R227" s="144">
        <v>4.1500000000000004</v>
      </c>
      <c r="S227" s="145" t="s">
        <v>20211</v>
      </c>
      <c r="T227" s="146" t="s">
        <v>20211</v>
      </c>
      <c r="U227" s="145">
        <v>22.38095238095238</v>
      </c>
      <c r="V227" s="506">
        <v>0.8</v>
      </c>
      <c r="W227" s="506" t="s">
        <v>2260</v>
      </c>
      <c r="X227" s="43"/>
      <c r="Y227" s="143">
        <v>165</v>
      </c>
      <c r="Z227" s="152">
        <v>20</v>
      </c>
      <c r="AA227" s="143" t="s">
        <v>1171</v>
      </c>
      <c r="AB227" s="9">
        <v>4</v>
      </c>
      <c r="AC227" s="151" t="s">
        <v>522</v>
      </c>
      <c r="AD227" s="151">
        <v>4</v>
      </c>
      <c r="AE227" s="151"/>
      <c r="AF227" s="152"/>
      <c r="AG227" s="143" t="s">
        <v>20235</v>
      </c>
      <c r="AH227" s="144">
        <v>0</v>
      </c>
      <c r="AI227" s="144">
        <v>0.94</v>
      </c>
      <c r="AJ227" s="144">
        <v>0.89</v>
      </c>
      <c r="AK227" s="143">
        <v>120</v>
      </c>
      <c r="AL227" s="144">
        <v>4.9999999999999933E-2</v>
      </c>
      <c r="AM227" s="144">
        <v>0</v>
      </c>
      <c r="AN227" s="29">
        <v>4.2</v>
      </c>
      <c r="AO227" s="144">
        <v>4.1500000000000004</v>
      </c>
      <c r="AP227" s="144">
        <v>4.1500000000000004</v>
      </c>
      <c r="AQ227" s="145" t="s">
        <v>20211</v>
      </c>
      <c r="AR227" s="146" t="s">
        <v>20211</v>
      </c>
      <c r="AS227" s="56">
        <v>22.38095238095238</v>
      </c>
      <c r="AT227" s="58" t="s">
        <v>48</v>
      </c>
      <c r="AU227" s="118">
        <v>1988</v>
      </c>
      <c r="AV227" s="149">
        <v>2013</v>
      </c>
      <c r="AW227" s="120">
        <v>56.536975825665102</v>
      </c>
      <c r="AX227" s="120">
        <v>31.6038603641646</v>
      </c>
    </row>
    <row r="228" spans="1:50" ht="15" customHeight="1" x14ac:dyDescent="0.25">
      <c r="A228" s="143">
        <v>166</v>
      </c>
      <c r="B228" s="143"/>
      <c r="C228" s="143" t="s">
        <v>1812</v>
      </c>
      <c r="D228" s="9">
        <v>25</v>
      </c>
      <c r="E228" s="503" t="s">
        <v>522</v>
      </c>
      <c r="F228" s="503">
        <v>25</v>
      </c>
      <c r="G228" s="503"/>
      <c r="H228" s="501"/>
      <c r="I228" s="151" t="s">
        <v>20226</v>
      </c>
      <c r="J228" s="31">
        <v>0.16</v>
      </c>
      <c r="K228" s="504">
        <v>0</v>
      </c>
      <c r="L228" s="502">
        <v>0</v>
      </c>
      <c r="M228" s="144">
        <v>0.16</v>
      </c>
      <c r="N228" s="504">
        <v>0</v>
      </c>
      <c r="O228" s="29"/>
      <c r="P228" s="29">
        <v>26.25</v>
      </c>
      <c r="Q228" s="144">
        <v>26.09</v>
      </c>
      <c r="R228" s="144">
        <v>26.09</v>
      </c>
      <c r="S228" s="145" t="s">
        <v>20211</v>
      </c>
      <c r="T228" s="146" t="s">
        <v>20211</v>
      </c>
      <c r="U228" s="145">
        <v>0.60952380952380958</v>
      </c>
      <c r="V228" s="506"/>
      <c r="W228" s="506" t="s">
        <v>2023</v>
      </c>
      <c r="X228" s="43"/>
      <c r="Y228" s="143">
        <v>166</v>
      </c>
      <c r="Z228" s="152"/>
      <c r="AA228" s="143" t="s">
        <v>1812</v>
      </c>
      <c r="AB228" s="9">
        <v>25</v>
      </c>
      <c r="AC228" s="151" t="s">
        <v>522</v>
      </c>
      <c r="AD228" s="151">
        <v>25</v>
      </c>
      <c r="AE228" s="151"/>
      <c r="AF228" s="152"/>
      <c r="AG228" s="143" t="s">
        <v>20226</v>
      </c>
      <c r="AH228" s="144">
        <v>0</v>
      </c>
      <c r="AI228" s="144">
        <v>0</v>
      </c>
      <c r="AJ228" s="144">
        <v>0</v>
      </c>
      <c r="AK228" s="143">
        <v>0</v>
      </c>
      <c r="AL228" s="144">
        <v>0</v>
      </c>
      <c r="AM228" s="144">
        <v>0</v>
      </c>
      <c r="AN228" s="29">
        <v>26.25</v>
      </c>
      <c r="AO228" s="144">
        <v>26.25</v>
      </c>
      <c r="AP228" s="144">
        <v>26.25</v>
      </c>
      <c r="AQ228" s="145" t="s">
        <v>20211</v>
      </c>
      <c r="AR228" s="146" t="s">
        <v>20211</v>
      </c>
      <c r="AS228" s="56">
        <v>0</v>
      </c>
      <c r="AT228" s="58" t="s">
        <v>48</v>
      </c>
      <c r="AU228" s="118">
        <v>1980</v>
      </c>
      <c r="AV228" s="149" t="s">
        <v>2143</v>
      </c>
      <c r="AW228" s="120">
        <v>56.530764656413403</v>
      </c>
      <c r="AX228" s="120">
        <v>32.178893279207301</v>
      </c>
    </row>
    <row r="229" spans="1:50" ht="15" customHeight="1" x14ac:dyDescent="0.25">
      <c r="A229" s="143">
        <v>167</v>
      </c>
      <c r="B229" s="143">
        <v>21</v>
      </c>
      <c r="C229" s="143" t="s">
        <v>1172</v>
      </c>
      <c r="D229" s="9">
        <v>1.6</v>
      </c>
      <c r="E229" s="503" t="s">
        <v>522</v>
      </c>
      <c r="F229" s="503">
        <v>2.5</v>
      </c>
      <c r="G229" s="503"/>
      <c r="H229" s="501"/>
      <c r="I229" s="151" t="s">
        <v>20223</v>
      </c>
      <c r="J229" s="31">
        <v>0.54</v>
      </c>
      <c r="K229" s="504">
        <v>0.54</v>
      </c>
      <c r="L229" s="502">
        <v>120</v>
      </c>
      <c r="M229" s="144">
        <v>0</v>
      </c>
      <c r="N229" s="504">
        <v>0</v>
      </c>
      <c r="O229" s="29"/>
      <c r="P229" s="29">
        <v>1.6800000000000002</v>
      </c>
      <c r="Q229" s="144">
        <v>1.6800000000000002</v>
      </c>
      <c r="R229" s="144">
        <v>1.6800000000000002</v>
      </c>
      <c r="S229" s="145" t="s">
        <v>20211</v>
      </c>
      <c r="T229" s="146" t="s">
        <v>20211</v>
      </c>
      <c r="U229" s="145">
        <v>32.142857142857139</v>
      </c>
      <c r="V229" s="506">
        <v>0.7</v>
      </c>
      <c r="W229" s="506" t="s">
        <v>2260</v>
      </c>
      <c r="X229" s="43"/>
      <c r="Y229" s="143">
        <v>167</v>
      </c>
      <c r="Z229" s="152">
        <v>21</v>
      </c>
      <c r="AA229" s="143" t="s">
        <v>1172</v>
      </c>
      <c r="AB229" s="9">
        <v>1.6</v>
      </c>
      <c r="AC229" s="151" t="s">
        <v>522</v>
      </c>
      <c r="AD229" s="151">
        <v>2.5</v>
      </c>
      <c r="AE229" s="151"/>
      <c r="AF229" s="152"/>
      <c r="AG229" s="143" t="s">
        <v>20223</v>
      </c>
      <c r="AH229" s="144">
        <v>3.9913043478260871E-2</v>
      </c>
      <c r="AI229" s="144">
        <v>0.57991304347826089</v>
      </c>
      <c r="AJ229" s="144">
        <v>0.54</v>
      </c>
      <c r="AK229" s="143">
        <v>120</v>
      </c>
      <c r="AL229" s="144">
        <v>3.9913043478260857E-2</v>
      </c>
      <c r="AM229" s="144">
        <v>0</v>
      </c>
      <c r="AN229" s="29">
        <v>1.6800000000000002</v>
      </c>
      <c r="AO229" s="144">
        <v>1.6400869565217393</v>
      </c>
      <c r="AP229" s="144">
        <v>1.6400869565217393</v>
      </c>
      <c r="AQ229" s="145" t="s">
        <v>20211</v>
      </c>
      <c r="AR229" s="146" t="s">
        <v>20211</v>
      </c>
      <c r="AS229" s="56">
        <v>34.518633540372669</v>
      </c>
      <c r="AT229" s="58" t="s">
        <v>48</v>
      </c>
      <c r="AU229" s="118">
        <v>1967</v>
      </c>
      <c r="AV229" s="149" t="s">
        <v>2143</v>
      </c>
      <c r="AW229" s="120">
        <v>55.947945073946201</v>
      </c>
      <c r="AX229" s="120">
        <v>31.685826846532901</v>
      </c>
    </row>
    <row r="230" spans="1:50" ht="15" customHeight="1" x14ac:dyDescent="0.25">
      <c r="A230" s="143">
        <v>168</v>
      </c>
      <c r="B230" s="143">
        <v>22</v>
      </c>
      <c r="C230" s="143" t="s">
        <v>1173</v>
      </c>
      <c r="D230" s="9">
        <v>3.2</v>
      </c>
      <c r="E230" s="503" t="s">
        <v>522</v>
      </c>
      <c r="F230" s="503">
        <v>4</v>
      </c>
      <c r="G230" s="503"/>
      <c r="H230" s="501"/>
      <c r="I230" s="151" t="s">
        <v>20230</v>
      </c>
      <c r="J230" s="31">
        <v>0.83</v>
      </c>
      <c r="K230" s="504">
        <v>0.75</v>
      </c>
      <c r="L230" s="502">
        <v>120</v>
      </c>
      <c r="M230" s="144">
        <v>7.999999999999996E-2</v>
      </c>
      <c r="N230" s="504">
        <v>0</v>
      </c>
      <c r="O230" s="29"/>
      <c r="P230" s="29">
        <v>3.3600000000000003</v>
      </c>
      <c r="Q230" s="144">
        <v>3.2800000000000002</v>
      </c>
      <c r="R230" s="144">
        <v>3.2800000000000002</v>
      </c>
      <c r="S230" s="145" t="s">
        <v>20211</v>
      </c>
      <c r="T230" s="146" t="s">
        <v>20211</v>
      </c>
      <c r="U230" s="145">
        <v>24.702380952380949</v>
      </c>
      <c r="V230" s="506"/>
      <c r="W230" s="506" t="s">
        <v>2023</v>
      </c>
      <c r="X230" s="43"/>
      <c r="Y230" s="143">
        <v>168</v>
      </c>
      <c r="Z230" s="152">
        <v>22</v>
      </c>
      <c r="AA230" s="143" t="s">
        <v>1173</v>
      </c>
      <c r="AB230" s="9">
        <v>3.2</v>
      </c>
      <c r="AC230" s="151" t="s">
        <v>522</v>
      </c>
      <c r="AD230" s="151">
        <v>4</v>
      </c>
      <c r="AE230" s="151"/>
      <c r="AF230" s="152"/>
      <c r="AG230" s="143" t="s">
        <v>20230</v>
      </c>
      <c r="AH230" s="144">
        <v>0</v>
      </c>
      <c r="AI230" s="144">
        <v>0.83</v>
      </c>
      <c r="AJ230" s="144">
        <v>0.75</v>
      </c>
      <c r="AK230" s="143">
        <v>120</v>
      </c>
      <c r="AL230" s="144">
        <v>7.999999999999996E-2</v>
      </c>
      <c r="AM230" s="144">
        <v>0</v>
      </c>
      <c r="AN230" s="29">
        <v>3.3600000000000003</v>
      </c>
      <c r="AO230" s="144">
        <v>3.2800000000000002</v>
      </c>
      <c r="AP230" s="144">
        <v>3.2800000000000002</v>
      </c>
      <c r="AQ230" s="145" t="s">
        <v>20211</v>
      </c>
      <c r="AR230" s="146" t="s">
        <v>20211</v>
      </c>
      <c r="AS230" s="56">
        <v>24.702380952380949</v>
      </c>
      <c r="AT230" s="58" t="s">
        <v>48</v>
      </c>
      <c r="AU230" s="118">
        <v>1965</v>
      </c>
      <c r="AV230" s="149">
        <v>2011</v>
      </c>
      <c r="AW230" s="120">
        <v>56.786929104754201</v>
      </c>
      <c r="AX230" s="120">
        <v>31.259684304533</v>
      </c>
    </row>
    <row r="231" spans="1:50" ht="15" customHeight="1" x14ac:dyDescent="0.25">
      <c r="A231" s="143">
        <v>169</v>
      </c>
      <c r="B231" s="143">
        <v>23</v>
      </c>
      <c r="C231" s="143" t="s">
        <v>1174</v>
      </c>
      <c r="D231" s="9">
        <v>5.6</v>
      </c>
      <c r="E231" s="503" t="s">
        <v>522</v>
      </c>
      <c r="F231" s="503">
        <v>5.6</v>
      </c>
      <c r="G231" s="503"/>
      <c r="H231" s="501"/>
      <c r="I231" s="151" t="s">
        <v>20248</v>
      </c>
      <c r="J231" s="31">
        <v>3.21</v>
      </c>
      <c r="K231" s="504">
        <v>0</v>
      </c>
      <c r="L231" s="502">
        <v>120</v>
      </c>
      <c r="M231" s="144">
        <v>3.21</v>
      </c>
      <c r="N231" s="504">
        <v>0</v>
      </c>
      <c r="O231" s="29"/>
      <c r="P231" s="29">
        <v>5.88</v>
      </c>
      <c r="Q231" s="144">
        <v>2.67</v>
      </c>
      <c r="R231" s="144">
        <v>2.67</v>
      </c>
      <c r="S231" s="145" t="s">
        <v>20211</v>
      </c>
      <c r="T231" s="146" t="s">
        <v>20211</v>
      </c>
      <c r="U231" s="145">
        <v>54.591836734693878</v>
      </c>
      <c r="V231" s="506">
        <v>0.5</v>
      </c>
      <c r="W231" s="506" t="s">
        <v>2260</v>
      </c>
      <c r="X231" s="43"/>
      <c r="Y231" s="143">
        <v>169</v>
      </c>
      <c r="Z231" s="152">
        <v>23</v>
      </c>
      <c r="AA231" s="143" t="s">
        <v>1174</v>
      </c>
      <c r="AB231" s="9">
        <v>5.6</v>
      </c>
      <c r="AC231" s="151" t="s">
        <v>522</v>
      </c>
      <c r="AD231" s="151">
        <v>5.6</v>
      </c>
      <c r="AE231" s="151"/>
      <c r="AF231" s="152"/>
      <c r="AG231" s="143" t="s">
        <v>20248</v>
      </c>
      <c r="AH231" s="144">
        <v>0.22418478260869562</v>
      </c>
      <c r="AI231" s="144">
        <v>3.4341847826086958</v>
      </c>
      <c r="AJ231" s="144">
        <v>0</v>
      </c>
      <c r="AK231" s="143">
        <v>120</v>
      </c>
      <c r="AL231" s="144">
        <v>3.4341847826086958</v>
      </c>
      <c r="AM231" s="144">
        <v>0</v>
      </c>
      <c r="AN231" s="29">
        <v>5.88</v>
      </c>
      <c r="AO231" s="144">
        <v>2.4458152173913041</v>
      </c>
      <c r="AP231" s="144">
        <v>2.4458152173913041</v>
      </c>
      <c r="AQ231" s="145" t="s">
        <v>20211</v>
      </c>
      <c r="AR231" s="146" t="s">
        <v>20211</v>
      </c>
      <c r="AS231" s="56">
        <v>58.404503105590059</v>
      </c>
      <c r="AT231" s="58" t="s">
        <v>48</v>
      </c>
      <c r="AU231" s="118">
        <v>1960</v>
      </c>
      <c r="AV231" s="149" t="s">
        <v>2143</v>
      </c>
      <c r="AW231" s="120">
        <v>56.221509931686597</v>
      </c>
      <c r="AX231" s="120">
        <v>32.748808156639399</v>
      </c>
    </row>
    <row r="232" spans="1:50" ht="15" customHeight="1" x14ac:dyDescent="0.25">
      <c r="A232" s="143">
        <v>170</v>
      </c>
      <c r="B232" s="143">
        <v>24</v>
      </c>
      <c r="C232" s="143" t="s">
        <v>1175</v>
      </c>
      <c r="D232" s="9">
        <v>4</v>
      </c>
      <c r="E232" s="503" t="s">
        <v>522</v>
      </c>
      <c r="F232" s="503">
        <v>4</v>
      </c>
      <c r="G232" s="503"/>
      <c r="H232" s="501"/>
      <c r="I232" s="151" t="s">
        <v>20235</v>
      </c>
      <c r="J232" s="31">
        <v>2.02</v>
      </c>
      <c r="K232" s="504">
        <v>0</v>
      </c>
      <c r="L232" s="502">
        <v>0</v>
      </c>
      <c r="M232" s="144">
        <v>2.02</v>
      </c>
      <c r="N232" s="504">
        <v>0</v>
      </c>
      <c r="O232" s="29"/>
      <c r="P232" s="29">
        <v>4.2</v>
      </c>
      <c r="Q232" s="144">
        <v>2.1800000000000002</v>
      </c>
      <c r="R232" s="144">
        <v>2.1800000000000002</v>
      </c>
      <c r="S232" s="145" t="s">
        <v>20211</v>
      </c>
      <c r="T232" s="146" t="s">
        <v>20211</v>
      </c>
      <c r="U232" s="145">
        <v>48.095238095238095</v>
      </c>
      <c r="V232" s="506"/>
      <c r="W232" s="506" t="s">
        <v>2023</v>
      </c>
      <c r="X232" s="43"/>
      <c r="Y232" s="143">
        <v>170</v>
      </c>
      <c r="Z232" s="152">
        <v>24</v>
      </c>
      <c r="AA232" s="143" t="s">
        <v>1175</v>
      </c>
      <c r="AB232" s="9">
        <v>4</v>
      </c>
      <c r="AC232" s="151" t="s">
        <v>522</v>
      </c>
      <c r="AD232" s="151">
        <v>4</v>
      </c>
      <c r="AE232" s="151"/>
      <c r="AF232" s="152"/>
      <c r="AG232" s="143" t="s">
        <v>20235</v>
      </c>
      <c r="AH232" s="144">
        <v>0.20172826086956519</v>
      </c>
      <c r="AI232" s="144">
        <v>2.2217282608695652</v>
      </c>
      <c r="AJ232" s="144">
        <v>0</v>
      </c>
      <c r="AK232" s="143">
        <v>0</v>
      </c>
      <c r="AL232" s="144">
        <v>2.2217282608695652</v>
      </c>
      <c r="AM232" s="144">
        <v>0</v>
      </c>
      <c r="AN232" s="29">
        <v>4.2</v>
      </c>
      <c r="AO232" s="144">
        <v>1.978271739130435</v>
      </c>
      <c r="AP232" s="144">
        <v>1.978271739130435</v>
      </c>
      <c r="AQ232" s="145" t="s">
        <v>20211</v>
      </c>
      <c r="AR232" s="146" t="s">
        <v>20211</v>
      </c>
      <c r="AS232" s="56">
        <v>52.898291925465834</v>
      </c>
      <c r="AT232" s="58" t="s">
        <v>48</v>
      </c>
      <c r="AU232" s="118">
        <v>1964</v>
      </c>
      <c r="AV232" s="149" t="s">
        <v>2143</v>
      </c>
      <c r="AW232" s="120">
        <v>56.2802978042156</v>
      </c>
      <c r="AX232" s="120">
        <v>31.6780277611938</v>
      </c>
    </row>
    <row r="233" spans="1:50" ht="15" customHeight="1" x14ac:dyDescent="0.25">
      <c r="A233" s="875">
        <v>171</v>
      </c>
      <c r="B233" s="875">
        <v>25</v>
      </c>
      <c r="C233" s="143" t="s">
        <v>1176</v>
      </c>
      <c r="D233" s="9">
        <v>10</v>
      </c>
      <c r="E233" s="503" t="s">
        <v>522</v>
      </c>
      <c r="F233" s="503">
        <v>10</v>
      </c>
      <c r="G233" s="503"/>
      <c r="H233" s="501"/>
      <c r="I233" s="151" t="s">
        <v>20227</v>
      </c>
      <c r="J233" s="31">
        <v>7.45</v>
      </c>
      <c r="K233" s="504">
        <v>0.56000000000000005</v>
      </c>
      <c r="L233" s="502">
        <v>120</v>
      </c>
      <c r="M233" s="147">
        <v>6.8900000000000006</v>
      </c>
      <c r="N233" s="504">
        <v>0</v>
      </c>
      <c r="O233" s="29"/>
      <c r="P233" s="29">
        <v>10.5</v>
      </c>
      <c r="Q233" s="144">
        <v>3.6099999999999994</v>
      </c>
      <c r="R233" s="877">
        <v>3.6099999999999994</v>
      </c>
      <c r="S233" s="880" t="s">
        <v>20211</v>
      </c>
      <c r="T233" s="146" t="s">
        <v>20211</v>
      </c>
      <c r="U233" s="878">
        <v>70.952380952380949</v>
      </c>
      <c r="V233" s="883">
        <v>0.4</v>
      </c>
      <c r="W233" s="883" t="s">
        <v>2260</v>
      </c>
      <c r="X233" s="43"/>
      <c r="Y233" s="875">
        <v>171</v>
      </c>
      <c r="Z233" s="874">
        <v>25</v>
      </c>
      <c r="AA233" s="143" t="s">
        <v>1176</v>
      </c>
      <c r="AB233" s="9">
        <v>10</v>
      </c>
      <c r="AC233" s="151" t="s">
        <v>522</v>
      </c>
      <c r="AD233" s="151">
        <v>10</v>
      </c>
      <c r="AE233" s="151"/>
      <c r="AF233" s="152"/>
      <c r="AG233" s="143" t="s">
        <v>20227</v>
      </c>
      <c r="AH233" s="144">
        <v>0.33950217391304349</v>
      </c>
      <c r="AI233" s="144">
        <v>7.7895021739130437</v>
      </c>
      <c r="AJ233" s="144">
        <v>0.56000000000000005</v>
      </c>
      <c r="AK233" s="143">
        <v>120</v>
      </c>
      <c r="AL233" s="144">
        <v>7.2295021739130441</v>
      </c>
      <c r="AM233" s="144">
        <v>0</v>
      </c>
      <c r="AN233" s="29">
        <v>10.5</v>
      </c>
      <c r="AO233" s="144">
        <v>3.2704978260869559</v>
      </c>
      <c r="AP233" s="902">
        <v>3.2704978260869559</v>
      </c>
      <c r="AQ233" s="878" t="s">
        <v>20211</v>
      </c>
      <c r="AR233" s="146" t="s">
        <v>20211</v>
      </c>
      <c r="AS233" s="945">
        <v>74.18573498964804</v>
      </c>
      <c r="AT233" s="58" t="s">
        <v>48</v>
      </c>
      <c r="AU233" s="118">
        <v>1966</v>
      </c>
      <c r="AV233" s="149" t="s">
        <v>2143</v>
      </c>
      <c r="AW233" s="120">
        <v>56.664000059644898</v>
      </c>
      <c r="AX233" s="120">
        <v>32.2818454985253</v>
      </c>
    </row>
    <row r="234" spans="1:50" ht="15" customHeight="1" x14ac:dyDescent="0.25">
      <c r="A234" s="875"/>
      <c r="B234" s="875"/>
      <c r="C234" s="1" t="s">
        <v>1142</v>
      </c>
      <c r="D234" s="9">
        <v>10</v>
      </c>
      <c r="E234" s="503" t="s">
        <v>522</v>
      </c>
      <c r="F234" s="503">
        <v>10</v>
      </c>
      <c r="G234" s="503"/>
      <c r="H234" s="501"/>
      <c r="I234" s="151" t="s">
        <v>20227</v>
      </c>
      <c r="J234" s="31">
        <v>2.84</v>
      </c>
      <c r="K234" s="515">
        <v>0</v>
      </c>
      <c r="L234" s="1">
        <v>0</v>
      </c>
      <c r="M234" s="147">
        <v>2.84</v>
      </c>
      <c r="N234" s="504">
        <v>0</v>
      </c>
      <c r="O234" s="29"/>
      <c r="P234" s="29">
        <v>10.5</v>
      </c>
      <c r="Q234" s="144">
        <v>7.66</v>
      </c>
      <c r="R234" s="877"/>
      <c r="S234" s="881"/>
      <c r="T234" s="146" t="s">
        <v>20211</v>
      </c>
      <c r="U234" s="879"/>
      <c r="V234" s="884"/>
      <c r="W234" s="884"/>
      <c r="X234" s="43"/>
      <c r="Y234" s="875"/>
      <c r="Z234" s="874"/>
      <c r="AA234" s="1" t="s">
        <v>1142</v>
      </c>
      <c r="AB234" s="9">
        <v>10</v>
      </c>
      <c r="AC234" s="151" t="s">
        <v>522</v>
      </c>
      <c r="AD234" s="151">
        <v>10</v>
      </c>
      <c r="AE234" s="151"/>
      <c r="AF234" s="152"/>
      <c r="AG234" s="143" t="s">
        <v>20227</v>
      </c>
      <c r="AH234" s="144">
        <v>0.2784586956521739</v>
      </c>
      <c r="AI234" s="144">
        <v>3.1184586956521736</v>
      </c>
      <c r="AJ234" s="144">
        <v>0</v>
      </c>
      <c r="AK234" s="143">
        <v>0</v>
      </c>
      <c r="AL234" s="144">
        <v>3.1184586956521736</v>
      </c>
      <c r="AM234" s="144">
        <v>0</v>
      </c>
      <c r="AN234" s="29">
        <v>10.5</v>
      </c>
      <c r="AO234" s="144">
        <v>7.3815413043478264</v>
      </c>
      <c r="AP234" s="903"/>
      <c r="AQ234" s="879"/>
      <c r="AR234" s="146" t="s">
        <v>20211</v>
      </c>
      <c r="AS234" s="946"/>
      <c r="AT234" s="58" t="s">
        <v>48</v>
      </c>
      <c r="AU234" s="118">
        <v>1966</v>
      </c>
      <c r="AV234" s="149" t="s">
        <v>2143</v>
      </c>
      <c r="AW234" s="120">
        <v>56.664000059644898</v>
      </c>
      <c r="AX234" s="120">
        <v>32.2818454985253</v>
      </c>
    </row>
    <row r="235" spans="1:50" ht="15" customHeight="1" x14ac:dyDescent="0.25">
      <c r="A235" s="875"/>
      <c r="B235" s="875"/>
      <c r="C235" s="1" t="s">
        <v>1141</v>
      </c>
      <c r="D235" s="9">
        <v>10</v>
      </c>
      <c r="E235" s="503" t="s">
        <v>522</v>
      </c>
      <c r="F235" s="503">
        <v>10</v>
      </c>
      <c r="G235" s="503"/>
      <c r="H235" s="501"/>
      <c r="I235" s="151" t="s">
        <v>20227</v>
      </c>
      <c r="J235" s="31">
        <v>4.6100000000000003</v>
      </c>
      <c r="K235" s="515">
        <v>0.56000000000000005</v>
      </c>
      <c r="L235" s="502">
        <v>120</v>
      </c>
      <c r="M235" s="147">
        <v>4.0500000000000007</v>
      </c>
      <c r="N235" s="504">
        <v>0</v>
      </c>
      <c r="O235" s="29"/>
      <c r="P235" s="29">
        <v>10.5</v>
      </c>
      <c r="Q235" s="144">
        <v>6.4499999999999993</v>
      </c>
      <c r="R235" s="877"/>
      <c r="S235" s="882"/>
      <c r="T235" s="146" t="s">
        <v>20211</v>
      </c>
      <c r="U235" s="879"/>
      <c r="V235" s="884"/>
      <c r="W235" s="884"/>
      <c r="X235" s="43"/>
      <c r="Y235" s="875"/>
      <c r="Z235" s="874"/>
      <c r="AA235" s="1" t="s">
        <v>1141</v>
      </c>
      <c r="AB235" s="9">
        <v>10</v>
      </c>
      <c r="AC235" s="151" t="s">
        <v>522</v>
      </c>
      <c r="AD235" s="151">
        <v>10</v>
      </c>
      <c r="AE235" s="151"/>
      <c r="AF235" s="152"/>
      <c r="AG235" s="143" t="s">
        <v>20227</v>
      </c>
      <c r="AH235" s="144">
        <v>6.1043478260869567E-2</v>
      </c>
      <c r="AI235" s="144">
        <v>4.6710434782608701</v>
      </c>
      <c r="AJ235" s="144">
        <v>0.56000000000000005</v>
      </c>
      <c r="AK235" s="143">
        <v>120</v>
      </c>
      <c r="AL235" s="144">
        <v>4.1110434782608696</v>
      </c>
      <c r="AM235" s="144">
        <v>0</v>
      </c>
      <c r="AN235" s="29">
        <v>10.5</v>
      </c>
      <c r="AO235" s="144">
        <v>6.3889565217391304</v>
      </c>
      <c r="AP235" s="904"/>
      <c r="AQ235" s="879"/>
      <c r="AR235" s="146" t="s">
        <v>20211</v>
      </c>
      <c r="AS235" s="947"/>
      <c r="AT235" s="58" t="s">
        <v>48</v>
      </c>
      <c r="AU235" s="118">
        <v>1966</v>
      </c>
      <c r="AV235" s="149" t="s">
        <v>2143</v>
      </c>
      <c r="AW235" s="120">
        <v>56.664000059644898</v>
      </c>
      <c r="AX235" s="120">
        <v>32.2818454985253</v>
      </c>
    </row>
    <row r="236" spans="1:50" ht="15" customHeight="1" x14ac:dyDescent="0.25">
      <c r="A236" s="875">
        <v>172</v>
      </c>
      <c r="B236" s="875">
        <v>26</v>
      </c>
      <c r="C236" s="143" t="s">
        <v>1177</v>
      </c>
      <c r="D236" s="9">
        <v>16</v>
      </c>
      <c r="E236" s="503" t="s">
        <v>522</v>
      </c>
      <c r="F236" s="503">
        <v>10</v>
      </c>
      <c r="G236" s="503"/>
      <c r="H236" s="501"/>
      <c r="I236" s="151" t="s">
        <v>20249</v>
      </c>
      <c r="J236" s="31">
        <v>5.37</v>
      </c>
      <c r="K236" s="504">
        <v>1.8</v>
      </c>
      <c r="L236" s="502">
        <v>120</v>
      </c>
      <c r="M236" s="147">
        <v>3.5700000000000003</v>
      </c>
      <c r="N236" s="504">
        <v>0</v>
      </c>
      <c r="O236" s="29"/>
      <c r="P236" s="29">
        <v>10.5</v>
      </c>
      <c r="Q236" s="144">
        <v>6.93</v>
      </c>
      <c r="R236" s="877">
        <v>6.93</v>
      </c>
      <c r="S236" s="880" t="s">
        <v>20211</v>
      </c>
      <c r="T236" s="146" t="s">
        <v>20211</v>
      </c>
      <c r="U236" s="878">
        <v>51.142857142857146</v>
      </c>
      <c r="V236" s="883">
        <v>0.5</v>
      </c>
      <c r="W236" s="883" t="s">
        <v>2260</v>
      </c>
      <c r="X236" s="43"/>
      <c r="Y236" s="875">
        <v>172</v>
      </c>
      <c r="Z236" s="874">
        <v>26</v>
      </c>
      <c r="AA236" s="143" t="s">
        <v>1177</v>
      </c>
      <c r="AB236" s="9">
        <v>16</v>
      </c>
      <c r="AC236" s="151" t="s">
        <v>522</v>
      </c>
      <c r="AD236" s="151">
        <v>10</v>
      </c>
      <c r="AE236" s="151"/>
      <c r="AF236" s="152"/>
      <c r="AG236" s="143" t="s">
        <v>20249</v>
      </c>
      <c r="AH236" s="144">
        <v>0.23823913043478262</v>
      </c>
      <c r="AI236" s="144">
        <v>5.6082391304347823</v>
      </c>
      <c r="AJ236" s="144">
        <v>1.8</v>
      </c>
      <c r="AK236" s="143">
        <v>120</v>
      </c>
      <c r="AL236" s="144">
        <v>3.8082391304347825</v>
      </c>
      <c r="AM236" s="144">
        <v>0</v>
      </c>
      <c r="AN236" s="29">
        <v>10.5</v>
      </c>
      <c r="AO236" s="144">
        <v>6.6917608695652175</v>
      </c>
      <c r="AP236" s="902">
        <v>6.6917608695652175</v>
      </c>
      <c r="AQ236" s="878" t="s">
        <v>20211</v>
      </c>
      <c r="AR236" s="146" t="s">
        <v>20211</v>
      </c>
      <c r="AS236" s="945">
        <v>53.411801242236024</v>
      </c>
      <c r="AT236" s="58" t="s">
        <v>48</v>
      </c>
      <c r="AU236" s="118">
        <v>1990</v>
      </c>
      <c r="AV236" s="149" t="s">
        <v>2143</v>
      </c>
      <c r="AW236" s="120">
        <v>55.866963548747997</v>
      </c>
      <c r="AX236" s="120">
        <v>32.951118740095502</v>
      </c>
    </row>
    <row r="237" spans="1:50" ht="15" customHeight="1" x14ac:dyDescent="0.25">
      <c r="A237" s="875"/>
      <c r="B237" s="875"/>
      <c r="C237" s="1" t="s">
        <v>1142</v>
      </c>
      <c r="D237" s="9">
        <v>16</v>
      </c>
      <c r="E237" s="503" t="s">
        <v>522</v>
      </c>
      <c r="F237" s="503">
        <v>10</v>
      </c>
      <c r="G237" s="503"/>
      <c r="H237" s="501"/>
      <c r="I237" s="151" t="s">
        <v>20249</v>
      </c>
      <c r="J237" s="31">
        <v>2.5</v>
      </c>
      <c r="K237" s="515">
        <v>0</v>
      </c>
      <c r="L237" s="1">
        <v>0</v>
      </c>
      <c r="M237" s="147">
        <v>2.5</v>
      </c>
      <c r="N237" s="504">
        <v>0</v>
      </c>
      <c r="O237" s="29"/>
      <c r="P237" s="29">
        <v>10.5</v>
      </c>
      <c r="Q237" s="144">
        <v>8</v>
      </c>
      <c r="R237" s="877"/>
      <c r="S237" s="881"/>
      <c r="T237" s="146" t="s">
        <v>20211</v>
      </c>
      <c r="U237" s="879"/>
      <c r="V237" s="884"/>
      <c r="W237" s="884" t="s">
        <v>2260</v>
      </c>
      <c r="X237" s="43"/>
      <c r="Y237" s="875"/>
      <c r="Z237" s="874"/>
      <c r="AA237" s="1" t="s">
        <v>1142</v>
      </c>
      <c r="AB237" s="9">
        <v>16</v>
      </c>
      <c r="AC237" s="151" t="s">
        <v>522</v>
      </c>
      <c r="AD237" s="151">
        <v>10</v>
      </c>
      <c r="AE237" s="151"/>
      <c r="AF237" s="152"/>
      <c r="AG237" s="143" t="s">
        <v>20249</v>
      </c>
      <c r="AH237" s="144">
        <v>0.11967391304347827</v>
      </c>
      <c r="AI237" s="144">
        <v>2.6196739130434783</v>
      </c>
      <c r="AJ237" s="144">
        <v>0</v>
      </c>
      <c r="AK237" s="143">
        <v>0</v>
      </c>
      <c r="AL237" s="144">
        <v>2.6196739130434783</v>
      </c>
      <c r="AM237" s="144">
        <v>0</v>
      </c>
      <c r="AN237" s="29">
        <v>10.5</v>
      </c>
      <c r="AO237" s="144">
        <v>7.8803260869565221</v>
      </c>
      <c r="AP237" s="903"/>
      <c r="AQ237" s="879" t="s">
        <v>20211</v>
      </c>
      <c r="AR237" s="146" t="s">
        <v>20211</v>
      </c>
      <c r="AS237" s="946"/>
      <c r="AT237" s="58" t="s">
        <v>48</v>
      </c>
      <c r="AU237" s="118">
        <v>1990</v>
      </c>
      <c r="AV237" s="149" t="s">
        <v>2143</v>
      </c>
      <c r="AW237" s="120">
        <v>55.866963548747997</v>
      </c>
      <c r="AX237" s="120">
        <v>32.951118740095502</v>
      </c>
    </row>
    <row r="238" spans="1:50" ht="15" customHeight="1" x14ac:dyDescent="0.25">
      <c r="A238" s="875"/>
      <c r="B238" s="875"/>
      <c r="C238" s="1" t="s">
        <v>1141</v>
      </c>
      <c r="D238" s="9">
        <v>16</v>
      </c>
      <c r="E238" s="503" t="s">
        <v>522</v>
      </c>
      <c r="F238" s="503">
        <v>10</v>
      </c>
      <c r="G238" s="503"/>
      <c r="H238" s="501"/>
      <c r="I238" s="151" t="s">
        <v>20249</v>
      </c>
      <c r="J238" s="31">
        <v>2.87</v>
      </c>
      <c r="K238" s="515">
        <v>1.8</v>
      </c>
      <c r="L238" s="502">
        <v>120</v>
      </c>
      <c r="M238" s="147">
        <v>1.07</v>
      </c>
      <c r="N238" s="504">
        <v>0</v>
      </c>
      <c r="O238" s="29"/>
      <c r="P238" s="29">
        <v>10.5</v>
      </c>
      <c r="Q238" s="144">
        <v>9.43</v>
      </c>
      <c r="R238" s="877"/>
      <c r="S238" s="882"/>
      <c r="T238" s="146" t="s">
        <v>20211</v>
      </c>
      <c r="U238" s="879"/>
      <c r="V238" s="884"/>
      <c r="W238" s="884"/>
      <c r="X238" s="43"/>
      <c r="Y238" s="875"/>
      <c r="Z238" s="874"/>
      <c r="AA238" s="1" t="s">
        <v>1141</v>
      </c>
      <c r="AB238" s="9">
        <v>16</v>
      </c>
      <c r="AC238" s="151" t="s">
        <v>522</v>
      </c>
      <c r="AD238" s="151">
        <v>10</v>
      </c>
      <c r="AE238" s="151"/>
      <c r="AF238" s="152"/>
      <c r="AG238" s="143" t="s">
        <v>20249</v>
      </c>
      <c r="AH238" s="144">
        <v>0.11856521739130435</v>
      </c>
      <c r="AI238" s="144">
        <v>2.9885652173913044</v>
      </c>
      <c r="AJ238" s="144">
        <v>1.8</v>
      </c>
      <c r="AK238" s="143">
        <v>120</v>
      </c>
      <c r="AL238" s="144">
        <v>1.1885652173913044</v>
      </c>
      <c r="AM238" s="144">
        <v>0</v>
      </c>
      <c r="AN238" s="29">
        <v>10.5</v>
      </c>
      <c r="AO238" s="144">
        <v>9.3114347826086963</v>
      </c>
      <c r="AP238" s="904"/>
      <c r="AQ238" s="879" t="s">
        <v>20211</v>
      </c>
      <c r="AR238" s="146" t="s">
        <v>20211</v>
      </c>
      <c r="AS238" s="947"/>
      <c r="AT238" s="58" t="s">
        <v>48</v>
      </c>
      <c r="AU238" s="118">
        <v>1990</v>
      </c>
      <c r="AV238" s="149" t="s">
        <v>2143</v>
      </c>
      <c r="AW238" s="120">
        <v>55.866963548747997</v>
      </c>
      <c r="AX238" s="120">
        <v>32.951118740095502</v>
      </c>
    </row>
    <row r="239" spans="1:50" ht="15" customHeight="1" x14ac:dyDescent="0.25">
      <c r="A239" s="875">
        <v>173</v>
      </c>
      <c r="B239" s="875">
        <v>27</v>
      </c>
      <c r="C239" s="143" t="s">
        <v>1178</v>
      </c>
      <c r="D239" s="9">
        <v>10</v>
      </c>
      <c r="E239" s="503" t="s">
        <v>522</v>
      </c>
      <c r="F239" s="503">
        <v>10</v>
      </c>
      <c r="G239" s="503"/>
      <c r="H239" s="501"/>
      <c r="I239" s="151" t="s">
        <v>20227</v>
      </c>
      <c r="J239" s="31">
        <v>8.51</v>
      </c>
      <c r="K239" s="504">
        <v>2.35</v>
      </c>
      <c r="L239" s="502">
        <v>120</v>
      </c>
      <c r="M239" s="147">
        <v>6.16</v>
      </c>
      <c r="N239" s="504">
        <v>0</v>
      </c>
      <c r="O239" s="29"/>
      <c r="P239" s="29">
        <v>10.5</v>
      </c>
      <c r="Q239" s="144">
        <v>4.34</v>
      </c>
      <c r="R239" s="877">
        <v>4.34</v>
      </c>
      <c r="S239" s="880" t="s">
        <v>20211</v>
      </c>
      <c r="T239" s="146" t="s">
        <v>20211</v>
      </c>
      <c r="U239" s="878">
        <v>81.047619047619051</v>
      </c>
      <c r="V239" s="883">
        <v>0.6</v>
      </c>
      <c r="W239" s="883" t="s">
        <v>2260</v>
      </c>
      <c r="X239" s="43"/>
      <c r="Y239" s="875">
        <v>173</v>
      </c>
      <c r="Z239" s="874">
        <v>27</v>
      </c>
      <c r="AA239" s="143" t="s">
        <v>1178</v>
      </c>
      <c r="AB239" s="9">
        <v>10</v>
      </c>
      <c r="AC239" s="151" t="s">
        <v>522</v>
      </c>
      <c r="AD239" s="151">
        <v>10</v>
      </c>
      <c r="AE239" s="151"/>
      <c r="AF239" s="152"/>
      <c r="AG239" s="143" t="s">
        <v>20227</v>
      </c>
      <c r="AH239" s="144">
        <v>0.77968478260869567</v>
      </c>
      <c r="AI239" s="144">
        <v>9.2896847826086955</v>
      </c>
      <c r="AJ239" s="144">
        <v>2.35</v>
      </c>
      <c r="AK239" s="143">
        <v>120</v>
      </c>
      <c r="AL239" s="144">
        <v>6.9396847826086958</v>
      </c>
      <c r="AM239" s="144">
        <v>0</v>
      </c>
      <c r="AN239" s="29">
        <v>10.5</v>
      </c>
      <c r="AO239" s="144">
        <v>3.5603152173913042</v>
      </c>
      <c r="AP239" s="902">
        <v>3.5603152173913042</v>
      </c>
      <c r="AQ239" s="878" t="s">
        <v>20211</v>
      </c>
      <c r="AR239" s="146" t="s">
        <v>20211</v>
      </c>
      <c r="AS239" s="945">
        <v>88.473188405797103</v>
      </c>
      <c r="AT239" s="58" t="s">
        <v>48</v>
      </c>
      <c r="AU239" s="118">
        <v>1962</v>
      </c>
      <c r="AV239" s="149" t="s">
        <v>2143</v>
      </c>
      <c r="AW239" s="120">
        <v>56.251399351168097</v>
      </c>
      <c r="AX239" s="120">
        <v>32.0903693373739</v>
      </c>
    </row>
    <row r="240" spans="1:50" ht="15" customHeight="1" x14ac:dyDescent="0.25">
      <c r="A240" s="875"/>
      <c r="B240" s="875"/>
      <c r="C240" s="1" t="s">
        <v>1142</v>
      </c>
      <c r="D240" s="9">
        <v>10</v>
      </c>
      <c r="E240" s="503" t="s">
        <v>522</v>
      </c>
      <c r="F240" s="503">
        <v>10</v>
      </c>
      <c r="G240" s="503"/>
      <c r="H240" s="501"/>
      <c r="I240" s="151" t="s">
        <v>20227</v>
      </c>
      <c r="J240" s="31">
        <v>2.1</v>
      </c>
      <c r="K240" s="515">
        <v>1.8</v>
      </c>
      <c r="L240" s="1">
        <v>120</v>
      </c>
      <c r="M240" s="147">
        <v>0.30000000000000004</v>
      </c>
      <c r="N240" s="504">
        <v>0</v>
      </c>
      <c r="O240" s="29"/>
      <c r="P240" s="29">
        <v>10.5</v>
      </c>
      <c r="Q240" s="144">
        <v>10.199999999999999</v>
      </c>
      <c r="R240" s="877"/>
      <c r="S240" s="881"/>
      <c r="T240" s="146" t="s">
        <v>20211</v>
      </c>
      <c r="U240" s="879"/>
      <c r="V240" s="884"/>
      <c r="W240" s="884" t="s">
        <v>2260</v>
      </c>
      <c r="X240" s="43"/>
      <c r="Y240" s="875"/>
      <c r="Z240" s="874"/>
      <c r="AA240" s="1" t="s">
        <v>1142</v>
      </c>
      <c r="AB240" s="9">
        <v>10</v>
      </c>
      <c r="AC240" s="151" t="s">
        <v>522</v>
      </c>
      <c r="AD240" s="151">
        <v>10</v>
      </c>
      <c r="AE240" s="151"/>
      <c r="AF240" s="152"/>
      <c r="AG240" s="143" t="s">
        <v>20227</v>
      </c>
      <c r="AH240" s="144">
        <v>0.26609782608695648</v>
      </c>
      <c r="AI240" s="144">
        <v>2.3660978260869565</v>
      </c>
      <c r="AJ240" s="144">
        <v>1.8</v>
      </c>
      <c r="AK240" s="143">
        <v>120</v>
      </c>
      <c r="AL240" s="144">
        <v>0.56609782608695647</v>
      </c>
      <c r="AM240" s="144">
        <v>0</v>
      </c>
      <c r="AN240" s="29">
        <v>10.5</v>
      </c>
      <c r="AO240" s="144">
        <v>9.9339021739130438</v>
      </c>
      <c r="AP240" s="903"/>
      <c r="AQ240" s="879" t="s">
        <v>20211</v>
      </c>
      <c r="AR240" s="146" t="s">
        <v>20211</v>
      </c>
      <c r="AS240" s="946"/>
      <c r="AT240" s="58" t="s">
        <v>48</v>
      </c>
      <c r="AU240" s="118">
        <v>1962</v>
      </c>
      <c r="AV240" s="149" t="s">
        <v>2143</v>
      </c>
      <c r="AW240" s="120">
        <v>56.251399351168097</v>
      </c>
      <c r="AX240" s="120">
        <v>32.0903693373739</v>
      </c>
    </row>
    <row r="241" spans="1:50" ht="15" customHeight="1" x14ac:dyDescent="0.25">
      <c r="A241" s="875"/>
      <c r="B241" s="875"/>
      <c r="C241" s="1" t="s">
        <v>1141</v>
      </c>
      <c r="D241" s="9">
        <v>10</v>
      </c>
      <c r="E241" s="503" t="s">
        <v>522</v>
      </c>
      <c r="F241" s="503">
        <v>10</v>
      </c>
      <c r="G241" s="503"/>
      <c r="H241" s="501"/>
      <c r="I241" s="151" t="s">
        <v>20227</v>
      </c>
      <c r="J241" s="31">
        <v>6.41</v>
      </c>
      <c r="K241" s="515">
        <v>0.55000000000000004</v>
      </c>
      <c r="L241" s="502">
        <v>0</v>
      </c>
      <c r="M241" s="147">
        <v>5.86</v>
      </c>
      <c r="N241" s="504">
        <v>0</v>
      </c>
      <c r="O241" s="29"/>
      <c r="P241" s="29">
        <v>10.5</v>
      </c>
      <c r="Q241" s="144">
        <v>4.6399999999999997</v>
      </c>
      <c r="R241" s="877"/>
      <c r="S241" s="882"/>
      <c r="T241" s="146" t="s">
        <v>20211</v>
      </c>
      <c r="U241" s="879"/>
      <c r="V241" s="884"/>
      <c r="W241" s="884"/>
      <c r="X241" s="43"/>
      <c r="Y241" s="875"/>
      <c r="Z241" s="874"/>
      <c r="AA241" s="1" t="s">
        <v>1141</v>
      </c>
      <c r="AB241" s="9">
        <v>10</v>
      </c>
      <c r="AC241" s="151" t="s">
        <v>522</v>
      </c>
      <c r="AD241" s="151">
        <v>10</v>
      </c>
      <c r="AE241" s="151"/>
      <c r="AF241" s="152"/>
      <c r="AG241" s="143" t="s">
        <v>20227</v>
      </c>
      <c r="AH241" s="144">
        <v>0.51358695652173914</v>
      </c>
      <c r="AI241" s="144">
        <v>6.9235869565217394</v>
      </c>
      <c r="AJ241" s="144">
        <v>0.55000000000000004</v>
      </c>
      <c r="AK241" s="143">
        <v>0</v>
      </c>
      <c r="AL241" s="144">
        <v>6.3735869565217396</v>
      </c>
      <c r="AM241" s="144">
        <v>0</v>
      </c>
      <c r="AN241" s="29">
        <v>10.5</v>
      </c>
      <c r="AO241" s="144">
        <v>4.1264130434782604</v>
      </c>
      <c r="AP241" s="904"/>
      <c r="AQ241" s="879" t="s">
        <v>20211</v>
      </c>
      <c r="AR241" s="146" t="s">
        <v>20211</v>
      </c>
      <c r="AS241" s="947"/>
      <c r="AT241" s="58" t="s">
        <v>48</v>
      </c>
      <c r="AU241" s="118">
        <v>1962</v>
      </c>
      <c r="AV241" s="149" t="s">
        <v>2143</v>
      </c>
      <c r="AW241" s="120">
        <v>56.251399351168097</v>
      </c>
      <c r="AX241" s="120">
        <v>32.0903693373739</v>
      </c>
    </row>
    <row r="242" spans="1:50" ht="15" customHeight="1" x14ac:dyDescent="0.25">
      <c r="A242" s="875">
        <v>174</v>
      </c>
      <c r="B242" s="875">
        <v>28</v>
      </c>
      <c r="C242" s="143" t="s">
        <v>1179</v>
      </c>
      <c r="D242" s="9">
        <v>25</v>
      </c>
      <c r="E242" s="503" t="s">
        <v>522</v>
      </c>
      <c r="F242" s="503">
        <v>25</v>
      </c>
      <c r="G242" s="503"/>
      <c r="H242" s="501"/>
      <c r="I242" s="151" t="s">
        <v>20226</v>
      </c>
      <c r="J242" s="31">
        <v>17.05</v>
      </c>
      <c r="K242" s="504">
        <v>3.85</v>
      </c>
      <c r="L242" s="502">
        <v>120</v>
      </c>
      <c r="M242" s="147">
        <v>13.200000000000001</v>
      </c>
      <c r="N242" s="504">
        <v>0</v>
      </c>
      <c r="O242" s="29"/>
      <c r="P242" s="29">
        <v>26.25</v>
      </c>
      <c r="Q242" s="144">
        <v>13.049999999999999</v>
      </c>
      <c r="R242" s="902">
        <v>13.049999999999999</v>
      </c>
      <c r="S242" s="878" t="s">
        <v>20211</v>
      </c>
      <c r="T242" s="146" t="s">
        <v>20211</v>
      </c>
      <c r="U242" s="878">
        <v>64.952380952380949</v>
      </c>
      <c r="V242" s="883">
        <v>0.5</v>
      </c>
      <c r="W242" s="883" t="s">
        <v>2260</v>
      </c>
      <c r="X242" s="43"/>
      <c r="Y242" s="875">
        <v>174</v>
      </c>
      <c r="Z242" s="874">
        <v>28</v>
      </c>
      <c r="AA242" s="143" t="s">
        <v>1179</v>
      </c>
      <c r="AB242" s="9">
        <v>25</v>
      </c>
      <c r="AC242" s="151" t="s">
        <v>522</v>
      </c>
      <c r="AD242" s="151">
        <v>25</v>
      </c>
      <c r="AE242" s="151"/>
      <c r="AF242" s="152"/>
      <c r="AG242" s="143" t="s">
        <v>20226</v>
      </c>
      <c r="AH242" s="144">
        <v>0.92344565217391295</v>
      </c>
      <c r="AI242" s="144">
        <v>17.973445652173915</v>
      </c>
      <c r="AJ242" s="144">
        <v>3.85</v>
      </c>
      <c r="AK242" s="143">
        <v>120</v>
      </c>
      <c r="AL242" s="144">
        <v>14.123445652173915</v>
      </c>
      <c r="AM242" s="144">
        <v>0</v>
      </c>
      <c r="AN242" s="29">
        <v>26.25</v>
      </c>
      <c r="AO242" s="144">
        <v>12.126554347826085</v>
      </c>
      <c r="AP242" s="902">
        <v>12.126554347826085</v>
      </c>
      <c r="AQ242" s="878" t="s">
        <v>20211</v>
      </c>
      <c r="AR242" s="146" t="s">
        <v>20211</v>
      </c>
      <c r="AS242" s="945">
        <v>68.470269151138723</v>
      </c>
      <c r="AT242" s="58" t="s">
        <v>48</v>
      </c>
      <c r="AU242" s="118">
        <v>1989</v>
      </c>
      <c r="AV242" s="150">
        <v>2011</v>
      </c>
      <c r="AW242" s="120">
        <v>56.493515565355203</v>
      </c>
      <c r="AX242" s="120">
        <v>31.640055859206502</v>
      </c>
    </row>
    <row r="243" spans="1:50" ht="15" customHeight="1" x14ac:dyDescent="0.25">
      <c r="A243" s="875"/>
      <c r="B243" s="875"/>
      <c r="C243" s="1" t="s">
        <v>1142</v>
      </c>
      <c r="D243" s="9">
        <v>25</v>
      </c>
      <c r="E243" s="503" t="s">
        <v>522</v>
      </c>
      <c r="F243" s="503">
        <v>25</v>
      </c>
      <c r="G243" s="503"/>
      <c r="H243" s="501"/>
      <c r="I243" s="151" t="s">
        <v>20226</v>
      </c>
      <c r="J243" s="31">
        <v>7.28</v>
      </c>
      <c r="K243" s="515">
        <v>3.25</v>
      </c>
      <c r="L243" s="1">
        <v>120</v>
      </c>
      <c r="M243" s="147">
        <v>4.03</v>
      </c>
      <c r="N243" s="504">
        <v>0</v>
      </c>
      <c r="O243" s="29"/>
      <c r="P243" s="29">
        <v>26.25</v>
      </c>
      <c r="Q243" s="144">
        <v>22.22</v>
      </c>
      <c r="R243" s="903"/>
      <c r="S243" s="878"/>
      <c r="T243" s="146" t="s">
        <v>20211</v>
      </c>
      <c r="U243" s="878"/>
      <c r="V243" s="883"/>
      <c r="W243" s="883" t="s">
        <v>2260</v>
      </c>
      <c r="X243" s="43"/>
      <c r="Y243" s="875"/>
      <c r="Z243" s="874"/>
      <c r="AA243" s="1" t="s">
        <v>1142</v>
      </c>
      <c r="AB243" s="9">
        <v>25</v>
      </c>
      <c r="AC243" s="151" t="s">
        <v>522</v>
      </c>
      <c r="AD243" s="151">
        <v>25</v>
      </c>
      <c r="AE243" s="151"/>
      <c r="AF243" s="152"/>
      <c r="AG243" s="143" t="s">
        <v>20226</v>
      </c>
      <c r="AH243" s="144">
        <v>8.5891304347826075E-2</v>
      </c>
      <c r="AI243" s="144">
        <v>7.3658913043478265</v>
      </c>
      <c r="AJ243" s="144">
        <v>3.25</v>
      </c>
      <c r="AK243" s="143">
        <v>120</v>
      </c>
      <c r="AL243" s="144">
        <v>4.1158913043478265</v>
      </c>
      <c r="AM243" s="144">
        <v>0</v>
      </c>
      <c r="AN243" s="29">
        <v>26.25</v>
      </c>
      <c r="AO243" s="144">
        <v>22.134108695652174</v>
      </c>
      <c r="AP243" s="903"/>
      <c r="AQ243" s="878"/>
      <c r="AR243" s="146" t="s">
        <v>20211</v>
      </c>
      <c r="AS243" s="946"/>
      <c r="AT243" s="58" t="s">
        <v>48</v>
      </c>
      <c r="AU243" s="118">
        <v>1989</v>
      </c>
      <c r="AV243" s="150">
        <v>2011</v>
      </c>
      <c r="AW243" s="120">
        <v>56.493515565355203</v>
      </c>
      <c r="AX243" s="120">
        <v>31.640055859206502</v>
      </c>
    </row>
    <row r="244" spans="1:50" ht="15" customHeight="1" x14ac:dyDescent="0.25">
      <c r="A244" s="875"/>
      <c r="B244" s="875"/>
      <c r="C244" s="1" t="s">
        <v>1141</v>
      </c>
      <c r="D244" s="9">
        <v>25</v>
      </c>
      <c r="E244" s="503" t="s">
        <v>522</v>
      </c>
      <c r="F244" s="503">
        <v>25</v>
      </c>
      <c r="G244" s="503"/>
      <c r="H244" s="501"/>
      <c r="I244" s="151" t="s">
        <v>20226</v>
      </c>
      <c r="J244" s="31">
        <v>9.77</v>
      </c>
      <c r="K244" s="515">
        <v>0.6</v>
      </c>
      <c r="L244" s="502">
        <v>120</v>
      </c>
      <c r="M244" s="147">
        <v>9.17</v>
      </c>
      <c r="N244" s="504">
        <v>0</v>
      </c>
      <c r="O244" s="29"/>
      <c r="P244" s="29">
        <v>26.25</v>
      </c>
      <c r="Q244" s="144">
        <v>17.079999999999998</v>
      </c>
      <c r="R244" s="904"/>
      <c r="S244" s="878"/>
      <c r="T244" s="146" t="s">
        <v>20211</v>
      </c>
      <c r="U244" s="878"/>
      <c r="V244" s="883"/>
      <c r="W244" s="883"/>
      <c r="X244" s="43"/>
      <c r="Y244" s="875"/>
      <c r="Z244" s="874"/>
      <c r="AA244" s="1" t="s">
        <v>1141</v>
      </c>
      <c r="AB244" s="9">
        <v>25</v>
      </c>
      <c r="AC244" s="151" t="s">
        <v>522</v>
      </c>
      <c r="AD244" s="151">
        <v>25</v>
      </c>
      <c r="AE244" s="151"/>
      <c r="AF244" s="152"/>
      <c r="AG244" s="143" t="s">
        <v>20226</v>
      </c>
      <c r="AH244" s="148">
        <v>0.83755434782608684</v>
      </c>
      <c r="AI244" s="144">
        <v>10.607554347826087</v>
      </c>
      <c r="AJ244" s="144">
        <v>0.6</v>
      </c>
      <c r="AK244" s="143">
        <v>120</v>
      </c>
      <c r="AL244" s="144">
        <v>10.007554347826087</v>
      </c>
      <c r="AM244" s="144">
        <v>0</v>
      </c>
      <c r="AN244" s="29">
        <v>26.25</v>
      </c>
      <c r="AO244" s="144">
        <v>16.242445652173913</v>
      </c>
      <c r="AP244" s="904"/>
      <c r="AQ244" s="878"/>
      <c r="AR244" s="146" t="s">
        <v>20211</v>
      </c>
      <c r="AS244" s="947"/>
      <c r="AT244" s="58" t="s">
        <v>48</v>
      </c>
      <c r="AU244" s="118">
        <v>1989</v>
      </c>
      <c r="AV244" s="150">
        <v>2011</v>
      </c>
      <c r="AW244" s="120">
        <v>56.493515565355203</v>
      </c>
      <c r="AX244" s="120">
        <v>31.640055859206502</v>
      </c>
    </row>
    <row r="245" spans="1:50" ht="15" customHeight="1" x14ac:dyDescent="0.25">
      <c r="A245" s="143">
        <v>175</v>
      </c>
      <c r="B245" s="143">
        <v>1</v>
      </c>
      <c r="C245" s="143" t="s">
        <v>85</v>
      </c>
      <c r="D245" s="9">
        <v>2.5</v>
      </c>
      <c r="E245" s="503"/>
      <c r="F245" s="503"/>
      <c r="G245" s="503"/>
      <c r="H245" s="501"/>
      <c r="I245" s="151" t="s">
        <v>20212</v>
      </c>
      <c r="J245" s="31">
        <v>0.3572992500275714</v>
      </c>
      <c r="K245" s="504">
        <v>0.3572992500275714</v>
      </c>
      <c r="L245" s="502">
        <v>120</v>
      </c>
      <c r="M245" s="144">
        <v>0.3572992500275714</v>
      </c>
      <c r="N245" s="504">
        <v>0</v>
      </c>
      <c r="O245" s="29"/>
      <c r="P245" s="29">
        <v>0.3572992500275714</v>
      </c>
      <c r="Q245" s="144">
        <v>0</v>
      </c>
      <c r="R245" s="144">
        <v>0</v>
      </c>
      <c r="S245" s="145" t="s">
        <v>20211</v>
      </c>
      <c r="T245" s="146" t="s">
        <v>20211</v>
      </c>
      <c r="U245" s="145">
        <v>13.61140000105034</v>
      </c>
      <c r="V245" s="505"/>
      <c r="W245" s="505" t="s">
        <v>2023</v>
      </c>
      <c r="X245" s="43"/>
      <c r="Y245" s="143">
        <v>175</v>
      </c>
      <c r="Z245" s="152">
        <v>1</v>
      </c>
      <c r="AA245" s="143" t="s">
        <v>85</v>
      </c>
      <c r="AB245" s="9">
        <v>2.5</v>
      </c>
      <c r="AC245" s="151"/>
      <c r="AD245" s="151"/>
      <c r="AE245" s="151"/>
      <c r="AF245" s="152"/>
      <c r="AG245" s="143" t="s">
        <v>20212</v>
      </c>
      <c r="AH245" s="144">
        <v>3.8152173913043479E-2</v>
      </c>
      <c r="AI245" s="144">
        <v>0.39545142394061489</v>
      </c>
      <c r="AJ245" s="144">
        <v>0.3572992500275714</v>
      </c>
      <c r="AK245" s="143">
        <v>120</v>
      </c>
      <c r="AL245" s="144">
        <v>0.3572992500275714</v>
      </c>
      <c r="AM245" s="144">
        <v>0</v>
      </c>
      <c r="AN245" s="29">
        <v>0.3572992500275714</v>
      </c>
      <c r="AO245" s="144">
        <v>-3.8152173913043486E-2</v>
      </c>
      <c r="AP245" s="144">
        <v>-3.8152173913043486E-2</v>
      </c>
      <c r="AQ245" s="153" t="s">
        <v>2217</v>
      </c>
      <c r="AR245" s="146" t="s">
        <v>2217</v>
      </c>
      <c r="AS245" s="56">
        <v>15.064816150118661</v>
      </c>
      <c r="AT245" s="58" t="s">
        <v>504</v>
      </c>
      <c r="AU245" s="118">
        <v>1983</v>
      </c>
      <c r="AV245" s="149" t="s">
        <v>2143</v>
      </c>
      <c r="AW245" s="120">
        <v>56.373681951001402</v>
      </c>
      <c r="AX245" s="120">
        <v>34.036245105198198</v>
      </c>
    </row>
    <row r="246" spans="1:50" ht="15" customHeight="1" x14ac:dyDescent="0.25">
      <c r="A246" s="143">
        <v>176</v>
      </c>
      <c r="B246" s="143">
        <v>2</v>
      </c>
      <c r="C246" s="143" t="s">
        <v>86</v>
      </c>
      <c r="D246" s="9">
        <v>2.5</v>
      </c>
      <c r="E246" s="503"/>
      <c r="F246" s="503"/>
      <c r="G246" s="503"/>
      <c r="H246" s="501"/>
      <c r="I246" s="151" t="s">
        <v>20212</v>
      </c>
      <c r="J246" s="31">
        <v>0.48275720108591197</v>
      </c>
      <c r="K246" s="504">
        <v>0.48275720108591197</v>
      </c>
      <c r="L246" s="502">
        <v>240</v>
      </c>
      <c r="M246" s="144">
        <v>0.48275720108591197</v>
      </c>
      <c r="N246" s="504">
        <v>0</v>
      </c>
      <c r="O246" s="29"/>
      <c r="P246" s="29">
        <v>0.48275720108591197</v>
      </c>
      <c r="Q246" s="144">
        <v>0</v>
      </c>
      <c r="R246" s="144">
        <v>0</v>
      </c>
      <c r="S246" s="145" t="s">
        <v>20211</v>
      </c>
      <c r="T246" s="146" t="s">
        <v>20211</v>
      </c>
      <c r="U246" s="145">
        <v>18.390750517558551</v>
      </c>
      <c r="V246" s="505">
        <v>0.4</v>
      </c>
      <c r="W246" s="505" t="s">
        <v>2024</v>
      </c>
      <c r="X246" s="43"/>
      <c r="Y246" s="143">
        <v>176</v>
      </c>
      <c r="Z246" s="152">
        <v>2</v>
      </c>
      <c r="AA246" s="143" t="s">
        <v>86</v>
      </c>
      <c r="AB246" s="9">
        <v>2.5</v>
      </c>
      <c r="AC246" s="151"/>
      <c r="AD246" s="151"/>
      <c r="AE246" s="151"/>
      <c r="AF246" s="152"/>
      <c r="AG246" s="143" t="s">
        <v>20212</v>
      </c>
      <c r="AH246" s="144">
        <v>0</v>
      </c>
      <c r="AI246" s="144">
        <v>0.48275720108591197</v>
      </c>
      <c r="AJ246" s="144">
        <v>0.48275720108591197</v>
      </c>
      <c r="AK246" s="143">
        <v>240</v>
      </c>
      <c r="AL246" s="144">
        <v>0.48275720108591197</v>
      </c>
      <c r="AM246" s="144">
        <v>0</v>
      </c>
      <c r="AN246" s="29">
        <v>0.48275720108591197</v>
      </c>
      <c r="AO246" s="144">
        <v>0</v>
      </c>
      <c r="AP246" s="144">
        <v>0</v>
      </c>
      <c r="AQ246" s="153" t="s">
        <v>20211</v>
      </c>
      <c r="AR246" s="146" t="s">
        <v>20211</v>
      </c>
      <c r="AS246" s="56">
        <v>18.390750517558551</v>
      </c>
      <c r="AT246" s="58" t="s">
        <v>504</v>
      </c>
      <c r="AU246" s="118">
        <v>1981</v>
      </c>
      <c r="AV246" s="149" t="s">
        <v>2143</v>
      </c>
      <c r="AW246" s="120">
        <v>56.0863419334366</v>
      </c>
      <c r="AX246" s="120">
        <v>34.033279301544297</v>
      </c>
    </row>
    <row r="247" spans="1:50" ht="15" customHeight="1" x14ac:dyDescent="0.25">
      <c r="A247" s="143">
        <v>177</v>
      </c>
      <c r="B247" s="143">
        <v>3</v>
      </c>
      <c r="C247" s="143" t="s">
        <v>84</v>
      </c>
      <c r="D247" s="9">
        <v>1.6</v>
      </c>
      <c r="E247" s="503"/>
      <c r="F247" s="503"/>
      <c r="G247" s="503"/>
      <c r="H247" s="501"/>
      <c r="I247" s="151" t="s">
        <v>20210</v>
      </c>
      <c r="J247" s="31">
        <v>0.55650792447231734</v>
      </c>
      <c r="K247" s="504">
        <v>0</v>
      </c>
      <c r="L247" s="502"/>
      <c r="M247" s="144">
        <v>0</v>
      </c>
      <c r="N247" s="504">
        <v>0</v>
      </c>
      <c r="O247" s="29"/>
      <c r="P247" s="29">
        <v>0</v>
      </c>
      <c r="Q247" s="144">
        <v>-0.55650792447231734</v>
      </c>
      <c r="R247" s="144">
        <v>-0.55650792447231734</v>
      </c>
      <c r="S247" s="145" t="s">
        <v>2217</v>
      </c>
      <c r="T247" s="146" t="s">
        <v>2217</v>
      </c>
      <c r="U247" s="145">
        <v>33.125471694780792</v>
      </c>
      <c r="V247" s="505"/>
      <c r="W247" s="505" t="s">
        <v>2023</v>
      </c>
      <c r="X247" s="43"/>
      <c r="Y247" s="143">
        <v>177</v>
      </c>
      <c r="Z247" s="152">
        <v>3</v>
      </c>
      <c r="AA247" s="143" t="s">
        <v>84</v>
      </c>
      <c r="AB247" s="9">
        <v>1.6</v>
      </c>
      <c r="AC247" s="151"/>
      <c r="AD247" s="151"/>
      <c r="AE247" s="151"/>
      <c r="AF247" s="152"/>
      <c r="AG247" s="143" t="s">
        <v>20210</v>
      </c>
      <c r="AH247" s="144">
        <v>7.5130434782608696E-2</v>
      </c>
      <c r="AI247" s="144">
        <v>0.63163835925492606</v>
      </c>
      <c r="AJ247" s="144">
        <v>0</v>
      </c>
      <c r="AK247" s="143">
        <v>0</v>
      </c>
      <c r="AL247" s="144">
        <v>0</v>
      </c>
      <c r="AM247" s="144">
        <v>0</v>
      </c>
      <c r="AN247" s="29">
        <v>0</v>
      </c>
      <c r="AO247" s="144">
        <v>-0.63163835925492606</v>
      </c>
      <c r="AP247" s="144">
        <v>-0.63163835925492606</v>
      </c>
      <c r="AQ247" s="153" t="s">
        <v>2217</v>
      </c>
      <c r="AR247" s="146" t="s">
        <v>2217</v>
      </c>
      <c r="AS247" s="56">
        <v>37.597521384221785</v>
      </c>
      <c r="AT247" s="58" t="s">
        <v>504</v>
      </c>
      <c r="AU247" s="118">
        <v>1983</v>
      </c>
      <c r="AV247" s="149" t="s">
        <v>2143</v>
      </c>
      <c r="AW247" s="120">
        <v>56.012565407189101</v>
      </c>
      <c r="AX247" s="120">
        <v>34.547977153853402</v>
      </c>
    </row>
    <row r="248" spans="1:50" ht="15" customHeight="1" x14ac:dyDescent="0.25">
      <c r="A248" s="143">
        <v>178</v>
      </c>
      <c r="B248" s="143">
        <v>4</v>
      </c>
      <c r="C248" s="143" t="s">
        <v>88</v>
      </c>
      <c r="D248" s="9">
        <v>2.5</v>
      </c>
      <c r="E248" s="503"/>
      <c r="F248" s="503"/>
      <c r="G248" s="503"/>
      <c r="H248" s="501"/>
      <c r="I248" s="151" t="s">
        <v>20212</v>
      </c>
      <c r="J248" s="31">
        <v>1.6311761685355861</v>
      </c>
      <c r="K248" s="504">
        <v>0</v>
      </c>
      <c r="L248" s="502"/>
      <c r="M248" s="144">
        <v>0</v>
      </c>
      <c r="N248" s="504">
        <v>0</v>
      </c>
      <c r="O248" s="29"/>
      <c r="P248" s="29">
        <v>0</v>
      </c>
      <c r="Q248" s="144">
        <v>-1.6311761685355861</v>
      </c>
      <c r="R248" s="144">
        <v>-1.6311761685355861</v>
      </c>
      <c r="S248" s="145" t="s">
        <v>2217</v>
      </c>
      <c r="T248" s="146" t="s">
        <v>2217</v>
      </c>
      <c r="U248" s="145">
        <v>62.140044515641378</v>
      </c>
      <c r="V248" s="505"/>
      <c r="W248" s="505" t="s">
        <v>2023</v>
      </c>
      <c r="X248" s="43"/>
      <c r="Y248" s="143">
        <v>178</v>
      </c>
      <c r="Z248" s="152">
        <v>4</v>
      </c>
      <c r="AA248" s="143" t="s">
        <v>88</v>
      </c>
      <c r="AB248" s="9">
        <v>2.5</v>
      </c>
      <c r="AC248" s="151"/>
      <c r="AD248" s="151"/>
      <c r="AE248" s="151"/>
      <c r="AF248" s="152"/>
      <c r="AG248" s="143" t="s">
        <v>20212</v>
      </c>
      <c r="AH248" s="144">
        <v>1.0586739130434781</v>
      </c>
      <c r="AI248" s="144">
        <v>2.6898500815790642</v>
      </c>
      <c r="AJ248" s="144">
        <v>0</v>
      </c>
      <c r="AK248" s="143">
        <v>0</v>
      </c>
      <c r="AL248" s="144">
        <v>0</v>
      </c>
      <c r="AM248" s="144">
        <v>0</v>
      </c>
      <c r="AN248" s="29">
        <v>0</v>
      </c>
      <c r="AO248" s="144">
        <v>-2.6898500815790642</v>
      </c>
      <c r="AP248" s="144">
        <v>-2.6898500815790642</v>
      </c>
      <c r="AQ248" s="153" t="s">
        <v>2217</v>
      </c>
      <c r="AR248" s="146" t="s">
        <v>2217</v>
      </c>
      <c r="AS248" s="56">
        <v>102.47047929825005</v>
      </c>
      <c r="AT248" s="58" t="s">
        <v>504</v>
      </c>
      <c r="AU248" s="118">
        <v>1975</v>
      </c>
      <c r="AV248" s="149" t="s">
        <v>2143</v>
      </c>
      <c r="AW248" s="120">
        <v>56.092405546294501</v>
      </c>
      <c r="AX248" s="120">
        <v>35.237888736973503</v>
      </c>
    </row>
    <row r="249" spans="1:50" ht="15" customHeight="1" x14ac:dyDescent="0.25">
      <c r="A249" s="143">
        <v>179</v>
      </c>
      <c r="B249" s="143">
        <v>5</v>
      </c>
      <c r="C249" s="143" t="s">
        <v>87</v>
      </c>
      <c r="D249" s="9">
        <v>2.5</v>
      </c>
      <c r="E249" s="503"/>
      <c r="F249" s="503"/>
      <c r="G249" s="503"/>
      <c r="H249" s="501"/>
      <c r="I249" s="151" t="s">
        <v>20212</v>
      </c>
      <c r="J249" s="31">
        <v>0.57947491818069574</v>
      </c>
      <c r="K249" s="504">
        <v>0</v>
      </c>
      <c r="L249" s="502"/>
      <c r="M249" s="144">
        <v>0</v>
      </c>
      <c r="N249" s="504">
        <v>0</v>
      </c>
      <c r="O249" s="29"/>
      <c r="P249" s="29">
        <v>0</v>
      </c>
      <c r="Q249" s="144">
        <v>-0.57947491818069574</v>
      </c>
      <c r="R249" s="144">
        <v>-0.57947491818069574</v>
      </c>
      <c r="S249" s="145" t="s">
        <v>2217</v>
      </c>
      <c r="T249" s="146" t="s">
        <v>2217</v>
      </c>
      <c r="U249" s="145">
        <v>22.075234978312217</v>
      </c>
      <c r="V249" s="505">
        <v>0.46500000000000002</v>
      </c>
      <c r="W249" s="505" t="s">
        <v>2024</v>
      </c>
      <c r="X249" s="43"/>
      <c r="Y249" s="143">
        <v>179</v>
      </c>
      <c r="Z249" s="152">
        <v>5</v>
      </c>
      <c r="AA249" s="143" t="s">
        <v>87</v>
      </c>
      <c r="AB249" s="9">
        <v>2.5</v>
      </c>
      <c r="AC249" s="151"/>
      <c r="AD249" s="151"/>
      <c r="AE249" s="151"/>
      <c r="AF249" s="152"/>
      <c r="AG249" s="143" t="s">
        <v>20212</v>
      </c>
      <c r="AH249" s="144">
        <v>0.12678260869565217</v>
      </c>
      <c r="AI249" s="144">
        <v>0.70625752687634791</v>
      </c>
      <c r="AJ249" s="144">
        <v>0</v>
      </c>
      <c r="AK249" s="143">
        <v>0</v>
      </c>
      <c r="AL249" s="144">
        <v>0</v>
      </c>
      <c r="AM249" s="144">
        <v>0</v>
      </c>
      <c r="AN249" s="29">
        <v>0</v>
      </c>
      <c r="AO249" s="144">
        <v>-0.70625752687634791</v>
      </c>
      <c r="AP249" s="144">
        <v>-0.70625752687634791</v>
      </c>
      <c r="AQ249" s="153" t="s">
        <v>2217</v>
      </c>
      <c r="AR249" s="146" t="s">
        <v>2217</v>
      </c>
      <c r="AS249" s="56">
        <v>26.90504864290849</v>
      </c>
      <c r="AT249" s="58" t="s">
        <v>504</v>
      </c>
      <c r="AU249" s="118">
        <v>1979</v>
      </c>
      <c r="AV249" s="149" t="s">
        <v>2143</v>
      </c>
      <c r="AW249" s="120">
        <v>56.280328609213797</v>
      </c>
      <c r="AX249" s="120">
        <v>35.081330928058399</v>
      </c>
    </row>
    <row r="250" spans="1:50" ht="15" customHeight="1" x14ac:dyDescent="0.25">
      <c r="A250" s="143">
        <v>180</v>
      </c>
      <c r="B250" s="143">
        <v>6</v>
      </c>
      <c r="C250" s="143" t="s">
        <v>89</v>
      </c>
      <c r="D250" s="9">
        <v>2.5</v>
      </c>
      <c r="E250" s="503"/>
      <c r="F250" s="503"/>
      <c r="G250" s="503"/>
      <c r="H250" s="501"/>
      <c r="I250" s="151" t="s">
        <v>20212</v>
      </c>
      <c r="J250" s="31">
        <v>0.11509477616283861</v>
      </c>
      <c r="K250" s="504">
        <v>0.11509477616283861</v>
      </c>
      <c r="L250" s="502">
        <v>120</v>
      </c>
      <c r="M250" s="144">
        <v>0.11509477616283861</v>
      </c>
      <c r="N250" s="504">
        <v>0</v>
      </c>
      <c r="O250" s="29"/>
      <c r="P250" s="29">
        <v>0.11509477616283861</v>
      </c>
      <c r="Q250" s="144">
        <v>0</v>
      </c>
      <c r="R250" s="144">
        <v>0</v>
      </c>
      <c r="S250" s="145" t="s">
        <v>20211</v>
      </c>
      <c r="T250" s="146" t="s">
        <v>20211</v>
      </c>
      <c r="U250" s="145">
        <v>4.3845629014414715</v>
      </c>
      <c r="V250" s="505"/>
      <c r="W250" s="505" t="s">
        <v>2023</v>
      </c>
      <c r="X250" s="43"/>
      <c r="Y250" s="143">
        <v>180</v>
      </c>
      <c r="Z250" s="152">
        <v>6</v>
      </c>
      <c r="AA250" s="143" t="s">
        <v>89</v>
      </c>
      <c r="AB250" s="9">
        <v>2.5</v>
      </c>
      <c r="AC250" s="151"/>
      <c r="AD250" s="151"/>
      <c r="AE250" s="151"/>
      <c r="AF250" s="152"/>
      <c r="AG250" s="143" t="s">
        <v>20212</v>
      </c>
      <c r="AH250" s="144">
        <v>1.4673913043478259E-2</v>
      </c>
      <c r="AI250" s="144">
        <v>0.12976868920631687</v>
      </c>
      <c r="AJ250" s="144">
        <v>0.11509477616283861</v>
      </c>
      <c r="AK250" s="143">
        <v>120</v>
      </c>
      <c r="AL250" s="144">
        <v>0.11509477616283861</v>
      </c>
      <c r="AM250" s="144">
        <v>0</v>
      </c>
      <c r="AN250" s="29">
        <v>0.11509477616283861</v>
      </c>
      <c r="AO250" s="144">
        <v>-1.4673913043478259E-2</v>
      </c>
      <c r="AP250" s="144">
        <v>-1.4673913043478259E-2</v>
      </c>
      <c r="AQ250" s="153" t="s">
        <v>2217</v>
      </c>
      <c r="AR250" s="146" t="s">
        <v>2217</v>
      </c>
      <c r="AS250" s="56">
        <v>4.9435691126215957</v>
      </c>
      <c r="AT250" s="58" t="s">
        <v>504</v>
      </c>
      <c r="AU250" s="118">
        <v>1980</v>
      </c>
      <c r="AV250" s="149" t="s">
        <v>2143</v>
      </c>
      <c r="AW250" s="120">
        <v>56.100005884001497</v>
      </c>
      <c r="AX250" s="120">
        <v>33.338437811307998</v>
      </c>
    </row>
    <row r="251" spans="1:50" ht="15" customHeight="1" x14ac:dyDescent="0.25">
      <c r="A251" s="143">
        <v>181</v>
      </c>
      <c r="B251" s="143">
        <v>7</v>
      </c>
      <c r="C251" s="143" t="s">
        <v>90</v>
      </c>
      <c r="D251" s="9">
        <v>2.5</v>
      </c>
      <c r="E251" s="503"/>
      <c r="F251" s="503"/>
      <c r="G251" s="503"/>
      <c r="H251" s="501"/>
      <c r="I251" s="151" t="s">
        <v>20212</v>
      </c>
      <c r="J251" s="31">
        <v>0.49155601918682224</v>
      </c>
      <c r="K251" s="504">
        <v>0.49155601918682224</v>
      </c>
      <c r="L251" s="502">
        <v>120</v>
      </c>
      <c r="M251" s="144">
        <v>0.49155601918682224</v>
      </c>
      <c r="N251" s="504">
        <v>0</v>
      </c>
      <c r="O251" s="29"/>
      <c r="P251" s="29">
        <v>0.49155601918682224</v>
      </c>
      <c r="Q251" s="144">
        <v>0</v>
      </c>
      <c r="R251" s="144">
        <v>0</v>
      </c>
      <c r="S251" s="145" t="s">
        <v>20211</v>
      </c>
      <c r="T251" s="146" t="s">
        <v>20211</v>
      </c>
      <c r="U251" s="145">
        <v>18.72594358806942</v>
      </c>
      <c r="V251" s="505">
        <v>0.39</v>
      </c>
      <c r="W251" s="505" t="s">
        <v>2024</v>
      </c>
      <c r="X251" s="43"/>
      <c r="Y251" s="143">
        <v>181</v>
      </c>
      <c r="Z251" s="152">
        <v>7</v>
      </c>
      <c r="AA251" s="143" t="s">
        <v>90</v>
      </c>
      <c r="AB251" s="9">
        <v>2.5</v>
      </c>
      <c r="AC251" s="151"/>
      <c r="AD251" s="151"/>
      <c r="AE251" s="151"/>
      <c r="AF251" s="152"/>
      <c r="AG251" s="143" t="s">
        <v>20212</v>
      </c>
      <c r="AH251" s="144">
        <v>0</v>
      </c>
      <c r="AI251" s="144">
        <v>0.49155601918682224</v>
      </c>
      <c r="AJ251" s="144">
        <v>0.49155601918682224</v>
      </c>
      <c r="AK251" s="143">
        <v>120</v>
      </c>
      <c r="AL251" s="144">
        <v>0.49155601918682224</v>
      </c>
      <c r="AM251" s="144">
        <v>0</v>
      </c>
      <c r="AN251" s="29">
        <v>0.49155601918682224</v>
      </c>
      <c r="AO251" s="144">
        <v>0</v>
      </c>
      <c r="AP251" s="144">
        <v>0</v>
      </c>
      <c r="AQ251" s="153" t="s">
        <v>20211</v>
      </c>
      <c r="AR251" s="146" t="s">
        <v>20211</v>
      </c>
      <c r="AS251" s="56">
        <v>18.72594358806942</v>
      </c>
      <c r="AT251" s="58" t="s">
        <v>504</v>
      </c>
      <c r="AU251" s="118">
        <v>1964</v>
      </c>
      <c r="AV251" s="149" t="s">
        <v>2143</v>
      </c>
      <c r="AW251" s="120">
        <v>56.406923791126303</v>
      </c>
      <c r="AX251" s="120">
        <v>33.605148246052103</v>
      </c>
    </row>
    <row r="252" spans="1:50" ht="15" customHeight="1" x14ac:dyDescent="0.25">
      <c r="A252" s="143">
        <v>182</v>
      </c>
      <c r="B252" s="143">
        <v>8</v>
      </c>
      <c r="C252" s="143" t="s">
        <v>91</v>
      </c>
      <c r="D252" s="9">
        <v>2.5</v>
      </c>
      <c r="E252" s="503"/>
      <c r="F252" s="503"/>
      <c r="G252" s="503"/>
      <c r="H252" s="501"/>
      <c r="I252" s="151" t="s">
        <v>20212</v>
      </c>
      <c r="J252" s="31">
        <v>8.7918898992196293E-2</v>
      </c>
      <c r="K252" s="504">
        <v>8.7918898992196293E-2</v>
      </c>
      <c r="L252" s="502">
        <v>120</v>
      </c>
      <c r="M252" s="144">
        <v>8.7918898992196293E-2</v>
      </c>
      <c r="N252" s="504">
        <v>0</v>
      </c>
      <c r="O252" s="29"/>
      <c r="P252" s="29">
        <v>8.7918898992196293E-2</v>
      </c>
      <c r="Q252" s="144">
        <v>0</v>
      </c>
      <c r="R252" s="144">
        <v>0</v>
      </c>
      <c r="S252" s="145" t="s">
        <v>20211</v>
      </c>
      <c r="T252" s="146" t="s">
        <v>20211</v>
      </c>
      <c r="U252" s="145">
        <v>3.3492913901789065</v>
      </c>
      <c r="V252" s="505"/>
      <c r="W252" s="505" t="s">
        <v>2023</v>
      </c>
      <c r="X252" s="43"/>
      <c r="Y252" s="143">
        <v>182</v>
      </c>
      <c r="Z252" s="152">
        <v>8</v>
      </c>
      <c r="AA252" s="143" t="s">
        <v>91</v>
      </c>
      <c r="AB252" s="9">
        <v>2.5</v>
      </c>
      <c r="AC252" s="151"/>
      <c r="AD252" s="151"/>
      <c r="AE252" s="151"/>
      <c r="AF252" s="152"/>
      <c r="AG252" s="143" t="s">
        <v>20212</v>
      </c>
      <c r="AH252" s="144">
        <v>0</v>
      </c>
      <c r="AI252" s="144">
        <v>8.7918898992196293E-2</v>
      </c>
      <c r="AJ252" s="144">
        <v>8.7918898992196293E-2</v>
      </c>
      <c r="AK252" s="143">
        <v>120</v>
      </c>
      <c r="AL252" s="144">
        <v>8.7918898992196293E-2</v>
      </c>
      <c r="AM252" s="144">
        <v>0</v>
      </c>
      <c r="AN252" s="29">
        <v>8.7918898992196293E-2</v>
      </c>
      <c r="AO252" s="144">
        <v>0</v>
      </c>
      <c r="AP252" s="144">
        <v>0</v>
      </c>
      <c r="AQ252" s="153" t="s">
        <v>20211</v>
      </c>
      <c r="AR252" s="146" t="s">
        <v>20211</v>
      </c>
      <c r="AS252" s="56">
        <v>3.3492913901789065</v>
      </c>
      <c r="AT252" s="58" t="s">
        <v>504</v>
      </c>
      <c r="AU252" s="118">
        <v>1982</v>
      </c>
      <c r="AV252" s="149" t="s">
        <v>2143</v>
      </c>
      <c r="AW252" s="120">
        <v>56.341619562858902</v>
      </c>
      <c r="AX252" s="120">
        <v>33.490870341268398</v>
      </c>
    </row>
    <row r="253" spans="1:50" ht="15" customHeight="1" x14ac:dyDescent="0.25">
      <c r="A253" s="143">
        <v>183</v>
      </c>
      <c r="B253" s="143">
        <v>9</v>
      </c>
      <c r="C253" s="143" t="s">
        <v>92</v>
      </c>
      <c r="D253" s="9">
        <v>1</v>
      </c>
      <c r="E253" s="503"/>
      <c r="F253" s="503"/>
      <c r="G253" s="503"/>
      <c r="H253" s="501"/>
      <c r="I253" s="151" t="s">
        <v>2043</v>
      </c>
      <c r="J253" s="31">
        <v>0.17095341470729589</v>
      </c>
      <c r="K253" s="504">
        <v>0.17095341470729589</v>
      </c>
      <c r="L253" s="502">
        <v>120</v>
      </c>
      <c r="M253" s="144">
        <v>0.17095341470729589</v>
      </c>
      <c r="N253" s="504">
        <v>0</v>
      </c>
      <c r="O253" s="29"/>
      <c r="P253" s="29">
        <v>0.17095341470729589</v>
      </c>
      <c r="Q253" s="144">
        <v>0</v>
      </c>
      <c r="R253" s="144">
        <v>0</v>
      </c>
      <c r="S253" s="145" t="s">
        <v>20211</v>
      </c>
      <c r="T253" s="146" t="s">
        <v>20211</v>
      </c>
      <c r="U253" s="145">
        <v>16.281277591171037</v>
      </c>
      <c r="V253" s="505">
        <v>0.75</v>
      </c>
      <c r="W253" s="505" t="s">
        <v>2024</v>
      </c>
      <c r="X253" s="43"/>
      <c r="Y253" s="143">
        <v>183</v>
      </c>
      <c r="Z253" s="152">
        <v>9</v>
      </c>
      <c r="AA253" s="143" t="s">
        <v>92</v>
      </c>
      <c r="AB253" s="9">
        <v>1</v>
      </c>
      <c r="AC253" s="151"/>
      <c r="AD253" s="151"/>
      <c r="AE253" s="151"/>
      <c r="AF253" s="152"/>
      <c r="AG253" s="143" t="s">
        <v>2043</v>
      </c>
      <c r="AH253" s="144">
        <v>0</v>
      </c>
      <c r="AI253" s="144">
        <v>0.17095341470729589</v>
      </c>
      <c r="AJ253" s="144">
        <v>0.17095341470729589</v>
      </c>
      <c r="AK253" s="143">
        <v>120</v>
      </c>
      <c r="AL253" s="144">
        <v>0.17095341470729589</v>
      </c>
      <c r="AM253" s="144">
        <v>0</v>
      </c>
      <c r="AN253" s="29">
        <v>0.17095341470729589</v>
      </c>
      <c r="AO253" s="144">
        <v>0</v>
      </c>
      <c r="AP253" s="144">
        <v>0</v>
      </c>
      <c r="AQ253" s="153" t="s">
        <v>20211</v>
      </c>
      <c r="AR253" s="146" t="s">
        <v>20211</v>
      </c>
      <c r="AS253" s="56">
        <v>16.281277591171037</v>
      </c>
      <c r="AT253" s="58" t="s">
        <v>504</v>
      </c>
      <c r="AU253" s="118">
        <v>1988</v>
      </c>
      <c r="AV253" s="149" t="s">
        <v>2143</v>
      </c>
      <c r="AW253" s="120">
        <v>56.413413259235703</v>
      </c>
      <c r="AX253" s="120">
        <v>33.307302681525599</v>
      </c>
    </row>
    <row r="254" spans="1:50" ht="15" customHeight="1" x14ac:dyDescent="0.25">
      <c r="A254" s="143">
        <v>184</v>
      </c>
      <c r="B254" s="143">
        <v>10</v>
      </c>
      <c r="C254" s="143" t="s">
        <v>93</v>
      </c>
      <c r="D254" s="9">
        <v>2.5</v>
      </c>
      <c r="E254" s="503"/>
      <c r="F254" s="503"/>
      <c r="G254" s="503"/>
      <c r="H254" s="501"/>
      <c r="I254" s="151" t="s">
        <v>20212</v>
      </c>
      <c r="J254" s="31">
        <v>0.49896919664400469</v>
      </c>
      <c r="K254" s="504">
        <v>0.49896919664400469</v>
      </c>
      <c r="L254" s="502">
        <v>120</v>
      </c>
      <c r="M254" s="144">
        <v>0.49896919664400469</v>
      </c>
      <c r="N254" s="504">
        <v>0</v>
      </c>
      <c r="O254" s="29"/>
      <c r="P254" s="29">
        <v>0.49896919664400469</v>
      </c>
      <c r="Q254" s="144">
        <v>0</v>
      </c>
      <c r="R254" s="144">
        <v>0</v>
      </c>
      <c r="S254" s="145" t="s">
        <v>20211</v>
      </c>
      <c r="T254" s="146" t="s">
        <v>20211</v>
      </c>
      <c r="U254" s="145">
        <v>19.008350348343036</v>
      </c>
      <c r="V254" s="505"/>
      <c r="W254" s="505" t="s">
        <v>2023</v>
      </c>
      <c r="X254" s="43"/>
      <c r="Y254" s="143">
        <v>184</v>
      </c>
      <c r="Z254" s="152">
        <v>10</v>
      </c>
      <c r="AA254" s="143" t="s">
        <v>93</v>
      </c>
      <c r="AB254" s="9">
        <v>2.5</v>
      </c>
      <c r="AC254" s="151"/>
      <c r="AD254" s="151"/>
      <c r="AE254" s="151"/>
      <c r="AF254" s="152"/>
      <c r="AG254" s="143" t="s">
        <v>20212</v>
      </c>
      <c r="AH254" s="144">
        <v>0.2760652173913043</v>
      </c>
      <c r="AI254" s="144">
        <v>0.77503441403530893</v>
      </c>
      <c r="AJ254" s="144">
        <v>0.49896919664400469</v>
      </c>
      <c r="AK254" s="143">
        <v>120</v>
      </c>
      <c r="AL254" s="144">
        <v>0.49896919664400469</v>
      </c>
      <c r="AM254" s="144">
        <v>0</v>
      </c>
      <c r="AN254" s="29">
        <v>0.49896919664400469</v>
      </c>
      <c r="AO254" s="144">
        <v>-0.27606521739130424</v>
      </c>
      <c r="AP254" s="144">
        <v>-0.27606521739130424</v>
      </c>
      <c r="AQ254" s="153" t="s">
        <v>2217</v>
      </c>
      <c r="AR254" s="146" t="s">
        <v>2217</v>
      </c>
      <c r="AS254" s="56">
        <v>29.52512053467844</v>
      </c>
      <c r="AT254" s="58" t="s">
        <v>504</v>
      </c>
      <c r="AU254" s="118">
        <v>1981</v>
      </c>
      <c r="AV254" s="149" t="s">
        <v>2143</v>
      </c>
      <c r="AW254" s="120">
        <v>56.383859066518198</v>
      </c>
      <c r="AX254" s="120">
        <v>34.902575835611401</v>
      </c>
    </row>
    <row r="255" spans="1:50" ht="15" customHeight="1" x14ac:dyDescent="0.25">
      <c r="A255" s="143">
        <v>185</v>
      </c>
      <c r="B255" s="143">
        <v>11</v>
      </c>
      <c r="C255" s="143" t="s">
        <v>94</v>
      </c>
      <c r="D255" s="9">
        <v>1.6</v>
      </c>
      <c r="E255" s="503"/>
      <c r="F255" s="503"/>
      <c r="G255" s="503"/>
      <c r="H255" s="501"/>
      <c r="I255" s="151" t="s">
        <v>20210</v>
      </c>
      <c r="J255" s="31">
        <v>0.36386923365103402</v>
      </c>
      <c r="K255" s="504">
        <v>0</v>
      </c>
      <c r="L255" s="502"/>
      <c r="M255" s="144">
        <v>0</v>
      </c>
      <c r="N255" s="504">
        <v>0</v>
      </c>
      <c r="O255" s="29"/>
      <c r="P255" s="29">
        <v>0</v>
      </c>
      <c r="Q255" s="144">
        <v>-0.36386923365103402</v>
      </c>
      <c r="R255" s="144">
        <v>-0.36386923365103402</v>
      </c>
      <c r="S255" s="145" t="s">
        <v>2217</v>
      </c>
      <c r="T255" s="146" t="s">
        <v>2217</v>
      </c>
      <c r="U255" s="145">
        <v>21.658882955418687</v>
      </c>
      <c r="V255" s="505"/>
      <c r="W255" s="505" t="s">
        <v>2023</v>
      </c>
      <c r="X255" s="43"/>
      <c r="Y255" s="143">
        <v>185</v>
      </c>
      <c r="Z255" s="152">
        <v>11</v>
      </c>
      <c r="AA255" s="143" t="s">
        <v>94</v>
      </c>
      <c r="AB255" s="9">
        <v>1.6</v>
      </c>
      <c r="AC255" s="151"/>
      <c r="AD255" s="151"/>
      <c r="AE255" s="151"/>
      <c r="AF255" s="152"/>
      <c r="AG255" s="143" t="s">
        <v>20210</v>
      </c>
      <c r="AH255" s="144">
        <v>8.8043478260869563E-3</v>
      </c>
      <c r="AI255" s="144">
        <v>0.37267358147712099</v>
      </c>
      <c r="AJ255" s="144">
        <v>0</v>
      </c>
      <c r="AK255" s="143">
        <v>0</v>
      </c>
      <c r="AL255" s="144">
        <v>0</v>
      </c>
      <c r="AM255" s="144">
        <v>0</v>
      </c>
      <c r="AN255" s="29">
        <v>0</v>
      </c>
      <c r="AO255" s="144">
        <v>-0.37267358147712099</v>
      </c>
      <c r="AP255" s="144">
        <v>-0.37267358147712099</v>
      </c>
      <c r="AQ255" s="153" t="s">
        <v>2217</v>
      </c>
      <c r="AR255" s="146" t="s">
        <v>2217</v>
      </c>
      <c r="AS255" s="56">
        <v>22.182951278400058</v>
      </c>
      <c r="AT255" s="58" t="s">
        <v>504</v>
      </c>
      <c r="AU255" s="118">
        <v>1979</v>
      </c>
      <c r="AV255" s="149" t="s">
        <v>2143</v>
      </c>
      <c r="AW255" s="120">
        <v>56.674827484590097</v>
      </c>
      <c r="AX255" s="120">
        <v>34.713152769420098</v>
      </c>
    </row>
    <row r="256" spans="1:50" ht="15" customHeight="1" x14ac:dyDescent="0.25">
      <c r="A256" s="143">
        <v>186</v>
      </c>
      <c r="B256" s="143">
        <v>12</v>
      </c>
      <c r="C256" s="143" t="s">
        <v>95</v>
      </c>
      <c r="D256" s="9">
        <v>10</v>
      </c>
      <c r="E256" s="503" t="s">
        <v>522</v>
      </c>
      <c r="F256" s="503">
        <v>10</v>
      </c>
      <c r="G256" s="503"/>
      <c r="H256" s="501"/>
      <c r="I256" s="151" t="s">
        <v>20227</v>
      </c>
      <c r="J256" s="31">
        <v>10.19</v>
      </c>
      <c r="K256" s="504">
        <v>2.2603488</v>
      </c>
      <c r="L256" s="502">
        <v>240</v>
      </c>
      <c r="M256" s="144">
        <v>7.9296511999999995</v>
      </c>
      <c r="N256" s="504">
        <v>0</v>
      </c>
      <c r="O256" s="29"/>
      <c r="P256" s="29">
        <v>10.5</v>
      </c>
      <c r="Q256" s="144">
        <v>2.5703488000000005</v>
      </c>
      <c r="R256" s="144">
        <v>2.5703488000000005</v>
      </c>
      <c r="S256" s="145" t="s">
        <v>20211</v>
      </c>
      <c r="T256" s="146" t="s">
        <v>20211</v>
      </c>
      <c r="U256" s="145">
        <v>97.047619047619051</v>
      </c>
      <c r="V256" s="505">
        <v>0.3468</v>
      </c>
      <c r="W256" s="505" t="s">
        <v>2024</v>
      </c>
      <c r="X256" s="43"/>
      <c r="Y256" s="143">
        <v>186</v>
      </c>
      <c r="Z256" s="152">
        <v>12</v>
      </c>
      <c r="AA256" s="143" t="s">
        <v>95</v>
      </c>
      <c r="AB256" s="9">
        <v>10</v>
      </c>
      <c r="AC256" s="151" t="s">
        <v>522</v>
      </c>
      <c r="AD256" s="151">
        <v>10</v>
      </c>
      <c r="AE256" s="151"/>
      <c r="AF256" s="152"/>
      <c r="AG256" s="143" t="s">
        <v>20227</v>
      </c>
      <c r="AH256" s="144">
        <v>1.5312391304347825</v>
      </c>
      <c r="AI256" s="144">
        <v>11.721239130434782</v>
      </c>
      <c r="AJ256" s="144">
        <v>2.2603488</v>
      </c>
      <c r="AK256" s="143">
        <v>240</v>
      </c>
      <c r="AL256" s="144">
        <v>9.4608903304347827</v>
      </c>
      <c r="AM256" s="144">
        <v>0</v>
      </c>
      <c r="AN256" s="29">
        <v>10.5</v>
      </c>
      <c r="AO256" s="144">
        <v>1.0391096695652173</v>
      </c>
      <c r="AP256" s="144">
        <v>1.0391096695652173</v>
      </c>
      <c r="AQ256" s="153" t="s">
        <v>20211</v>
      </c>
      <c r="AR256" s="146" t="s">
        <v>20211</v>
      </c>
      <c r="AS256" s="56">
        <v>111.63084886128365</v>
      </c>
      <c r="AT256" s="58" t="s">
        <v>504</v>
      </c>
      <c r="AU256" s="118">
        <v>1976</v>
      </c>
      <c r="AV256" s="149" t="s">
        <v>2143</v>
      </c>
      <c r="AW256" s="120">
        <v>56.266524758189703</v>
      </c>
      <c r="AX256" s="120">
        <v>34.270968538802499</v>
      </c>
    </row>
    <row r="257" spans="1:50" ht="15" customHeight="1" x14ac:dyDescent="0.25">
      <c r="A257" s="143">
        <v>187</v>
      </c>
      <c r="B257" s="143">
        <v>13</v>
      </c>
      <c r="C257" s="143" t="s">
        <v>96</v>
      </c>
      <c r="D257" s="9">
        <v>2.5</v>
      </c>
      <c r="E257" s="503" t="s">
        <v>522</v>
      </c>
      <c r="F257" s="503">
        <v>2.5</v>
      </c>
      <c r="G257" s="503"/>
      <c r="H257" s="501"/>
      <c r="I257" s="151" t="s">
        <v>20222</v>
      </c>
      <c r="J257" s="31">
        <v>0.35</v>
      </c>
      <c r="K257" s="504">
        <v>0</v>
      </c>
      <c r="L257" s="502"/>
      <c r="M257" s="144">
        <v>0.35</v>
      </c>
      <c r="N257" s="504">
        <v>0</v>
      </c>
      <c r="O257" s="29"/>
      <c r="P257" s="29">
        <v>2.625</v>
      </c>
      <c r="Q257" s="144">
        <v>2.2749999999999999</v>
      </c>
      <c r="R257" s="144">
        <v>2.2749999999999999</v>
      </c>
      <c r="S257" s="145" t="s">
        <v>20211</v>
      </c>
      <c r="T257" s="146" t="s">
        <v>20211</v>
      </c>
      <c r="U257" s="145">
        <v>13.333333333333334</v>
      </c>
      <c r="V257" s="505"/>
      <c r="W257" s="505" t="s">
        <v>2023</v>
      </c>
      <c r="X257" s="43"/>
      <c r="Y257" s="143">
        <v>187</v>
      </c>
      <c r="Z257" s="152">
        <v>13</v>
      </c>
      <c r="AA257" s="143" t="s">
        <v>96</v>
      </c>
      <c r="AB257" s="9">
        <v>2.5</v>
      </c>
      <c r="AC257" s="151" t="s">
        <v>522</v>
      </c>
      <c r="AD257" s="151">
        <v>2.5</v>
      </c>
      <c r="AE257" s="151"/>
      <c r="AF257" s="152"/>
      <c r="AG257" s="143" t="s">
        <v>20222</v>
      </c>
      <c r="AH257" s="144">
        <v>3.0521739130434784E-2</v>
      </c>
      <c r="AI257" s="144">
        <v>0.38052173913043474</v>
      </c>
      <c r="AJ257" s="144">
        <v>0</v>
      </c>
      <c r="AK257" s="143">
        <v>0</v>
      </c>
      <c r="AL257" s="144">
        <v>0.38052173913043474</v>
      </c>
      <c r="AM257" s="144">
        <v>0</v>
      </c>
      <c r="AN257" s="29">
        <v>2.625</v>
      </c>
      <c r="AO257" s="144">
        <v>2.244478260869565</v>
      </c>
      <c r="AP257" s="144">
        <v>2.244478260869565</v>
      </c>
      <c r="AQ257" s="153" t="s">
        <v>20211</v>
      </c>
      <c r="AR257" s="146" t="s">
        <v>20211</v>
      </c>
      <c r="AS257" s="56">
        <v>14.49606625258799</v>
      </c>
      <c r="AT257" s="58" t="s">
        <v>504</v>
      </c>
      <c r="AU257" s="118">
        <v>1972</v>
      </c>
      <c r="AV257" s="149" t="s">
        <v>2143</v>
      </c>
      <c r="AW257" s="120">
        <v>56.0238544268759</v>
      </c>
      <c r="AX257" s="120">
        <v>34.311537677285699</v>
      </c>
    </row>
    <row r="258" spans="1:50" ht="15" customHeight="1" x14ac:dyDescent="0.25">
      <c r="A258" s="143">
        <v>188</v>
      </c>
      <c r="B258" s="143">
        <v>14</v>
      </c>
      <c r="C258" s="143" t="s">
        <v>97</v>
      </c>
      <c r="D258" s="9">
        <v>2.5</v>
      </c>
      <c r="E258" s="503" t="s">
        <v>522</v>
      </c>
      <c r="F258" s="503">
        <v>3.2</v>
      </c>
      <c r="G258" s="503"/>
      <c r="H258" s="501"/>
      <c r="I258" s="151" t="s">
        <v>20250</v>
      </c>
      <c r="J258" s="31">
        <v>1.19</v>
      </c>
      <c r="K258" s="504">
        <v>0</v>
      </c>
      <c r="L258" s="502"/>
      <c r="M258" s="144">
        <v>1.19</v>
      </c>
      <c r="N258" s="504">
        <v>0</v>
      </c>
      <c r="O258" s="29"/>
      <c r="P258" s="29">
        <v>2.625</v>
      </c>
      <c r="Q258" s="144">
        <v>1.4350000000000001</v>
      </c>
      <c r="R258" s="144">
        <v>1.4350000000000001</v>
      </c>
      <c r="S258" s="145" t="s">
        <v>20211</v>
      </c>
      <c r="T258" s="146" t="s">
        <v>20211</v>
      </c>
      <c r="U258" s="145">
        <v>45.333333333333336</v>
      </c>
      <c r="V258" s="505"/>
      <c r="W258" s="505" t="s">
        <v>2023</v>
      </c>
      <c r="X258" s="43"/>
      <c r="Y258" s="143">
        <v>188</v>
      </c>
      <c r="Z258" s="152">
        <v>14</v>
      </c>
      <c r="AA258" s="143" t="s">
        <v>97</v>
      </c>
      <c r="AB258" s="9">
        <v>2.5</v>
      </c>
      <c r="AC258" s="151" t="s">
        <v>522</v>
      </c>
      <c r="AD258" s="151">
        <v>3.2</v>
      </c>
      <c r="AE258" s="151"/>
      <c r="AF258" s="152"/>
      <c r="AG258" s="143" t="s">
        <v>20250</v>
      </c>
      <c r="AH258" s="144">
        <v>0.33652173913043482</v>
      </c>
      <c r="AI258" s="144">
        <v>1.5265217391304349</v>
      </c>
      <c r="AJ258" s="144">
        <v>0</v>
      </c>
      <c r="AK258" s="143">
        <v>0</v>
      </c>
      <c r="AL258" s="144">
        <v>1.5265217391304349</v>
      </c>
      <c r="AM258" s="144">
        <v>0</v>
      </c>
      <c r="AN258" s="29">
        <v>2.625</v>
      </c>
      <c r="AO258" s="144">
        <v>1.0984782608695651</v>
      </c>
      <c r="AP258" s="144">
        <v>1.0984782608695651</v>
      </c>
      <c r="AQ258" s="153" t="s">
        <v>20211</v>
      </c>
      <c r="AR258" s="146" t="s">
        <v>20211</v>
      </c>
      <c r="AS258" s="56">
        <v>58.153209109730859</v>
      </c>
      <c r="AT258" s="58" t="s">
        <v>504</v>
      </c>
      <c r="AU258" s="118">
        <v>1960</v>
      </c>
      <c r="AV258" s="149" t="s">
        <v>2143</v>
      </c>
      <c r="AW258" s="120">
        <v>56.465882846709498</v>
      </c>
      <c r="AX258" s="120">
        <v>34.035018695647601</v>
      </c>
    </row>
    <row r="259" spans="1:50" ht="15" customHeight="1" x14ac:dyDescent="0.25">
      <c r="A259" s="143">
        <v>189</v>
      </c>
      <c r="B259" s="143">
        <v>15</v>
      </c>
      <c r="C259" s="143" t="s">
        <v>98</v>
      </c>
      <c r="D259" s="9">
        <v>4</v>
      </c>
      <c r="E259" s="503" t="s">
        <v>522</v>
      </c>
      <c r="F259" s="503">
        <v>4</v>
      </c>
      <c r="G259" s="503"/>
      <c r="H259" s="501"/>
      <c r="I259" s="151" t="s">
        <v>20235</v>
      </c>
      <c r="J259" s="31">
        <v>1.1299999999999999</v>
      </c>
      <c r="K259" s="504">
        <v>1.1299999999999999</v>
      </c>
      <c r="L259" s="502">
        <v>180</v>
      </c>
      <c r="M259" s="144">
        <v>0</v>
      </c>
      <c r="N259" s="504">
        <v>0</v>
      </c>
      <c r="O259" s="29"/>
      <c r="P259" s="29">
        <v>4.2</v>
      </c>
      <c r="Q259" s="144">
        <v>4.2</v>
      </c>
      <c r="R259" s="144">
        <v>4.2</v>
      </c>
      <c r="S259" s="145" t="s">
        <v>20211</v>
      </c>
      <c r="T259" s="146" t="s">
        <v>20211</v>
      </c>
      <c r="U259" s="145">
        <v>26.904761904761902</v>
      </c>
      <c r="V259" s="505"/>
      <c r="W259" s="505" t="s">
        <v>2023</v>
      </c>
      <c r="X259" s="43"/>
      <c r="Y259" s="143">
        <v>189</v>
      </c>
      <c r="Z259" s="152">
        <v>15</v>
      </c>
      <c r="AA259" s="143" t="s">
        <v>98</v>
      </c>
      <c r="AB259" s="9">
        <v>4</v>
      </c>
      <c r="AC259" s="151" t="s">
        <v>522</v>
      </c>
      <c r="AD259" s="151">
        <v>4</v>
      </c>
      <c r="AE259" s="151"/>
      <c r="AF259" s="152"/>
      <c r="AG259" s="143" t="s">
        <v>20235</v>
      </c>
      <c r="AH259" s="144">
        <v>0.24593478260869564</v>
      </c>
      <c r="AI259" s="144">
        <v>1.3759347826086956</v>
      </c>
      <c r="AJ259" s="144">
        <v>1.1299999999999999</v>
      </c>
      <c r="AK259" s="143">
        <v>180</v>
      </c>
      <c r="AL259" s="144">
        <v>0.24593478260869572</v>
      </c>
      <c r="AM259" s="144">
        <v>0</v>
      </c>
      <c r="AN259" s="29">
        <v>4.2</v>
      </c>
      <c r="AO259" s="144">
        <v>3.9540652173913045</v>
      </c>
      <c r="AP259" s="144">
        <v>3.9540652173913045</v>
      </c>
      <c r="AQ259" s="153" t="s">
        <v>20211</v>
      </c>
      <c r="AR259" s="146" t="s">
        <v>20211</v>
      </c>
      <c r="AS259" s="56">
        <v>32.760351966873706</v>
      </c>
      <c r="AT259" s="58" t="s">
        <v>504</v>
      </c>
      <c r="AU259" s="118">
        <v>1973</v>
      </c>
      <c r="AV259" s="149" t="s">
        <v>2143</v>
      </c>
      <c r="AW259" s="120">
        <v>56.265401748841903</v>
      </c>
      <c r="AX259" s="120">
        <v>34.4570924679253</v>
      </c>
    </row>
    <row r="260" spans="1:50" ht="15" customHeight="1" x14ac:dyDescent="0.25">
      <c r="A260" s="875">
        <v>190</v>
      </c>
      <c r="B260" s="875">
        <v>16</v>
      </c>
      <c r="C260" s="143" t="s">
        <v>2016</v>
      </c>
      <c r="D260" s="9">
        <v>25</v>
      </c>
      <c r="E260" s="503" t="s">
        <v>522</v>
      </c>
      <c r="F260" s="503">
        <v>25</v>
      </c>
      <c r="G260" s="503"/>
      <c r="H260" s="501"/>
      <c r="I260" s="151" t="s">
        <v>20226</v>
      </c>
      <c r="J260" s="31">
        <v>14.600000000000001</v>
      </c>
      <c r="K260" s="33">
        <v>5.2257616000003146</v>
      </c>
      <c r="L260" s="3">
        <v>120</v>
      </c>
      <c r="M260" s="144">
        <v>9.3742383999996868</v>
      </c>
      <c r="N260" s="504">
        <v>0</v>
      </c>
      <c r="O260" s="29"/>
      <c r="P260" s="29">
        <v>26.25</v>
      </c>
      <c r="Q260" s="144">
        <v>16.875761600000313</v>
      </c>
      <c r="R260" s="902">
        <v>0</v>
      </c>
      <c r="S260" s="902" t="s">
        <v>20211</v>
      </c>
      <c r="T260" s="146" t="s">
        <v>20211</v>
      </c>
      <c r="U260" s="878">
        <v>55.619047619047628</v>
      </c>
      <c r="V260" s="878">
        <v>0.39879999999999999</v>
      </c>
      <c r="W260" s="878" t="s">
        <v>2024</v>
      </c>
      <c r="X260" s="43"/>
      <c r="Y260" s="875">
        <v>190</v>
      </c>
      <c r="Z260" s="874">
        <v>16</v>
      </c>
      <c r="AA260" s="143" t="s">
        <v>2016</v>
      </c>
      <c r="AB260" s="9">
        <v>25</v>
      </c>
      <c r="AC260" s="151" t="s">
        <v>522</v>
      </c>
      <c r="AD260" s="151">
        <v>25</v>
      </c>
      <c r="AE260" s="151"/>
      <c r="AF260" s="152"/>
      <c r="AG260" s="143" t="s">
        <v>20226</v>
      </c>
      <c r="AH260" s="144">
        <v>6.1154039270687228</v>
      </c>
      <c r="AI260" s="144">
        <v>20.715403927068724</v>
      </c>
      <c r="AJ260" s="144">
        <v>5.2257616000003146</v>
      </c>
      <c r="AK260" s="143">
        <v>120</v>
      </c>
      <c r="AL260" s="144">
        <v>15.48964232706841</v>
      </c>
      <c r="AM260" s="144">
        <v>0</v>
      </c>
      <c r="AN260" s="29">
        <v>26.25</v>
      </c>
      <c r="AO260" s="144">
        <v>10.76035767293159</v>
      </c>
      <c r="AP260" s="902">
        <v>10.76035767293159</v>
      </c>
      <c r="AQ260" s="902" t="s">
        <v>20211</v>
      </c>
      <c r="AR260" s="146" t="s">
        <v>20211</v>
      </c>
      <c r="AS260" s="56">
        <v>78.915824484071322</v>
      </c>
      <c r="AT260" s="58" t="s">
        <v>504</v>
      </c>
      <c r="AU260" s="118">
        <v>1975</v>
      </c>
      <c r="AV260" s="149" t="s">
        <v>2143</v>
      </c>
      <c r="AW260" s="120">
        <v>56.172469954641201</v>
      </c>
      <c r="AX260" s="120">
        <v>34.5756604961677</v>
      </c>
    </row>
    <row r="261" spans="1:50" ht="15" customHeight="1" x14ac:dyDescent="0.25">
      <c r="A261" s="875"/>
      <c r="B261" s="875"/>
      <c r="C261" s="1" t="s">
        <v>1180</v>
      </c>
      <c r="D261" s="9">
        <v>25</v>
      </c>
      <c r="E261" s="503" t="s">
        <v>522</v>
      </c>
      <c r="F261" s="503">
        <v>25</v>
      </c>
      <c r="G261" s="503"/>
      <c r="H261" s="501"/>
      <c r="I261" s="151" t="s">
        <v>20226</v>
      </c>
      <c r="J261" s="31">
        <v>5.05</v>
      </c>
      <c r="K261" s="33">
        <v>3.79</v>
      </c>
      <c r="L261" s="3">
        <v>60</v>
      </c>
      <c r="M261" s="144">
        <v>1.2599999999999998</v>
      </c>
      <c r="N261" s="504">
        <v>0</v>
      </c>
      <c r="O261" s="29"/>
      <c r="P261" s="29">
        <v>26.25</v>
      </c>
      <c r="Q261" s="144">
        <v>0</v>
      </c>
      <c r="R261" s="903"/>
      <c r="S261" s="903"/>
      <c r="T261" s="146" t="s">
        <v>20211</v>
      </c>
      <c r="U261" s="878"/>
      <c r="V261" s="878"/>
      <c r="W261" s="878" t="s">
        <v>2024</v>
      </c>
      <c r="X261" s="43"/>
      <c r="Y261" s="875"/>
      <c r="Z261" s="874"/>
      <c r="AA261" s="1" t="s">
        <v>1180</v>
      </c>
      <c r="AB261" s="9">
        <v>25</v>
      </c>
      <c r="AC261" s="151" t="s">
        <v>522</v>
      </c>
      <c r="AD261" s="151">
        <v>25</v>
      </c>
      <c r="AE261" s="151"/>
      <c r="AF261" s="152"/>
      <c r="AG261" s="143" t="s">
        <v>20226</v>
      </c>
      <c r="AH261" s="144">
        <v>3.3645652173913039</v>
      </c>
      <c r="AI261" s="150">
        <v>0</v>
      </c>
      <c r="AJ261" s="144">
        <v>3.79</v>
      </c>
      <c r="AK261" s="143">
        <v>60</v>
      </c>
      <c r="AL261" s="144">
        <v>-3.79</v>
      </c>
      <c r="AM261" s="144">
        <v>0</v>
      </c>
      <c r="AN261" s="29">
        <v>26.25</v>
      </c>
      <c r="AO261" s="144">
        <v>0</v>
      </c>
      <c r="AP261" s="903"/>
      <c r="AQ261" s="903"/>
      <c r="AR261" s="146" t="s">
        <v>20211</v>
      </c>
      <c r="AS261" s="56"/>
      <c r="AT261" s="58" t="s">
        <v>504</v>
      </c>
      <c r="AU261" s="118">
        <v>1975</v>
      </c>
      <c r="AV261" s="149" t="s">
        <v>2143</v>
      </c>
      <c r="AW261" s="120">
        <v>56.172469954641201</v>
      </c>
      <c r="AX261" s="120">
        <v>34.5756604961677</v>
      </c>
    </row>
    <row r="262" spans="1:50" ht="15" customHeight="1" x14ac:dyDescent="0.25">
      <c r="A262" s="875"/>
      <c r="B262" s="875"/>
      <c r="C262" s="1" t="s">
        <v>1141</v>
      </c>
      <c r="D262" s="9">
        <v>25</v>
      </c>
      <c r="E262" s="503" t="s">
        <v>522</v>
      </c>
      <c r="F262" s="503">
        <v>25</v>
      </c>
      <c r="G262" s="503"/>
      <c r="H262" s="501"/>
      <c r="I262" s="151" t="s">
        <v>20226</v>
      </c>
      <c r="J262" s="31">
        <v>9.5500000000000007</v>
      </c>
      <c r="K262" s="33">
        <v>1.4357616000003142</v>
      </c>
      <c r="L262" s="3">
        <v>120</v>
      </c>
      <c r="M262" s="144">
        <v>8.114238399999687</v>
      </c>
      <c r="N262" s="504">
        <v>0</v>
      </c>
      <c r="O262" s="29"/>
      <c r="P262" s="29">
        <v>26.25</v>
      </c>
      <c r="Q262" s="144">
        <v>0</v>
      </c>
      <c r="R262" s="904"/>
      <c r="S262" s="904"/>
      <c r="T262" s="146" t="s">
        <v>20211</v>
      </c>
      <c r="U262" s="878"/>
      <c r="V262" s="878"/>
      <c r="W262" s="878" t="s">
        <v>2024</v>
      </c>
      <c r="X262" s="43"/>
      <c r="Y262" s="875"/>
      <c r="Z262" s="874"/>
      <c r="AA262" s="1" t="s">
        <v>1141</v>
      </c>
      <c r="AB262" s="9">
        <v>25</v>
      </c>
      <c r="AC262" s="151" t="s">
        <v>522</v>
      </c>
      <c r="AD262" s="151">
        <v>25</v>
      </c>
      <c r="AE262" s="151"/>
      <c r="AF262" s="152"/>
      <c r="AG262" s="143" t="s">
        <v>20226</v>
      </c>
      <c r="AH262" s="144">
        <v>2.7508387096774189</v>
      </c>
      <c r="AI262" s="31">
        <v>12.30083870967742</v>
      </c>
      <c r="AJ262" s="144">
        <v>1.4357616000003142</v>
      </c>
      <c r="AK262" s="143">
        <v>120</v>
      </c>
      <c r="AL262" s="144">
        <v>10.865077109677106</v>
      </c>
      <c r="AM262" s="144">
        <v>0</v>
      </c>
      <c r="AN262" s="29">
        <v>26.25</v>
      </c>
      <c r="AO262" s="144">
        <v>15.384922890322894</v>
      </c>
      <c r="AP262" s="904"/>
      <c r="AQ262" s="904"/>
      <c r="AR262" s="146" t="s">
        <v>20211</v>
      </c>
      <c r="AS262" s="56"/>
      <c r="AT262" s="58" t="s">
        <v>504</v>
      </c>
      <c r="AU262" s="118">
        <v>1975</v>
      </c>
      <c r="AV262" s="149" t="s">
        <v>2143</v>
      </c>
      <c r="AW262" s="120">
        <v>56.172469954641201</v>
      </c>
      <c r="AX262" s="120">
        <v>34.5756604961677</v>
      </c>
    </row>
    <row r="263" spans="1:50" ht="15" customHeight="1" x14ac:dyDescent="0.25">
      <c r="A263" s="143">
        <v>191</v>
      </c>
      <c r="B263" s="143">
        <v>17</v>
      </c>
      <c r="C263" s="143" t="s">
        <v>99</v>
      </c>
      <c r="D263" s="9">
        <v>5.6</v>
      </c>
      <c r="E263" s="503" t="s">
        <v>522</v>
      </c>
      <c r="F263" s="503">
        <v>5.6</v>
      </c>
      <c r="G263" s="503"/>
      <c r="H263" s="501"/>
      <c r="I263" s="151" t="s">
        <v>20248</v>
      </c>
      <c r="J263" s="31">
        <v>3.79</v>
      </c>
      <c r="K263" s="504">
        <v>0.74658150000083301</v>
      </c>
      <c r="L263" s="502">
        <v>240</v>
      </c>
      <c r="M263" s="144">
        <v>3.0434184999991669</v>
      </c>
      <c r="N263" s="504">
        <v>0</v>
      </c>
      <c r="O263" s="29"/>
      <c r="P263" s="29">
        <v>5.88</v>
      </c>
      <c r="Q263" s="144">
        <v>2.836581500000833</v>
      </c>
      <c r="R263" s="144">
        <v>2.836581500000833</v>
      </c>
      <c r="S263" s="145" t="s">
        <v>20211</v>
      </c>
      <c r="T263" s="146" t="s">
        <v>20211</v>
      </c>
      <c r="U263" s="145">
        <v>64.455782312925166</v>
      </c>
      <c r="V263" s="505"/>
      <c r="W263" s="505" t="s">
        <v>2023</v>
      </c>
      <c r="X263" s="43"/>
      <c r="Y263" s="143">
        <v>191</v>
      </c>
      <c r="Z263" s="152">
        <v>17</v>
      </c>
      <c r="AA263" s="143" t="s">
        <v>99</v>
      </c>
      <c r="AB263" s="9">
        <v>5.6</v>
      </c>
      <c r="AC263" s="151" t="s">
        <v>522</v>
      </c>
      <c r="AD263" s="151">
        <v>5.6</v>
      </c>
      <c r="AE263" s="151"/>
      <c r="AF263" s="152"/>
      <c r="AG263" s="143" t="s">
        <v>20248</v>
      </c>
      <c r="AH263" s="144">
        <v>2.2307608695652172</v>
      </c>
      <c r="AI263" s="144">
        <v>6.0207608695652173</v>
      </c>
      <c r="AJ263" s="144">
        <v>0.74658150000083301</v>
      </c>
      <c r="AK263" s="143">
        <v>240</v>
      </c>
      <c r="AL263" s="144">
        <v>5.2741793695643846</v>
      </c>
      <c r="AM263" s="144">
        <v>0</v>
      </c>
      <c r="AN263" s="29">
        <v>5.88</v>
      </c>
      <c r="AO263" s="144">
        <v>0.60582063043561529</v>
      </c>
      <c r="AP263" s="144">
        <v>0.60582063043561529</v>
      </c>
      <c r="AQ263" s="144" t="s">
        <v>20211</v>
      </c>
      <c r="AR263" s="146" t="s">
        <v>20211</v>
      </c>
      <c r="AS263" s="56">
        <v>102.39389233954452</v>
      </c>
      <c r="AT263" s="58" t="s">
        <v>504</v>
      </c>
      <c r="AU263" s="118">
        <v>1975</v>
      </c>
      <c r="AV263" s="149" t="s">
        <v>2143</v>
      </c>
      <c r="AW263" s="120">
        <v>56.132142444197598</v>
      </c>
      <c r="AX263" s="120">
        <v>34.898052747883298</v>
      </c>
    </row>
    <row r="264" spans="1:50" ht="15" customHeight="1" x14ac:dyDescent="0.25">
      <c r="A264" s="143">
        <v>192</v>
      </c>
      <c r="B264" s="143">
        <v>18</v>
      </c>
      <c r="C264" s="143" t="s">
        <v>100</v>
      </c>
      <c r="D264" s="9">
        <v>4</v>
      </c>
      <c r="E264" s="503" t="s">
        <v>522</v>
      </c>
      <c r="F264" s="503">
        <v>4</v>
      </c>
      <c r="G264" s="503"/>
      <c r="H264" s="501"/>
      <c r="I264" s="151" t="s">
        <v>20235</v>
      </c>
      <c r="J264" s="31">
        <v>1.36</v>
      </c>
      <c r="K264" s="504">
        <v>0</v>
      </c>
      <c r="L264" s="502"/>
      <c r="M264" s="144">
        <v>1.36</v>
      </c>
      <c r="N264" s="504">
        <v>0</v>
      </c>
      <c r="O264" s="29"/>
      <c r="P264" s="29">
        <v>4.2</v>
      </c>
      <c r="Q264" s="144">
        <v>2.84</v>
      </c>
      <c r="R264" s="144">
        <v>2.84</v>
      </c>
      <c r="S264" s="145" t="s">
        <v>20211</v>
      </c>
      <c r="T264" s="146" t="s">
        <v>20211</v>
      </c>
      <c r="U264" s="145">
        <v>32.38095238095238</v>
      </c>
      <c r="V264" s="505">
        <v>0.2</v>
      </c>
      <c r="W264" s="505" t="s">
        <v>2024</v>
      </c>
      <c r="X264" s="43"/>
      <c r="Y264" s="143">
        <v>192</v>
      </c>
      <c r="Z264" s="152">
        <v>18</v>
      </c>
      <c r="AA264" s="143" t="s">
        <v>100</v>
      </c>
      <c r="AB264" s="9">
        <v>4</v>
      </c>
      <c r="AC264" s="151" t="s">
        <v>522</v>
      </c>
      <c r="AD264" s="151">
        <v>4</v>
      </c>
      <c r="AE264" s="151"/>
      <c r="AF264" s="152"/>
      <c r="AG264" s="143" t="s">
        <v>20235</v>
      </c>
      <c r="AH264" s="144">
        <v>0.323054347826087</v>
      </c>
      <c r="AI264" s="144">
        <v>1.6830543478260871</v>
      </c>
      <c r="AJ264" s="144">
        <v>0</v>
      </c>
      <c r="AK264" s="143">
        <v>0</v>
      </c>
      <c r="AL264" s="144">
        <v>1.6830543478260871</v>
      </c>
      <c r="AM264" s="144">
        <v>0</v>
      </c>
      <c r="AN264" s="29">
        <v>4.2</v>
      </c>
      <c r="AO264" s="144">
        <v>2.5169456521739129</v>
      </c>
      <c r="AP264" s="144">
        <v>2.5169456521739129</v>
      </c>
      <c r="AQ264" s="144" t="s">
        <v>20211</v>
      </c>
      <c r="AR264" s="146" t="s">
        <v>20211</v>
      </c>
      <c r="AS264" s="56">
        <v>40.072722567287784</v>
      </c>
      <c r="AT264" s="58" t="s">
        <v>504</v>
      </c>
      <c r="AU264" s="118">
        <v>1963</v>
      </c>
      <c r="AV264" s="149" t="s">
        <v>2143</v>
      </c>
      <c r="AW264" s="120">
        <v>56.394427552252402</v>
      </c>
      <c r="AX264" s="120">
        <v>35.251126767343401</v>
      </c>
    </row>
    <row r="265" spans="1:50" ht="15" customHeight="1" x14ac:dyDescent="0.25">
      <c r="A265" s="143">
        <v>193</v>
      </c>
      <c r="B265" s="143">
        <v>19</v>
      </c>
      <c r="C265" s="143" t="s">
        <v>101</v>
      </c>
      <c r="D265" s="9">
        <v>2.5</v>
      </c>
      <c r="E265" s="503" t="s">
        <v>522</v>
      </c>
      <c r="F265" s="503">
        <v>2.5</v>
      </c>
      <c r="G265" s="503"/>
      <c r="H265" s="501"/>
      <c r="I265" s="151" t="s">
        <v>20222</v>
      </c>
      <c r="J265" s="31">
        <v>0.41</v>
      </c>
      <c r="K265" s="504">
        <v>0.41</v>
      </c>
      <c r="L265" s="502">
        <v>240</v>
      </c>
      <c r="M265" s="144">
        <v>0</v>
      </c>
      <c r="N265" s="504">
        <v>0</v>
      </c>
      <c r="O265" s="29"/>
      <c r="P265" s="29">
        <v>2.625</v>
      </c>
      <c r="Q265" s="144">
        <v>2.625</v>
      </c>
      <c r="R265" s="144">
        <v>2.625</v>
      </c>
      <c r="S265" s="145" t="s">
        <v>20211</v>
      </c>
      <c r="T265" s="146" t="s">
        <v>20211</v>
      </c>
      <c r="U265" s="145">
        <v>15.619047619047619</v>
      </c>
      <c r="V265" s="505">
        <v>0.4</v>
      </c>
      <c r="W265" s="505" t="s">
        <v>2024</v>
      </c>
      <c r="X265" s="43"/>
      <c r="Y265" s="143">
        <v>193</v>
      </c>
      <c r="Z265" s="152">
        <v>19</v>
      </c>
      <c r="AA265" s="143" t="s">
        <v>101</v>
      </c>
      <c r="AB265" s="9">
        <v>2.5</v>
      </c>
      <c r="AC265" s="151" t="s">
        <v>522</v>
      </c>
      <c r="AD265" s="151">
        <v>2.5</v>
      </c>
      <c r="AE265" s="151"/>
      <c r="AF265" s="152"/>
      <c r="AG265" s="143" t="s">
        <v>20222</v>
      </c>
      <c r="AH265" s="144">
        <v>2.9347826086956522E-2</v>
      </c>
      <c r="AI265" s="144">
        <v>0.43934782608695649</v>
      </c>
      <c r="AJ265" s="144">
        <v>0.41</v>
      </c>
      <c r="AK265" s="143">
        <v>240</v>
      </c>
      <c r="AL265" s="144">
        <v>2.9347826086956519E-2</v>
      </c>
      <c r="AM265" s="144">
        <v>0</v>
      </c>
      <c r="AN265" s="29">
        <v>2.625</v>
      </c>
      <c r="AO265" s="144">
        <v>2.5956521739130434</v>
      </c>
      <c r="AP265" s="144">
        <v>2.5956521739130434</v>
      </c>
      <c r="AQ265" s="144" t="s">
        <v>20211</v>
      </c>
      <c r="AR265" s="146" t="s">
        <v>20211</v>
      </c>
      <c r="AS265" s="56">
        <v>16.737060041407865</v>
      </c>
      <c r="AT265" s="58" t="s">
        <v>504</v>
      </c>
      <c r="AU265" s="118">
        <v>1979</v>
      </c>
      <c r="AV265" s="149" t="s">
        <v>2143</v>
      </c>
      <c r="AW265" s="120">
        <v>56.591538770162003</v>
      </c>
      <c r="AX265" s="120">
        <v>34.628120493828902</v>
      </c>
    </row>
    <row r="266" spans="1:50" ht="15" customHeight="1" x14ac:dyDescent="0.25">
      <c r="A266" s="143">
        <v>194</v>
      </c>
      <c r="B266" s="143">
        <v>20</v>
      </c>
      <c r="C266" s="143" t="s">
        <v>102</v>
      </c>
      <c r="D266" s="9">
        <v>4</v>
      </c>
      <c r="E266" s="503" t="s">
        <v>522</v>
      </c>
      <c r="F266" s="503">
        <v>2.5</v>
      </c>
      <c r="G266" s="503"/>
      <c r="H266" s="501"/>
      <c r="I266" s="151" t="s">
        <v>20221</v>
      </c>
      <c r="J266" s="31">
        <v>1.1000000000000001</v>
      </c>
      <c r="K266" s="504">
        <v>0</v>
      </c>
      <c r="L266" s="502"/>
      <c r="M266" s="144">
        <v>1.1000000000000001</v>
      </c>
      <c r="N266" s="504">
        <v>0</v>
      </c>
      <c r="O266" s="29"/>
      <c r="P266" s="29">
        <v>2.625</v>
      </c>
      <c r="Q266" s="144">
        <v>1.5249999999999999</v>
      </c>
      <c r="R266" s="144">
        <v>1.5249999999999999</v>
      </c>
      <c r="S266" s="145" t="s">
        <v>20211</v>
      </c>
      <c r="T266" s="146" t="s">
        <v>20211</v>
      </c>
      <c r="U266" s="145">
        <v>41.904761904761912</v>
      </c>
      <c r="V266" s="505"/>
      <c r="W266" s="505" t="s">
        <v>2023</v>
      </c>
      <c r="X266" s="43"/>
      <c r="Y266" s="143">
        <v>194</v>
      </c>
      <c r="Z266" s="152">
        <v>20</v>
      </c>
      <c r="AA266" s="143" t="s">
        <v>102</v>
      </c>
      <c r="AB266" s="9">
        <v>4</v>
      </c>
      <c r="AC266" s="151" t="s">
        <v>522</v>
      </c>
      <c r="AD266" s="151">
        <v>2.5</v>
      </c>
      <c r="AE266" s="151"/>
      <c r="AF266" s="152"/>
      <c r="AG266" s="143" t="s">
        <v>20221</v>
      </c>
      <c r="AH266" s="144">
        <v>1.1906086956521738</v>
      </c>
      <c r="AI266" s="144">
        <v>2.2906086956521738</v>
      </c>
      <c r="AJ266" s="144">
        <v>0</v>
      </c>
      <c r="AK266" s="143">
        <v>0</v>
      </c>
      <c r="AL266" s="144">
        <v>2.2906086956521738</v>
      </c>
      <c r="AM266" s="144">
        <v>0</v>
      </c>
      <c r="AN266" s="29">
        <v>2.625</v>
      </c>
      <c r="AO266" s="144">
        <v>0.33439130434782616</v>
      </c>
      <c r="AP266" s="144">
        <v>0.33439130434782616</v>
      </c>
      <c r="AQ266" s="144" t="s">
        <v>20211</v>
      </c>
      <c r="AR266" s="146" t="s">
        <v>20211</v>
      </c>
      <c r="AS266" s="56">
        <v>87.261283643892341</v>
      </c>
      <c r="AT266" s="58" t="s">
        <v>504</v>
      </c>
      <c r="AU266" s="118">
        <v>1971</v>
      </c>
      <c r="AV266" s="149" t="s">
        <v>2143</v>
      </c>
      <c r="AW266" s="120">
        <v>56.652683647502002</v>
      </c>
      <c r="AX266" s="120">
        <v>34.374451510960498</v>
      </c>
    </row>
    <row r="267" spans="1:50" ht="15" customHeight="1" x14ac:dyDescent="0.25">
      <c r="A267" s="143">
        <v>195</v>
      </c>
      <c r="B267" s="143">
        <v>21</v>
      </c>
      <c r="C267" s="143" t="s">
        <v>103</v>
      </c>
      <c r="D267" s="9">
        <v>6.3</v>
      </c>
      <c r="E267" s="503" t="s">
        <v>522</v>
      </c>
      <c r="F267" s="503">
        <v>6.3</v>
      </c>
      <c r="G267" s="503"/>
      <c r="H267" s="501"/>
      <c r="I267" s="151" t="s">
        <v>20225</v>
      </c>
      <c r="J267" s="31">
        <v>1.77</v>
      </c>
      <c r="K267" s="504">
        <v>0.51090360000000001</v>
      </c>
      <c r="L267" s="502">
        <v>120</v>
      </c>
      <c r="M267" s="144">
        <v>1.2590964</v>
      </c>
      <c r="N267" s="504">
        <v>0</v>
      </c>
      <c r="O267" s="29"/>
      <c r="P267" s="29">
        <v>6.6150000000000002</v>
      </c>
      <c r="Q267" s="144">
        <v>5.3559036000000004</v>
      </c>
      <c r="R267" s="144">
        <v>5.3559036000000004</v>
      </c>
      <c r="S267" s="145" t="s">
        <v>20211</v>
      </c>
      <c r="T267" s="146" t="s">
        <v>20211</v>
      </c>
      <c r="U267" s="145">
        <v>26.75736961451247</v>
      </c>
      <c r="V267" s="505">
        <v>0.75800000000000001</v>
      </c>
      <c r="W267" s="505" t="s">
        <v>2024</v>
      </c>
      <c r="X267" s="43"/>
      <c r="Y267" s="143">
        <v>195</v>
      </c>
      <c r="Z267" s="152">
        <v>21</v>
      </c>
      <c r="AA267" s="143" t="s">
        <v>103</v>
      </c>
      <c r="AB267" s="9">
        <v>6.3</v>
      </c>
      <c r="AC267" s="151" t="s">
        <v>522</v>
      </c>
      <c r="AD267" s="151">
        <v>6.3</v>
      </c>
      <c r="AE267" s="151"/>
      <c r="AF267" s="152"/>
      <c r="AG267" s="143" t="s">
        <v>20225</v>
      </c>
      <c r="AH267" s="144">
        <v>0</v>
      </c>
      <c r="AI267" s="144">
        <v>1.77</v>
      </c>
      <c r="AJ267" s="144">
        <v>0.51090360000000001</v>
      </c>
      <c r="AK267" s="143">
        <v>120</v>
      </c>
      <c r="AL267" s="144">
        <v>1.2590964</v>
      </c>
      <c r="AM267" s="144">
        <v>0</v>
      </c>
      <c r="AN267" s="29">
        <v>6.6150000000000002</v>
      </c>
      <c r="AO267" s="144">
        <v>5.3559036000000004</v>
      </c>
      <c r="AP267" s="144">
        <v>5.3559036000000004</v>
      </c>
      <c r="AQ267" s="144" t="s">
        <v>20211</v>
      </c>
      <c r="AR267" s="146" t="s">
        <v>20211</v>
      </c>
      <c r="AS267" s="56">
        <v>26.75736961451247</v>
      </c>
      <c r="AT267" s="58" t="s">
        <v>504</v>
      </c>
      <c r="AU267" s="118">
        <v>1978</v>
      </c>
      <c r="AV267" s="149" t="s">
        <v>2143</v>
      </c>
      <c r="AW267" s="120">
        <v>56.206704218121203</v>
      </c>
      <c r="AX267" s="120">
        <v>34.214144919244497</v>
      </c>
    </row>
    <row r="268" spans="1:50" ht="15" customHeight="1" x14ac:dyDescent="0.25">
      <c r="A268" s="143">
        <v>196</v>
      </c>
      <c r="B268" s="143">
        <v>22</v>
      </c>
      <c r="C268" s="143" t="s">
        <v>104</v>
      </c>
      <c r="D268" s="9">
        <v>6.3</v>
      </c>
      <c r="E268" s="503" t="s">
        <v>522</v>
      </c>
      <c r="F268" s="503">
        <v>6.3</v>
      </c>
      <c r="G268" s="503"/>
      <c r="H268" s="501"/>
      <c r="I268" s="151" t="s">
        <v>20225</v>
      </c>
      <c r="J268" s="31">
        <v>1.1499999999999999</v>
      </c>
      <c r="K268" s="504">
        <v>0.32118747499996986</v>
      </c>
      <c r="L268" s="502">
        <v>240</v>
      </c>
      <c r="M268" s="144">
        <v>0.82881252500003</v>
      </c>
      <c r="N268" s="504">
        <v>0</v>
      </c>
      <c r="O268" s="29"/>
      <c r="P268" s="29">
        <v>6.6150000000000002</v>
      </c>
      <c r="Q268" s="144">
        <v>5.78618747499997</v>
      </c>
      <c r="R268" s="144">
        <v>5.78618747499997</v>
      </c>
      <c r="S268" s="145" t="s">
        <v>20211</v>
      </c>
      <c r="T268" s="146" t="s">
        <v>20211</v>
      </c>
      <c r="U268" s="145">
        <v>17.384731670445955</v>
      </c>
      <c r="V268" s="505">
        <v>0.55400000000000005</v>
      </c>
      <c r="W268" s="505" t="s">
        <v>2024</v>
      </c>
      <c r="X268" s="43"/>
      <c r="Y268" s="143">
        <v>196</v>
      </c>
      <c r="Z268" s="152">
        <v>22</v>
      </c>
      <c r="AA268" s="143" t="s">
        <v>104</v>
      </c>
      <c r="AB268" s="9">
        <v>6.3</v>
      </c>
      <c r="AC268" s="151" t="s">
        <v>522</v>
      </c>
      <c r="AD268" s="151">
        <v>6.3</v>
      </c>
      <c r="AE268" s="151"/>
      <c r="AF268" s="152"/>
      <c r="AG268" s="143" t="s">
        <v>20225</v>
      </c>
      <c r="AH268" s="144">
        <v>0</v>
      </c>
      <c r="AI268" s="144">
        <v>1.1499999999999999</v>
      </c>
      <c r="AJ268" s="144">
        <v>0.32118747499996986</v>
      </c>
      <c r="AK268" s="143">
        <v>240</v>
      </c>
      <c r="AL268" s="144">
        <v>0.82881252500003</v>
      </c>
      <c r="AM268" s="144">
        <v>0</v>
      </c>
      <c r="AN268" s="29">
        <v>6.6150000000000002</v>
      </c>
      <c r="AO268" s="144">
        <v>5.78618747499997</v>
      </c>
      <c r="AP268" s="144">
        <v>5.78618747499997</v>
      </c>
      <c r="AQ268" s="144" t="s">
        <v>20211</v>
      </c>
      <c r="AR268" s="146" t="s">
        <v>20211</v>
      </c>
      <c r="AS268" s="56">
        <v>17.384731670445955</v>
      </c>
      <c r="AT268" s="58" t="s">
        <v>504</v>
      </c>
      <c r="AU268" s="118">
        <v>1962</v>
      </c>
      <c r="AV268" s="149" t="s">
        <v>2143</v>
      </c>
      <c r="AW268" s="120">
        <v>56.240181355065701</v>
      </c>
      <c r="AX268" s="120">
        <v>33.158507404212401</v>
      </c>
    </row>
    <row r="269" spans="1:50" ht="15" customHeight="1" x14ac:dyDescent="0.25">
      <c r="A269" s="875">
        <v>197</v>
      </c>
      <c r="B269" s="875">
        <v>23</v>
      </c>
      <c r="C269" s="143" t="s">
        <v>105</v>
      </c>
      <c r="D269" s="9">
        <v>40.5</v>
      </c>
      <c r="E269" s="503" t="s">
        <v>522</v>
      </c>
      <c r="F269" s="503">
        <v>40</v>
      </c>
      <c r="G269" s="503"/>
      <c r="H269" s="501"/>
      <c r="I269" s="151" t="s">
        <v>20251</v>
      </c>
      <c r="J269" s="31">
        <v>26.74</v>
      </c>
      <c r="K269" s="504">
        <v>3.8354488504607387</v>
      </c>
      <c r="L269" s="502">
        <v>120</v>
      </c>
      <c r="M269" s="147">
        <v>22.904551149539259</v>
      </c>
      <c r="N269" s="504">
        <v>0</v>
      </c>
      <c r="O269" s="29"/>
      <c r="P269" s="29">
        <v>42</v>
      </c>
      <c r="Q269" s="144">
        <v>19.095448850460741</v>
      </c>
      <c r="R269" s="902">
        <v>19.095448850460741</v>
      </c>
      <c r="S269" s="878" t="s">
        <v>20211</v>
      </c>
      <c r="T269" s="146" t="s">
        <v>20211</v>
      </c>
      <c r="U269" s="878">
        <v>63.666666666666664</v>
      </c>
      <c r="V269" s="878">
        <v>0.43</v>
      </c>
      <c r="W269" s="878" t="s">
        <v>2024</v>
      </c>
      <c r="X269" s="43"/>
      <c r="Y269" s="875">
        <v>197</v>
      </c>
      <c r="Z269" s="874">
        <v>23</v>
      </c>
      <c r="AA269" s="143" t="s">
        <v>105</v>
      </c>
      <c r="AB269" s="9">
        <v>40.5</v>
      </c>
      <c r="AC269" s="151" t="s">
        <v>522</v>
      </c>
      <c r="AD269" s="151">
        <v>40</v>
      </c>
      <c r="AE269" s="151"/>
      <c r="AF269" s="152"/>
      <c r="AG269" s="143" t="s">
        <v>20251</v>
      </c>
      <c r="AH269" s="144">
        <v>2.4731086956521739</v>
      </c>
      <c r="AI269" s="144">
        <v>29.213108695652174</v>
      </c>
      <c r="AJ269" s="144">
        <v>3.8354488504607387</v>
      </c>
      <c r="AK269" s="143">
        <v>120</v>
      </c>
      <c r="AL269" s="144">
        <v>25.377659845191435</v>
      </c>
      <c r="AM269" s="144">
        <v>0</v>
      </c>
      <c r="AN269" s="29">
        <v>42</v>
      </c>
      <c r="AO269" s="144">
        <v>16.622340154808565</v>
      </c>
      <c r="AP269" s="902">
        <v>16.622340154808565</v>
      </c>
      <c r="AQ269" s="902" t="s">
        <v>20211</v>
      </c>
      <c r="AR269" s="146" t="s">
        <v>20211</v>
      </c>
      <c r="AS269" s="945">
        <v>69.555020703933749</v>
      </c>
      <c r="AT269" s="58" t="s">
        <v>504</v>
      </c>
      <c r="AU269" s="118">
        <v>1960</v>
      </c>
      <c r="AV269" s="149" t="s">
        <v>2143</v>
      </c>
      <c r="AW269" s="120">
        <v>56.2411116350114</v>
      </c>
      <c r="AX269" s="120">
        <v>34.312113844013503</v>
      </c>
    </row>
    <row r="270" spans="1:50" ht="15" customHeight="1" x14ac:dyDescent="0.25">
      <c r="A270" s="875"/>
      <c r="B270" s="875"/>
      <c r="C270" s="1" t="s">
        <v>1180</v>
      </c>
      <c r="D270" s="9">
        <v>40.5</v>
      </c>
      <c r="E270" s="503" t="s">
        <v>522</v>
      </c>
      <c r="F270" s="503">
        <v>40</v>
      </c>
      <c r="G270" s="503"/>
      <c r="H270" s="501"/>
      <c r="I270" s="151" t="s">
        <v>20251</v>
      </c>
      <c r="J270" s="31">
        <v>17.489999999999998</v>
      </c>
      <c r="K270" s="504">
        <v>1.9625646904597871</v>
      </c>
      <c r="L270" s="502">
        <v>120</v>
      </c>
      <c r="M270" s="147">
        <v>15.527435309540211</v>
      </c>
      <c r="N270" s="504">
        <v>0</v>
      </c>
      <c r="O270" s="29"/>
      <c r="P270" s="29">
        <v>42</v>
      </c>
      <c r="Q270" s="144">
        <v>26.472564690459791</v>
      </c>
      <c r="R270" s="903"/>
      <c r="S270" s="878"/>
      <c r="T270" s="146" t="s">
        <v>20211</v>
      </c>
      <c r="U270" s="878"/>
      <c r="V270" s="878"/>
      <c r="W270" s="878" t="s">
        <v>2024</v>
      </c>
      <c r="X270" s="43"/>
      <c r="Y270" s="875"/>
      <c r="Z270" s="874"/>
      <c r="AA270" s="1" t="s">
        <v>1180</v>
      </c>
      <c r="AB270" s="9">
        <v>40.5</v>
      </c>
      <c r="AC270" s="151" t="s">
        <v>522</v>
      </c>
      <c r="AD270" s="151">
        <v>40</v>
      </c>
      <c r="AE270" s="151"/>
      <c r="AF270" s="152"/>
      <c r="AG270" s="143" t="s">
        <v>20251</v>
      </c>
      <c r="AH270" s="144">
        <v>2.3091521739130436</v>
      </c>
      <c r="AI270" s="144">
        <v>19.799152173913043</v>
      </c>
      <c r="AJ270" s="144">
        <v>1.9625646904597871</v>
      </c>
      <c r="AK270" s="143">
        <v>120</v>
      </c>
      <c r="AL270" s="144">
        <v>17.836587483453258</v>
      </c>
      <c r="AM270" s="144">
        <v>0</v>
      </c>
      <c r="AN270" s="29">
        <v>42</v>
      </c>
      <c r="AO270" s="144">
        <v>24.163412516546742</v>
      </c>
      <c r="AP270" s="903"/>
      <c r="AQ270" s="903"/>
      <c r="AR270" s="146" t="s">
        <v>20211</v>
      </c>
      <c r="AS270" s="946"/>
      <c r="AT270" s="58" t="s">
        <v>504</v>
      </c>
      <c r="AU270" s="118">
        <v>1960</v>
      </c>
      <c r="AV270" s="149" t="s">
        <v>2143</v>
      </c>
      <c r="AW270" s="120">
        <v>56.2411116350114</v>
      </c>
      <c r="AX270" s="120">
        <v>34.312113844013503</v>
      </c>
    </row>
    <row r="271" spans="1:50" ht="15" customHeight="1" x14ac:dyDescent="0.25">
      <c r="A271" s="875"/>
      <c r="B271" s="875"/>
      <c r="C271" s="1" t="s">
        <v>1141</v>
      </c>
      <c r="D271" s="9">
        <v>40.5</v>
      </c>
      <c r="E271" s="503" t="s">
        <v>522</v>
      </c>
      <c r="F271" s="503">
        <v>40</v>
      </c>
      <c r="G271" s="503"/>
      <c r="H271" s="501"/>
      <c r="I271" s="151" t="s">
        <v>20251</v>
      </c>
      <c r="J271" s="31">
        <v>9.25</v>
      </c>
      <c r="K271" s="504">
        <v>1.8728841600009514</v>
      </c>
      <c r="L271" s="502">
        <v>120</v>
      </c>
      <c r="M271" s="147">
        <v>7.3771158399990489</v>
      </c>
      <c r="N271" s="504">
        <v>0</v>
      </c>
      <c r="O271" s="29"/>
      <c r="P271" s="29">
        <v>42</v>
      </c>
      <c r="Q271" s="144">
        <v>34.62288416000095</v>
      </c>
      <c r="R271" s="904"/>
      <c r="S271" s="878"/>
      <c r="T271" s="146" t="s">
        <v>20211</v>
      </c>
      <c r="U271" s="878"/>
      <c r="V271" s="878"/>
      <c r="W271" s="878" t="s">
        <v>2024</v>
      </c>
      <c r="X271" s="43"/>
      <c r="Y271" s="875"/>
      <c r="Z271" s="874"/>
      <c r="AA271" s="1" t="s">
        <v>1141</v>
      </c>
      <c r="AB271" s="9">
        <v>40.5</v>
      </c>
      <c r="AC271" s="151" t="s">
        <v>522</v>
      </c>
      <c r="AD271" s="151">
        <v>40</v>
      </c>
      <c r="AE271" s="151"/>
      <c r="AF271" s="152"/>
      <c r="AG271" s="143" t="s">
        <v>20251</v>
      </c>
      <c r="AH271" s="144">
        <v>0.16395652173913042</v>
      </c>
      <c r="AI271" s="144">
        <v>9.4139565217391308</v>
      </c>
      <c r="AJ271" s="144">
        <v>1.8728841600009514</v>
      </c>
      <c r="AK271" s="143">
        <v>120</v>
      </c>
      <c r="AL271" s="144">
        <v>7.5410723617381796</v>
      </c>
      <c r="AM271" s="144">
        <v>0</v>
      </c>
      <c r="AN271" s="29">
        <v>42</v>
      </c>
      <c r="AO271" s="144">
        <v>34.458927638261819</v>
      </c>
      <c r="AP271" s="904"/>
      <c r="AQ271" s="904"/>
      <c r="AR271" s="146" t="s">
        <v>20211</v>
      </c>
      <c r="AS271" s="947"/>
      <c r="AT271" s="58" t="s">
        <v>504</v>
      </c>
      <c r="AU271" s="118">
        <v>1960</v>
      </c>
      <c r="AV271" s="149" t="s">
        <v>2143</v>
      </c>
      <c r="AW271" s="120">
        <v>56.2411116350114</v>
      </c>
      <c r="AX271" s="120">
        <v>34.312113844013503</v>
      </c>
    </row>
    <row r="272" spans="1:50" ht="15" customHeight="1" x14ac:dyDescent="0.25">
      <c r="A272" s="875">
        <v>198</v>
      </c>
      <c r="B272" s="875">
        <v>24</v>
      </c>
      <c r="C272" s="143" t="s">
        <v>1745</v>
      </c>
      <c r="D272" s="9">
        <v>5.6</v>
      </c>
      <c r="E272" s="503" t="s">
        <v>522</v>
      </c>
      <c r="F272" s="503">
        <v>6.3</v>
      </c>
      <c r="G272" s="503"/>
      <c r="H272" s="501"/>
      <c r="I272" s="151" t="s">
        <v>20244</v>
      </c>
      <c r="J272" s="31">
        <v>1.21</v>
      </c>
      <c r="K272" s="504">
        <v>0.77701899279999997</v>
      </c>
      <c r="L272" s="502">
        <v>480</v>
      </c>
      <c r="M272" s="147">
        <v>0.43298100719999999</v>
      </c>
      <c r="N272" s="504">
        <v>0</v>
      </c>
      <c r="O272" s="29"/>
      <c r="P272" s="29">
        <v>5.88</v>
      </c>
      <c r="Q272" s="144">
        <v>5.4470189928000003</v>
      </c>
      <c r="R272" s="877">
        <v>5.4470189927999995</v>
      </c>
      <c r="S272" s="878" t="s">
        <v>20211</v>
      </c>
      <c r="T272" s="146" t="s">
        <v>20211</v>
      </c>
      <c r="U272" s="878">
        <v>20.578231292517007</v>
      </c>
      <c r="V272" s="878">
        <v>0.56999999999999995</v>
      </c>
      <c r="W272" s="878" t="s">
        <v>2024</v>
      </c>
      <c r="X272" s="43"/>
      <c r="Y272" s="875">
        <v>198</v>
      </c>
      <c r="Z272" s="874">
        <v>24</v>
      </c>
      <c r="AA272" s="143" t="s">
        <v>1745</v>
      </c>
      <c r="AB272" s="9">
        <v>5.6</v>
      </c>
      <c r="AC272" s="151" t="s">
        <v>522</v>
      </c>
      <c r="AD272" s="151">
        <v>6.3</v>
      </c>
      <c r="AE272" s="151"/>
      <c r="AF272" s="152"/>
      <c r="AG272" s="143" t="s">
        <v>20244</v>
      </c>
      <c r="AH272" s="144">
        <v>0.19721739130434782</v>
      </c>
      <c r="AI272" s="144">
        <v>1.4072173913043478</v>
      </c>
      <c r="AJ272" s="144">
        <v>0.77701899279999997</v>
      </c>
      <c r="AK272" s="143">
        <v>480</v>
      </c>
      <c r="AL272" s="144">
        <v>0.63019839850434778</v>
      </c>
      <c r="AM272" s="144">
        <v>0</v>
      </c>
      <c r="AN272" s="29">
        <v>5.88</v>
      </c>
      <c r="AO272" s="144">
        <v>5.2498016014956521</v>
      </c>
      <c r="AP272" s="902">
        <v>5.2498016014956521</v>
      </c>
      <c r="AQ272" s="902" t="s">
        <v>20211</v>
      </c>
      <c r="AR272" s="146" t="s">
        <v>20211</v>
      </c>
      <c r="AS272" s="945">
        <v>23.932268559597752</v>
      </c>
      <c r="AT272" s="58" t="s">
        <v>504</v>
      </c>
      <c r="AU272" s="118">
        <v>1978</v>
      </c>
      <c r="AV272" s="149" t="s">
        <v>2143</v>
      </c>
      <c r="AW272" s="120">
        <v>56.206891388101397</v>
      </c>
      <c r="AX272" s="120">
        <v>33.892258534506098</v>
      </c>
    </row>
    <row r="273" spans="1:50" ht="15" customHeight="1" x14ac:dyDescent="0.25">
      <c r="A273" s="875"/>
      <c r="B273" s="875"/>
      <c r="C273" s="1" t="s">
        <v>1180</v>
      </c>
      <c r="D273" s="9">
        <v>5.6</v>
      </c>
      <c r="E273" s="503" t="s">
        <v>522</v>
      </c>
      <c r="F273" s="503">
        <v>6.3</v>
      </c>
      <c r="G273" s="503"/>
      <c r="H273" s="501"/>
      <c r="I273" s="151" t="s">
        <v>20244</v>
      </c>
      <c r="J273" s="31">
        <v>0.42</v>
      </c>
      <c r="K273" s="504">
        <v>0.42</v>
      </c>
      <c r="L273" s="502">
        <v>240</v>
      </c>
      <c r="M273" s="147">
        <v>0</v>
      </c>
      <c r="N273" s="504">
        <v>0</v>
      </c>
      <c r="O273" s="29"/>
      <c r="P273" s="29">
        <v>5.88</v>
      </c>
      <c r="Q273" s="144">
        <v>5.88</v>
      </c>
      <c r="R273" s="877"/>
      <c r="S273" s="879" t="s">
        <v>20211</v>
      </c>
      <c r="T273" s="146" t="s">
        <v>20211</v>
      </c>
      <c r="U273" s="879"/>
      <c r="V273" s="879"/>
      <c r="W273" s="879" t="s">
        <v>2024</v>
      </c>
      <c r="X273" s="43"/>
      <c r="Y273" s="875"/>
      <c r="Z273" s="874"/>
      <c r="AA273" s="1" t="s">
        <v>1180</v>
      </c>
      <c r="AB273" s="9">
        <v>5.6</v>
      </c>
      <c r="AC273" s="151" t="s">
        <v>522</v>
      </c>
      <c r="AD273" s="151">
        <v>6.3</v>
      </c>
      <c r="AE273" s="151"/>
      <c r="AF273" s="152"/>
      <c r="AG273" s="143" t="s">
        <v>20244</v>
      </c>
      <c r="AH273" s="144">
        <v>0</v>
      </c>
      <c r="AI273" s="144">
        <v>0.42</v>
      </c>
      <c r="AJ273" s="144">
        <v>0.42</v>
      </c>
      <c r="AK273" s="143">
        <v>240</v>
      </c>
      <c r="AL273" s="144">
        <v>0</v>
      </c>
      <c r="AM273" s="144">
        <v>0</v>
      </c>
      <c r="AN273" s="29">
        <v>5.88</v>
      </c>
      <c r="AO273" s="144">
        <v>5.88</v>
      </c>
      <c r="AP273" s="903"/>
      <c r="AQ273" s="903" t="s">
        <v>20211</v>
      </c>
      <c r="AR273" s="146" t="s">
        <v>20211</v>
      </c>
      <c r="AS273" s="946"/>
      <c r="AT273" s="58" t="s">
        <v>504</v>
      </c>
      <c r="AU273" s="118">
        <v>1978</v>
      </c>
      <c r="AV273" s="149" t="s">
        <v>2143</v>
      </c>
      <c r="AW273" s="120">
        <v>56.206891388101397</v>
      </c>
      <c r="AX273" s="120">
        <v>33.892258534506098</v>
      </c>
    </row>
    <row r="274" spans="1:50" ht="15" customHeight="1" x14ac:dyDescent="0.25">
      <c r="A274" s="875"/>
      <c r="B274" s="875"/>
      <c r="C274" s="1" t="s">
        <v>1141</v>
      </c>
      <c r="D274" s="9">
        <v>5.6</v>
      </c>
      <c r="E274" s="503" t="s">
        <v>522</v>
      </c>
      <c r="F274" s="503">
        <v>6.3</v>
      </c>
      <c r="G274" s="503"/>
      <c r="H274" s="501"/>
      <c r="I274" s="151" t="s">
        <v>20244</v>
      </c>
      <c r="J274" s="31">
        <v>0.79</v>
      </c>
      <c r="K274" s="504">
        <v>0.35701899279999999</v>
      </c>
      <c r="L274" s="502">
        <v>480</v>
      </c>
      <c r="M274" s="147">
        <v>0.43298100720000005</v>
      </c>
      <c r="N274" s="504">
        <v>0</v>
      </c>
      <c r="O274" s="29"/>
      <c r="P274" s="29">
        <v>5.88</v>
      </c>
      <c r="Q274" s="144">
        <v>5.4470189927999995</v>
      </c>
      <c r="R274" s="877"/>
      <c r="S274" s="879" t="s">
        <v>20211</v>
      </c>
      <c r="T274" s="146" t="s">
        <v>20211</v>
      </c>
      <c r="U274" s="879"/>
      <c r="V274" s="879"/>
      <c r="W274" s="879" t="s">
        <v>2024</v>
      </c>
      <c r="X274" s="43"/>
      <c r="Y274" s="875"/>
      <c r="Z274" s="874"/>
      <c r="AA274" s="1" t="s">
        <v>1141</v>
      </c>
      <c r="AB274" s="9">
        <v>5.6</v>
      </c>
      <c r="AC274" s="151" t="s">
        <v>522</v>
      </c>
      <c r="AD274" s="151">
        <v>6.3</v>
      </c>
      <c r="AE274" s="151"/>
      <c r="AF274" s="152"/>
      <c r="AG274" s="143" t="s">
        <v>20244</v>
      </c>
      <c r="AH274" s="144">
        <v>0.19721739130434782</v>
      </c>
      <c r="AI274" s="144">
        <v>0.98721739130434782</v>
      </c>
      <c r="AJ274" s="144">
        <v>0.35701899279999999</v>
      </c>
      <c r="AK274" s="143">
        <v>480</v>
      </c>
      <c r="AL274" s="144">
        <v>0.63019839850434778</v>
      </c>
      <c r="AM274" s="144">
        <v>0</v>
      </c>
      <c r="AN274" s="29">
        <v>5.88</v>
      </c>
      <c r="AO274" s="144">
        <v>5.2498016014956521</v>
      </c>
      <c r="AP274" s="904"/>
      <c r="AQ274" s="904" t="s">
        <v>20211</v>
      </c>
      <c r="AR274" s="146" t="s">
        <v>20211</v>
      </c>
      <c r="AS274" s="947"/>
      <c r="AT274" s="58" t="s">
        <v>504</v>
      </c>
      <c r="AU274" s="118">
        <v>1978</v>
      </c>
      <c r="AV274" s="149" t="s">
        <v>2143</v>
      </c>
      <c r="AW274" s="120">
        <v>56.206891388101397</v>
      </c>
      <c r="AX274" s="120">
        <v>33.892258534506098</v>
      </c>
    </row>
    <row r="275" spans="1:50" ht="15" customHeight="1" x14ac:dyDescent="0.25">
      <c r="A275" s="875">
        <v>199</v>
      </c>
      <c r="B275" s="875">
        <v>25</v>
      </c>
      <c r="C275" s="143" t="s">
        <v>106</v>
      </c>
      <c r="D275" s="9">
        <v>16</v>
      </c>
      <c r="E275" s="503" t="s">
        <v>522</v>
      </c>
      <c r="F275" s="503">
        <v>10</v>
      </c>
      <c r="G275" s="503"/>
      <c r="H275" s="501"/>
      <c r="I275" s="151" t="s">
        <v>20249</v>
      </c>
      <c r="J275" s="31">
        <v>4.0599999999999996</v>
      </c>
      <c r="K275" s="504">
        <v>0.22837441666674371</v>
      </c>
      <c r="L275" s="502">
        <v>120</v>
      </c>
      <c r="M275" s="147">
        <v>3.8316255833332558</v>
      </c>
      <c r="N275" s="504">
        <v>0</v>
      </c>
      <c r="O275" s="29"/>
      <c r="P275" s="29">
        <v>10.5</v>
      </c>
      <c r="Q275" s="144">
        <v>6.6683744166667438</v>
      </c>
      <c r="R275" s="877">
        <v>6.6683744166667438</v>
      </c>
      <c r="S275" s="878" t="s">
        <v>20211</v>
      </c>
      <c r="T275" s="146" t="s">
        <v>20211</v>
      </c>
      <c r="U275" s="878">
        <v>38.666666666666664</v>
      </c>
      <c r="V275" s="878">
        <v>0.3</v>
      </c>
      <c r="W275" s="878" t="s">
        <v>2024</v>
      </c>
      <c r="X275" s="43"/>
      <c r="Y275" s="875">
        <v>199</v>
      </c>
      <c r="Z275" s="874">
        <v>25</v>
      </c>
      <c r="AA275" s="143" t="s">
        <v>106</v>
      </c>
      <c r="AB275" s="9">
        <v>16</v>
      </c>
      <c r="AC275" s="151" t="s">
        <v>522</v>
      </c>
      <c r="AD275" s="151">
        <v>10</v>
      </c>
      <c r="AE275" s="151"/>
      <c r="AF275" s="152"/>
      <c r="AG275" s="143" t="s">
        <v>20249</v>
      </c>
      <c r="AH275" s="144">
        <v>0.53804347826086962</v>
      </c>
      <c r="AI275" s="144">
        <v>4.5980434782608697</v>
      </c>
      <c r="AJ275" s="144">
        <v>0.22837441666674371</v>
      </c>
      <c r="AK275" s="143">
        <v>120</v>
      </c>
      <c r="AL275" s="144">
        <v>4.3696690615941263</v>
      </c>
      <c r="AM275" s="144">
        <v>0</v>
      </c>
      <c r="AN275" s="29">
        <v>10.5</v>
      </c>
      <c r="AO275" s="144">
        <v>6.1303309384058737</v>
      </c>
      <c r="AP275" s="902">
        <v>6.1303309384058737</v>
      </c>
      <c r="AQ275" s="902" t="s">
        <v>20211</v>
      </c>
      <c r="AR275" s="146" t="s">
        <v>20211</v>
      </c>
      <c r="AS275" s="945">
        <v>43.790890269151141</v>
      </c>
      <c r="AT275" s="58" t="s">
        <v>504</v>
      </c>
      <c r="AU275" s="118">
        <v>1964</v>
      </c>
      <c r="AV275" s="149" t="s">
        <v>2143</v>
      </c>
      <c r="AW275" s="120">
        <v>56.222590712521701</v>
      </c>
      <c r="AX275" s="120">
        <v>33.502481446068401</v>
      </c>
    </row>
    <row r="276" spans="1:50" ht="15" customHeight="1" x14ac:dyDescent="0.25">
      <c r="A276" s="875"/>
      <c r="B276" s="875"/>
      <c r="C276" s="1" t="s">
        <v>1180</v>
      </c>
      <c r="D276" s="9">
        <v>16</v>
      </c>
      <c r="E276" s="503" t="s">
        <v>522</v>
      </c>
      <c r="F276" s="503">
        <v>10</v>
      </c>
      <c r="G276" s="503"/>
      <c r="H276" s="501"/>
      <c r="I276" s="151" t="s">
        <v>20249</v>
      </c>
      <c r="J276" s="31">
        <v>0.76</v>
      </c>
      <c r="K276" s="504">
        <v>0.22837441666674371</v>
      </c>
      <c r="L276" s="502">
        <v>120</v>
      </c>
      <c r="M276" s="147">
        <v>0.53162558333325627</v>
      </c>
      <c r="N276" s="504">
        <v>0</v>
      </c>
      <c r="O276" s="29"/>
      <c r="P276" s="29">
        <v>10.5</v>
      </c>
      <c r="Q276" s="144">
        <v>9.9683744166667445</v>
      </c>
      <c r="R276" s="877"/>
      <c r="S276" s="879" t="s">
        <v>20211</v>
      </c>
      <c r="T276" s="146" t="s">
        <v>20211</v>
      </c>
      <c r="U276" s="879"/>
      <c r="V276" s="879"/>
      <c r="W276" s="879" t="s">
        <v>2024</v>
      </c>
      <c r="X276" s="43"/>
      <c r="Y276" s="875"/>
      <c r="Z276" s="874"/>
      <c r="AA276" s="1" t="s">
        <v>1180</v>
      </c>
      <c r="AB276" s="9">
        <v>16</v>
      </c>
      <c r="AC276" s="151" t="s">
        <v>522</v>
      </c>
      <c r="AD276" s="151">
        <v>10</v>
      </c>
      <c r="AE276" s="151"/>
      <c r="AF276" s="152"/>
      <c r="AG276" s="143" t="s">
        <v>20249</v>
      </c>
      <c r="AH276" s="144">
        <v>1.4673913043478259E-2</v>
      </c>
      <c r="AI276" s="144">
        <v>0.77467391304347832</v>
      </c>
      <c r="AJ276" s="144">
        <v>0.22837441666674371</v>
      </c>
      <c r="AK276" s="143">
        <v>120</v>
      </c>
      <c r="AL276" s="144">
        <v>0.54629949637673458</v>
      </c>
      <c r="AM276" s="144">
        <v>0</v>
      </c>
      <c r="AN276" s="29">
        <v>10.5</v>
      </c>
      <c r="AO276" s="144">
        <v>9.9537005036232653</v>
      </c>
      <c r="AP276" s="903"/>
      <c r="AQ276" s="903" t="s">
        <v>20211</v>
      </c>
      <c r="AR276" s="146" t="s">
        <v>20211</v>
      </c>
      <c r="AS276" s="946"/>
      <c r="AT276" s="58" t="s">
        <v>504</v>
      </c>
      <c r="AU276" s="118">
        <v>1964</v>
      </c>
      <c r="AV276" s="149" t="s">
        <v>2143</v>
      </c>
      <c r="AW276" s="120">
        <v>56.222590712521701</v>
      </c>
      <c r="AX276" s="120">
        <v>33.502481446068401</v>
      </c>
    </row>
    <row r="277" spans="1:50" ht="15" customHeight="1" x14ac:dyDescent="0.25">
      <c r="A277" s="875"/>
      <c r="B277" s="875"/>
      <c r="C277" s="1" t="s">
        <v>1141</v>
      </c>
      <c r="D277" s="9">
        <v>16</v>
      </c>
      <c r="E277" s="503" t="s">
        <v>522</v>
      </c>
      <c r="F277" s="503">
        <v>10</v>
      </c>
      <c r="G277" s="503"/>
      <c r="H277" s="501"/>
      <c r="I277" s="151" t="s">
        <v>20249</v>
      </c>
      <c r="J277" s="31">
        <v>3.3</v>
      </c>
      <c r="K277" s="504">
        <v>0</v>
      </c>
      <c r="L277" s="502"/>
      <c r="M277" s="147">
        <v>3.3</v>
      </c>
      <c r="N277" s="504">
        <v>0</v>
      </c>
      <c r="O277" s="29"/>
      <c r="P277" s="29">
        <v>10.5</v>
      </c>
      <c r="Q277" s="144">
        <v>7.2</v>
      </c>
      <c r="R277" s="877"/>
      <c r="S277" s="879" t="s">
        <v>20211</v>
      </c>
      <c r="T277" s="146" t="s">
        <v>20211</v>
      </c>
      <c r="U277" s="879"/>
      <c r="V277" s="879"/>
      <c r="W277" s="879" t="s">
        <v>2024</v>
      </c>
      <c r="X277" s="43"/>
      <c r="Y277" s="875"/>
      <c r="Z277" s="874"/>
      <c r="AA277" s="1" t="s">
        <v>1141</v>
      </c>
      <c r="AB277" s="9">
        <v>16</v>
      </c>
      <c r="AC277" s="151" t="s">
        <v>522</v>
      </c>
      <c r="AD277" s="151">
        <v>10</v>
      </c>
      <c r="AE277" s="151"/>
      <c r="AF277" s="152"/>
      <c r="AG277" s="143" t="s">
        <v>20249</v>
      </c>
      <c r="AH277" s="144">
        <v>0.52336956521739131</v>
      </c>
      <c r="AI277" s="144">
        <v>3.8233695652173911</v>
      </c>
      <c r="AJ277" s="144">
        <v>0</v>
      </c>
      <c r="AK277" s="143">
        <v>0</v>
      </c>
      <c r="AL277" s="144">
        <v>3.8233695652173911</v>
      </c>
      <c r="AM277" s="144">
        <v>0</v>
      </c>
      <c r="AN277" s="29">
        <v>10.5</v>
      </c>
      <c r="AO277" s="144">
        <v>6.6766304347826093</v>
      </c>
      <c r="AP277" s="904"/>
      <c r="AQ277" s="904" t="s">
        <v>20211</v>
      </c>
      <c r="AR277" s="146" t="s">
        <v>20211</v>
      </c>
      <c r="AS277" s="947"/>
      <c r="AT277" s="58" t="s">
        <v>504</v>
      </c>
      <c r="AU277" s="118">
        <v>1964</v>
      </c>
      <c r="AV277" s="149" t="s">
        <v>2143</v>
      </c>
      <c r="AW277" s="120">
        <v>56.222590712521701</v>
      </c>
      <c r="AX277" s="120">
        <v>33.502481446068401</v>
      </c>
    </row>
    <row r="278" spans="1:50" ht="15" customHeight="1" x14ac:dyDescent="0.25">
      <c r="A278" s="875">
        <v>200</v>
      </c>
      <c r="B278" s="875">
        <v>26</v>
      </c>
      <c r="C278" s="143" t="s">
        <v>107</v>
      </c>
      <c r="D278" s="9">
        <v>16</v>
      </c>
      <c r="E278" s="503" t="s">
        <v>522</v>
      </c>
      <c r="F278" s="503">
        <v>16</v>
      </c>
      <c r="G278" s="503"/>
      <c r="H278" s="501"/>
      <c r="I278" s="151" t="s">
        <v>20243</v>
      </c>
      <c r="J278" s="31">
        <v>11.84</v>
      </c>
      <c r="K278" s="504">
        <v>4.1694977966661533</v>
      </c>
      <c r="L278" s="502">
        <v>480</v>
      </c>
      <c r="M278" s="147">
        <v>7.6705022033338466</v>
      </c>
      <c r="N278" s="504">
        <v>0</v>
      </c>
      <c r="O278" s="29"/>
      <c r="P278" s="29">
        <v>16.8</v>
      </c>
      <c r="Q278" s="144">
        <v>9.1294977966661541</v>
      </c>
      <c r="R278" s="877">
        <v>9.1294977966661541</v>
      </c>
      <c r="S278" s="878" t="s">
        <v>20211</v>
      </c>
      <c r="T278" s="146" t="s">
        <v>20211</v>
      </c>
      <c r="U278" s="878">
        <v>70.476190476190467</v>
      </c>
      <c r="V278" s="878">
        <v>0.46</v>
      </c>
      <c r="W278" s="878" t="s">
        <v>2024</v>
      </c>
      <c r="X278" s="43"/>
      <c r="Y278" s="875">
        <v>200</v>
      </c>
      <c r="Z278" s="874">
        <v>26</v>
      </c>
      <c r="AA278" s="143" t="s">
        <v>107</v>
      </c>
      <c r="AB278" s="9">
        <v>16</v>
      </c>
      <c r="AC278" s="151" t="s">
        <v>522</v>
      </c>
      <c r="AD278" s="151">
        <v>16</v>
      </c>
      <c r="AE278" s="151"/>
      <c r="AF278" s="152"/>
      <c r="AG278" s="143" t="s">
        <v>20243</v>
      </c>
      <c r="AH278" s="144">
        <v>4.1537500000000005</v>
      </c>
      <c r="AI278" s="144">
        <v>15.99375</v>
      </c>
      <c r="AJ278" s="144">
        <v>4.1694977966661533</v>
      </c>
      <c r="AK278" s="143">
        <v>480</v>
      </c>
      <c r="AL278" s="144">
        <v>11.824252203333847</v>
      </c>
      <c r="AM278" s="144">
        <v>0</v>
      </c>
      <c r="AN278" s="29">
        <v>16.8</v>
      </c>
      <c r="AO278" s="144">
        <v>4.9757477966661536</v>
      </c>
      <c r="AP278" s="902">
        <v>4.9757477966661536</v>
      </c>
      <c r="AQ278" s="902" t="s">
        <v>20211</v>
      </c>
      <c r="AR278" s="146" t="s">
        <v>20211</v>
      </c>
      <c r="AS278" s="945">
        <v>95.200892857142847</v>
      </c>
      <c r="AT278" s="58" t="s">
        <v>504</v>
      </c>
      <c r="AU278" s="118">
        <v>1961</v>
      </c>
      <c r="AV278" s="149" t="s">
        <v>2143</v>
      </c>
      <c r="AW278" s="120">
        <v>56.498230498297197</v>
      </c>
      <c r="AX278" s="120">
        <v>34.925430104473897</v>
      </c>
    </row>
    <row r="279" spans="1:50" ht="15" customHeight="1" x14ac:dyDescent="0.25">
      <c r="A279" s="875"/>
      <c r="B279" s="875"/>
      <c r="C279" s="1" t="s">
        <v>1180</v>
      </c>
      <c r="D279" s="9">
        <v>16</v>
      </c>
      <c r="E279" s="503" t="s">
        <v>522</v>
      </c>
      <c r="F279" s="503">
        <v>16</v>
      </c>
      <c r="G279" s="503"/>
      <c r="H279" s="501"/>
      <c r="I279" s="151" t="s">
        <v>20243</v>
      </c>
      <c r="J279" s="31">
        <v>3.95</v>
      </c>
      <c r="K279" s="504">
        <v>3.4884313966661531</v>
      </c>
      <c r="L279" s="502">
        <v>480</v>
      </c>
      <c r="M279" s="147">
        <v>0.46156860333384708</v>
      </c>
      <c r="N279" s="504">
        <v>0</v>
      </c>
      <c r="O279" s="29"/>
      <c r="P279" s="29">
        <v>16.8</v>
      </c>
      <c r="Q279" s="144">
        <v>16.338431396666152</v>
      </c>
      <c r="R279" s="877"/>
      <c r="S279" s="879" t="s">
        <v>20211</v>
      </c>
      <c r="T279" s="146" t="s">
        <v>20211</v>
      </c>
      <c r="U279" s="879"/>
      <c r="V279" s="879"/>
      <c r="W279" s="879" t="s">
        <v>2024</v>
      </c>
      <c r="X279" s="43"/>
      <c r="Y279" s="875"/>
      <c r="Z279" s="874"/>
      <c r="AA279" s="1" t="s">
        <v>1180</v>
      </c>
      <c r="AB279" s="9">
        <v>16</v>
      </c>
      <c r="AC279" s="151" t="s">
        <v>522</v>
      </c>
      <c r="AD279" s="151">
        <v>16</v>
      </c>
      <c r="AE279" s="151"/>
      <c r="AF279" s="152"/>
      <c r="AG279" s="143" t="s">
        <v>20243</v>
      </c>
      <c r="AH279" s="144">
        <v>1.8278804347826085</v>
      </c>
      <c r="AI279" s="144">
        <v>5.7778804347826087</v>
      </c>
      <c r="AJ279" s="144">
        <v>3.4884313966661531</v>
      </c>
      <c r="AK279" s="143">
        <v>480</v>
      </c>
      <c r="AL279" s="144">
        <v>2.2894490381164556</v>
      </c>
      <c r="AM279" s="144">
        <v>0</v>
      </c>
      <c r="AN279" s="29">
        <v>16.8</v>
      </c>
      <c r="AO279" s="144">
        <v>14.510550961883546</v>
      </c>
      <c r="AP279" s="903"/>
      <c r="AQ279" s="903"/>
      <c r="AR279" s="146" t="s">
        <v>20211</v>
      </c>
      <c r="AS279" s="946"/>
      <c r="AT279" s="58" t="s">
        <v>504</v>
      </c>
      <c r="AU279" s="118">
        <v>1961</v>
      </c>
      <c r="AV279" s="149" t="s">
        <v>2143</v>
      </c>
      <c r="AW279" s="120">
        <v>56.498230498297197</v>
      </c>
      <c r="AX279" s="120">
        <v>34.925430104473897</v>
      </c>
    </row>
    <row r="280" spans="1:50" ht="15" customHeight="1" x14ac:dyDescent="0.25">
      <c r="A280" s="875"/>
      <c r="B280" s="875"/>
      <c r="C280" s="1" t="s">
        <v>1141</v>
      </c>
      <c r="D280" s="9">
        <v>16</v>
      </c>
      <c r="E280" s="503" t="s">
        <v>522</v>
      </c>
      <c r="F280" s="503">
        <v>16</v>
      </c>
      <c r="G280" s="503"/>
      <c r="H280" s="501"/>
      <c r="I280" s="151" t="s">
        <v>20243</v>
      </c>
      <c r="J280" s="31">
        <v>7.89</v>
      </c>
      <c r="K280" s="504">
        <v>0.68106640000000007</v>
      </c>
      <c r="L280" s="502">
        <v>240</v>
      </c>
      <c r="M280" s="147">
        <v>7.2089335999999999</v>
      </c>
      <c r="N280" s="504">
        <v>0</v>
      </c>
      <c r="O280" s="29"/>
      <c r="P280" s="29">
        <v>16.8</v>
      </c>
      <c r="Q280" s="144">
        <v>9.5910664000000008</v>
      </c>
      <c r="R280" s="877"/>
      <c r="S280" s="879" t="s">
        <v>20211</v>
      </c>
      <c r="T280" s="146" t="s">
        <v>20211</v>
      </c>
      <c r="U280" s="879"/>
      <c r="V280" s="879"/>
      <c r="W280" s="879" t="s">
        <v>2024</v>
      </c>
      <c r="X280" s="43"/>
      <c r="Y280" s="875"/>
      <c r="Z280" s="874"/>
      <c r="AA280" s="1" t="s">
        <v>1141</v>
      </c>
      <c r="AB280" s="9">
        <v>16</v>
      </c>
      <c r="AC280" s="151" t="s">
        <v>522</v>
      </c>
      <c r="AD280" s="151">
        <v>16</v>
      </c>
      <c r="AE280" s="151"/>
      <c r="AF280" s="152"/>
      <c r="AG280" s="143" t="s">
        <v>20243</v>
      </c>
      <c r="AH280" s="144">
        <v>2.3258695652173915</v>
      </c>
      <c r="AI280" s="144">
        <v>10.215869565217391</v>
      </c>
      <c r="AJ280" s="144">
        <v>0.68106640000000007</v>
      </c>
      <c r="AK280" s="143">
        <v>240</v>
      </c>
      <c r="AL280" s="144">
        <v>9.5348031652173901</v>
      </c>
      <c r="AM280" s="144">
        <v>0</v>
      </c>
      <c r="AN280" s="29">
        <v>16.8</v>
      </c>
      <c r="AO280" s="144">
        <v>7.2651968347826106</v>
      </c>
      <c r="AP280" s="904"/>
      <c r="AQ280" s="904"/>
      <c r="AR280" s="146" t="s">
        <v>20211</v>
      </c>
      <c r="AS280" s="947"/>
      <c r="AT280" s="58" t="s">
        <v>504</v>
      </c>
      <c r="AU280" s="118">
        <v>1961</v>
      </c>
      <c r="AV280" s="149" t="s">
        <v>2143</v>
      </c>
      <c r="AW280" s="120">
        <v>56.498230498297197</v>
      </c>
      <c r="AX280" s="120">
        <v>34.925430104473897</v>
      </c>
    </row>
    <row r="281" spans="1:50" ht="15" customHeight="1" x14ac:dyDescent="0.25">
      <c r="A281" s="875">
        <v>201</v>
      </c>
      <c r="B281" s="875">
        <v>27</v>
      </c>
      <c r="C281" s="143" t="s">
        <v>108</v>
      </c>
      <c r="D281" s="9">
        <v>6.3</v>
      </c>
      <c r="E281" s="503" t="s">
        <v>522</v>
      </c>
      <c r="F281" s="503">
        <v>6.3</v>
      </c>
      <c r="G281" s="503"/>
      <c r="H281" s="501"/>
      <c r="I281" s="151" t="s">
        <v>20225</v>
      </c>
      <c r="J281" s="31">
        <v>3.23</v>
      </c>
      <c r="K281" s="504"/>
      <c r="L281" s="502"/>
      <c r="M281" s="147">
        <v>3.23</v>
      </c>
      <c r="N281" s="504">
        <v>0</v>
      </c>
      <c r="O281" s="29"/>
      <c r="P281" s="29">
        <v>6.6150000000000002</v>
      </c>
      <c r="Q281" s="144">
        <v>3.3850000000000002</v>
      </c>
      <c r="R281" s="877">
        <v>3.3850000000000002</v>
      </c>
      <c r="S281" s="878" t="s">
        <v>20211</v>
      </c>
      <c r="T281" s="146" t="s">
        <v>20211</v>
      </c>
      <c r="U281" s="878">
        <v>48.828420256991684</v>
      </c>
      <c r="V281" s="878">
        <v>0.57999999999999996</v>
      </c>
      <c r="W281" s="878" t="s">
        <v>2024</v>
      </c>
      <c r="X281" s="43"/>
      <c r="Y281" s="875">
        <v>201</v>
      </c>
      <c r="Z281" s="874">
        <v>27</v>
      </c>
      <c r="AA281" s="143" t="s">
        <v>108</v>
      </c>
      <c r="AB281" s="9">
        <v>6.3</v>
      </c>
      <c r="AC281" s="151" t="s">
        <v>522</v>
      </c>
      <c r="AD281" s="151">
        <v>6.3</v>
      </c>
      <c r="AE281" s="151"/>
      <c r="AF281" s="152"/>
      <c r="AG281" s="143" t="s">
        <v>20225</v>
      </c>
      <c r="AH281" s="144">
        <v>1.3558478260869566</v>
      </c>
      <c r="AI281" s="144">
        <v>4.5858478260869564</v>
      </c>
      <c r="AJ281" s="144">
        <v>0</v>
      </c>
      <c r="AK281" s="143">
        <v>0</v>
      </c>
      <c r="AL281" s="144">
        <v>4.5858478260869564</v>
      </c>
      <c r="AM281" s="144">
        <v>0</v>
      </c>
      <c r="AN281" s="29">
        <v>6.6150000000000002</v>
      </c>
      <c r="AO281" s="144">
        <v>2.0291521739130438</v>
      </c>
      <c r="AP281" s="902">
        <v>2.0291521739130438</v>
      </c>
      <c r="AQ281" s="902" t="s">
        <v>20211</v>
      </c>
      <c r="AR281" s="146" t="s">
        <v>20211</v>
      </c>
      <c r="AS281" s="945">
        <v>69.324986033060569</v>
      </c>
      <c r="AT281" s="58" t="s">
        <v>504</v>
      </c>
      <c r="AU281" s="118">
        <v>1975</v>
      </c>
      <c r="AV281" s="149" t="s">
        <v>2143</v>
      </c>
      <c r="AW281" s="120">
        <v>56.593616507818602</v>
      </c>
      <c r="AX281" s="120">
        <v>35.225638740526897</v>
      </c>
    </row>
    <row r="282" spans="1:50" ht="15" customHeight="1" x14ac:dyDescent="0.25">
      <c r="A282" s="875"/>
      <c r="B282" s="875"/>
      <c r="C282" s="1" t="s">
        <v>1180</v>
      </c>
      <c r="D282" s="9">
        <v>6.3</v>
      </c>
      <c r="E282" s="503" t="s">
        <v>522</v>
      </c>
      <c r="F282" s="503">
        <v>6.3</v>
      </c>
      <c r="G282" s="503"/>
      <c r="H282" s="501"/>
      <c r="I282" s="151" t="s">
        <v>20225</v>
      </c>
      <c r="J282" s="31">
        <v>0</v>
      </c>
      <c r="K282" s="504"/>
      <c r="L282" s="502"/>
      <c r="M282" s="147">
        <v>0</v>
      </c>
      <c r="N282" s="504">
        <v>0</v>
      </c>
      <c r="O282" s="29"/>
      <c r="P282" s="29">
        <v>6.6150000000000002</v>
      </c>
      <c r="Q282" s="144">
        <v>6.6150000000000002</v>
      </c>
      <c r="R282" s="877"/>
      <c r="S282" s="879" t="s">
        <v>20211</v>
      </c>
      <c r="T282" s="146" t="s">
        <v>20211</v>
      </c>
      <c r="U282" s="879"/>
      <c r="V282" s="879"/>
      <c r="W282" s="879" t="s">
        <v>2024</v>
      </c>
      <c r="X282" s="43"/>
      <c r="Y282" s="875"/>
      <c r="Z282" s="874"/>
      <c r="AA282" s="1" t="s">
        <v>1180</v>
      </c>
      <c r="AB282" s="9">
        <v>6.3</v>
      </c>
      <c r="AC282" s="151" t="s">
        <v>522</v>
      </c>
      <c r="AD282" s="151">
        <v>6.3</v>
      </c>
      <c r="AE282" s="151"/>
      <c r="AF282" s="152"/>
      <c r="AG282" s="143" t="s">
        <v>20225</v>
      </c>
      <c r="AH282" s="144">
        <v>0</v>
      </c>
      <c r="AI282" s="144">
        <v>0</v>
      </c>
      <c r="AJ282" s="144">
        <v>0</v>
      </c>
      <c r="AK282" s="143">
        <v>0</v>
      </c>
      <c r="AL282" s="144">
        <v>0</v>
      </c>
      <c r="AM282" s="144">
        <v>0</v>
      </c>
      <c r="AN282" s="29">
        <v>6.6150000000000002</v>
      </c>
      <c r="AO282" s="144">
        <v>6.6150000000000002</v>
      </c>
      <c r="AP282" s="903"/>
      <c r="AQ282" s="903" t="s">
        <v>20211</v>
      </c>
      <c r="AR282" s="146" t="s">
        <v>20211</v>
      </c>
      <c r="AS282" s="946"/>
      <c r="AT282" s="58" t="s">
        <v>504</v>
      </c>
      <c r="AU282" s="118">
        <v>1975</v>
      </c>
      <c r="AV282" s="149" t="s">
        <v>2143</v>
      </c>
      <c r="AW282" s="120">
        <v>56.593616507818602</v>
      </c>
      <c r="AX282" s="120">
        <v>35.225638740526897</v>
      </c>
    </row>
    <row r="283" spans="1:50" ht="15" customHeight="1" x14ac:dyDescent="0.25">
      <c r="A283" s="875"/>
      <c r="B283" s="875"/>
      <c r="C283" s="1" t="s">
        <v>1141</v>
      </c>
      <c r="D283" s="9">
        <v>6.3</v>
      </c>
      <c r="E283" s="503" t="s">
        <v>522</v>
      </c>
      <c r="F283" s="503">
        <v>6.3</v>
      </c>
      <c r="G283" s="503"/>
      <c r="H283" s="501"/>
      <c r="I283" s="151" t="s">
        <v>20225</v>
      </c>
      <c r="J283" s="31">
        <v>3.23</v>
      </c>
      <c r="K283" s="504"/>
      <c r="L283" s="502"/>
      <c r="M283" s="147">
        <v>3.23</v>
      </c>
      <c r="N283" s="504">
        <v>0</v>
      </c>
      <c r="O283" s="29"/>
      <c r="P283" s="29">
        <v>6.6150000000000002</v>
      </c>
      <c r="Q283" s="144">
        <v>3.3850000000000002</v>
      </c>
      <c r="R283" s="877"/>
      <c r="S283" s="879" t="s">
        <v>20211</v>
      </c>
      <c r="T283" s="146" t="s">
        <v>20211</v>
      </c>
      <c r="U283" s="879"/>
      <c r="V283" s="879"/>
      <c r="W283" s="879" t="s">
        <v>2024</v>
      </c>
      <c r="X283" s="43"/>
      <c r="Y283" s="875"/>
      <c r="Z283" s="874"/>
      <c r="AA283" s="1" t="s">
        <v>1141</v>
      </c>
      <c r="AB283" s="9">
        <v>6.3</v>
      </c>
      <c r="AC283" s="151" t="s">
        <v>522</v>
      </c>
      <c r="AD283" s="151">
        <v>6.3</v>
      </c>
      <c r="AE283" s="151"/>
      <c r="AF283" s="152"/>
      <c r="AG283" s="143" t="s">
        <v>20225</v>
      </c>
      <c r="AH283" s="148">
        <v>1.3558478260869566</v>
      </c>
      <c r="AI283" s="144">
        <v>4.5858478260869564</v>
      </c>
      <c r="AJ283" s="144">
        <v>0</v>
      </c>
      <c r="AK283" s="143">
        <v>0</v>
      </c>
      <c r="AL283" s="144">
        <v>4.5858478260869564</v>
      </c>
      <c r="AM283" s="144">
        <v>0</v>
      </c>
      <c r="AN283" s="29">
        <v>6.6150000000000002</v>
      </c>
      <c r="AO283" s="144">
        <v>2.0291521739130438</v>
      </c>
      <c r="AP283" s="904"/>
      <c r="AQ283" s="904" t="s">
        <v>20211</v>
      </c>
      <c r="AR283" s="146" t="s">
        <v>20211</v>
      </c>
      <c r="AS283" s="947"/>
      <c r="AT283" s="58" t="s">
        <v>504</v>
      </c>
      <c r="AU283" s="118">
        <v>1975</v>
      </c>
      <c r="AV283" s="149" t="s">
        <v>2143</v>
      </c>
      <c r="AW283" s="120">
        <v>56.593616507818602</v>
      </c>
      <c r="AX283" s="120">
        <v>35.225638740526897</v>
      </c>
    </row>
    <row r="284" spans="1:50" ht="15" customHeight="1" x14ac:dyDescent="0.25">
      <c r="A284" s="143">
        <v>202</v>
      </c>
      <c r="B284" s="143">
        <v>1</v>
      </c>
      <c r="C284" s="143" t="s">
        <v>109</v>
      </c>
      <c r="D284" s="9">
        <v>2.5</v>
      </c>
      <c r="E284" s="503"/>
      <c r="F284" s="503"/>
      <c r="G284" s="503"/>
      <c r="H284" s="501"/>
      <c r="I284" s="151" t="s">
        <v>20212</v>
      </c>
      <c r="J284" s="31">
        <v>0.94458000000000009</v>
      </c>
      <c r="K284" s="33">
        <v>0.94</v>
      </c>
      <c r="L284" s="3" t="s">
        <v>1153</v>
      </c>
      <c r="M284" s="144">
        <v>0.94</v>
      </c>
      <c r="N284" s="504">
        <v>0</v>
      </c>
      <c r="O284" s="29"/>
      <c r="P284" s="29">
        <v>0.94</v>
      </c>
      <c r="Q284" s="144">
        <v>-4.5800000000001395E-3</v>
      </c>
      <c r="R284" s="144">
        <v>-4.5800000000001395E-3</v>
      </c>
      <c r="S284" s="145" t="s">
        <v>2217</v>
      </c>
      <c r="T284" s="146" t="s">
        <v>2217</v>
      </c>
      <c r="U284" s="145">
        <v>35.984000000000002</v>
      </c>
      <c r="V284" s="505">
        <v>0.3</v>
      </c>
      <c r="W284" s="505" t="s">
        <v>2024</v>
      </c>
      <c r="X284" s="43"/>
      <c r="Y284" s="143">
        <v>202</v>
      </c>
      <c r="Z284" s="152">
        <v>1</v>
      </c>
      <c r="AA284" s="143" t="s">
        <v>109</v>
      </c>
      <c r="AB284" s="9">
        <v>2.5</v>
      </c>
      <c r="AC284" s="151"/>
      <c r="AD284" s="151"/>
      <c r="AE284" s="151"/>
      <c r="AF284" s="152"/>
      <c r="AG284" s="143" t="s">
        <v>20212</v>
      </c>
      <c r="AH284" s="144">
        <v>0.72229891304347826</v>
      </c>
      <c r="AI284" s="144">
        <v>1.6668789130434782</v>
      </c>
      <c r="AJ284" s="144">
        <v>0.94</v>
      </c>
      <c r="AK284" s="143" t="s">
        <v>1153</v>
      </c>
      <c r="AL284" s="144">
        <v>0.94</v>
      </c>
      <c r="AM284" s="144">
        <v>0</v>
      </c>
      <c r="AN284" s="29">
        <v>0.94</v>
      </c>
      <c r="AO284" s="144">
        <v>-0.72687891304347829</v>
      </c>
      <c r="AP284" s="144">
        <v>-0.72687891304347829</v>
      </c>
      <c r="AQ284" s="153" t="s">
        <v>2217</v>
      </c>
      <c r="AR284" s="146" t="s">
        <v>2217</v>
      </c>
      <c r="AS284" s="56">
        <v>63.500149068322983</v>
      </c>
      <c r="AT284" s="58" t="s">
        <v>50</v>
      </c>
      <c r="AU284" s="118">
        <v>1989</v>
      </c>
      <c r="AV284" s="149" t="s">
        <v>2143</v>
      </c>
      <c r="AW284" s="120">
        <v>56.818146640964599</v>
      </c>
      <c r="AX284" s="120">
        <v>35.940324736067303</v>
      </c>
    </row>
    <row r="285" spans="1:50" ht="15" customHeight="1" x14ac:dyDescent="0.25">
      <c r="A285" s="143">
        <v>203</v>
      </c>
      <c r="B285" s="143">
        <v>2</v>
      </c>
      <c r="C285" s="143" t="s">
        <v>110</v>
      </c>
      <c r="D285" s="9">
        <v>1.6</v>
      </c>
      <c r="E285" s="503"/>
      <c r="F285" s="503"/>
      <c r="G285" s="503"/>
      <c r="H285" s="501"/>
      <c r="I285" s="151" t="s">
        <v>20210</v>
      </c>
      <c r="J285" s="31">
        <v>1.32345</v>
      </c>
      <c r="K285" s="33">
        <v>0</v>
      </c>
      <c r="L285" s="3">
        <v>0</v>
      </c>
      <c r="M285" s="144">
        <v>0</v>
      </c>
      <c r="N285" s="504">
        <v>0</v>
      </c>
      <c r="O285" s="29"/>
      <c r="P285" s="29">
        <v>0</v>
      </c>
      <c r="Q285" s="144">
        <v>-1.32345</v>
      </c>
      <c r="R285" s="144">
        <v>-1.32345</v>
      </c>
      <c r="S285" s="144" t="s">
        <v>2217</v>
      </c>
      <c r="T285" s="146" t="s">
        <v>2217</v>
      </c>
      <c r="U285" s="145">
        <v>78.776785714285708</v>
      </c>
      <c r="V285" s="505">
        <v>0.4</v>
      </c>
      <c r="W285" s="505" t="s">
        <v>2024</v>
      </c>
      <c r="X285" s="43"/>
      <c r="Y285" s="143">
        <v>203</v>
      </c>
      <c r="Z285" s="152">
        <v>2</v>
      </c>
      <c r="AA285" s="143" t="s">
        <v>110</v>
      </c>
      <c r="AB285" s="9">
        <v>1.6</v>
      </c>
      <c r="AC285" s="151"/>
      <c r="AD285" s="151"/>
      <c r="AE285" s="151"/>
      <c r="AF285" s="152"/>
      <c r="AG285" s="143" t="s">
        <v>20210</v>
      </c>
      <c r="AH285" s="144">
        <v>1.6745217391304346</v>
      </c>
      <c r="AI285" s="144">
        <v>2.9979717391304348</v>
      </c>
      <c r="AJ285" s="144">
        <v>0</v>
      </c>
      <c r="AK285" s="143">
        <v>0</v>
      </c>
      <c r="AL285" s="144">
        <v>0</v>
      </c>
      <c r="AM285" s="144">
        <v>0</v>
      </c>
      <c r="AN285" s="29">
        <v>0</v>
      </c>
      <c r="AO285" s="144">
        <v>-2.9979717391304348</v>
      </c>
      <c r="AP285" s="144">
        <v>-2.9979717391304348</v>
      </c>
      <c r="AQ285" s="153" t="s">
        <v>2217</v>
      </c>
      <c r="AR285" s="146" t="s">
        <v>2217</v>
      </c>
      <c r="AS285" s="56">
        <v>178.45069875776394</v>
      </c>
      <c r="AT285" s="58" t="s">
        <v>50</v>
      </c>
      <c r="AU285" s="118">
        <v>1959</v>
      </c>
      <c r="AV285" s="149" t="s">
        <v>2143</v>
      </c>
      <c r="AW285" s="120">
        <v>56.713710650261802</v>
      </c>
      <c r="AX285" s="120">
        <v>35.606964689512203</v>
      </c>
    </row>
    <row r="286" spans="1:50" ht="15" customHeight="1" x14ac:dyDescent="0.25">
      <c r="A286" s="143">
        <v>204</v>
      </c>
      <c r="B286" s="143">
        <v>3</v>
      </c>
      <c r="C286" s="143" t="s">
        <v>111</v>
      </c>
      <c r="D286" s="9">
        <v>2.5</v>
      </c>
      <c r="E286" s="503"/>
      <c r="F286" s="503"/>
      <c r="G286" s="503"/>
      <c r="H286" s="501"/>
      <c r="I286" s="151" t="s">
        <v>20212</v>
      </c>
      <c r="J286" s="31">
        <v>0.85617699999999985</v>
      </c>
      <c r="K286" s="33">
        <v>0</v>
      </c>
      <c r="L286" s="3">
        <v>0</v>
      </c>
      <c r="M286" s="144">
        <v>0</v>
      </c>
      <c r="N286" s="504">
        <v>0</v>
      </c>
      <c r="O286" s="29"/>
      <c r="P286" s="29">
        <v>0</v>
      </c>
      <c r="Q286" s="144">
        <v>-0.85617699999999985</v>
      </c>
      <c r="R286" s="144">
        <v>-0.85617699999999985</v>
      </c>
      <c r="S286" s="144" t="s">
        <v>2217</v>
      </c>
      <c r="T286" s="146" t="s">
        <v>2217</v>
      </c>
      <c r="U286" s="145">
        <v>32.616266666666661</v>
      </c>
      <c r="V286" s="505">
        <v>0.3</v>
      </c>
      <c r="W286" s="505" t="s">
        <v>2024</v>
      </c>
      <c r="X286" s="43"/>
      <c r="Y286" s="143">
        <v>204</v>
      </c>
      <c r="Z286" s="152">
        <v>3</v>
      </c>
      <c r="AA286" s="143" t="s">
        <v>111</v>
      </c>
      <c r="AB286" s="9">
        <v>2.5</v>
      </c>
      <c r="AC286" s="151"/>
      <c r="AD286" s="151"/>
      <c r="AE286" s="151"/>
      <c r="AF286" s="152"/>
      <c r="AG286" s="143" t="s">
        <v>20212</v>
      </c>
      <c r="AH286" s="144">
        <v>0.76597826086956522</v>
      </c>
      <c r="AI286" s="144">
        <v>1.6221552608695651</v>
      </c>
      <c r="AJ286" s="144">
        <v>0</v>
      </c>
      <c r="AK286" s="143">
        <v>0</v>
      </c>
      <c r="AL286" s="144">
        <v>0</v>
      </c>
      <c r="AM286" s="144">
        <v>0</v>
      </c>
      <c r="AN286" s="29">
        <v>0</v>
      </c>
      <c r="AO286" s="144">
        <v>-1.6221552608695651</v>
      </c>
      <c r="AP286" s="144">
        <v>-1.6221552608695651</v>
      </c>
      <c r="AQ286" s="153" t="s">
        <v>2217</v>
      </c>
      <c r="AR286" s="146" t="s">
        <v>2217</v>
      </c>
      <c r="AS286" s="56">
        <v>61.796390890269151</v>
      </c>
      <c r="AT286" s="58" t="s">
        <v>50</v>
      </c>
      <c r="AU286" s="118">
        <v>1970</v>
      </c>
      <c r="AV286" s="149" t="s">
        <v>2143</v>
      </c>
      <c r="AW286" s="120">
        <v>56.776487935509401</v>
      </c>
      <c r="AX286" s="120">
        <v>36.343396986997</v>
      </c>
    </row>
    <row r="287" spans="1:50" ht="15" customHeight="1" x14ac:dyDescent="0.25">
      <c r="A287" s="143">
        <v>205</v>
      </c>
      <c r="B287" s="143">
        <v>4</v>
      </c>
      <c r="C287" s="143" t="s">
        <v>1958</v>
      </c>
      <c r="D287" s="9">
        <v>1</v>
      </c>
      <c r="E287" s="503"/>
      <c r="F287" s="503"/>
      <c r="G287" s="503"/>
      <c r="H287" s="501"/>
      <c r="I287" s="151" t="s">
        <v>2043</v>
      </c>
      <c r="J287" s="31">
        <v>0.11417999999999999</v>
      </c>
      <c r="K287" s="33">
        <v>0</v>
      </c>
      <c r="L287" s="3">
        <v>0</v>
      </c>
      <c r="M287" s="144">
        <v>0</v>
      </c>
      <c r="N287" s="504">
        <v>0</v>
      </c>
      <c r="O287" s="29"/>
      <c r="P287" s="29">
        <v>0</v>
      </c>
      <c r="Q287" s="144">
        <v>-0.11417999999999999</v>
      </c>
      <c r="R287" s="144">
        <v>-0.11417999999999999</v>
      </c>
      <c r="S287" s="144" t="s">
        <v>2217</v>
      </c>
      <c r="T287" s="146" t="s">
        <v>2217</v>
      </c>
      <c r="U287" s="145">
        <v>10.874285714285714</v>
      </c>
      <c r="V287" s="505"/>
      <c r="W287" s="505" t="s">
        <v>2023</v>
      </c>
      <c r="X287" s="43"/>
      <c r="Y287" s="143">
        <v>205</v>
      </c>
      <c r="Z287" s="152">
        <v>4</v>
      </c>
      <c r="AA287" s="143" t="s">
        <v>1958</v>
      </c>
      <c r="AB287" s="9">
        <v>1</v>
      </c>
      <c r="AC287" s="151"/>
      <c r="AD287" s="151"/>
      <c r="AE287" s="151"/>
      <c r="AF287" s="152"/>
      <c r="AG287" s="143" t="s">
        <v>2043</v>
      </c>
      <c r="AH287" s="144">
        <v>0</v>
      </c>
      <c r="AI287" s="144">
        <v>0.11417999999999999</v>
      </c>
      <c r="AJ287" s="144">
        <v>0</v>
      </c>
      <c r="AK287" s="143">
        <v>0</v>
      </c>
      <c r="AL287" s="144">
        <v>0</v>
      </c>
      <c r="AM287" s="144">
        <v>0</v>
      </c>
      <c r="AN287" s="29">
        <v>0</v>
      </c>
      <c r="AO287" s="144">
        <v>-0.11417999999999999</v>
      </c>
      <c r="AP287" s="144">
        <v>-0.11417999999999999</v>
      </c>
      <c r="AQ287" s="153" t="s">
        <v>2217</v>
      </c>
      <c r="AR287" s="146" t="s">
        <v>2217</v>
      </c>
      <c r="AS287" s="56">
        <v>10.874285714285714</v>
      </c>
      <c r="AT287" s="58" t="s">
        <v>50</v>
      </c>
      <c r="AU287" s="118">
        <v>1949</v>
      </c>
      <c r="AV287" s="149" t="s">
        <v>2143</v>
      </c>
      <c r="AW287" s="120">
        <v>57.012558196179903</v>
      </c>
      <c r="AX287" s="120">
        <v>36.154382827292402</v>
      </c>
    </row>
    <row r="288" spans="1:50" ht="15" customHeight="1" x14ac:dyDescent="0.25">
      <c r="A288" s="143">
        <v>206</v>
      </c>
      <c r="B288" s="143">
        <v>5</v>
      </c>
      <c r="C288" s="143" t="s">
        <v>112</v>
      </c>
      <c r="D288" s="9">
        <v>1</v>
      </c>
      <c r="E288" s="503"/>
      <c r="F288" s="503"/>
      <c r="G288" s="503"/>
      <c r="H288" s="501"/>
      <c r="I288" s="151" t="s">
        <v>2043</v>
      </c>
      <c r="J288" s="31">
        <v>0.88575999999999999</v>
      </c>
      <c r="K288" s="33">
        <v>0</v>
      </c>
      <c r="L288" s="3">
        <v>0</v>
      </c>
      <c r="M288" s="144">
        <v>0</v>
      </c>
      <c r="N288" s="504">
        <v>0</v>
      </c>
      <c r="O288" s="29"/>
      <c r="P288" s="29">
        <v>0</v>
      </c>
      <c r="Q288" s="144">
        <v>-0.88575999999999999</v>
      </c>
      <c r="R288" s="144">
        <v>-0.88575999999999999</v>
      </c>
      <c r="S288" s="144" t="s">
        <v>2217</v>
      </c>
      <c r="T288" s="146" t="s">
        <v>2217</v>
      </c>
      <c r="U288" s="145">
        <v>84.358095238095231</v>
      </c>
      <c r="V288" s="505">
        <v>0.2</v>
      </c>
      <c r="W288" s="505" t="s">
        <v>2024</v>
      </c>
      <c r="X288" s="43"/>
      <c r="Y288" s="143">
        <v>206</v>
      </c>
      <c r="Z288" s="152">
        <v>5</v>
      </c>
      <c r="AA288" s="143" t="s">
        <v>112</v>
      </c>
      <c r="AB288" s="9">
        <v>1</v>
      </c>
      <c r="AC288" s="151"/>
      <c r="AD288" s="151"/>
      <c r="AE288" s="151"/>
      <c r="AF288" s="152"/>
      <c r="AG288" s="143" t="s">
        <v>2043</v>
      </c>
      <c r="AH288" s="144">
        <v>0.13500000000000001</v>
      </c>
      <c r="AI288" s="144">
        <v>1.0207600000000001</v>
      </c>
      <c r="AJ288" s="144">
        <v>0</v>
      </c>
      <c r="AK288" s="143">
        <v>0</v>
      </c>
      <c r="AL288" s="144">
        <v>0</v>
      </c>
      <c r="AM288" s="144">
        <v>0</v>
      </c>
      <c r="AN288" s="29">
        <v>0</v>
      </c>
      <c r="AO288" s="144">
        <v>-1.0207600000000001</v>
      </c>
      <c r="AP288" s="144">
        <v>-1.0207600000000001</v>
      </c>
      <c r="AQ288" s="153" t="s">
        <v>2217</v>
      </c>
      <c r="AR288" s="146" t="s">
        <v>2217</v>
      </c>
      <c r="AS288" s="56">
        <v>97.215238095238092</v>
      </c>
      <c r="AT288" s="58" t="s">
        <v>50</v>
      </c>
      <c r="AU288" s="118">
        <v>1939</v>
      </c>
      <c r="AV288" s="149" t="s">
        <v>2143</v>
      </c>
      <c r="AW288" s="120">
        <v>56.951338158261699</v>
      </c>
      <c r="AX288" s="120">
        <v>35.883388459522102</v>
      </c>
    </row>
    <row r="289" spans="1:50" ht="15" customHeight="1" x14ac:dyDescent="0.25">
      <c r="A289" s="143">
        <v>207</v>
      </c>
      <c r="B289" s="143">
        <v>6</v>
      </c>
      <c r="C289" s="143" t="s">
        <v>113</v>
      </c>
      <c r="D289" s="9">
        <v>4</v>
      </c>
      <c r="E289" s="503"/>
      <c r="F289" s="503"/>
      <c r="G289" s="503"/>
      <c r="H289" s="501"/>
      <c r="I289" s="151" t="s">
        <v>20213</v>
      </c>
      <c r="J289" s="31">
        <v>1.96</v>
      </c>
      <c r="K289" s="33">
        <v>0</v>
      </c>
      <c r="L289" s="3">
        <v>0</v>
      </c>
      <c r="M289" s="144">
        <v>0</v>
      </c>
      <c r="N289" s="504">
        <v>0</v>
      </c>
      <c r="O289" s="29"/>
      <c r="P289" s="29">
        <v>0</v>
      </c>
      <c r="Q289" s="144">
        <v>-1.96</v>
      </c>
      <c r="R289" s="144">
        <v>-1.96</v>
      </c>
      <c r="S289" s="144" t="s">
        <v>2217</v>
      </c>
      <c r="T289" s="146" t="s">
        <v>2217</v>
      </c>
      <c r="U289" s="145">
        <v>46.666666666666664</v>
      </c>
      <c r="V289" s="505">
        <v>0.35</v>
      </c>
      <c r="W289" s="505" t="s">
        <v>2024</v>
      </c>
      <c r="X289" s="43"/>
      <c r="Y289" s="143">
        <v>207</v>
      </c>
      <c r="Z289" s="152">
        <v>6</v>
      </c>
      <c r="AA289" s="143" t="s">
        <v>113</v>
      </c>
      <c r="AB289" s="9">
        <v>4</v>
      </c>
      <c r="AC289" s="151"/>
      <c r="AD289" s="151"/>
      <c r="AE289" s="151"/>
      <c r="AF289" s="152"/>
      <c r="AG289" s="143" t="s">
        <v>20213</v>
      </c>
      <c r="AH289" s="144">
        <v>3.9210652173913041</v>
      </c>
      <c r="AI289" s="144">
        <v>5.8810652173913045</v>
      </c>
      <c r="AJ289" s="144">
        <v>0</v>
      </c>
      <c r="AK289" s="143">
        <v>0</v>
      </c>
      <c r="AL289" s="144">
        <v>0</v>
      </c>
      <c r="AM289" s="144">
        <v>0</v>
      </c>
      <c r="AN289" s="29">
        <v>0</v>
      </c>
      <c r="AO289" s="144">
        <v>-5.8810652173913045</v>
      </c>
      <c r="AP289" s="144">
        <v>-5.8810652173913045</v>
      </c>
      <c r="AQ289" s="153" t="s">
        <v>2217</v>
      </c>
      <c r="AR289" s="146" t="s">
        <v>2217</v>
      </c>
      <c r="AS289" s="56">
        <v>140.02536231884059</v>
      </c>
      <c r="AT289" s="58" t="s">
        <v>50</v>
      </c>
      <c r="AU289" s="118">
        <v>1939</v>
      </c>
      <c r="AV289" s="149">
        <v>2013</v>
      </c>
      <c r="AW289" s="120">
        <v>56.951338158261699</v>
      </c>
      <c r="AX289" s="120">
        <v>35.883388459522102</v>
      </c>
    </row>
    <row r="290" spans="1:50" ht="15" customHeight="1" x14ac:dyDescent="0.25">
      <c r="A290" s="143">
        <v>208</v>
      </c>
      <c r="B290" s="143">
        <v>7</v>
      </c>
      <c r="C290" s="143" t="s">
        <v>114</v>
      </c>
      <c r="D290" s="9">
        <v>1</v>
      </c>
      <c r="E290" s="503"/>
      <c r="F290" s="503"/>
      <c r="G290" s="503"/>
      <c r="H290" s="501"/>
      <c r="I290" s="151" t="s">
        <v>2043</v>
      </c>
      <c r="J290" s="31">
        <v>0.22524600000000003</v>
      </c>
      <c r="K290" s="33">
        <v>0</v>
      </c>
      <c r="L290" s="3">
        <v>0</v>
      </c>
      <c r="M290" s="144">
        <v>0</v>
      </c>
      <c r="N290" s="504">
        <v>0</v>
      </c>
      <c r="O290" s="29"/>
      <c r="P290" s="29">
        <v>0</v>
      </c>
      <c r="Q290" s="144">
        <v>-0.22524600000000003</v>
      </c>
      <c r="R290" s="144">
        <v>-0.22524600000000003</v>
      </c>
      <c r="S290" s="144" t="s">
        <v>2217</v>
      </c>
      <c r="T290" s="146" t="s">
        <v>2217</v>
      </c>
      <c r="U290" s="145">
        <v>21.452000000000002</v>
      </c>
      <c r="V290" s="505">
        <v>0.45</v>
      </c>
      <c r="W290" s="505" t="s">
        <v>2024</v>
      </c>
      <c r="X290" s="43"/>
      <c r="Y290" s="143">
        <v>208</v>
      </c>
      <c r="Z290" s="152">
        <v>7</v>
      </c>
      <c r="AA290" s="143" t="s">
        <v>114</v>
      </c>
      <c r="AB290" s="9">
        <v>1</v>
      </c>
      <c r="AC290" s="151"/>
      <c r="AD290" s="151"/>
      <c r="AE290" s="151"/>
      <c r="AF290" s="152"/>
      <c r="AG290" s="143" t="s">
        <v>2043</v>
      </c>
      <c r="AH290" s="144">
        <v>0.22940217391304349</v>
      </c>
      <c r="AI290" s="144">
        <v>0.45464817391304352</v>
      </c>
      <c r="AJ290" s="144">
        <v>0</v>
      </c>
      <c r="AK290" s="143">
        <v>0</v>
      </c>
      <c r="AL290" s="144">
        <v>0</v>
      </c>
      <c r="AM290" s="144">
        <v>0</v>
      </c>
      <c r="AN290" s="29">
        <v>0</v>
      </c>
      <c r="AO290" s="144">
        <v>-0.45464817391304352</v>
      </c>
      <c r="AP290" s="144">
        <v>-0.45464817391304352</v>
      </c>
      <c r="AQ290" s="153" t="s">
        <v>2217</v>
      </c>
      <c r="AR290" s="146" t="s">
        <v>2217</v>
      </c>
      <c r="AS290" s="56">
        <v>43.299826086956521</v>
      </c>
      <c r="AT290" s="58" t="s">
        <v>50</v>
      </c>
      <c r="AU290" s="118">
        <v>1955</v>
      </c>
      <c r="AV290" s="149" t="s">
        <v>2143</v>
      </c>
      <c r="AW290" s="120">
        <v>56.623882070000903</v>
      </c>
      <c r="AX290" s="120">
        <v>35.571417481976802</v>
      </c>
    </row>
    <row r="291" spans="1:50" ht="15" customHeight="1" x14ac:dyDescent="0.25">
      <c r="A291" s="143">
        <v>209</v>
      </c>
      <c r="B291" s="143">
        <v>8</v>
      </c>
      <c r="C291" s="143" t="s">
        <v>115</v>
      </c>
      <c r="D291" s="9">
        <v>2.5</v>
      </c>
      <c r="E291" s="503"/>
      <c r="F291" s="503"/>
      <c r="G291" s="503"/>
      <c r="H291" s="501"/>
      <c r="I291" s="151" t="s">
        <v>20212</v>
      </c>
      <c r="J291" s="31">
        <v>1.583296</v>
      </c>
      <c r="K291" s="33">
        <v>0</v>
      </c>
      <c r="L291" s="3">
        <v>0</v>
      </c>
      <c r="M291" s="144">
        <v>0</v>
      </c>
      <c r="N291" s="504">
        <v>0</v>
      </c>
      <c r="O291" s="29"/>
      <c r="P291" s="29">
        <v>0</v>
      </c>
      <c r="Q291" s="144">
        <v>-1.583296</v>
      </c>
      <c r="R291" s="144">
        <v>-1.583296</v>
      </c>
      <c r="S291" s="144" t="s">
        <v>2217</v>
      </c>
      <c r="T291" s="146" t="s">
        <v>2217</v>
      </c>
      <c r="U291" s="145">
        <v>60.316038095238092</v>
      </c>
      <c r="V291" s="505">
        <v>0.5</v>
      </c>
      <c r="W291" s="505" t="s">
        <v>2024</v>
      </c>
      <c r="X291" s="43"/>
      <c r="Y291" s="143">
        <v>209</v>
      </c>
      <c r="Z291" s="152">
        <v>8</v>
      </c>
      <c r="AA291" s="143" t="s">
        <v>115</v>
      </c>
      <c r="AB291" s="9">
        <v>2.5</v>
      </c>
      <c r="AC291" s="151"/>
      <c r="AD291" s="151"/>
      <c r="AE291" s="151"/>
      <c r="AF291" s="152"/>
      <c r="AG291" s="143" t="s">
        <v>20212</v>
      </c>
      <c r="AH291" s="144">
        <v>0.39055434782608694</v>
      </c>
      <c r="AI291" s="144">
        <v>1.9738503478260869</v>
      </c>
      <c r="AJ291" s="144">
        <v>0</v>
      </c>
      <c r="AK291" s="143">
        <v>0</v>
      </c>
      <c r="AL291" s="144">
        <v>0</v>
      </c>
      <c r="AM291" s="144">
        <v>0</v>
      </c>
      <c r="AN291" s="29">
        <v>0</v>
      </c>
      <c r="AO291" s="144">
        <v>-1.9738503478260869</v>
      </c>
      <c r="AP291" s="144">
        <v>-1.9738503478260869</v>
      </c>
      <c r="AQ291" s="153" t="s">
        <v>2217</v>
      </c>
      <c r="AR291" s="146" t="s">
        <v>2217</v>
      </c>
      <c r="AS291" s="56">
        <v>75.194298964803309</v>
      </c>
      <c r="AT291" s="58" t="s">
        <v>50</v>
      </c>
      <c r="AU291" s="118">
        <v>1955</v>
      </c>
      <c r="AV291" s="149" t="s">
        <v>2143</v>
      </c>
      <c r="AW291" s="120">
        <v>56.623882070000903</v>
      </c>
      <c r="AX291" s="120">
        <v>35.571417481976802</v>
      </c>
    </row>
    <row r="292" spans="1:50" ht="15" customHeight="1" x14ac:dyDescent="0.25">
      <c r="A292" s="143">
        <v>210</v>
      </c>
      <c r="B292" s="143">
        <v>9</v>
      </c>
      <c r="C292" s="143" t="s">
        <v>116</v>
      </c>
      <c r="D292" s="9">
        <v>2.5</v>
      </c>
      <c r="E292" s="503"/>
      <c r="F292" s="503"/>
      <c r="G292" s="503"/>
      <c r="H292" s="501"/>
      <c r="I292" s="151" t="s">
        <v>20212</v>
      </c>
      <c r="J292" s="31">
        <v>0.85946400000000001</v>
      </c>
      <c r="K292" s="33">
        <v>0.86</v>
      </c>
      <c r="L292" s="3" t="s">
        <v>1153</v>
      </c>
      <c r="M292" s="144">
        <v>0.86</v>
      </c>
      <c r="N292" s="504">
        <v>0</v>
      </c>
      <c r="O292" s="29"/>
      <c r="P292" s="29">
        <v>0.86</v>
      </c>
      <c r="Q292" s="144">
        <v>5.3599999999998094E-4</v>
      </c>
      <c r="R292" s="144">
        <v>5.3599999999998094E-4</v>
      </c>
      <c r="S292" s="144" t="s">
        <v>20211</v>
      </c>
      <c r="T292" s="146" t="s">
        <v>20211</v>
      </c>
      <c r="U292" s="145">
        <v>32.741485714285716</v>
      </c>
      <c r="V292" s="505">
        <v>0.5</v>
      </c>
      <c r="W292" s="505" t="s">
        <v>2024</v>
      </c>
      <c r="X292" s="43"/>
      <c r="Y292" s="143">
        <v>210</v>
      </c>
      <c r="Z292" s="152">
        <v>9</v>
      </c>
      <c r="AA292" s="143" t="s">
        <v>116</v>
      </c>
      <c r="AB292" s="9">
        <v>2.5</v>
      </c>
      <c r="AC292" s="151"/>
      <c r="AD292" s="151"/>
      <c r="AE292" s="151"/>
      <c r="AF292" s="152"/>
      <c r="AG292" s="143" t="s">
        <v>20212</v>
      </c>
      <c r="AH292" s="144">
        <v>6.8478260869565225E-2</v>
      </c>
      <c r="AI292" s="144">
        <v>0.92794226086956522</v>
      </c>
      <c r="AJ292" s="144">
        <v>0.86</v>
      </c>
      <c r="AK292" s="143" t="s">
        <v>1153</v>
      </c>
      <c r="AL292" s="144">
        <v>0.86</v>
      </c>
      <c r="AM292" s="144">
        <v>0</v>
      </c>
      <c r="AN292" s="29">
        <v>0.86</v>
      </c>
      <c r="AO292" s="144">
        <v>-6.794226086956523E-2</v>
      </c>
      <c r="AP292" s="144">
        <v>-6.794226086956523E-2</v>
      </c>
      <c r="AQ292" s="153" t="s">
        <v>2217</v>
      </c>
      <c r="AR292" s="146" t="s">
        <v>2217</v>
      </c>
      <c r="AS292" s="56">
        <v>35.35018136645963</v>
      </c>
      <c r="AT292" s="58" t="s">
        <v>50</v>
      </c>
      <c r="AU292" s="118">
        <v>1979</v>
      </c>
      <c r="AV292" s="149" t="s">
        <v>2143</v>
      </c>
      <c r="AW292" s="120">
        <v>57.230938044061901</v>
      </c>
      <c r="AX292" s="120">
        <v>35.6042475573933</v>
      </c>
    </row>
    <row r="293" spans="1:50" ht="15" customHeight="1" x14ac:dyDescent="0.25">
      <c r="A293" s="143">
        <v>211</v>
      </c>
      <c r="B293" s="143">
        <v>10</v>
      </c>
      <c r="C293" s="143" t="s">
        <v>117</v>
      </c>
      <c r="D293" s="9">
        <v>2.5</v>
      </c>
      <c r="E293" s="503"/>
      <c r="F293" s="503"/>
      <c r="G293" s="503"/>
      <c r="H293" s="501"/>
      <c r="I293" s="151" t="s">
        <v>20212</v>
      </c>
      <c r="J293" s="31">
        <v>0.33008399999999993</v>
      </c>
      <c r="K293" s="33">
        <v>0</v>
      </c>
      <c r="L293" s="3">
        <v>0</v>
      </c>
      <c r="M293" s="144">
        <v>0</v>
      </c>
      <c r="N293" s="504">
        <v>0</v>
      </c>
      <c r="O293" s="29"/>
      <c r="P293" s="29">
        <v>0</v>
      </c>
      <c r="Q293" s="144">
        <v>-0.33008399999999993</v>
      </c>
      <c r="R293" s="144">
        <v>-0.33008399999999993</v>
      </c>
      <c r="S293" s="144" t="s">
        <v>2217</v>
      </c>
      <c r="T293" s="146" t="s">
        <v>2217</v>
      </c>
      <c r="U293" s="145">
        <v>12.574628571428569</v>
      </c>
      <c r="V293" s="505">
        <v>0.3</v>
      </c>
      <c r="W293" s="505" t="s">
        <v>2024</v>
      </c>
      <c r="X293" s="43"/>
      <c r="Y293" s="143">
        <v>211</v>
      </c>
      <c r="Z293" s="152">
        <v>10</v>
      </c>
      <c r="AA293" s="143" t="s">
        <v>117</v>
      </c>
      <c r="AB293" s="9">
        <v>2.5</v>
      </c>
      <c r="AC293" s="151"/>
      <c r="AD293" s="151"/>
      <c r="AE293" s="151"/>
      <c r="AF293" s="152"/>
      <c r="AG293" s="143" t="s">
        <v>20212</v>
      </c>
      <c r="AH293" s="144">
        <v>1.2717391304347826E-2</v>
      </c>
      <c r="AI293" s="144">
        <v>0.34280139130434778</v>
      </c>
      <c r="AJ293" s="144">
        <v>0</v>
      </c>
      <c r="AK293" s="143">
        <v>0</v>
      </c>
      <c r="AL293" s="144">
        <v>0</v>
      </c>
      <c r="AM293" s="144">
        <v>0</v>
      </c>
      <c r="AN293" s="29">
        <v>0</v>
      </c>
      <c r="AO293" s="144">
        <v>-0.34280139130434778</v>
      </c>
      <c r="AP293" s="144">
        <v>-0.34280139130434778</v>
      </c>
      <c r="AQ293" s="153" t="s">
        <v>2217</v>
      </c>
      <c r="AR293" s="146" t="s">
        <v>2217</v>
      </c>
      <c r="AS293" s="56">
        <v>13.059100621118009</v>
      </c>
      <c r="AT293" s="58" t="s">
        <v>50</v>
      </c>
      <c r="AU293" s="118">
        <v>1984</v>
      </c>
      <c r="AV293" s="149" t="s">
        <v>2143</v>
      </c>
      <c r="AW293" s="120">
        <v>57.385620055900503</v>
      </c>
      <c r="AX293" s="120">
        <v>35.437352096305403</v>
      </c>
    </row>
    <row r="294" spans="1:50" ht="15" customHeight="1" x14ac:dyDescent="0.25">
      <c r="A294" s="143">
        <v>212</v>
      </c>
      <c r="B294" s="143">
        <v>11</v>
      </c>
      <c r="C294" s="143" t="s">
        <v>118</v>
      </c>
      <c r="D294" s="9">
        <v>2.5</v>
      </c>
      <c r="E294" s="503"/>
      <c r="F294" s="503"/>
      <c r="G294" s="503"/>
      <c r="H294" s="501"/>
      <c r="I294" s="151" t="s">
        <v>20212</v>
      </c>
      <c r="J294" s="31">
        <v>0.71518199999999987</v>
      </c>
      <c r="K294" s="33">
        <v>0</v>
      </c>
      <c r="L294" s="3">
        <v>0</v>
      </c>
      <c r="M294" s="144">
        <v>0</v>
      </c>
      <c r="N294" s="504">
        <v>0</v>
      </c>
      <c r="O294" s="29"/>
      <c r="P294" s="29">
        <v>0</v>
      </c>
      <c r="Q294" s="144">
        <v>-0.71518199999999987</v>
      </c>
      <c r="R294" s="144">
        <v>-0.71518199999999987</v>
      </c>
      <c r="S294" s="144" t="s">
        <v>2217</v>
      </c>
      <c r="T294" s="146" t="s">
        <v>2217</v>
      </c>
      <c r="U294" s="145">
        <v>27.24502857142857</v>
      </c>
      <c r="V294" s="505">
        <v>0.5</v>
      </c>
      <c r="W294" s="505" t="s">
        <v>2024</v>
      </c>
      <c r="X294" s="43"/>
      <c r="Y294" s="143">
        <v>212</v>
      </c>
      <c r="Z294" s="152">
        <v>11</v>
      </c>
      <c r="AA294" s="143" t="s">
        <v>118</v>
      </c>
      <c r="AB294" s="9">
        <v>2.5</v>
      </c>
      <c r="AC294" s="151"/>
      <c r="AD294" s="151"/>
      <c r="AE294" s="151"/>
      <c r="AF294" s="152"/>
      <c r="AG294" s="143" t="s">
        <v>20212</v>
      </c>
      <c r="AH294" s="144">
        <v>0.73129347826086954</v>
      </c>
      <c r="AI294" s="144">
        <v>1.4464754782608695</v>
      </c>
      <c r="AJ294" s="144">
        <v>0</v>
      </c>
      <c r="AK294" s="143">
        <v>0</v>
      </c>
      <c r="AL294" s="144">
        <v>0</v>
      </c>
      <c r="AM294" s="144">
        <v>0</v>
      </c>
      <c r="AN294" s="29">
        <v>0</v>
      </c>
      <c r="AO294" s="144">
        <v>-1.4464754782608695</v>
      </c>
      <c r="AP294" s="144">
        <v>-1.4464754782608695</v>
      </c>
      <c r="AQ294" s="153" t="s">
        <v>2217</v>
      </c>
      <c r="AR294" s="146" t="s">
        <v>2217</v>
      </c>
      <c r="AS294" s="56">
        <v>55.103827743271225</v>
      </c>
      <c r="AT294" s="58" t="s">
        <v>50</v>
      </c>
      <c r="AU294" s="118">
        <v>1979</v>
      </c>
      <c r="AV294" s="149" t="s">
        <v>2143</v>
      </c>
      <c r="AW294" s="120">
        <v>56.956849369037897</v>
      </c>
      <c r="AX294" s="120">
        <v>35.519790738799003</v>
      </c>
    </row>
    <row r="295" spans="1:50" ht="15" customHeight="1" x14ac:dyDescent="0.25">
      <c r="A295" s="143">
        <v>213</v>
      </c>
      <c r="B295" s="143">
        <v>12</v>
      </c>
      <c r="C295" s="143" t="s">
        <v>119</v>
      </c>
      <c r="D295" s="9">
        <v>1.6</v>
      </c>
      <c r="E295" s="503"/>
      <c r="F295" s="503"/>
      <c r="G295" s="503"/>
      <c r="H295" s="501"/>
      <c r="I295" s="151" t="s">
        <v>20210</v>
      </c>
      <c r="J295" s="31">
        <v>0.32056899999999999</v>
      </c>
      <c r="K295" s="33">
        <v>0</v>
      </c>
      <c r="L295" s="3">
        <v>0</v>
      </c>
      <c r="M295" s="144">
        <v>0</v>
      </c>
      <c r="N295" s="504">
        <v>0</v>
      </c>
      <c r="O295" s="29"/>
      <c r="P295" s="29">
        <v>0</v>
      </c>
      <c r="Q295" s="144">
        <v>-0.32056899999999999</v>
      </c>
      <c r="R295" s="144">
        <v>-0.32056899999999999</v>
      </c>
      <c r="S295" s="144" t="s">
        <v>2217</v>
      </c>
      <c r="T295" s="146" t="s">
        <v>2217</v>
      </c>
      <c r="U295" s="145">
        <v>19.081488095238093</v>
      </c>
      <c r="V295" s="505"/>
      <c r="W295" s="505" t="s">
        <v>2023</v>
      </c>
      <c r="X295" s="43"/>
      <c r="Y295" s="143">
        <v>213</v>
      </c>
      <c r="Z295" s="152">
        <v>12</v>
      </c>
      <c r="AA295" s="143" t="s">
        <v>119</v>
      </c>
      <c r="AB295" s="9">
        <v>1.6</v>
      </c>
      <c r="AC295" s="151"/>
      <c r="AD295" s="151"/>
      <c r="AE295" s="151"/>
      <c r="AF295" s="152"/>
      <c r="AG295" s="143" t="s">
        <v>20210</v>
      </c>
      <c r="AH295" s="144">
        <v>8.7456521739130419E-2</v>
      </c>
      <c r="AI295" s="144">
        <v>0.40802552173913043</v>
      </c>
      <c r="AJ295" s="144">
        <v>0</v>
      </c>
      <c r="AK295" s="143">
        <v>0</v>
      </c>
      <c r="AL295" s="144">
        <v>0</v>
      </c>
      <c r="AM295" s="144">
        <v>0</v>
      </c>
      <c r="AN295" s="29">
        <v>0</v>
      </c>
      <c r="AO295" s="144">
        <v>-0.40802552173913043</v>
      </c>
      <c r="AP295" s="144">
        <v>-0.40802552173913043</v>
      </c>
      <c r="AQ295" s="153" t="s">
        <v>2217</v>
      </c>
      <c r="AR295" s="146" t="s">
        <v>2217</v>
      </c>
      <c r="AS295" s="56">
        <v>24.287233436853001</v>
      </c>
      <c r="AT295" s="58" t="s">
        <v>50</v>
      </c>
      <c r="AU295" s="118">
        <v>1988</v>
      </c>
      <c r="AV295" s="149" t="s">
        <v>2143</v>
      </c>
      <c r="AW295" s="120">
        <v>57.125073809915101</v>
      </c>
      <c r="AX295" s="120">
        <v>35.672753228089903</v>
      </c>
    </row>
    <row r="296" spans="1:50" ht="15" customHeight="1" x14ac:dyDescent="0.25">
      <c r="A296" s="143">
        <v>214</v>
      </c>
      <c r="B296" s="143">
        <v>13</v>
      </c>
      <c r="C296" s="143" t="s">
        <v>120</v>
      </c>
      <c r="D296" s="9">
        <v>2.5</v>
      </c>
      <c r="E296" s="503"/>
      <c r="F296" s="503"/>
      <c r="G296" s="503"/>
      <c r="H296" s="501"/>
      <c r="I296" s="151" t="s">
        <v>20212</v>
      </c>
      <c r="J296" s="31">
        <v>0.55013999999999996</v>
      </c>
      <c r="K296" s="33">
        <v>0</v>
      </c>
      <c r="L296" s="3">
        <v>0</v>
      </c>
      <c r="M296" s="144">
        <v>0</v>
      </c>
      <c r="N296" s="504">
        <v>0</v>
      </c>
      <c r="O296" s="29"/>
      <c r="P296" s="29">
        <v>0</v>
      </c>
      <c r="Q296" s="144">
        <v>-0.55013999999999996</v>
      </c>
      <c r="R296" s="144">
        <v>-0.55013999999999996</v>
      </c>
      <c r="S296" s="144" t="s">
        <v>2217</v>
      </c>
      <c r="T296" s="146" t="s">
        <v>2217</v>
      </c>
      <c r="U296" s="145">
        <v>20.957714285714285</v>
      </c>
      <c r="V296" s="505">
        <v>0.3</v>
      </c>
      <c r="W296" s="505" t="s">
        <v>2024</v>
      </c>
      <c r="X296" s="43"/>
      <c r="Y296" s="143">
        <v>214</v>
      </c>
      <c r="Z296" s="152">
        <v>13</v>
      </c>
      <c r="AA296" s="143" t="s">
        <v>120</v>
      </c>
      <c r="AB296" s="9">
        <v>2.5</v>
      </c>
      <c r="AC296" s="151"/>
      <c r="AD296" s="151"/>
      <c r="AE296" s="151"/>
      <c r="AF296" s="152"/>
      <c r="AG296" s="143" t="s">
        <v>20212</v>
      </c>
      <c r="AH296" s="144">
        <v>1.5847826086956521E-2</v>
      </c>
      <c r="AI296" s="144">
        <v>0.56598782608695652</v>
      </c>
      <c r="AJ296" s="144">
        <v>0</v>
      </c>
      <c r="AK296" s="143">
        <v>0</v>
      </c>
      <c r="AL296" s="144">
        <v>0</v>
      </c>
      <c r="AM296" s="144">
        <v>0</v>
      </c>
      <c r="AN296" s="29">
        <v>0</v>
      </c>
      <c r="AO296" s="144">
        <v>-0.56598782608695652</v>
      </c>
      <c r="AP296" s="144">
        <v>-0.56598782608695652</v>
      </c>
      <c r="AQ296" s="153" t="s">
        <v>2217</v>
      </c>
      <c r="AR296" s="146" t="s">
        <v>2217</v>
      </c>
      <c r="AS296" s="56">
        <v>21.561440993788818</v>
      </c>
      <c r="AT296" s="58" t="s">
        <v>50</v>
      </c>
      <c r="AU296" s="118">
        <v>1966</v>
      </c>
      <c r="AV296" s="149" t="s">
        <v>2143</v>
      </c>
      <c r="AW296" s="120">
        <v>56.662698208776298</v>
      </c>
      <c r="AX296" s="120">
        <v>36.6972146769468</v>
      </c>
    </row>
    <row r="297" spans="1:50" ht="15" customHeight="1" x14ac:dyDescent="0.25">
      <c r="A297" s="143">
        <v>215</v>
      </c>
      <c r="B297" s="143">
        <v>14</v>
      </c>
      <c r="C297" s="143" t="s">
        <v>121</v>
      </c>
      <c r="D297" s="9">
        <v>2.5</v>
      </c>
      <c r="E297" s="503"/>
      <c r="F297" s="503"/>
      <c r="G297" s="503"/>
      <c r="H297" s="501"/>
      <c r="I297" s="151" t="s">
        <v>20212</v>
      </c>
      <c r="J297" s="31">
        <v>1.44801</v>
      </c>
      <c r="K297" s="33">
        <v>0</v>
      </c>
      <c r="L297" s="3">
        <v>0</v>
      </c>
      <c r="M297" s="144">
        <v>0</v>
      </c>
      <c r="N297" s="504">
        <v>0</v>
      </c>
      <c r="O297" s="29"/>
      <c r="P297" s="29">
        <v>0</v>
      </c>
      <c r="Q297" s="144">
        <v>-1.44801</v>
      </c>
      <c r="R297" s="144">
        <v>-1.44801</v>
      </c>
      <c r="S297" s="144" t="s">
        <v>2217</v>
      </c>
      <c r="T297" s="146" t="s">
        <v>2217</v>
      </c>
      <c r="U297" s="145">
        <v>55.162285714285709</v>
      </c>
      <c r="V297" s="505">
        <v>0.5</v>
      </c>
      <c r="W297" s="505" t="s">
        <v>2024</v>
      </c>
      <c r="X297" s="43"/>
      <c r="Y297" s="143">
        <v>215</v>
      </c>
      <c r="Z297" s="152">
        <v>14</v>
      </c>
      <c r="AA297" s="143" t="s">
        <v>121</v>
      </c>
      <c r="AB297" s="9">
        <v>2.5</v>
      </c>
      <c r="AC297" s="151"/>
      <c r="AD297" s="151"/>
      <c r="AE297" s="151"/>
      <c r="AF297" s="152"/>
      <c r="AG297" s="143" t="s">
        <v>20212</v>
      </c>
      <c r="AH297" s="144">
        <v>0.20295652173913042</v>
      </c>
      <c r="AI297" s="144">
        <v>1.6509665217391305</v>
      </c>
      <c r="AJ297" s="144">
        <v>0</v>
      </c>
      <c r="AK297" s="143">
        <v>0</v>
      </c>
      <c r="AL297" s="144">
        <v>0</v>
      </c>
      <c r="AM297" s="144">
        <v>0</v>
      </c>
      <c r="AN297" s="29">
        <v>0</v>
      </c>
      <c r="AO297" s="144">
        <v>-1.6509665217391305</v>
      </c>
      <c r="AP297" s="144">
        <v>-1.6509665217391305</v>
      </c>
      <c r="AQ297" s="153" t="s">
        <v>2217</v>
      </c>
      <c r="AR297" s="146" t="s">
        <v>2217</v>
      </c>
      <c r="AS297" s="56">
        <v>62.893962732919256</v>
      </c>
      <c r="AT297" s="58" t="s">
        <v>50</v>
      </c>
      <c r="AU297" s="118">
        <v>1995</v>
      </c>
      <c r="AV297" s="149" t="s">
        <v>2143</v>
      </c>
      <c r="AW297" s="120">
        <v>56.768694136898397</v>
      </c>
      <c r="AX297" s="120">
        <v>36.275502863553797</v>
      </c>
    </row>
    <row r="298" spans="1:50" ht="15" customHeight="1" x14ac:dyDescent="0.25">
      <c r="A298" s="143">
        <v>216</v>
      </c>
      <c r="B298" s="143">
        <v>15</v>
      </c>
      <c r="C298" s="143" t="s">
        <v>122</v>
      </c>
      <c r="D298" s="9">
        <v>4</v>
      </c>
      <c r="E298" s="503"/>
      <c r="F298" s="503"/>
      <c r="G298" s="503"/>
      <c r="H298" s="501"/>
      <c r="I298" s="151" t="s">
        <v>20213</v>
      </c>
      <c r="J298" s="31">
        <v>0.51380999999999999</v>
      </c>
      <c r="K298" s="33">
        <v>0</v>
      </c>
      <c r="L298" s="3">
        <v>0</v>
      </c>
      <c r="M298" s="144">
        <v>0</v>
      </c>
      <c r="N298" s="504">
        <v>0</v>
      </c>
      <c r="O298" s="29"/>
      <c r="P298" s="29">
        <v>0</v>
      </c>
      <c r="Q298" s="144">
        <v>-0.51380999999999999</v>
      </c>
      <c r="R298" s="144">
        <v>-0.51380999999999999</v>
      </c>
      <c r="S298" s="144" t="s">
        <v>2217</v>
      </c>
      <c r="T298" s="146" t="s">
        <v>2217</v>
      </c>
      <c r="U298" s="145">
        <v>12.233571428571429</v>
      </c>
      <c r="V298" s="505">
        <v>0.4</v>
      </c>
      <c r="W298" s="505" t="s">
        <v>13375</v>
      </c>
      <c r="X298" s="43"/>
      <c r="Y298" s="143">
        <v>216</v>
      </c>
      <c r="Z298" s="152">
        <v>15</v>
      </c>
      <c r="AA298" s="143" t="s">
        <v>122</v>
      </c>
      <c r="AB298" s="9">
        <v>4</v>
      </c>
      <c r="AC298" s="151"/>
      <c r="AD298" s="151"/>
      <c r="AE298" s="151"/>
      <c r="AF298" s="152"/>
      <c r="AG298" s="143" t="s">
        <v>20213</v>
      </c>
      <c r="AH298" s="144">
        <v>1.036413043478261</v>
      </c>
      <c r="AI298" s="144">
        <v>1.5502230434782609</v>
      </c>
      <c r="AJ298" s="144">
        <v>0</v>
      </c>
      <c r="AK298" s="143">
        <v>0</v>
      </c>
      <c r="AL298" s="144">
        <v>0</v>
      </c>
      <c r="AM298" s="144">
        <v>0</v>
      </c>
      <c r="AN298" s="29">
        <v>0</v>
      </c>
      <c r="AO298" s="144">
        <v>-1.5502230434782609</v>
      </c>
      <c r="AP298" s="144">
        <v>-1.5502230434782609</v>
      </c>
      <c r="AQ298" s="153" t="s">
        <v>2217</v>
      </c>
      <c r="AR298" s="146" t="s">
        <v>2217</v>
      </c>
      <c r="AS298" s="56">
        <v>36.910072463768117</v>
      </c>
      <c r="AT298" s="58" t="s">
        <v>50</v>
      </c>
      <c r="AU298" s="118">
        <v>1981</v>
      </c>
      <c r="AV298" s="149">
        <v>2014</v>
      </c>
      <c r="AW298" s="120">
        <v>56.587896602222003</v>
      </c>
      <c r="AX298" s="120">
        <v>36.4910108207308</v>
      </c>
    </row>
    <row r="299" spans="1:50" ht="15" customHeight="1" x14ac:dyDescent="0.25">
      <c r="A299" s="143">
        <v>217</v>
      </c>
      <c r="B299" s="143">
        <v>16</v>
      </c>
      <c r="C299" s="143" t="s">
        <v>123</v>
      </c>
      <c r="D299" s="9">
        <v>2.5</v>
      </c>
      <c r="E299" s="503"/>
      <c r="F299" s="503"/>
      <c r="G299" s="503"/>
      <c r="H299" s="501"/>
      <c r="I299" s="151" t="s">
        <v>20212</v>
      </c>
      <c r="J299" s="31">
        <v>0.454125</v>
      </c>
      <c r="K299" s="33">
        <v>0.45</v>
      </c>
      <c r="L299" s="3" t="s">
        <v>1153</v>
      </c>
      <c r="M299" s="144">
        <v>0.45</v>
      </c>
      <c r="N299" s="504">
        <v>0</v>
      </c>
      <c r="O299" s="29"/>
      <c r="P299" s="29">
        <v>0.45</v>
      </c>
      <c r="Q299" s="144">
        <v>-4.1249999999999898E-3</v>
      </c>
      <c r="R299" s="144">
        <v>-4.1249999999999898E-3</v>
      </c>
      <c r="S299" s="144" t="s">
        <v>2217</v>
      </c>
      <c r="T299" s="146" t="s">
        <v>2217</v>
      </c>
      <c r="U299" s="145">
        <v>17.3</v>
      </c>
      <c r="V299" s="505">
        <v>0.6</v>
      </c>
      <c r="W299" s="505" t="s">
        <v>2024</v>
      </c>
      <c r="X299" s="43"/>
      <c r="Y299" s="143">
        <v>217</v>
      </c>
      <c r="Z299" s="152">
        <v>16</v>
      </c>
      <c r="AA299" s="143" t="s">
        <v>123</v>
      </c>
      <c r="AB299" s="9">
        <v>2.5</v>
      </c>
      <c r="AC299" s="151"/>
      <c r="AD299" s="151"/>
      <c r="AE299" s="151"/>
      <c r="AF299" s="152"/>
      <c r="AG299" s="143" t="s">
        <v>20212</v>
      </c>
      <c r="AH299" s="144">
        <v>0.2999347826086956</v>
      </c>
      <c r="AI299" s="144">
        <v>0.75405978260869566</v>
      </c>
      <c r="AJ299" s="144">
        <v>0.45</v>
      </c>
      <c r="AK299" s="143" t="s">
        <v>1153</v>
      </c>
      <c r="AL299" s="144">
        <v>0.45</v>
      </c>
      <c r="AM299" s="144">
        <v>0</v>
      </c>
      <c r="AN299" s="29">
        <v>0.45</v>
      </c>
      <c r="AO299" s="144">
        <v>-0.30405978260869565</v>
      </c>
      <c r="AP299" s="144">
        <v>-0.30405978260869565</v>
      </c>
      <c r="AQ299" s="153" t="s">
        <v>2217</v>
      </c>
      <c r="AR299" s="146" t="s">
        <v>2217</v>
      </c>
      <c r="AS299" s="56">
        <v>28.726086956521737</v>
      </c>
      <c r="AT299" s="58" t="s">
        <v>50</v>
      </c>
      <c r="AU299" s="118">
        <v>1979</v>
      </c>
      <c r="AV299" s="149" t="s">
        <v>2143</v>
      </c>
      <c r="AW299" s="120">
        <v>57.205603589896803</v>
      </c>
      <c r="AX299" s="120">
        <v>36.369147383304998</v>
      </c>
    </row>
    <row r="300" spans="1:50" ht="15" customHeight="1" x14ac:dyDescent="0.25">
      <c r="A300" s="143">
        <v>218</v>
      </c>
      <c r="B300" s="143">
        <v>17</v>
      </c>
      <c r="C300" s="143" t="s">
        <v>1931</v>
      </c>
      <c r="D300" s="9">
        <v>2.5</v>
      </c>
      <c r="E300" s="503"/>
      <c r="F300" s="503"/>
      <c r="G300" s="503"/>
      <c r="H300" s="501"/>
      <c r="I300" s="151" t="s">
        <v>20212</v>
      </c>
      <c r="J300" s="31">
        <v>0.53976000000000002</v>
      </c>
      <c r="K300" s="33">
        <v>0</v>
      </c>
      <c r="L300" s="3">
        <v>0</v>
      </c>
      <c r="M300" s="144">
        <v>0</v>
      </c>
      <c r="N300" s="504">
        <v>0</v>
      </c>
      <c r="O300" s="29"/>
      <c r="P300" s="29">
        <v>0</v>
      </c>
      <c r="Q300" s="144">
        <v>-0.53976000000000002</v>
      </c>
      <c r="R300" s="144">
        <v>-0.53976000000000002</v>
      </c>
      <c r="S300" s="144" t="s">
        <v>2217</v>
      </c>
      <c r="T300" s="146" t="s">
        <v>2217</v>
      </c>
      <c r="U300" s="145">
        <v>20.562285714285714</v>
      </c>
      <c r="V300" s="505">
        <v>0.7</v>
      </c>
      <c r="W300" s="505" t="s">
        <v>2024</v>
      </c>
      <c r="X300" s="43"/>
      <c r="Y300" s="143">
        <v>218</v>
      </c>
      <c r="Z300" s="152">
        <v>17</v>
      </c>
      <c r="AA300" s="143" t="s">
        <v>1931</v>
      </c>
      <c r="AB300" s="9">
        <v>2.5</v>
      </c>
      <c r="AC300" s="151"/>
      <c r="AD300" s="151"/>
      <c r="AE300" s="151"/>
      <c r="AF300" s="152"/>
      <c r="AG300" s="143" t="s">
        <v>20212</v>
      </c>
      <c r="AH300" s="144">
        <v>6.4565217391304344E-2</v>
      </c>
      <c r="AI300" s="144">
        <v>0.6043252173913044</v>
      </c>
      <c r="AJ300" s="144">
        <v>0</v>
      </c>
      <c r="AK300" s="143">
        <v>0</v>
      </c>
      <c r="AL300" s="144">
        <v>0</v>
      </c>
      <c r="AM300" s="144">
        <v>0</v>
      </c>
      <c r="AN300" s="29">
        <v>0</v>
      </c>
      <c r="AO300" s="144">
        <v>-0.6043252173913044</v>
      </c>
      <c r="AP300" s="144">
        <v>-0.6043252173913044</v>
      </c>
      <c r="AQ300" s="153" t="s">
        <v>2217</v>
      </c>
      <c r="AR300" s="146" t="s">
        <v>2217</v>
      </c>
      <c r="AS300" s="56">
        <v>23.021913043478264</v>
      </c>
      <c r="AT300" s="58" t="s">
        <v>50</v>
      </c>
      <c r="AU300" s="118">
        <v>1964</v>
      </c>
      <c r="AV300" s="149" t="s">
        <v>2143</v>
      </c>
      <c r="AW300" s="120">
        <v>57.363755430550597</v>
      </c>
      <c r="AX300" s="120">
        <v>36.599152638130299</v>
      </c>
    </row>
    <row r="301" spans="1:50" ht="15" customHeight="1" x14ac:dyDescent="0.25">
      <c r="A301" s="143">
        <v>219</v>
      </c>
      <c r="B301" s="143">
        <v>18</v>
      </c>
      <c r="C301" s="143" t="s">
        <v>124</v>
      </c>
      <c r="D301" s="9">
        <v>2.5</v>
      </c>
      <c r="E301" s="503"/>
      <c r="F301" s="503"/>
      <c r="G301" s="503"/>
      <c r="H301" s="501"/>
      <c r="I301" s="151" t="s">
        <v>20212</v>
      </c>
      <c r="J301" s="31">
        <v>0.106914</v>
      </c>
      <c r="K301" s="33">
        <v>0.11</v>
      </c>
      <c r="L301" s="3" t="s">
        <v>1153</v>
      </c>
      <c r="M301" s="144">
        <v>0.11</v>
      </c>
      <c r="N301" s="504">
        <v>0</v>
      </c>
      <c r="O301" s="29"/>
      <c r="P301" s="29">
        <v>0.11</v>
      </c>
      <c r="Q301" s="144">
        <v>3.0860000000000054E-3</v>
      </c>
      <c r="R301" s="144">
        <v>3.0860000000000054E-3</v>
      </c>
      <c r="S301" s="144" t="s">
        <v>20211</v>
      </c>
      <c r="T301" s="146" t="s">
        <v>20211</v>
      </c>
      <c r="U301" s="145">
        <v>4.0729142857142859</v>
      </c>
      <c r="V301" s="505">
        <v>0.9</v>
      </c>
      <c r="W301" s="505" t="s">
        <v>2024</v>
      </c>
      <c r="X301" s="43"/>
      <c r="Y301" s="143">
        <v>219</v>
      </c>
      <c r="Z301" s="152">
        <v>18</v>
      </c>
      <c r="AA301" s="143" t="s">
        <v>124</v>
      </c>
      <c r="AB301" s="9">
        <v>2.5</v>
      </c>
      <c r="AC301" s="151"/>
      <c r="AD301" s="151"/>
      <c r="AE301" s="151"/>
      <c r="AF301" s="152"/>
      <c r="AG301" s="143" t="s">
        <v>20212</v>
      </c>
      <c r="AH301" s="144">
        <v>7.3369565217391297E-3</v>
      </c>
      <c r="AI301" s="144">
        <v>0.11425095652173912</v>
      </c>
      <c r="AJ301" s="144">
        <v>0.11</v>
      </c>
      <c r="AK301" s="143" t="s">
        <v>1153</v>
      </c>
      <c r="AL301" s="144">
        <v>0.11</v>
      </c>
      <c r="AM301" s="144">
        <v>0</v>
      </c>
      <c r="AN301" s="29">
        <v>0.11</v>
      </c>
      <c r="AO301" s="144">
        <v>-4.2509565217391243E-3</v>
      </c>
      <c r="AP301" s="144">
        <v>-4.2509565217391243E-3</v>
      </c>
      <c r="AQ301" s="153" t="s">
        <v>2217</v>
      </c>
      <c r="AR301" s="146" t="s">
        <v>2217</v>
      </c>
      <c r="AS301" s="56">
        <v>4.3524173913043471</v>
      </c>
      <c r="AT301" s="58" t="s">
        <v>50</v>
      </c>
      <c r="AU301" s="118">
        <v>1982</v>
      </c>
      <c r="AV301" s="149" t="s">
        <v>2143</v>
      </c>
      <c r="AW301" s="120">
        <v>57.391124969442103</v>
      </c>
      <c r="AX301" s="120">
        <v>36.379972885451103</v>
      </c>
    </row>
    <row r="302" spans="1:50" ht="15" customHeight="1" x14ac:dyDescent="0.25">
      <c r="A302" s="143">
        <v>220</v>
      </c>
      <c r="B302" s="143">
        <v>19</v>
      </c>
      <c r="C302" s="143" t="s">
        <v>125</v>
      </c>
      <c r="D302" s="9">
        <v>4</v>
      </c>
      <c r="E302" s="503" t="s">
        <v>522</v>
      </c>
      <c r="F302" s="503">
        <v>4</v>
      </c>
      <c r="G302" s="503"/>
      <c r="H302" s="501"/>
      <c r="I302" s="151" t="s">
        <v>20235</v>
      </c>
      <c r="J302" s="31">
        <v>1.5072624999999999</v>
      </c>
      <c r="K302" s="33">
        <v>0</v>
      </c>
      <c r="L302" s="3">
        <v>0</v>
      </c>
      <c r="M302" s="144">
        <v>1.5072624999999999</v>
      </c>
      <c r="N302" s="504">
        <v>0</v>
      </c>
      <c r="O302" s="29"/>
      <c r="P302" s="29">
        <v>4.2</v>
      </c>
      <c r="Q302" s="144">
        <v>2.6927375000000002</v>
      </c>
      <c r="R302" s="144">
        <v>2.6927375000000002</v>
      </c>
      <c r="S302" s="144" t="s">
        <v>20211</v>
      </c>
      <c r="T302" s="146" t="s">
        <v>20211</v>
      </c>
      <c r="U302" s="145">
        <v>35.887202380952381</v>
      </c>
      <c r="V302" s="505">
        <v>0.2</v>
      </c>
      <c r="W302" s="505" t="s">
        <v>2024</v>
      </c>
      <c r="X302" s="43"/>
      <c r="Y302" s="143">
        <v>220</v>
      </c>
      <c r="Z302" s="152">
        <v>19</v>
      </c>
      <c r="AA302" s="143" t="s">
        <v>125</v>
      </c>
      <c r="AB302" s="9">
        <v>4</v>
      </c>
      <c r="AC302" s="151" t="s">
        <v>522</v>
      </c>
      <c r="AD302" s="151">
        <v>4</v>
      </c>
      <c r="AE302" s="151"/>
      <c r="AF302" s="152"/>
      <c r="AG302" s="143" t="s">
        <v>20235</v>
      </c>
      <c r="AH302" s="144">
        <v>0.41086956521739126</v>
      </c>
      <c r="AI302" s="144">
        <v>1.9181320652173912</v>
      </c>
      <c r="AJ302" s="144">
        <v>0</v>
      </c>
      <c r="AK302" s="143">
        <v>0</v>
      </c>
      <c r="AL302" s="144">
        <v>1.9181320652173912</v>
      </c>
      <c r="AM302" s="144">
        <v>0</v>
      </c>
      <c r="AN302" s="29">
        <v>4.2</v>
      </c>
      <c r="AO302" s="144">
        <v>2.2818679347826087</v>
      </c>
      <c r="AP302" s="144">
        <v>2.2818679347826087</v>
      </c>
      <c r="AQ302" s="153" t="s">
        <v>20211</v>
      </c>
      <c r="AR302" s="146" t="s">
        <v>20211</v>
      </c>
      <c r="AS302" s="56">
        <v>45.669811076604553</v>
      </c>
      <c r="AT302" s="58" t="s">
        <v>50</v>
      </c>
      <c r="AU302" s="118">
        <v>1985</v>
      </c>
      <c r="AV302" s="149" t="s">
        <v>2143</v>
      </c>
      <c r="AW302" s="120">
        <v>56.912094781366399</v>
      </c>
      <c r="AX302" s="120">
        <v>36.230996697867603</v>
      </c>
    </row>
    <row r="303" spans="1:50" ht="15" customHeight="1" x14ac:dyDescent="0.25">
      <c r="A303" s="143">
        <v>221</v>
      </c>
      <c r="B303" s="143">
        <v>20</v>
      </c>
      <c r="C303" s="143" t="s">
        <v>2240</v>
      </c>
      <c r="D303" s="9">
        <v>2.5</v>
      </c>
      <c r="E303" s="503" t="s">
        <v>522</v>
      </c>
      <c r="F303" s="503">
        <v>6.3</v>
      </c>
      <c r="G303" s="503"/>
      <c r="H303" s="501"/>
      <c r="I303" s="151" t="s">
        <v>20252</v>
      </c>
      <c r="J303" s="31">
        <v>1.3397120000000002</v>
      </c>
      <c r="K303" s="33">
        <v>0</v>
      </c>
      <c r="L303" s="3">
        <v>0</v>
      </c>
      <c r="M303" s="144">
        <v>1.3397120000000002</v>
      </c>
      <c r="N303" s="504">
        <v>0</v>
      </c>
      <c r="O303" s="29"/>
      <c r="P303" s="29">
        <v>2.625</v>
      </c>
      <c r="Q303" s="144">
        <v>1.2852879999999998</v>
      </c>
      <c r="R303" s="144">
        <v>1.2852879999999998</v>
      </c>
      <c r="S303" s="144" t="s">
        <v>20211</v>
      </c>
      <c r="T303" s="146" t="s">
        <v>20211</v>
      </c>
      <c r="U303" s="145">
        <v>51.036647619047621</v>
      </c>
      <c r="V303" s="505">
        <v>0.3</v>
      </c>
      <c r="W303" s="505" t="s">
        <v>2024</v>
      </c>
      <c r="X303" s="43"/>
      <c r="Y303" s="143">
        <v>221</v>
      </c>
      <c r="Z303" s="152">
        <v>20</v>
      </c>
      <c r="AA303" s="143" t="s">
        <v>2240</v>
      </c>
      <c r="AB303" s="9">
        <v>2.5</v>
      </c>
      <c r="AC303" s="151" t="s">
        <v>522</v>
      </c>
      <c r="AD303" s="151">
        <v>6.3</v>
      </c>
      <c r="AE303" s="151"/>
      <c r="AF303" s="152"/>
      <c r="AG303" s="143" t="s">
        <v>20252</v>
      </c>
      <c r="AH303" s="144">
        <v>1.6294891304347827</v>
      </c>
      <c r="AI303" s="144">
        <v>2.969201130434783</v>
      </c>
      <c r="AJ303" s="144">
        <v>0</v>
      </c>
      <c r="AK303" s="143">
        <v>0</v>
      </c>
      <c r="AL303" s="144">
        <v>2.969201130434783</v>
      </c>
      <c r="AM303" s="144">
        <v>0</v>
      </c>
      <c r="AN303" s="29">
        <v>2.625</v>
      </c>
      <c r="AO303" s="144">
        <v>-0.34420113043478295</v>
      </c>
      <c r="AP303" s="144">
        <v>-0.34420113043478295</v>
      </c>
      <c r="AQ303" s="153" t="s">
        <v>2217</v>
      </c>
      <c r="AR303" s="146" t="s">
        <v>2217</v>
      </c>
      <c r="AS303" s="56">
        <v>113.11242401656315</v>
      </c>
      <c r="AT303" s="58" t="s">
        <v>50</v>
      </c>
      <c r="AU303" s="118">
        <v>1990</v>
      </c>
      <c r="AV303" s="149" t="s">
        <v>2143</v>
      </c>
      <c r="AW303" s="120">
        <v>56.791632844852899</v>
      </c>
      <c r="AX303" s="120">
        <v>35.7139339625055</v>
      </c>
    </row>
    <row r="304" spans="1:50" ht="15" customHeight="1" x14ac:dyDescent="0.25">
      <c r="A304" s="143">
        <v>222</v>
      </c>
      <c r="B304" s="143">
        <v>21</v>
      </c>
      <c r="C304" s="143" t="s">
        <v>126</v>
      </c>
      <c r="D304" s="9">
        <v>2.5</v>
      </c>
      <c r="E304" s="503" t="s">
        <v>522</v>
      </c>
      <c r="F304" s="503">
        <v>2.5</v>
      </c>
      <c r="G304" s="503"/>
      <c r="H304" s="501"/>
      <c r="I304" s="151" t="s">
        <v>20222</v>
      </c>
      <c r="J304" s="31">
        <v>1.7123539999999999</v>
      </c>
      <c r="K304" s="33">
        <v>0</v>
      </c>
      <c r="L304" s="3">
        <v>0</v>
      </c>
      <c r="M304" s="144">
        <v>1.7123539999999999</v>
      </c>
      <c r="N304" s="504">
        <v>0</v>
      </c>
      <c r="O304" s="29"/>
      <c r="P304" s="29">
        <v>2.625</v>
      </c>
      <c r="Q304" s="144">
        <v>0.91264600000000007</v>
      </c>
      <c r="R304" s="144">
        <v>0.91264600000000007</v>
      </c>
      <c r="S304" s="144" t="s">
        <v>20211</v>
      </c>
      <c r="T304" s="146" t="s">
        <v>20211</v>
      </c>
      <c r="U304" s="145">
        <v>65.232533333333336</v>
      </c>
      <c r="V304" s="505">
        <v>0.35</v>
      </c>
      <c r="W304" s="505" t="s">
        <v>2024</v>
      </c>
      <c r="X304" s="43"/>
      <c r="Y304" s="143">
        <v>222</v>
      </c>
      <c r="Z304" s="152">
        <v>21</v>
      </c>
      <c r="AA304" s="143" t="s">
        <v>126</v>
      </c>
      <c r="AB304" s="9">
        <v>2.5</v>
      </c>
      <c r="AC304" s="151" t="s">
        <v>522</v>
      </c>
      <c r="AD304" s="151">
        <v>2.5</v>
      </c>
      <c r="AE304" s="151"/>
      <c r="AF304" s="152"/>
      <c r="AG304" s="143" t="s">
        <v>20222</v>
      </c>
      <c r="AH304" s="144">
        <v>0.32693478260869568</v>
      </c>
      <c r="AI304" s="144">
        <v>2.0392887826086956</v>
      </c>
      <c r="AJ304" s="144">
        <v>0</v>
      </c>
      <c r="AK304" s="143">
        <v>0</v>
      </c>
      <c r="AL304" s="144">
        <v>2.0392887826086956</v>
      </c>
      <c r="AM304" s="144">
        <v>0</v>
      </c>
      <c r="AN304" s="29">
        <v>2.625</v>
      </c>
      <c r="AO304" s="144">
        <v>0.58571121739130438</v>
      </c>
      <c r="AP304" s="144">
        <v>0.58571121739130438</v>
      </c>
      <c r="AQ304" s="153" t="s">
        <v>20211</v>
      </c>
      <c r="AR304" s="146" t="s">
        <v>20211</v>
      </c>
      <c r="AS304" s="56">
        <v>77.687191718426504</v>
      </c>
      <c r="AT304" s="58" t="s">
        <v>50</v>
      </c>
      <c r="AU304" s="118">
        <v>1963</v>
      </c>
      <c r="AV304" s="149" t="s">
        <v>2143</v>
      </c>
      <c r="AW304" s="120">
        <v>57.130553877386397</v>
      </c>
      <c r="AX304" s="120">
        <v>36.075326147215897</v>
      </c>
    </row>
    <row r="305" spans="1:50" ht="15" customHeight="1" x14ac:dyDescent="0.25">
      <c r="A305" s="143">
        <v>223</v>
      </c>
      <c r="B305" s="143">
        <v>22</v>
      </c>
      <c r="C305" s="143" t="s">
        <v>127</v>
      </c>
      <c r="D305" s="9">
        <v>5.6</v>
      </c>
      <c r="E305" s="503" t="s">
        <v>522</v>
      </c>
      <c r="F305" s="503">
        <v>5.6</v>
      </c>
      <c r="G305" s="503"/>
      <c r="H305" s="501"/>
      <c r="I305" s="151" t="s">
        <v>20248</v>
      </c>
      <c r="J305" s="31">
        <v>2.463174</v>
      </c>
      <c r="K305" s="33">
        <v>0</v>
      </c>
      <c r="L305" s="3">
        <v>0</v>
      </c>
      <c r="M305" s="144">
        <v>2.463174</v>
      </c>
      <c r="N305" s="504">
        <v>0</v>
      </c>
      <c r="O305" s="29"/>
      <c r="P305" s="29">
        <v>5.88</v>
      </c>
      <c r="Q305" s="144">
        <v>3.4168259999999999</v>
      </c>
      <c r="R305" s="144">
        <v>3.4168259999999999</v>
      </c>
      <c r="S305" s="144" t="s">
        <v>20211</v>
      </c>
      <c r="T305" s="146" t="s">
        <v>20211</v>
      </c>
      <c r="U305" s="145">
        <v>41.890714285714289</v>
      </c>
      <c r="V305" s="505">
        <v>0.4</v>
      </c>
      <c r="W305" s="505" t="s">
        <v>2024</v>
      </c>
      <c r="X305" s="43"/>
      <c r="Y305" s="143">
        <v>223</v>
      </c>
      <c r="Z305" s="152">
        <v>22</v>
      </c>
      <c r="AA305" s="143" t="s">
        <v>127</v>
      </c>
      <c r="AB305" s="9">
        <v>5.6</v>
      </c>
      <c r="AC305" s="151" t="s">
        <v>522</v>
      </c>
      <c r="AD305" s="151">
        <v>5.6</v>
      </c>
      <c r="AE305" s="151"/>
      <c r="AF305" s="152"/>
      <c r="AG305" s="143" t="s">
        <v>20248</v>
      </c>
      <c r="AH305" s="144">
        <v>0</v>
      </c>
      <c r="AI305" s="144">
        <v>2.463174</v>
      </c>
      <c r="AJ305" s="144">
        <v>0</v>
      </c>
      <c r="AK305" s="143">
        <v>0</v>
      </c>
      <c r="AL305" s="144">
        <v>2.463174</v>
      </c>
      <c r="AM305" s="144">
        <v>0</v>
      </c>
      <c r="AN305" s="29">
        <v>5.88</v>
      </c>
      <c r="AO305" s="144">
        <v>3.4168259999999999</v>
      </c>
      <c r="AP305" s="144">
        <v>3.4168259999999999</v>
      </c>
      <c r="AQ305" s="153" t="s">
        <v>20211</v>
      </c>
      <c r="AR305" s="146" t="s">
        <v>20211</v>
      </c>
      <c r="AS305" s="56">
        <v>41.890714285714289</v>
      </c>
      <c r="AT305" s="58" t="s">
        <v>50</v>
      </c>
      <c r="AU305" s="118">
        <v>1961</v>
      </c>
      <c r="AV305" s="149" t="s">
        <v>2143</v>
      </c>
      <c r="AW305" s="120">
        <v>56.798377183551999</v>
      </c>
      <c r="AX305" s="120">
        <v>36.042172374705899</v>
      </c>
    </row>
    <row r="306" spans="1:50" ht="15" customHeight="1" x14ac:dyDescent="0.25">
      <c r="A306" s="143">
        <v>224</v>
      </c>
      <c r="B306" s="143">
        <v>23</v>
      </c>
      <c r="C306" s="143" t="s">
        <v>128</v>
      </c>
      <c r="D306" s="9">
        <v>3.2</v>
      </c>
      <c r="E306" s="503" t="s">
        <v>522</v>
      </c>
      <c r="F306" s="503">
        <v>3.2</v>
      </c>
      <c r="G306" s="503"/>
      <c r="H306" s="501"/>
      <c r="I306" s="151" t="s">
        <v>20232</v>
      </c>
      <c r="J306" s="31">
        <v>1.3064960000000001</v>
      </c>
      <c r="K306" s="33">
        <v>0</v>
      </c>
      <c r="L306" s="3">
        <v>0</v>
      </c>
      <c r="M306" s="144">
        <v>1.3064960000000001</v>
      </c>
      <c r="N306" s="504">
        <v>0</v>
      </c>
      <c r="O306" s="29"/>
      <c r="P306" s="29">
        <v>3.3600000000000003</v>
      </c>
      <c r="Q306" s="144">
        <v>2.0535040000000002</v>
      </c>
      <c r="R306" s="144">
        <v>2.0535040000000002</v>
      </c>
      <c r="S306" s="144" t="s">
        <v>20211</v>
      </c>
      <c r="T306" s="146" t="s">
        <v>20211</v>
      </c>
      <c r="U306" s="145">
        <v>38.883809523809525</v>
      </c>
      <c r="V306" s="505">
        <v>0.4</v>
      </c>
      <c r="W306" s="505" t="s">
        <v>2024</v>
      </c>
      <c r="X306" s="43"/>
      <c r="Y306" s="143">
        <v>224</v>
      </c>
      <c r="Z306" s="152">
        <v>23</v>
      </c>
      <c r="AA306" s="143" t="s">
        <v>128</v>
      </c>
      <c r="AB306" s="9">
        <v>3.2</v>
      </c>
      <c r="AC306" s="151" t="s">
        <v>522</v>
      </c>
      <c r="AD306" s="151">
        <v>3.2</v>
      </c>
      <c r="AE306" s="151"/>
      <c r="AF306" s="152"/>
      <c r="AG306" s="143" t="s">
        <v>20232</v>
      </c>
      <c r="AH306" s="144">
        <v>1.6434782608695651E-2</v>
      </c>
      <c r="AI306" s="144">
        <v>1.3229307826086958</v>
      </c>
      <c r="AJ306" s="144">
        <v>0</v>
      </c>
      <c r="AK306" s="143">
        <v>0</v>
      </c>
      <c r="AL306" s="144">
        <v>1.3229307826086958</v>
      </c>
      <c r="AM306" s="144">
        <v>0</v>
      </c>
      <c r="AN306" s="29">
        <v>3.3600000000000003</v>
      </c>
      <c r="AO306" s="144">
        <v>2.0370692173913048</v>
      </c>
      <c r="AP306" s="144">
        <v>2.0370692173913048</v>
      </c>
      <c r="AQ306" s="153" t="s">
        <v>20211</v>
      </c>
      <c r="AR306" s="146" t="s">
        <v>20211</v>
      </c>
      <c r="AS306" s="56">
        <v>39.372939958592134</v>
      </c>
      <c r="AT306" s="58" t="s">
        <v>50</v>
      </c>
      <c r="AU306" s="118">
        <v>1947</v>
      </c>
      <c r="AV306" s="149" t="s">
        <v>2143</v>
      </c>
      <c r="AW306" s="120">
        <v>56.812938241620103</v>
      </c>
      <c r="AX306" s="120">
        <v>35.997714520066801</v>
      </c>
    </row>
    <row r="307" spans="1:50" ht="15" customHeight="1" x14ac:dyDescent="0.25">
      <c r="A307" s="143">
        <v>225</v>
      </c>
      <c r="B307" s="143">
        <v>24</v>
      </c>
      <c r="C307" s="143" t="s">
        <v>129</v>
      </c>
      <c r="D307" s="9">
        <v>10</v>
      </c>
      <c r="E307" s="503" t="s">
        <v>522</v>
      </c>
      <c r="F307" s="503">
        <v>10</v>
      </c>
      <c r="G307" s="503"/>
      <c r="H307" s="501"/>
      <c r="I307" s="151" t="s">
        <v>20227</v>
      </c>
      <c r="J307" s="31">
        <v>10.91976</v>
      </c>
      <c r="K307" s="33">
        <v>0</v>
      </c>
      <c r="L307" s="3">
        <v>0</v>
      </c>
      <c r="M307" s="144">
        <v>10.91976</v>
      </c>
      <c r="N307" s="504">
        <v>0</v>
      </c>
      <c r="O307" s="29"/>
      <c r="P307" s="29">
        <v>10.5</v>
      </c>
      <c r="Q307" s="144">
        <v>-0.41976000000000013</v>
      </c>
      <c r="R307" s="144">
        <v>-0.41976000000000013</v>
      </c>
      <c r="S307" s="144" t="s">
        <v>2217</v>
      </c>
      <c r="T307" s="146" t="s">
        <v>2217</v>
      </c>
      <c r="U307" s="145">
        <v>103.9977142857143</v>
      </c>
      <c r="V307" s="505">
        <v>0.4</v>
      </c>
      <c r="W307" s="505" t="s">
        <v>13375</v>
      </c>
      <c r="X307" s="43"/>
      <c r="Y307" s="143">
        <v>225</v>
      </c>
      <c r="Z307" s="152">
        <v>24</v>
      </c>
      <c r="AA307" s="143" t="s">
        <v>129</v>
      </c>
      <c r="AB307" s="9">
        <v>10</v>
      </c>
      <c r="AC307" s="151" t="s">
        <v>522</v>
      </c>
      <c r="AD307" s="151">
        <v>10</v>
      </c>
      <c r="AE307" s="151"/>
      <c r="AF307" s="152"/>
      <c r="AG307" s="143" t="s">
        <v>20227</v>
      </c>
      <c r="AH307" s="144">
        <v>0</v>
      </c>
      <c r="AI307" s="144">
        <v>10.91976</v>
      </c>
      <c r="AJ307" s="144">
        <v>0</v>
      </c>
      <c r="AK307" s="143">
        <v>0</v>
      </c>
      <c r="AL307" s="144">
        <v>10.91976</v>
      </c>
      <c r="AM307" s="144">
        <v>0</v>
      </c>
      <c r="AN307" s="29">
        <v>10.5</v>
      </c>
      <c r="AO307" s="144">
        <v>-0.41976000000000013</v>
      </c>
      <c r="AP307" s="144">
        <v>-0.41976000000000013</v>
      </c>
      <c r="AQ307" s="153" t="s">
        <v>2217</v>
      </c>
      <c r="AR307" s="146" t="s">
        <v>2217</v>
      </c>
      <c r="AS307" s="56">
        <v>103.9977142857143</v>
      </c>
      <c r="AT307" s="58" t="s">
        <v>50</v>
      </c>
      <c r="AU307" s="118">
        <v>1964</v>
      </c>
      <c r="AV307" s="149" t="s">
        <v>2143</v>
      </c>
      <c r="AW307" s="120">
        <v>56.840788825628401</v>
      </c>
      <c r="AX307" s="120">
        <v>35.936698991917602</v>
      </c>
    </row>
    <row r="308" spans="1:50" ht="15" customHeight="1" x14ac:dyDescent="0.25">
      <c r="A308" s="143">
        <v>226</v>
      </c>
      <c r="B308" s="143">
        <v>25</v>
      </c>
      <c r="C308" s="143" t="s">
        <v>130</v>
      </c>
      <c r="D308" s="9">
        <v>16</v>
      </c>
      <c r="E308" s="503" t="s">
        <v>522</v>
      </c>
      <c r="F308" s="503">
        <v>16</v>
      </c>
      <c r="G308" s="503"/>
      <c r="H308" s="501"/>
      <c r="I308" s="151" t="s">
        <v>20243</v>
      </c>
      <c r="J308" s="31">
        <v>15.7776</v>
      </c>
      <c r="K308" s="33">
        <v>0</v>
      </c>
      <c r="L308" s="3">
        <v>0</v>
      </c>
      <c r="M308" s="144">
        <v>15.7776</v>
      </c>
      <c r="N308" s="504">
        <v>0</v>
      </c>
      <c r="O308" s="29"/>
      <c r="P308" s="29">
        <v>16.8</v>
      </c>
      <c r="Q308" s="144">
        <v>1.0224000000000011</v>
      </c>
      <c r="R308" s="144">
        <v>1.0224000000000011</v>
      </c>
      <c r="S308" s="144" t="s">
        <v>20211</v>
      </c>
      <c r="T308" s="146" t="s">
        <v>20211</v>
      </c>
      <c r="U308" s="145">
        <v>93.914285714285711</v>
      </c>
      <c r="V308" s="505">
        <v>0.3</v>
      </c>
      <c r="W308" s="505" t="s">
        <v>2024</v>
      </c>
      <c r="X308" s="43"/>
      <c r="Y308" s="143">
        <v>226</v>
      </c>
      <c r="Z308" s="152">
        <v>25</v>
      </c>
      <c r="AA308" s="143" t="s">
        <v>130</v>
      </c>
      <c r="AB308" s="9">
        <v>16</v>
      </c>
      <c r="AC308" s="151" t="s">
        <v>522</v>
      </c>
      <c r="AD308" s="151">
        <v>16</v>
      </c>
      <c r="AE308" s="151"/>
      <c r="AF308" s="152"/>
      <c r="AG308" s="143" t="s">
        <v>20243</v>
      </c>
      <c r="AH308" s="144">
        <v>0</v>
      </c>
      <c r="AI308" s="144">
        <v>15.7776</v>
      </c>
      <c r="AJ308" s="144">
        <v>0</v>
      </c>
      <c r="AK308" s="143">
        <v>0</v>
      </c>
      <c r="AL308" s="144">
        <v>15.7776</v>
      </c>
      <c r="AM308" s="144">
        <v>0</v>
      </c>
      <c r="AN308" s="29">
        <v>16.8</v>
      </c>
      <c r="AO308" s="144">
        <v>1.0224000000000011</v>
      </c>
      <c r="AP308" s="144">
        <v>1.0224000000000011</v>
      </c>
      <c r="AQ308" s="153" t="s">
        <v>20211</v>
      </c>
      <c r="AR308" s="146" t="s">
        <v>20211</v>
      </c>
      <c r="AS308" s="56">
        <v>93.914285714285711</v>
      </c>
      <c r="AT308" s="58" t="s">
        <v>50</v>
      </c>
      <c r="AU308" s="118">
        <v>1954</v>
      </c>
      <c r="AV308" s="149" t="s">
        <v>2143</v>
      </c>
      <c r="AW308" s="120">
        <v>56.846172344953601</v>
      </c>
      <c r="AX308" s="120">
        <v>35.883674610695302</v>
      </c>
    </row>
    <row r="309" spans="1:50" ht="15" customHeight="1" x14ac:dyDescent="0.25">
      <c r="A309" s="143">
        <v>227</v>
      </c>
      <c r="B309" s="143">
        <v>26</v>
      </c>
      <c r="C309" s="143" t="s">
        <v>131</v>
      </c>
      <c r="D309" s="9">
        <v>10</v>
      </c>
      <c r="E309" s="503" t="s">
        <v>522</v>
      </c>
      <c r="F309" s="503">
        <v>10</v>
      </c>
      <c r="G309" s="503"/>
      <c r="H309" s="501"/>
      <c r="I309" s="151" t="s">
        <v>20227</v>
      </c>
      <c r="J309" s="31">
        <v>3.4397590000000005</v>
      </c>
      <c r="K309" s="33">
        <v>0</v>
      </c>
      <c r="L309" s="3">
        <v>0</v>
      </c>
      <c r="M309" s="144">
        <v>3.4397590000000005</v>
      </c>
      <c r="N309" s="504">
        <v>0</v>
      </c>
      <c r="O309" s="29"/>
      <c r="P309" s="29">
        <v>10.5</v>
      </c>
      <c r="Q309" s="144">
        <v>7.0602409999999995</v>
      </c>
      <c r="R309" s="144">
        <v>7.0602409999999995</v>
      </c>
      <c r="S309" s="144" t="s">
        <v>20211</v>
      </c>
      <c r="T309" s="146" t="s">
        <v>20211</v>
      </c>
      <c r="U309" s="145">
        <v>32.759609523809523</v>
      </c>
      <c r="V309" s="505"/>
      <c r="W309" s="505" t="s">
        <v>2023</v>
      </c>
      <c r="X309" s="43"/>
      <c r="Y309" s="143">
        <v>227</v>
      </c>
      <c r="Z309" s="152">
        <v>26</v>
      </c>
      <c r="AA309" s="143" t="s">
        <v>131</v>
      </c>
      <c r="AB309" s="9">
        <v>10</v>
      </c>
      <c r="AC309" s="151" t="s">
        <v>522</v>
      </c>
      <c r="AD309" s="151">
        <v>10</v>
      </c>
      <c r="AE309" s="151"/>
      <c r="AF309" s="152"/>
      <c r="AG309" s="143" t="s">
        <v>20227</v>
      </c>
      <c r="AH309" s="144">
        <v>0</v>
      </c>
      <c r="AI309" s="144">
        <v>3.4397590000000005</v>
      </c>
      <c r="AJ309" s="144">
        <v>0</v>
      </c>
      <c r="AK309" s="143">
        <v>0</v>
      </c>
      <c r="AL309" s="144">
        <v>3.4397590000000005</v>
      </c>
      <c r="AM309" s="144">
        <v>0</v>
      </c>
      <c r="AN309" s="29">
        <v>10.5</v>
      </c>
      <c r="AO309" s="144">
        <v>7.0602409999999995</v>
      </c>
      <c r="AP309" s="144">
        <v>7.0602409999999995</v>
      </c>
      <c r="AQ309" s="153" t="s">
        <v>20211</v>
      </c>
      <c r="AR309" s="146" t="s">
        <v>20211</v>
      </c>
      <c r="AS309" s="56">
        <v>32.759609523809523</v>
      </c>
      <c r="AT309" s="58" t="s">
        <v>50</v>
      </c>
      <c r="AU309" s="118">
        <v>1966</v>
      </c>
      <c r="AV309" s="149" t="s">
        <v>2143</v>
      </c>
      <c r="AW309" s="120">
        <v>56.851808784363598</v>
      </c>
      <c r="AX309" s="120">
        <v>35.871821031209599</v>
      </c>
    </row>
    <row r="310" spans="1:50" ht="15" customHeight="1" x14ac:dyDescent="0.25">
      <c r="A310" s="143">
        <v>228</v>
      </c>
      <c r="B310" s="143">
        <v>27</v>
      </c>
      <c r="C310" s="143" t="s">
        <v>132</v>
      </c>
      <c r="D310" s="9">
        <v>10</v>
      </c>
      <c r="E310" s="503" t="s">
        <v>522</v>
      </c>
      <c r="F310" s="503">
        <v>10</v>
      </c>
      <c r="G310" s="503"/>
      <c r="H310" s="501"/>
      <c r="I310" s="151" t="s">
        <v>20227</v>
      </c>
      <c r="J310" s="31">
        <v>4.3180800000000001</v>
      </c>
      <c r="K310" s="33">
        <v>0</v>
      </c>
      <c r="L310" s="3">
        <v>0</v>
      </c>
      <c r="M310" s="144">
        <v>4.3180800000000001</v>
      </c>
      <c r="N310" s="504">
        <v>0</v>
      </c>
      <c r="O310" s="29"/>
      <c r="P310" s="29">
        <v>10.5</v>
      </c>
      <c r="Q310" s="144">
        <v>6.1819199999999999</v>
      </c>
      <c r="R310" s="144">
        <v>6.1819199999999999</v>
      </c>
      <c r="S310" s="144" t="s">
        <v>20211</v>
      </c>
      <c r="T310" s="146" t="s">
        <v>20211</v>
      </c>
      <c r="U310" s="145">
        <v>41.124571428571429</v>
      </c>
      <c r="V310" s="505">
        <v>0.5</v>
      </c>
      <c r="W310" s="505" t="s">
        <v>2024</v>
      </c>
      <c r="X310" s="43"/>
      <c r="Y310" s="143">
        <v>228</v>
      </c>
      <c r="Z310" s="152">
        <v>27</v>
      </c>
      <c r="AA310" s="143" t="s">
        <v>132</v>
      </c>
      <c r="AB310" s="9">
        <v>10</v>
      </c>
      <c r="AC310" s="151" t="s">
        <v>522</v>
      </c>
      <c r="AD310" s="151">
        <v>10</v>
      </c>
      <c r="AE310" s="151"/>
      <c r="AF310" s="152"/>
      <c r="AG310" s="143" t="s">
        <v>20227</v>
      </c>
      <c r="AH310" s="144">
        <v>0.41615217391304343</v>
      </c>
      <c r="AI310" s="144">
        <v>4.7342321739130435</v>
      </c>
      <c r="AJ310" s="144">
        <v>0</v>
      </c>
      <c r="AK310" s="143">
        <v>0</v>
      </c>
      <c r="AL310" s="144">
        <v>4.7342321739130435</v>
      </c>
      <c r="AM310" s="144">
        <v>0</v>
      </c>
      <c r="AN310" s="29">
        <v>10.5</v>
      </c>
      <c r="AO310" s="144">
        <v>5.7657678260869565</v>
      </c>
      <c r="AP310" s="144">
        <v>5.7657678260869565</v>
      </c>
      <c r="AQ310" s="153" t="s">
        <v>20211</v>
      </c>
      <c r="AR310" s="146" t="s">
        <v>20211</v>
      </c>
      <c r="AS310" s="56">
        <v>45.087925465838509</v>
      </c>
      <c r="AT310" s="58" t="s">
        <v>50</v>
      </c>
      <c r="AU310" s="118">
        <v>1966</v>
      </c>
      <c r="AV310" s="149" t="s">
        <v>2143</v>
      </c>
      <c r="AW310" s="120">
        <v>56.895222670848298</v>
      </c>
      <c r="AX310" s="120">
        <v>35.8232762968806</v>
      </c>
    </row>
    <row r="311" spans="1:50" ht="15" customHeight="1" x14ac:dyDescent="0.25">
      <c r="A311" s="143">
        <v>229</v>
      </c>
      <c r="B311" s="143">
        <v>28</v>
      </c>
      <c r="C311" s="143" t="s">
        <v>133</v>
      </c>
      <c r="D311" s="9">
        <v>16</v>
      </c>
      <c r="E311" s="503" t="s">
        <v>522</v>
      </c>
      <c r="F311" s="503">
        <v>16</v>
      </c>
      <c r="G311" s="503"/>
      <c r="H311" s="501"/>
      <c r="I311" s="151" t="s">
        <v>20243</v>
      </c>
      <c r="J311" s="31">
        <v>13.496594999999999</v>
      </c>
      <c r="K311" s="33">
        <v>0</v>
      </c>
      <c r="L311" s="3">
        <v>0</v>
      </c>
      <c r="M311" s="144">
        <v>13.496594999999999</v>
      </c>
      <c r="N311" s="504">
        <v>0</v>
      </c>
      <c r="O311" s="29"/>
      <c r="P311" s="29">
        <v>16.8</v>
      </c>
      <c r="Q311" s="144">
        <v>3.3034050000000015</v>
      </c>
      <c r="R311" s="144">
        <v>3.3034050000000015</v>
      </c>
      <c r="S311" s="144" t="s">
        <v>20211</v>
      </c>
      <c r="T311" s="146" t="s">
        <v>20211</v>
      </c>
      <c r="U311" s="145">
        <v>80.336874999999992</v>
      </c>
      <c r="V311" s="505"/>
      <c r="W311" s="505" t="s">
        <v>2023</v>
      </c>
      <c r="X311" s="43"/>
      <c r="Y311" s="143">
        <v>229</v>
      </c>
      <c r="Z311" s="152">
        <v>28</v>
      </c>
      <c r="AA311" s="143" t="s">
        <v>133</v>
      </c>
      <c r="AB311" s="9">
        <v>16</v>
      </c>
      <c r="AC311" s="151" t="s">
        <v>522</v>
      </c>
      <c r="AD311" s="151">
        <v>16</v>
      </c>
      <c r="AE311" s="151"/>
      <c r="AF311" s="152"/>
      <c r="AG311" s="143" t="s">
        <v>20243</v>
      </c>
      <c r="AH311" s="144">
        <v>1.881195652173913</v>
      </c>
      <c r="AI311" s="144">
        <v>15.377790652173912</v>
      </c>
      <c r="AJ311" s="144">
        <v>0</v>
      </c>
      <c r="AK311" s="143">
        <v>0</v>
      </c>
      <c r="AL311" s="144">
        <v>15.377790652173912</v>
      </c>
      <c r="AM311" s="144">
        <v>0</v>
      </c>
      <c r="AN311" s="29">
        <v>16.8</v>
      </c>
      <c r="AO311" s="144">
        <v>1.4222093478260884</v>
      </c>
      <c r="AP311" s="144">
        <v>1.4222093478260884</v>
      </c>
      <c r="AQ311" s="153" t="s">
        <v>20211</v>
      </c>
      <c r="AR311" s="146" t="s">
        <v>20211</v>
      </c>
      <c r="AS311" s="56">
        <v>91.53446816770186</v>
      </c>
      <c r="AT311" s="58" t="s">
        <v>50</v>
      </c>
      <c r="AU311" s="118">
        <v>1974</v>
      </c>
      <c r="AV311" s="149" t="s">
        <v>2143</v>
      </c>
      <c r="AW311" s="120">
        <v>56.888644078821699</v>
      </c>
      <c r="AX311" s="120">
        <v>35.898403986443597</v>
      </c>
    </row>
    <row r="312" spans="1:50" ht="15" customHeight="1" x14ac:dyDescent="0.25">
      <c r="A312" s="143">
        <v>230</v>
      </c>
      <c r="B312" s="143">
        <v>29</v>
      </c>
      <c r="C312" s="143" t="s">
        <v>134</v>
      </c>
      <c r="D312" s="9">
        <v>7.5</v>
      </c>
      <c r="E312" s="503" t="s">
        <v>522</v>
      </c>
      <c r="F312" s="503">
        <v>10</v>
      </c>
      <c r="G312" s="503"/>
      <c r="H312" s="501"/>
      <c r="I312" s="151" t="s">
        <v>20240</v>
      </c>
      <c r="J312" s="31">
        <v>6.0982500000000002</v>
      </c>
      <c r="K312" s="33">
        <v>0</v>
      </c>
      <c r="L312" s="3">
        <v>0</v>
      </c>
      <c r="M312" s="144">
        <v>6.0982500000000002</v>
      </c>
      <c r="N312" s="504">
        <v>0</v>
      </c>
      <c r="O312" s="29"/>
      <c r="P312" s="29">
        <v>7.875</v>
      </c>
      <c r="Q312" s="144">
        <v>1.7767499999999998</v>
      </c>
      <c r="R312" s="144">
        <v>1.7767499999999998</v>
      </c>
      <c r="S312" s="144" t="s">
        <v>20211</v>
      </c>
      <c r="T312" s="146" t="s">
        <v>20211</v>
      </c>
      <c r="U312" s="145">
        <v>77.438095238095244</v>
      </c>
      <c r="V312" s="505">
        <v>0.35</v>
      </c>
      <c r="W312" s="505" t="s">
        <v>2024</v>
      </c>
      <c r="X312" s="43"/>
      <c r="Y312" s="143">
        <v>230</v>
      </c>
      <c r="Z312" s="152">
        <v>29</v>
      </c>
      <c r="AA312" s="143" t="s">
        <v>134</v>
      </c>
      <c r="AB312" s="9">
        <v>7.5</v>
      </c>
      <c r="AC312" s="151" t="s">
        <v>522</v>
      </c>
      <c r="AD312" s="151">
        <v>10</v>
      </c>
      <c r="AE312" s="151"/>
      <c r="AF312" s="152"/>
      <c r="AG312" s="143" t="s">
        <v>20240</v>
      </c>
      <c r="AH312" s="144">
        <v>0</v>
      </c>
      <c r="AI312" s="144">
        <v>6.0982500000000002</v>
      </c>
      <c r="AJ312" s="144">
        <v>0</v>
      </c>
      <c r="AK312" s="143">
        <v>0</v>
      </c>
      <c r="AL312" s="144">
        <v>6.0982500000000002</v>
      </c>
      <c r="AM312" s="144">
        <v>0</v>
      </c>
      <c r="AN312" s="29">
        <v>7.875</v>
      </c>
      <c r="AO312" s="144">
        <v>1.7767499999999998</v>
      </c>
      <c r="AP312" s="144">
        <v>1.7767499999999998</v>
      </c>
      <c r="AQ312" s="153" t="s">
        <v>20211</v>
      </c>
      <c r="AR312" s="146" t="s">
        <v>20211</v>
      </c>
      <c r="AS312" s="56">
        <v>77.438095238095244</v>
      </c>
      <c r="AT312" s="58" t="s">
        <v>50</v>
      </c>
      <c r="AU312" s="118">
        <v>1956</v>
      </c>
      <c r="AV312" s="149" t="s">
        <v>2143</v>
      </c>
      <c r="AW312" s="120">
        <v>56.862014870576601</v>
      </c>
      <c r="AX312" s="120">
        <v>35.8548721485312</v>
      </c>
    </row>
    <row r="313" spans="1:50" ht="15" customHeight="1" x14ac:dyDescent="0.25">
      <c r="A313" s="143">
        <v>231</v>
      </c>
      <c r="B313" s="143">
        <v>30</v>
      </c>
      <c r="C313" s="143" t="s">
        <v>135</v>
      </c>
      <c r="D313" s="9">
        <v>10</v>
      </c>
      <c r="E313" s="503" t="s">
        <v>522</v>
      </c>
      <c r="F313" s="503">
        <v>10</v>
      </c>
      <c r="G313" s="503"/>
      <c r="H313" s="501"/>
      <c r="I313" s="151" t="s">
        <v>20227</v>
      </c>
      <c r="J313" s="31">
        <v>11.1892075</v>
      </c>
      <c r="K313" s="33">
        <v>0</v>
      </c>
      <c r="L313" s="3">
        <v>0</v>
      </c>
      <c r="M313" s="144">
        <v>11.1892075</v>
      </c>
      <c r="N313" s="504">
        <v>0</v>
      </c>
      <c r="O313" s="29"/>
      <c r="P313" s="29">
        <v>10.5</v>
      </c>
      <c r="Q313" s="144">
        <v>-0.68920750000000019</v>
      </c>
      <c r="R313" s="144">
        <v>-0.68920750000000019</v>
      </c>
      <c r="S313" s="144" t="s">
        <v>2217</v>
      </c>
      <c r="T313" s="146" t="s">
        <v>2217</v>
      </c>
      <c r="U313" s="145">
        <v>106.56388095238096</v>
      </c>
      <c r="V313" s="505">
        <v>0.3</v>
      </c>
      <c r="W313" s="505" t="s">
        <v>2024</v>
      </c>
      <c r="X313" s="43"/>
      <c r="Y313" s="143">
        <v>231</v>
      </c>
      <c r="Z313" s="152">
        <v>30</v>
      </c>
      <c r="AA313" s="143" t="s">
        <v>135</v>
      </c>
      <c r="AB313" s="9">
        <v>10</v>
      </c>
      <c r="AC313" s="151" t="s">
        <v>522</v>
      </c>
      <c r="AD313" s="151">
        <v>10</v>
      </c>
      <c r="AE313" s="151"/>
      <c r="AF313" s="152"/>
      <c r="AG313" s="143" t="s">
        <v>20227</v>
      </c>
      <c r="AH313" s="144">
        <v>0.33260869565217388</v>
      </c>
      <c r="AI313" s="144">
        <v>11.521816195652175</v>
      </c>
      <c r="AJ313" s="144">
        <v>0</v>
      </c>
      <c r="AK313" s="143">
        <v>0</v>
      </c>
      <c r="AL313" s="144">
        <v>11.521816195652175</v>
      </c>
      <c r="AM313" s="144">
        <v>0</v>
      </c>
      <c r="AN313" s="29">
        <v>10.5</v>
      </c>
      <c r="AO313" s="144">
        <v>-1.0218161956521747</v>
      </c>
      <c r="AP313" s="144">
        <v>-1.0218161956521747</v>
      </c>
      <c r="AQ313" s="153" t="s">
        <v>2217</v>
      </c>
      <c r="AR313" s="146" t="s">
        <v>2217</v>
      </c>
      <c r="AS313" s="56">
        <v>109.731582815735</v>
      </c>
      <c r="AT313" s="58" t="s">
        <v>50</v>
      </c>
      <c r="AU313" s="118">
        <v>1986</v>
      </c>
      <c r="AV313" s="149" t="s">
        <v>2143</v>
      </c>
      <c r="AW313" s="120">
        <v>56.845537273625297</v>
      </c>
      <c r="AX313" s="120">
        <v>35.908624623833397</v>
      </c>
    </row>
    <row r="314" spans="1:50" ht="15" customHeight="1" x14ac:dyDescent="0.25">
      <c r="A314" s="143">
        <v>232</v>
      </c>
      <c r="B314" s="143">
        <v>31</v>
      </c>
      <c r="C314" s="143" t="s">
        <v>17349</v>
      </c>
      <c r="D314" s="9">
        <v>25</v>
      </c>
      <c r="E314" s="503" t="s">
        <v>522</v>
      </c>
      <c r="F314" s="503">
        <v>25</v>
      </c>
      <c r="G314" s="503"/>
      <c r="H314" s="501"/>
      <c r="I314" s="151" t="s">
        <v>20226</v>
      </c>
      <c r="J314" s="31">
        <v>1.4101229999999998</v>
      </c>
      <c r="K314" s="33">
        <v>0</v>
      </c>
      <c r="L314" s="3">
        <v>0</v>
      </c>
      <c r="M314" s="144">
        <v>1.4101229999999998</v>
      </c>
      <c r="N314" s="504">
        <v>0</v>
      </c>
      <c r="O314" s="29"/>
      <c r="P314" s="29">
        <v>26.25</v>
      </c>
      <c r="Q314" s="144">
        <v>24.839877000000001</v>
      </c>
      <c r="R314" s="144">
        <v>24.839877000000001</v>
      </c>
      <c r="S314" s="144" t="s">
        <v>20211</v>
      </c>
      <c r="T314" s="146" t="s">
        <v>20211</v>
      </c>
      <c r="U314" s="145">
        <v>5.3718971428571418</v>
      </c>
      <c r="V314" s="505">
        <v>0.3</v>
      </c>
      <c r="W314" s="505" t="s">
        <v>13375</v>
      </c>
      <c r="X314" s="43"/>
      <c r="Y314" s="143">
        <v>232</v>
      </c>
      <c r="Z314" s="152">
        <v>31</v>
      </c>
      <c r="AA314" s="143" t="s">
        <v>17349</v>
      </c>
      <c r="AB314" s="9">
        <v>25</v>
      </c>
      <c r="AC314" s="151"/>
      <c r="AD314" s="151">
        <v>25</v>
      </c>
      <c r="AE314" s="151"/>
      <c r="AF314" s="152"/>
      <c r="AG314" s="143"/>
      <c r="AH314" s="144">
        <v>1.7391304347826086</v>
      </c>
      <c r="AI314" s="144">
        <v>3.1492534347826084</v>
      </c>
      <c r="AJ314" s="144">
        <v>0</v>
      </c>
      <c r="AK314" s="143">
        <v>0</v>
      </c>
      <c r="AL314" s="144">
        <v>3.1492534347826084</v>
      </c>
      <c r="AM314" s="144">
        <v>0</v>
      </c>
      <c r="AN314" s="29">
        <v>26.25</v>
      </c>
      <c r="AO314" s="144">
        <v>23.100746565217392</v>
      </c>
      <c r="AP314" s="144">
        <v>23.100746565217392</v>
      </c>
      <c r="AQ314" s="153" t="s">
        <v>20211</v>
      </c>
      <c r="AR314" s="146" t="s">
        <v>20211</v>
      </c>
      <c r="AS314" s="56">
        <v>11.997155942028986</v>
      </c>
      <c r="AT314" s="58" t="s">
        <v>50</v>
      </c>
      <c r="AU314" s="118">
        <v>2014</v>
      </c>
      <c r="AV314" s="149" t="s">
        <v>2143</v>
      </c>
      <c r="AW314" s="120">
        <v>56.784230999999998</v>
      </c>
      <c r="AX314" s="120">
        <v>35.865099000000001</v>
      </c>
    </row>
    <row r="315" spans="1:50" ht="15" customHeight="1" x14ac:dyDescent="0.25">
      <c r="A315" s="143">
        <v>233</v>
      </c>
      <c r="B315" s="143">
        <v>32</v>
      </c>
      <c r="C315" s="143" t="s">
        <v>136</v>
      </c>
      <c r="D315" s="9">
        <v>6.3</v>
      </c>
      <c r="E315" s="503" t="s">
        <v>522</v>
      </c>
      <c r="F315" s="503">
        <v>6.3</v>
      </c>
      <c r="G315" s="503"/>
      <c r="H315" s="501"/>
      <c r="I315" s="151" t="s">
        <v>20225</v>
      </c>
      <c r="J315" s="31">
        <v>4.882752</v>
      </c>
      <c r="K315" s="33">
        <v>0</v>
      </c>
      <c r="L315" s="3">
        <v>0</v>
      </c>
      <c r="M315" s="144">
        <v>4.882752</v>
      </c>
      <c r="N315" s="504">
        <v>0</v>
      </c>
      <c r="O315" s="29"/>
      <c r="P315" s="29">
        <v>6.6150000000000002</v>
      </c>
      <c r="Q315" s="144">
        <v>1.7322480000000002</v>
      </c>
      <c r="R315" s="144">
        <v>1.7322480000000002</v>
      </c>
      <c r="S315" s="144" t="s">
        <v>20211</v>
      </c>
      <c r="T315" s="146" t="s">
        <v>20211</v>
      </c>
      <c r="U315" s="145">
        <v>73.813333333333333</v>
      </c>
      <c r="V315" s="505">
        <v>0.2</v>
      </c>
      <c r="W315" s="505" t="s">
        <v>2024</v>
      </c>
      <c r="X315" s="43"/>
      <c r="Y315" s="143">
        <v>233</v>
      </c>
      <c r="Z315" s="152">
        <v>32</v>
      </c>
      <c r="AA315" s="143" t="s">
        <v>136</v>
      </c>
      <c r="AB315" s="9">
        <v>6.3</v>
      </c>
      <c r="AC315" s="151" t="s">
        <v>522</v>
      </c>
      <c r="AD315" s="151">
        <v>6.3</v>
      </c>
      <c r="AE315" s="151"/>
      <c r="AF315" s="152"/>
      <c r="AG315" s="143" t="s">
        <v>20225</v>
      </c>
      <c r="AH315" s="144">
        <v>3.4832282608695646</v>
      </c>
      <c r="AI315" s="144">
        <v>8.3659802608695646</v>
      </c>
      <c r="AJ315" s="144">
        <v>0</v>
      </c>
      <c r="AK315" s="143">
        <v>0</v>
      </c>
      <c r="AL315" s="144">
        <v>8.3659802608695646</v>
      </c>
      <c r="AM315" s="144">
        <v>0</v>
      </c>
      <c r="AN315" s="29">
        <v>6.6150000000000002</v>
      </c>
      <c r="AO315" s="144">
        <v>-1.7509802608695644</v>
      </c>
      <c r="AP315" s="144">
        <v>-1.7509802608695644</v>
      </c>
      <c r="AQ315" s="153" t="s">
        <v>2217</v>
      </c>
      <c r="AR315" s="146" t="s">
        <v>2217</v>
      </c>
      <c r="AS315" s="56">
        <v>126.46984521344768</v>
      </c>
      <c r="AT315" s="58" t="s">
        <v>50</v>
      </c>
      <c r="AU315" s="118">
        <v>1994</v>
      </c>
      <c r="AV315" s="149" t="s">
        <v>2143</v>
      </c>
      <c r="AW315" s="120">
        <v>56.834636330887697</v>
      </c>
      <c r="AX315" s="120">
        <v>35.835950487538099</v>
      </c>
    </row>
    <row r="316" spans="1:50" ht="15" customHeight="1" x14ac:dyDescent="0.25">
      <c r="A316" s="143">
        <v>234</v>
      </c>
      <c r="B316" s="143">
        <v>33</v>
      </c>
      <c r="C316" s="143" t="s">
        <v>137</v>
      </c>
      <c r="D316" s="9">
        <v>6.3</v>
      </c>
      <c r="E316" s="503" t="s">
        <v>522</v>
      </c>
      <c r="F316" s="503">
        <v>6.3</v>
      </c>
      <c r="G316" s="503"/>
      <c r="H316" s="501"/>
      <c r="I316" s="151" t="s">
        <v>20225</v>
      </c>
      <c r="J316" s="31">
        <v>3.8691450000000001</v>
      </c>
      <c r="K316" s="33">
        <v>0</v>
      </c>
      <c r="L316" s="3">
        <v>0</v>
      </c>
      <c r="M316" s="144">
        <v>3.8691450000000001</v>
      </c>
      <c r="N316" s="504">
        <v>0</v>
      </c>
      <c r="O316" s="29"/>
      <c r="P316" s="29">
        <v>6.6150000000000002</v>
      </c>
      <c r="Q316" s="144">
        <v>2.7458550000000002</v>
      </c>
      <c r="R316" s="144">
        <v>2.7458550000000002</v>
      </c>
      <c r="S316" s="144" t="s">
        <v>20211</v>
      </c>
      <c r="T316" s="146" t="s">
        <v>20211</v>
      </c>
      <c r="U316" s="145">
        <v>58.490476190476194</v>
      </c>
      <c r="V316" s="505">
        <v>0.4</v>
      </c>
      <c r="W316" s="505" t="s">
        <v>2024</v>
      </c>
      <c r="X316" s="43"/>
      <c r="Y316" s="143">
        <v>234</v>
      </c>
      <c r="Z316" s="152">
        <v>33</v>
      </c>
      <c r="AA316" s="143" t="s">
        <v>137</v>
      </c>
      <c r="AB316" s="9">
        <v>6.3</v>
      </c>
      <c r="AC316" s="151" t="s">
        <v>522</v>
      </c>
      <c r="AD316" s="151">
        <v>6.3</v>
      </c>
      <c r="AE316" s="151"/>
      <c r="AF316" s="152"/>
      <c r="AG316" s="143" t="s">
        <v>20225</v>
      </c>
      <c r="AH316" s="144">
        <v>2.0340978260869567</v>
      </c>
      <c r="AI316" s="144">
        <v>5.9032428260869567</v>
      </c>
      <c r="AJ316" s="144">
        <v>0</v>
      </c>
      <c r="AK316" s="143">
        <v>0</v>
      </c>
      <c r="AL316" s="144">
        <v>5.9032428260869567</v>
      </c>
      <c r="AM316" s="144">
        <v>0</v>
      </c>
      <c r="AN316" s="29">
        <v>6.6150000000000002</v>
      </c>
      <c r="AO316" s="144">
        <v>0.71175717391304349</v>
      </c>
      <c r="AP316" s="144">
        <v>0.71175717391304349</v>
      </c>
      <c r="AQ316" s="153" t="s">
        <v>20211</v>
      </c>
      <c r="AR316" s="146" t="s">
        <v>20211</v>
      </c>
      <c r="AS316" s="56">
        <v>89.240254362614607</v>
      </c>
      <c r="AT316" s="58" t="s">
        <v>50</v>
      </c>
      <c r="AU316" s="118">
        <v>1984</v>
      </c>
      <c r="AV316" s="149" t="s">
        <v>2143</v>
      </c>
      <c r="AW316" s="120">
        <v>56.897833852421002</v>
      </c>
      <c r="AX316" s="120">
        <v>35.936355035922602</v>
      </c>
    </row>
    <row r="317" spans="1:50" ht="15" customHeight="1" x14ac:dyDescent="0.25">
      <c r="A317" s="143">
        <v>235</v>
      </c>
      <c r="B317" s="143">
        <v>34</v>
      </c>
      <c r="C317" s="143" t="s">
        <v>138</v>
      </c>
      <c r="D317" s="9">
        <v>16</v>
      </c>
      <c r="E317" s="503" t="s">
        <v>522</v>
      </c>
      <c r="F317" s="503">
        <v>16</v>
      </c>
      <c r="G317" s="503"/>
      <c r="H317" s="501"/>
      <c r="I317" s="151" t="s">
        <v>20243</v>
      </c>
      <c r="J317" s="31">
        <v>7.2327840000000005</v>
      </c>
      <c r="K317" s="33">
        <v>0</v>
      </c>
      <c r="L317" s="3">
        <v>0</v>
      </c>
      <c r="M317" s="144">
        <v>7.2327840000000005</v>
      </c>
      <c r="N317" s="504">
        <v>0</v>
      </c>
      <c r="O317" s="29"/>
      <c r="P317" s="29">
        <v>16.8</v>
      </c>
      <c r="Q317" s="144">
        <v>9.5672160000000002</v>
      </c>
      <c r="R317" s="144">
        <v>9.5672160000000002</v>
      </c>
      <c r="S317" s="144" t="s">
        <v>20211</v>
      </c>
      <c r="T317" s="146" t="s">
        <v>20211</v>
      </c>
      <c r="U317" s="145">
        <v>43.052285714285716</v>
      </c>
      <c r="V317" s="505">
        <v>0.2</v>
      </c>
      <c r="W317" s="505" t="s">
        <v>2024</v>
      </c>
      <c r="X317" s="43"/>
      <c r="Y317" s="143">
        <v>235</v>
      </c>
      <c r="Z317" s="152">
        <v>34</v>
      </c>
      <c r="AA317" s="143" t="s">
        <v>138</v>
      </c>
      <c r="AB317" s="9">
        <v>16</v>
      </c>
      <c r="AC317" s="151" t="s">
        <v>522</v>
      </c>
      <c r="AD317" s="151">
        <v>16</v>
      </c>
      <c r="AE317" s="151"/>
      <c r="AF317" s="152"/>
      <c r="AG317" s="143" t="s">
        <v>20243</v>
      </c>
      <c r="AH317" s="144">
        <v>1.0552173913043479</v>
      </c>
      <c r="AI317" s="144">
        <v>8.2880013913043484</v>
      </c>
      <c r="AJ317" s="144">
        <v>0</v>
      </c>
      <c r="AK317" s="143">
        <v>0</v>
      </c>
      <c r="AL317" s="144">
        <v>8.2880013913043484</v>
      </c>
      <c r="AM317" s="144">
        <v>0</v>
      </c>
      <c r="AN317" s="29">
        <v>16.8</v>
      </c>
      <c r="AO317" s="144">
        <v>8.5119986086956523</v>
      </c>
      <c r="AP317" s="144">
        <v>8.5119986086956523</v>
      </c>
      <c r="AQ317" s="153" t="s">
        <v>20211</v>
      </c>
      <c r="AR317" s="146" t="s">
        <v>20211</v>
      </c>
      <c r="AS317" s="56">
        <v>49.333341614906836</v>
      </c>
      <c r="AT317" s="58" t="s">
        <v>50</v>
      </c>
      <c r="AU317" s="118">
        <v>1978</v>
      </c>
      <c r="AV317" s="149" t="s">
        <v>2143</v>
      </c>
      <c r="AW317" s="120">
        <v>56.857060398247299</v>
      </c>
      <c r="AX317" s="120">
        <v>35.856128545548501</v>
      </c>
    </row>
    <row r="318" spans="1:50" ht="15" customHeight="1" x14ac:dyDescent="0.25">
      <c r="A318" s="143">
        <v>236</v>
      </c>
      <c r="B318" s="143">
        <v>35</v>
      </c>
      <c r="C318" s="143" t="s">
        <v>139</v>
      </c>
      <c r="D318" s="9">
        <v>6.3</v>
      </c>
      <c r="E318" s="503" t="s">
        <v>522</v>
      </c>
      <c r="F318" s="503">
        <v>6.3</v>
      </c>
      <c r="G318" s="503"/>
      <c r="H318" s="501"/>
      <c r="I318" s="151" t="s">
        <v>20225</v>
      </c>
      <c r="J318" s="31">
        <v>4.5351949999999999</v>
      </c>
      <c r="K318" s="33">
        <v>0</v>
      </c>
      <c r="L318" s="3">
        <v>0</v>
      </c>
      <c r="M318" s="144">
        <v>4.5351949999999999</v>
      </c>
      <c r="N318" s="504">
        <v>0</v>
      </c>
      <c r="O318" s="29"/>
      <c r="P318" s="29">
        <v>6.6150000000000002</v>
      </c>
      <c r="Q318" s="144">
        <v>2.0798050000000003</v>
      </c>
      <c r="R318" s="144">
        <v>2.0798050000000003</v>
      </c>
      <c r="S318" s="144" t="s">
        <v>20211</v>
      </c>
      <c r="T318" s="146" t="s">
        <v>20211</v>
      </c>
      <c r="U318" s="145">
        <v>68.55925925925925</v>
      </c>
      <c r="V318" s="505"/>
      <c r="W318" s="505" t="s">
        <v>2023</v>
      </c>
      <c r="X318" s="43"/>
      <c r="Y318" s="143">
        <v>236</v>
      </c>
      <c r="Z318" s="152">
        <v>35</v>
      </c>
      <c r="AA318" s="143" t="s">
        <v>139</v>
      </c>
      <c r="AB318" s="9">
        <v>6.3</v>
      </c>
      <c r="AC318" s="151" t="s">
        <v>522</v>
      </c>
      <c r="AD318" s="151">
        <v>6.3</v>
      </c>
      <c r="AE318" s="151"/>
      <c r="AF318" s="152"/>
      <c r="AG318" s="143" t="s">
        <v>20225</v>
      </c>
      <c r="AH318" s="144">
        <v>1.7171739130434782</v>
      </c>
      <c r="AI318" s="144">
        <v>6.2523689130434779</v>
      </c>
      <c r="AJ318" s="144">
        <v>0</v>
      </c>
      <c r="AK318" s="143">
        <v>0</v>
      </c>
      <c r="AL318" s="144">
        <v>6.2523689130434779</v>
      </c>
      <c r="AM318" s="144">
        <v>0</v>
      </c>
      <c r="AN318" s="29">
        <v>6.6150000000000002</v>
      </c>
      <c r="AO318" s="144">
        <v>0.36263108695652235</v>
      </c>
      <c r="AP318" s="144">
        <v>0.36263108695652235</v>
      </c>
      <c r="AQ318" s="153" t="s">
        <v>20211</v>
      </c>
      <c r="AR318" s="146" t="s">
        <v>20211</v>
      </c>
      <c r="AS318" s="56">
        <v>94.518048572085831</v>
      </c>
      <c r="AT318" s="58" t="s">
        <v>50</v>
      </c>
      <c r="AU318" s="118">
        <v>1964</v>
      </c>
      <c r="AV318" s="149" t="s">
        <v>2143</v>
      </c>
      <c r="AW318" s="120">
        <v>56.522345874913398</v>
      </c>
      <c r="AX318" s="120">
        <v>35.965727164471801</v>
      </c>
    </row>
    <row r="319" spans="1:50" ht="15" customHeight="1" x14ac:dyDescent="0.25">
      <c r="A319" s="143">
        <v>237</v>
      </c>
      <c r="B319" s="143">
        <v>36</v>
      </c>
      <c r="C319" s="143" t="s">
        <v>140</v>
      </c>
      <c r="D319" s="9">
        <v>4</v>
      </c>
      <c r="E319" s="503" t="s">
        <v>522</v>
      </c>
      <c r="F319" s="503">
        <v>4</v>
      </c>
      <c r="G319" s="503"/>
      <c r="H319" s="501"/>
      <c r="I319" s="151" t="s">
        <v>20235</v>
      </c>
      <c r="J319" s="31">
        <v>3.2205680000000001</v>
      </c>
      <c r="K319" s="33">
        <v>0</v>
      </c>
      <c r="L319" s="3">
        <v>0</v>
      </c>
      <c r="M319" s="144">
        <v>3.2205680000000001</v>
      </c>
      <c r="N319" s="504">
        <v>0</v>
      </c>
      <c r="O319" s="29"/>
      <c r="P319" s="29">
        <v>4.2</v>
      </c>
      <c r="Q319" s="144">
        <v>0.97943200000000008</v>
      </c>
      <c r="R319" s="144">
        <v>0.97943200000000008</v>
      </c>
      <c r="S319" s="144" t="s">
        <v>20211</v>
      </c>
      <c r="T319" s="146" t="s">
        <v>20211</v>
      </c>
      <c r="U319" s="145">
        <v>76.680190476190475</v>
      </c>
      <c r="V319" s="505">
        <v>0.5</v>
      </c>
      <c r="W319" s="505" t="s">
        <v>2024</v>
      </c>
      <c r="X319" s="43"/>
      <c r="Y319" s="143">
        <v>237</v>
      </c>
      <c r="Z319" s="152">
        <v>36</v>
      </c>
      <c r="AA319" s="143" t="s">
        <v>140</v>
      </c>
      <c r="AB319" s="9">
        <v>4</v>
      </c>
      <c r="AC319" s="151" t="s">
        <v>522</v>
      </c>
      <c r="AD319" s="151">
        <v>4</v>
      </c>
      <c r="AE319" s="151"/>
      <c r="AF319" s="152"/>
      <c r="AG319" s="143" t="s">
        <v>20235</v>
      </c>
      <c r="AH319" s="144">
        <v>0.32634782608695651</v>
      </c>
      <c r="AI319" s="144">
        <v>3.5469158260869564</v>
      </c>
      <c r="AJ319" s="144">
        <v>0</v>
      </c>
      <c r="AK319" s="143">
        <v>0</v>
      </c>
      <c r="AL319" s="144">
        <v>3.5469158260869564</v>
      </c>
      <c r="AM319" s="144">
        <v>0</v>
      </c>
      <c r="AN319" s="29">
        <v>4.2</v>
      </c>
      <c r="AO319" s="144">
        <v>0.65308417391304374</v>
      </c>
      <c r="AP319" s="144">
        <v>0.65308417391304374</v>
      </c>
      <c r="AQ319" s="153" t="s">
        <v>20211</v>
      </c>
      <c r="AR319" s="146" t="s">
        <v>20211</v>
      </c>
      <c r="AS319" s="56">
        <v>84.450376811594197</v>
      </c>
      <c r="AT319" s="58" t="s">
        <v>50</v>
      </c>
      <c r="AU319" s="118">
        <v>1964</v>
      </c>
      <c r="AV319" s="150">
        <v>2011</v>
      </c>
      <c r="AW319" s="120">
        <v>56.903621345815402</v>
      </c>
      <c r="AX319" s="120">
        <v>36.050582131677899</v>
      </c>
    </row>
    <row r="320" spans="1:50" ht="15" customHeight="1" x14ac:dyDescent="0.25">
      <c r="A320" s="143">
        <v>238</v>
      </c>
      <c r="B320" s="143">
        <v>37</v>
      </c>
      <c r="C320" s="143" t="s">
        <v>141</v>
      </c>
      <c r="D320" s="9">
        <v>2.5</v>
      </c>
      <c r="E320" s="503" t="s">
        <v>522</v>
      </c>
      <c r="F320" s="503">
        <v>2.5</v>
      </c>
      <c r="G320" s="503"/>
      <c r="H320" s="501"/>
      <c r="I320" s="151" t="s">
        <v>20222</v>
      </c>
      <c r="J320" s="31">
        <v>1.2642840000000002</v>
      </c>
      <c r="K320" s="33">
        <v>0</v>
      </c>
      <c r="L320" s="3">
        <v>0</v>
      </c>
      <c r="M320" s="144">
        <v>1.2642840000000002</v>
      </c>
      <c r="N320" s="504">
        <v>0.45</v>
      </c>
      <c r="O320" s="29" t="s">
        <v>17451</v>
      </c>
      <c r="P320" s="29">
        <v>2.625</v>
      </c>
      <c r="Q320" s="144">
        <v>0.91071599999999986</v>
      </c>
      <c r="R320" s="144">
        <v>0.91071599999999986</v>
      </c>
      <c r="S320" s="144" t="s">
        <v>20211</v>
      </c>
      <c r="T320" s="146" t="s">
        <v>20211</v>
      </c>
      <c r="U320" s="145">
        <v>48.16320000000001</v>
      </c>
      <c r="V320" s="505">
        <v>0.3</v>
      </c>
      <c r="W320" s="505" t="s">
        <v>2024</v>
      </c>
      <c r="X320" s="43"/>
      <c r="Y320" s="143">
        <v>238</v>
      </c>
      <c r="Z320" s="152">
        <v>37</v>
      </c>
      <c r="AA320" s="143" t="s">
        <v>141</v>
      </c>
      <c r="AB320" s="9">
        <v>2.5</v>
      </c>
      <c r="AC320" s="151" t="s">
        <v>522</v>
      </c>
      <c r="AD320" s="151">
        <v>2.5</v>
      </c>
      <c r="AE320" s="151"/>
      <c r="AF320" s="152"/>
      <c r="AG320" s="143" t="s">
        <v>20222</v>
      </c>
      <c r="AH320" s="144">
        <v>0.43669565217391304</v>
      </c>
      <c r="AI320" s="144">
        <v>1.7009796521739133</v>
      </c>
      <c r="AJ320" s="144">
        <v>0</v>
      </c>
      <c r="AK320" s="143">
        <v>0</v>
      </c>
      <c r="AL320" s="144">
        <v>1.7009796521739133</v>
      </c>
      <c r="AM320" s="144">
        <v>0.45</v>
      </c>
      <c r="AN320" s="29">
        <v>2.625</v>
      </c>
      <c r="AO320" s="144">
        <v>0.47402034782608665</v>
      </c>
      <c r="AP320" s="144">
        <v>0.47402034782608665</v>
      </c>
      <c r="AQ320" s="153" t="s">
        <v>20211</v>
      </c>
      <c r="AR320" s="146" t="s">
        <v>20211</v>
      </c>
      <c r="AS320" s="56">
        <v>64.799224844720513</v>
      </c>
      <c r="AT320" s="58" t="s">
        <v>50</v>
      </c>
      <c r="AU320" s="118">
        <v>1965</v>
      </c>
      <c r="AV320" s="149" t="s">
        <v>2143</v>
      </c>
      <c r="AW320" s="120">
        <v>56.847192621276001</v>
      </c>
      <c r="AX320" s="120">
        <v>36.591664194611702</v>
      </c>
    </row>
    <row r="321" spans="1:50" ht="15" customHeight="1" x14ac:dyDescent="0.25">
      <c r="A321" s="143">
        <v>239</v>
      </c>
      <c r="B321" s="143">
        <v>38</v>
      </c>
      <c r="C321" s="143" t="s">
        <v>1411</v>
      </c>
      <c r="D321" s="9">
        <v>10</v>
      </c>
      <c r="E321" s="503" t="s">
        <v>522</v>
      </c>
      <c r="F321" s="503">
        <v>3.2</v>
      </c>
      <c r="G321" s="503"/>
      <c r="H321" s="501"/>
      <c r="I321" s="151" t="s">
        <v>20253</v>
      </c>
      <c r="J321" s="31">
        <v>3.3453009999999996</v>
      </c>
      <c r="K321" s="33">
        <v>0</v>
      </c>
      <c r="L321" s="3">
        <v>0</v>
      </c>
      <c r="M321" s="144">
        <v>3.3453009999999996</v>
      </c>
      <c r="N321" s="504">
        <v>0</v>
      </c>
      <c r="O321" s="29"/>
      <c r="P321" s="29">
        <v>3.3600000000000003</v>
      </c>
      <c r="Q321" s="144">
        <v>1.4699000000000684E-2</v>
      </c>
      <c r="R321" s="144">
        <v>1.4699000000000684E-2</v>
      </c>
      <c r="S321" s="144" t="s">
        <v>20211</v>
      </c>
      <c r="T321" s="146" t="s">
        <v>20211</v>
      </c>
      <c r="U321" s="145">
        <v>99.562529761904742</v>
      </c>
      <c r="V321" s="505">
        <v>0.5</v>
      </c>
      <c r="W321" s="505" t="s">
        <v>2024</v>
      </c>
      <c r="X321" s="43"/>
      <c r="Y321" s="143">
        <v>239</v>
      </c>
      <c r="Z321" s="152">
        <v>38</v>
      </c>
      <c r="AA321" s="143" t="s">
        <v>1411</v>
      </c>
      <c r="AB321" s="9">
        <v>10</v>
      </c>
      <c r="AC321" s="151" t="s">
        <v>522</v>
      </c>
      <c r="AD321" s="151">
        <v>3.2</v>
      </c>
      <c r="AE321" s="151"/>
      <c r="AF321" s="152"/>
      <c r="AG321" s="143" t="s">
        <v>20253</v>
      </c>
      <c r="AH321" s="144">
        <v>0.76068260869565218</v>
      </c>
      <c r="AI321" s="144">
        <v>4.1059836086956523</v>
      </c>
      <c r="AJ321" s="144">
        <v>0</v>
      </c>
      <c r="AK321" s="143">
        <v>0</v>
      </c>
      <c r="AL321" s="144">
        <v>4.1059836086956523</v>
      </c>
      <c r="AM321" s="144">
        <v>0</v>
      </c>
      <c r="AN321" s="29">
        <v>3.3600000000000003</v>
      </c>
      <c r="AO321" s="144">
        <v>-0.74598360869565195</v>
      </c>
      <c r="AP321" s="144">
        <v>-0.74598360869565195</v>
      </c>
      <c r="AQ321" s="153" t="s">
        <v>2217</v>
      </c>
      <c r="AR321" s="146" t="s">
        <v>2217</v>
      </c>
      <c r="AS321" s="56">
        <v>122.20189311594201</v>
      </c>
      <c r="AT321" s="58" t="s">
        <v>50</v>
      </c>
      <c r="AU321" s="118">
        <v>1966</v>
      </c>
      <c r="AV321" s="149">
        <v>2013</v>
      </c>
      <c r="AW321" s="120">
        <v>56.901288048079202</v>
      </c>
      <c r="AX321" s="120">
        <v>35.767399663626499</v>
      </c>
    </row>
    <row r="322" spans="1:50" ht="15" customHeight="1" x14ac:dyDescent="0.25">
      <c r="A322" s="143">
        <v>240</v>
      </c>
      <c r="B322" s="143">
        <v>39</v>
      </c>
      <c r="C322" s="143" t="s">
        <v>142</v>
      </c>
      <c r="D322" s="9">
        <v>4</v>
      </c>
      <c r="E322" s="503" t="s">
        <v>522</v>
      </c>
      <c r="F322" s="503">
        <v>4</v>
      </c>
      <c r="G322" s="503"/>
      <c r="H322" s="501"/>
      <c r="I322" s="151" t="s">
        <v>20235</v>
      </c>
      <c r="J322" s="31">
        <v>1.5185939999999998</v>
      </c>
      <c r="K322" s="33">
        <v>0</v>
      </c>
      <c r="L322" s="3">
        <v>0</v>
      </c>
      <c r="M322" s="144">
        <v>1.5185939999999998</v>
      </c>
      <c r="N322" s="504">
        <v>0</v>
      </c>
      <c r="O322" s="29"/>
      <c r="P322" s="29">
        <v>4.2</v>
      </c>
      <c r="Q322" s="144">
        <v>2.6814060000000004</v>
      </c>
      <c r="R322" s="144">
        <v>2.6814060000000004</v>
      </c>
      <c r="S322" s="144" t="s">
        <v>20211</v>
      </c>
      <c r="T322" s="146" t="s">
        <v>20211</v>
      </c>
      <c r="U322" s="145">
        <v>36.156999999999989</v>
      </c>
      <c r="V322" s="505">
        <v>0.5</v>
      </c>
      <c r="W322" s="505" t="s">
        <v>2024</v>
      </c>
      <c r="X322" s="43"/>
      <c r="Y322" s="143">
        <v>240</v>
      </c>
      <c r="Z322" s="152">
        <v>39</v>
      </c>
      <c r="AA322" s="143" t="s">
        <v>142</v>
      </c>
      <c r="AB322" s="9">
        <v>4</v>
      </c>
      <c r="AC322" s="151" t="s">
        <v>522</v>
      </c>
      <c r="AD322" s="151">
        <v>4</v>
      </c>
      <c r="AE322" s="151"/>
      <c r="AF322" s="152"/>
      <c r="AG322" s="143" t="s">
        <v>20235</v>
      </c>
      <c r="AH322" s="144">
        <v>0.97089130434782611</v>
      </c>
      <c r="AI322" s="144">
        <v>2.4894853043478258</v>
      </c>
      <c r="AJ322" s="144">
        <v>0</v>
      </c>
      <c r="AK322" s="143">
        <v>0</v>
      </c>
      <c r="AL322" s="144">
        <v>2.4894853043478258</v>
      </c>
      <c r="AM322" s="144">
        <v>0</v>
      </c>
      <c r="AN322" s="29">
        <v>4.2</v>
      </c>
      <c r="AO322" s="144">
        <v>1.7105146956521744</v>
      </c>
      <c r="AP322" s="144">
        <v>1.7105146956521744</v>
      </c>
      <c r="AQ322" s="153" t="s">
        <v>20211</v>
      </c>
      <c r="AR322" s="146" t="s">
        <v>20211</v>
      </c>
      <c r="AS322" s="56">
        <v>59.273459627329181</v>
      </c>
      <c r="AT322" s="58" t="s">
        <v>50</v>
      </c>
      <c r="AU322" s="118">
        <v>1966</v>
      </c>
      <c r="AV322" s="149" t="s">
        <v>2143</v>
      </c>
      <c r="AW322" s="120">
        <v>56.703857298303703</v>
      </c>
      <c r="AX322" s="120">
        <v>35.841024516208599</v>
      </c>
    </row>
    <row r="323" spans="1:50" ht="15" customHeight="1" x14ac:dyDescent="0.25">
      <c r="A323" s="143">
        <v>241</v>
      </c>
      <c r="B323" s="143">
        <v>40</v>
      </c>
      <c r="C323" s="143" t="s">
        <v>143</v>
      </c>
      <c r="D323" s="9">
        <v>6.3</v>
      </c>
      <c r="E323" s="503" t="s">
        <v>522</v>
      </c>
      <c r="F323" s="503">
        <v>6.3</v>
      </c>
      <c r="G323" s="503"/>
      <c r="H323" s="501"/>
      <c r="I323" s="151" t="s">
        <v>20225</v>
      </c>
      <c r="J323" s="31">
        <v>3.358276</v>
      </c>
      <c r="K323" s="33">
        <v>0</v>
      </c>
      <c r="L323" s="3">
        <v>0</v>
      </c>
      <c r="M323" s="144">
        <v>3.358276</v>
      </c>
      <c r="N323" s="504">
        <v>2.81</v>
      </c>
      <c r="O323" s="29" t="s">
        <v>17452</v>
      </c>
      <c r="P323" s="29">
        <v>6.6150000000000002</v>
      </c>
      <c r="Q323" s="144">
        <v>0.44672400000000012</v>
      </c>
      <c r="R323" s="144">
        <v>0.44672400000000012</v>
      </c>
      <c r="S323" s="144" t="s">
        <v>20211</v>
      </c>
      <c r="T323" s="146" t="s">
        <v>20211</v>
      </c>
      <c r="U323" s="145">
        <v>50.767588813303099</v>
      </c>
      <c r="V323" s="505">
        <v>0.4</v>
      </c>
      <c r="W323" s="505" t="s">
        <v>2024</v>
      </c>
      <c r="X323" s="43"/>
      <c r="Y323" s="143">
        <v>241</v>
      </c>
      <c r="Z323" s="152">
        <v>40</v>
      </c>
      <c r="AA323" s="143" t="s">
        <v>143</v>
      </c>
      <c r="AB323" s="9">
        <v>6.3</v>
      </c>
      <c r="AC323" s="151" t="s">
        <v>522</v>
      </c>
      <c r="AD323" s="151">
        <v>6.3</v>
      </c>
      <c r="AE323" s="151"/>
      <c r="AF323" s="152"/>
      <c r="AG323" s="143" t="s">
        <v>20225</v>
      </c>
      <c r="AH323" s="144">
        <v>1.4054782608695651</v>
      </c>
      <c r="AI323" s="144">
        <v>4.7637542608695647</v>
      </c>
      <c r="AJ323" s="144">
        <v>0</v>
      </c>
      <c r="AK323" s="143">
        <v>0</v>
      </c>
      <c r="AL323" s="144">
        <v>4.7637542608695647</v>
      </c>
      <c r="AM323" s="144">
        <v>2.81</v>
      </c>
      <c r="AN323" s="29">
        <v>6.6150000000000002</v>
      </c>
      <c r="AO323" s="144">
        <v>-0.9587542608695645</v>
      </c>
      <c r="AP323" s="144">
        <v>-0.9587542608695645</v>
      </c>
      <c r="AQ323" s="153" t="s">
        <v>2217</v>
      </c>
      <c r="AR323" s="146" t="s">
        <v>2217</v>
      </c>
      <c r="AS323" s="56">
        <v>72.014425712313894</v>
      </c>
      <c r="AT323" s="58" t="s">
        <v>50</v>
      </c>
      <c r="AU323" s="118">
        <v>1970</v>
      </c>
      <c r="AV323" s="150">
        <v>2012</v>
      </c>
      <c r="AW323" s="120">
        <v>56.875332433910998</v>
      </c>
      <c r="AX323" s="120">
        <v>35.684471769877199</v>
      </c>
    </row>
    <row r="324" spans="1:50" ht="15" customHeight="1" x14ac:dyDescent="0.25">
      <c r="A324" s="143">
        <v>242</v>
      </c>
      <c r="B324" s="143">
        <v>41</v>
      </c>
      <c r="C324" s="143" t="s">
        <v>144</v>
      </c>
      <c r="D324" s="9">
        <v>4</v>
      </c>
      <c r="E324" s="503" t="s">
        <v>522</v>
      </c>
      <c r="F324" s="503">
        <v>4</v>
      </c>
      <c r="G324" s="503"/>
      <c r="H324" s="501"/>
      <c r="I324" s="151" t="s">
        <v>20235</v>
      </c>
      <c r="J324" s="31">
        <v>2.4649040000000002</v>
      </c>
      <c r="K324" s="33">
        <v>0</v>
      </c>
      <c r="L324" s="3">
        <v>0</v>
      </c>
      <c r="M324" s="144">
        <v>2.4649040000000002</v>
      </c>
      <c r="N324" s="504">
        <v>0.93</v>
      </c>
      <c r="O324" s="29" t="s">
        <v>17451</v>
      </c>
      <c r="P324" s="29">
        <v>4.2</v>
      </c>
      <c r="Q324" s="144">
        <v>0.80509599999999992</v>
      </c>
      <c r="R324" s="144">
        <v>0.80509599999999992</v>
      </c>
      <c r="S324" s="144" t="s">
        <v>20211</v>
      </c>
      <c r="T324" s="146" t="s">
        <v>20211</v>
      </c>
      <c r="U324" s="145">
        <v>58.688190476190478</v>
      </c>
      <c r="V324" s="505"/>
      <c r="W324" s="505" t="s">
        <v>2023</v>
      </c>
      <c r="X324" s="43"/>
      <c r="Y324" s="143">
        <v>242</v>
      </c>
      <c r="Z324" s="152">
        <v>41</v>
      </c>
      <c r="AA324" s="143" t="s">
        <v>144</v>
      </c>
      <c r="AB324" s="9">
        <v>4</v>
      </c>
      <c r="AC324" s="151" t="s">
        <v>522</v>
      </c>
      <c r="AD324" s="151">
        <v>4</v>
      </c>
      <c r="AE324" s="151"/>
      <c r="AF324" s="152"/>
      <c r="AG324" s="143" t="s">
        <v>20235</v>
      </c>
      <c r="AH324" s="144">
        <v>0.60867391304347818</v>
      </c>
      <c r="AI324" s="144">
        <v>3.0735779130434784</v>
      </c>
      <c r="AJ324" s="144">
        <v>0</v>
      </c>
      <c r="AK324" s="143">
        <v>0</v>
      </c>
      <c r="AL324" s="144">
        <v>3.0735779130434784</v>
      </c>
      <c r="AM324" s="144">
        <v>0.93</v>
      </c>
      <c r="AN324" s="29">
        <v>4.2</v>
      </c>
      <c r="AO324" s="144">
        <v>0.19642208695652175</v>
      </c>
      <c r="AP324" s="144">
        <v>0.19642208695652175</v>
      </c>
      <c r="AQ324" s="153" t="s">
        <v>20211</v>
      </c>
      <c r="AR324" s="146" t="s">
        <v>20211</v>
      </c>
      <c r="AS324" s="56">
        <v>73.180426501035186</v>
      </c>
      <c r="AT324" s="58" t="s">
        <v>50</v>
      </c>
      <c r="AU324" s="118">
        <v>1975</v>
      </c>
      <c r="AV324" s="149" t="s">
        <v>2143</v>
      </c>
      <c r="AW324" s="120">
        <v>56.711210032713197</v>
      </c>
      <c r="AX324" s="120">
        <v>35.789848585825297</v>
      </c>
    </row>
    <row r="325" spans="1:50" ht="15" customHeight="1" x14ac:dyDescent="0.25">
      <c r="A325" s="143">
        <v>243</v>
      </c>
      <c r="B325" s="143">
        <v>42</v>
      </c>
      <c r="C325" s="143" t="s">
        <v>145</v>
      </c>
      <c r="D325" s="9">
        <v>4</v>
      </c>
      <c r="E325" s="503" t="s">
        <v>522</v>
      </c>
      <c r="F325" s="503">
        <v>2.5</v>
      </c>
      <c r="G325" s="503"/>
      <c r="H325" s="501"/>
      <c r="I325" s="151" t="s">
        <v>20221</v>
      </c>
      <c r="J325" s="31">
        <v>1.2829680000000001</v>
      </c>
      <c r="K325" s="33">
        <v>0</v>
      </c>
      <c r="L325" s="3">
        <v>0</v>
      </c>
      <c r="M325" s="144">
        <v>1.2829680000000001</v>
      </c>
      <c r="N325" s="504">
        <v>0</v>
      </c>
      <c r="O325" s="29"/>
      <c r="P325" s="29">
        <v>2.625</v>
      </c>
      <c r="Q325" s="144">
        <v>1.3420319999999999</v>
      </c>
      <c r="R325" s="144">
        <v>1.3420319999999999</v>
      </c>
      <c r="S325" s="144" t="s">
        <v>20211</v>
      </c>
      <c r="T325" s="146" t="s">
        <v>20211</v>
      </c>
      <c r="U325" s="145">
        <v>48.874971428571435</v>
      </c>
      <c r="V325" s="505">
        <v>0.4</v>
      </c>
      <c r="W325" s="505" t="s">
        <v>2024</v>
      </c>
      <c r="X325" s="43"/>
      <c r="Y325" s="143">
        <v>243</v>
      </c>
      <c r="Z325" s="152">
        <v>42</v>
      </c>
      <c r="AA325" s="143" t="s">
        <v>145</v>
      </c>
      <c r="AB325" s="9">
        <v>4</v>
      </c>
      <c r="AC325" s="151" t="s">
        <v>522</v>
      </c>
      <c r="AD325" s="151">
        <v>2.5</v>
      </c>
      <c r="AE325" s="151"/>
      <c r="AF325" s="152"/>
      <c r="AG325" s="143" t="s">
        <v>20221</v>
      </c>
      <c r="AH325" s="144">
        <v>0.47484782608695653</v>
      </c>
      <c r="AI325" s="144">
        <v>1.7578158260869565</v>
      </c>
      <c r="AJ325" s="144">
        <v>0</v>
      </c>
      <c r="AK325" s="143">
        <v>0</v>
      </c>
      <c r="AL325" s="144">
        <v>1.7578158260869565</v>
      </c>
      <c r="AM325" s="144">
        <v>0</v>
      </c>
      <c r="AN325" s="29">
        <v>2.625</v>
      </c>
      <c r="AO325" s="144">
        <v>0.86718417391304348</v>
      </c>
      <c r="AP325" s="144">
        <v>0.86718417391304348</v>
      </c>
      <c r="AQ325" s="153" t="s">
        <v>20211</v>
      </c>
      <c r="AR325" s="146" t="s">
        <v>20211</v>
      </c>
      <c r="AS325" s="56">
        <v>66.964412422360255</v>
      </c>
      <c r="AT325" s="58" t="s">
        <v>50</v>
      </c>
      <c r="AU325" s="118">
        <v>1969</v>
      </c>
      <c r="AV325" s="149">
        <v>2014</v>
      </c>
      <c r="AW325" s="120">
        <v>56.841370892934599</v>
      </c>
      <c r="AX325" s="120">
        <v>36.103829043620003</v>
      </c>
    </row>
    <row r="326" spans="1:50" ht="15" customHeight="1" x14ac:dyDescent="0.25">
      <c r="A326" s="143">
        <v>244</v>
      </c>
      <c r="B326" s="143">
        <v>43</v>
      </c>
      <c r="C326" s="143" t="s">
        <v>146</v>
      </c>
      <c r="D326" s="9">
        <v>1.6</v>
      </c>
      <c r="E326" s="503" t="s">
        <v>522</v>
      </c>
      <c r="F326" s="503">
        <v>2.5</v>
      </c>
      <c r="G326" s="503"/>
      <c r="H326" s="501"/>
      <c r="I326" s="151" t="s">
        <v>20223</v>
      </c>
      <c r="J326" s="31">
        <v>0.62902799999999992</v>
      </c>
      <c r="K326" s="33">
        <v>0</v>
      </c>
      <c r="L326" s="3">
        <v>0</v>
      </c>
      <c r="M326" s="144">
        <v>0.62902799999999992</v>
      </c>
      <c r="N326" s="504">
        <v>0</v>
      </c>
      <c r="O326" s="29"/>
      <c r="P326" s="29">
        <v>1.6800000000000002</v>
      </c>
      <c r="Q326" s="144">
        <v>1.0509720000000002</v>
      </c>
      <c r="R326" s="144">
        <v>1.0509720000000002</v>
      </c>
      <c r="S326" s="144" t="s">
        <v>20211</v>
      </c>
      <c r="T326" s="146" t="s">
        <v>20211</v>
      </c>
      <c r="U326" s="145">
        <v>37.442142857142848</v>
      </c>
      <c r="V326" s="505"/>
      <c r="W326" s="505" t="s">
        <v>2023</v>
      </c>
      <c r="X326" s="43"/>
      <c r="Y326" s="143">
        <v>244</v>
      </c>
      <c r="Z326" s="152">
        <v>43</v>
      </c>
      <c r="AA326" s="143" t="s">
        <v>146</v>
      </c>
      <c r="AB326" s="9">
        <v>1.6</v>
      </c>
      <c r="AC326" s="151" t="s">
        <v>522</v>
      </c>
      <c r="AD326" s="151">
        <v>2.5</v>
      </c>
      <c r="AE326" s="151"/>
      <c r="AF326" s="152"/>
      <c r="AG326" s="143" t="s">
        <v>20223</v>
      </c>
      <c r="AH326" s="144">
        <v>0.42561290322580642</v>
      </c>
      <c r="AI326" s="144">
        <v>1.0546409032258064</v>
      </c>
      <c r="AJ326" s="144">
        <v>0</v>
      </c>
      <c r="AK326" s="143">
        <v>0</v>
      </c>
      <c r="AL326" s="144">
        <v>1.0546409032258064</v>
      </c>
      <c r="AM326" s="144">
        <v>0</v>
      </c>
      <c r="AN326" s="29">
        <v>1.6800000000000002</v>
      </c>
      <c r="AO326" s="144">
        <v>0.62535909677419377</v>
      </c>
      <c r="AP326" s="144">
        <v>0.62535909677419377</v>
      </c>
      <c r="AQ326" s="153" t="s">
        <v>20211</v>
      </c>
      <c r="AR326" s="146" t="s">
        <v>20211</v>
      </c>
      <c r="AS326" s="56">
        <v>62.776244239631332</v>
      </c>
      <c r="AT326" s="58" t="s">
        <v>50</v>
      </c>
      <c r="AU326" s="118">
        <v>1978</v>
      </c>
      <c r="AV326" s="149" t="s">
        <v>2143</v>
      </c>
      <c r="AW326" s="120">
        <v>56.936792691974098</v>
      </c>
      <c r="AX326" s="120">
        <v>36.140630189038099</v>
      </c>
    </row>
    <row r="327" spans="1:50" ht="15" customHeight="1" x14ac:dyDescent="0.25">
      <c r="A327" s="143">
        <v>245</v>
      </c>
      <c r="B327" s="143">
        <v>44</v>
      </c>
      <c r="C327" s="143" t="s">
        <v>147</v>
      </c>
      <c r="D327" s="9">
        <v>2.5</v>
      </c>
      <c r="E327" s="503" t="s">
        <v>522</v>
      </c>
      <c r="F327" s="503">
        <v>2.5</v>
      </c>
      <c r="G327" s="503"/>
      <c r="H327" s="501"/>
      <c r="I327" s="151" t="s">
        <v>20222</v>
      </c>
      <c r="J327" s="31">
        <v>0.21175199999999997</v>
      </c>
      <c r="K327" s="33">
        <v>0</v>
      </c>
      <c r="L327" s="3">
        <v>0</v>
      </c>
      <c r="M327" s="144">
        <v>0.21175199999999997</v>
      </c>
      <c r="N327" s="504">
        <v>0.34</v>
      </c>
      <c r="O327" s="29" t="s">
        <v>17451</v>
      </c>
      <c r="P327" s="29">
        <v>2.625</v>
      </c>
      <c r="Q327" s="144">
        <v>2.073248</v>
      </c>
      <c r="R327" s="144">
        <v>2.073248</v>
      </c>
      <c r="S327" s="144" t="s">
        <v>20211</v>
      </c>
      <c r="T327" s="146" t="s">
        <v>20211</v>
      </c>
      <c r="U327" s="145">
        <v>8.0667428571428559</v>
      </c>
      <c r="V327" s="505">
        <v>0.34699999999999998</v>
      </c>
      <c r="W327" s="505" t="s">
        <v>2024</v>
      </c>
      <c r="X327" s="43"/>
      <c r="Y327" s="143">
        <v>245</v>
      </c>
      <c r="Z327" s="152">
        <v>44</v>
      </c>
      <c r="AA327" s="143" t="s">
        <v>147</v>
      </c>
      <c r="AB327" s="9">
        <v>2.5</v>
      </c>
      <c r="AC327" s="151" t="s">
        <v>522</v>
      </c>
      <c r="AD327" s="151">
        <v>2.5</v>
      </c>
      <c r="AE327" s="151"/>
      <c r="AF327" s="152"/>
      <c r="AG327" s="143" t="s">
        <v>20222</v>
      </c>
      <c r="AH327" s="144">
        <v>0.18176086956521739</v>
      </c>
      <c r="AI327" s="144">
        <v>0.39351286956521736</v>
      </c>
      <c r="AJ327" s="144">
        <v>0</v>
      </c>
      <c r="AK327" s="143">
        <v>0</v>
      </c>
      <c r="AL327" s="144">
        <v>0.39351286956521736</v>
      </c>
      <c r="AM327" s="144">
        <v>0.34</v>
      </c>
      <c r="AN327" s="29">
        <v>2.625</v>
      </c>
      <c r="AO327" s="144">
        <v>1.8914871304347824</v>
      </c>
      <c r="AP327" s="144">
        <v>1.8914871304347824</v>
      </c>
      <c r="AQ327" s="153" t="s">
        <v>20211</v>
      </c>
      <c r="AR327" s="146" t="s">
        <v>20211</v>
      </c>
      <c r="AS327" s="56">
        <v>14.990966459627327</v>
      </c>
      <c r="AT327" s="58" t="s">
        <v>50</v>
      </c>
      <c r="AU327" s="118">
        <v>1989</v>
      </c>
      <c r="AV327" s="149" t="s">
        <v>2143</v>
      </c>
      <c r="AW327" s="120">
        <v>56.847220438271997</v>
      </c>
      <c r="AX327" s="120">
        <v>36.683607523094999</v>
      </c>
    </row>
    <row r="328" spans="1:50" ht="15" customHeight="1" x14ac:dyDescent="0.25">
      <c r="A328" s="143">
        <v>246</v>
      </c>
      <c r="B328" s="143">
        <v>45</v>
      </c>
      <c r="C328" s="143" t="s">
        <v>148</v>
      </c>
      <c r="D328" s="9">
        <v>6.3</v>
      </c>
      <c r="E328" s="503" t="s">
        <v>522</v>
      </c>
      <c r="F328" s="503">
        <v>6.3</v>
      </c>
      <c r="G328" s="503"/>
      <c r="H328" s="501"/>
      <c r="I328" s="151" t="s">
        <v>20225</v>
      </c>
      <c r="J328" s="31">
        <v>6.3082719999999997</v>
      </c>
      <c r="K328" s="33">
        <v>0</v>
      </c>
      <c r="L328" s="3">
        <v>0</v>
      </c>
      <c r="M328" s="144">
        <v>6.3082719999999997</v>
      </c>
      <c r="N328" s="504">
        <v>0</v>
      </c>
      <c r="O328" s="29"/>
      <c r="P328" s="29">
        <v>6.6150000000000002</v>
      </c>
      <c r="Q328" s="144">
        <v>0.30672800000000056</v>
      </c>
      <c r="R328" s="144">
        <v>0.30672800000000056</v>
      </c>
      <c r="S328" s="144" t="s">
        <v>20211</v>
      </c>
      <c r="T328" s="146" t="s">
        <v>20211</v>
      </c>
      <c r="U328" s="145">
        <v>95.363144368858642</v>
      </c>
      <c r="V328" s="505">
        <v>0.3</v>
      </c>
      <c r="W328" s="505" t="s">
        <v>2024</v>
      </c>
      <c r="X328" s="43"/>
      <c r="Y328" s="143">
        <v>246</v>
      </c>
      <c r="Z328" s="152">
        <v>45</v>
      </c>
      <c r="AA328" s="143" t="s">
        <v>148</v>
      </c>
      <c r="AB328" s="9">
        <v>6.3</v>
      </c>
      <c r="AC328" s="151" t="s">
        <v>522</v>
      </c>
      <c r="AD328" s="151">
        <v>6.3</v>
      </c>
      <c r="AE328" s="151"/>
      <c r="AF328" s="152"/>
      <c r="AG328" s="143" t="s">
        <v>20225</v>
      </c>
      <c r="AH328" s="144">
        <v>7.0768173913043482</v>
      </c>
      <c r="AI328" s="144">
        <v>13.385089391304348</v>
      </c>
      <c r="AJ328" s="144">
        <v>0</v>
      </c>
      <c r="AK328" s="143">
        <v>0</v>
      </c>
      <c r="AL328" s="144">
        <v>13.385089391304348</v>
      </c>
      <c r="AM328" s="144">
        <v>0</v>
      </c>
      <c r="AN328" s="29">
        <v>6.6150000000000002</v>
      </c>
      <c r="AO328" s="144">
        <v>-6.7700893913043476</v>
      </c>
      <c r="AP328" s="144">
        <v>-6.7700893913043476</v>
      </c>
      <c r="AQ328" s="153" t="s">
        <v>2217</v>
      </c>
      <c r="AR328" s="146" t="s">
        <v>2217</v>
      </c>
      <c r="AS328" s="56">
        <v>202.34451082848597</v>
      </c>
      <c r="AT328" s="58" t="s">
        <v>50</v>
      </c>
      <c r="AU328" s="118">
        <v>1975</v>
      </c>
      <c r="AV328" s="150">
        <v>2011</v>
      </c>
      <c r="AW328" s="120">
        <v>56.7419028169504</v>
      </c>
      <c r="AX328" s="120">
        <v>35.909505065937502</v>
      </c>
    </row>
    <row r="329" spans="1:50" ht="15" customHeight="1" x14ac:dyDescent="0.25">
      <c r="A329" s="143">
        <v>247</v>
      </c>
      <c r="B329" s="143">
        <v>46</v>
      </c>
      <c r="C329" s="143" t="s">
        <v>149</v>
      </c>
      <c r="D329" s="9">
        <v>1</v>
      </c>
      <c r="E329" s="503" t="s">
        <v>522</v>
      </c>
      <c r="F329" s="503">
        <v>1</v>
      </c>
      <c r="G329" s="503"/>
      <c r="H329" s="501"/>
      <c r="I329" s="151" t="s">
        <v>20218</v>
      </c>
      <c r="J329" s="31">
        <v>0.83662800000000004</v>
      </c>
      <c r="K329" s="33">
        <v>0</v>
      </c>
      <c r="L329" s="3">
        <v>0</v>
      </c>
      <c r="M329" s="144">
        <v>0.83662800000000004</v>
      </c>
      <c r="N329" s="504">
        <v>0</v>
      </c>
      <c r="O329" s="29"/>
      <c r="P329" s="29">
        <v>1.05</v>
      </c>
      <c r="Q329" s="144">
        <v>0.21337200000000001</v>
      </c>
      <c r="R329" s="144">
        <v>0.21337200000000001</v>
      </c>
      <c r="S329" s="144" t="s">
        <v>20211</v>
      </c>
      <c r="T329" s="146" t="s">
        <v>20211</v>
      </c>
      <c r="U329" s="145">
        <v>79.67885714285714</v>
      </c>
      <c r="V329" s="505">
        <v>0.4</v>
      </c>
      <c r="W329" s="505" t="s">
        <v>2024</v>
      </c>
      <c r="X329" s="43"/>
      <c r="Y329" s="143">
        <v>247</v>
      </c>
      <c r="Z329" s="152">
        <v>46</v>
      </c>
      <c r="AA329" s="143" t="s">
        <v>149</v>
      </c>
      <c r="AB329" s="9">
        <v>1</v>
      </c>
      <c r="AC329" s="151" t="s">
        <v>522</v>
      </c>
      <c r="AD329" s="151">
        <v>1</v>
      </c>
      <c r="AE329" s="151"/>
      <c r="AF329" s="152"/>
      <c r="AG329" s="143" t="s">
        <v>20218</v>
      </c>
      <c r="AH329" s="144">
        <v>0</v>
      </c>
      <c r="AI329" s="144">
        <v>0.83662800000000004</v>
      </c>
      <c r="AJ329" s="144">
        <v>0</v>
      </c>
      <c r="AK329" s="143">
        <v>0</v>
      </c>
      <c r="AL329" s="144">
        <v>0.83662800000000004</v>
      </c>
      <c r="AM329" s="144">
        <v>0</v>
      </c>
      <c r="AN329" s="29">
        <v>1.05</v>
      </c>
      <c r="AO329" s="144">
        <v>0.21337200000000001</v>
      </c>
      <c r="AP329" s="144">
        <v>0.21337200000000001</v>
      </c>
      <c r="AQ329" s="153" t="s">
        <v>20211</v>
      </c>
      <c r="AR329" s="146" t="s">
        <v>20211</v>
      </c>
      <c r="AS329" s="56">
        <v>79.67885714285714</v>
      </c>
      <c r="AT329" s="58" t="s">
        <v>50</v>
      </c>
      <c r="AU329" s="118">
        <v>1939</v>
      </c>
      <c r="AV329" s="149" t="s">
        <v>2143</v>
      </c>
      <c r="AW329" s="120">
        <v>57.011190305104897</v>
      </c>
      <c r="AX329" s="120">
        <v>35.931930719504798</v>
      </c>
    </row>
    <row r="330" spans="1:50" ht="15" customHeight="1" x14ac:dyDescent="0.25">
      <c r="A330" s="143">
        <v>248</v>
      </c>
      <c r="B330" s="143">
        <v>47</v>
      </c>
      <c r="C330" s="143" t="s">
        <v>150</v>
      </c>
      <c r="D330" s="9">
        <v>4</v>
      </c>
      <c r="E330" s="503" t="s">
        <v>522</v>
      </c>
      <c r="F330" s="503">
        <v>6.3</v>
      </c>
      <c r="G330" s="503"/>
      <c r="H330" s="501"/>
      <c r="I330" s="151" t="s">
        <v>20254</v>
      </c>
      <c r="J330" s="31">
        <v>1.8171920000000001</v>
      </c>
      <c r="K330" s="33">
        <v>0</v>
      </c>
      <c r="L330" s="3">
        <v>0</v>
      </c>
      <c r="M330" s="144">
        <v>1.8171920000000001</v>
      </c>
      <c r="N330" s="504">
        <v>0</v>
      </c>
      <c r="O330" s="29"/>
      <c r="P330" s="29">
        <v>4.2</v>
      </c>
      <c r="Q330" s="144">
        <v>2.3828079999999998</v>
      </c>
      <c r="R330" s="144">
        <v>2.3828079999999998</v>
      </c>
      <c r="S330" s="144" t="s">
        <v>20211</v>
      </c>
      <c r="T330" s="146" t="s">
        <v>20211</v>
      </c>
      <c r="U330" s="145">
        <v>43.26647619047619</v>
      </c>
      <c r="V330" s="505">
        <v>0.5</v>
      </c>
      <c r="W330" s="505" t="s">
        <v>2024</v>
      </c>
      <c r="X330" s="43"/>
      <c r="Y330" s="143">
        <v>248</v>
      </c>
      <c r="Z330" s="152">
        <v>47</v>
      </c>
      <c r="AA330" s="143" t="s">
        <v>150</v>
      </c>
      <c r="AB330" s="9">
        <v>4</v>
      </c>
      <c r="AC330" s="151" t="s">
        <v>522</v>
      </c>
      <c r="AD330" s="151">
        <v>6.3</v>
      </c>
      <c r="AE330" s="151"/>
      <c r="AF330" s="152"/>
      <c r="AG330" s="143" t="s">
        <v>20254</v>
      </c>
      <c r="AH330" s="144">
        <v>0.22597849462365591</v>
      </c>
      <c r="AI330" s="144">
        <v>2.0431704946236562</v>
      </c>
      <c r="AJ330" s="144">
        <v>0</v>
      </c>
      <c r="AK330" s="143">
        <v>0</v>
      </c>
      <c r="AL330" s="144">
        <v>2.0431704946236562</v>
      </c>
      <c r="AM330" s="144">
        <v>0</v>
      </c>
      <c r="AN330" s="29">
        <v>4.2</v>
      </c>
      <c r="AO330" s="144">
        <v>2.156829505376344</v>
      </c>
      <c r="AP330" s="144">
        <v>2.156829505376344</v>
      </c>
      <c r="AQ330" s="153" t="s">
        <v>20211</v>
      </c>
      <c r="AR330" s="146" t="s">
        <v>20211</v>
      </c>
      <c r="AS330" s="56">
        <v>48.646916538658481</v>
      </c>
      <c r="AT330" s="58" t="s">
        <v>50</v>
      </c>
      <c r="AU330" s="118">
        <v>1979</v>
      </c>
      <c r="AV330" s="149">
        <v>2012</v>
      </c>
      <c r="AW330" s="120">
        <v>56.970566408483101</v>
      </c>
      <c r="AX330" s="120">
        <v>35.918041082431003</v>
      </c>
    </row>
    <row r="331" spans="1:50" ht="15" customHeight="1" x14ac:dyDescent="0.25">
      <c r="A331" s="143">
        <v>249</v>
      </c>
      <c r="B331" s="143">
        <v>48</v>
      </c>
      <c r="C331" s="143" t="s">
        <v>151</v>
      </c>
      <c r="D331" s="9">
        <v>6.3</v>
      </c>
      <c r="E331" s="503" t="s">
        <v>522</v>
      </c>
      <c r="F331" s="503">
        <v>6.3</v>
      </c>
      <c r="G331" s="503"/>
      <c r="H331" s="501"/>
      <c r="I331" s="151" t="s">
        <v>20225</v>
      </c>
      <c r="J331" s="31">
        <v>3.7423360000000003</v>
      </c>
      <c r="K331" s="33">
        <v>0</v>
      </c>
      <c r="L331" s="3">
        <v>0</v>
      </c>
      <c r="M331" s="144">
        <v>3.7423360000000003</v>
      </c>
      <c r="N331" s="504">
        <v>0.91</v>
      </c>
      <c r="O331" s="29" t="s">
        <v>17453</v>
      </c>
      <c r="P331" s="29">
        <v>6.6150000000000002</v>
      </c>
      <c r="Q331" s="144">
        <v>1.9626639999999997</v>
      </c>
      <c r="R331" s="144">
        <v>1.9626639999999997</v>
      </c>
      <c r="S331" s="144" t="s">
        <v>20211</v>
      </c>
      <c r="T331" s="146" t="s">
        <v>20211</v>
      </c>
      <c r="U331" s="145">
        <v>56.573484504913075</v>
      </c>
      <c r="V331" s="505">
        <v>0.3</v>
      </c>
      <c r="W331" s="505" t="s">
        <v>2024</v>
      </c>
      <c r="X331" s="43"/>
      <c r="Y331" s="143">
        <v>249</v>
      </c>
      <c r="Z331" s="152">
        <v>48</v>
      </c>
      <c r="AA331" s="143" t="s">
        <v>151</v>
      </c>
      <c r="AB331" s="9">
        <v>6.3</v>
      </c>
      <c r="AC331" s="151" t="s">
        <v>522</v>
      </c>
      <c r="AD331" s="151">
        <v>6.3</v>
      </c>
      <c r="AE331" s="151"/>
      <c r="AF331" s="152"/>
      <c r="AG331" s="143" t="s">
        <v>20225</v>
      </c>
      <c r="AH331" s="144">
        <v>0.94239782608695666</v>
      </c>
      <c r="AI331" s="144">
        <v>4.6847338260869567</v>
      </c>
      <c r="AJ331" s="144">
        <v>0</v>
      </c>
      <c r="AK331" s="143">
        <v>0</v>
      </c>
      <c r="AL331" s="144">
        <v>4.6847338260869567</v>
      </c>
      <c r="AM331" s="144">
        <v>0.91</v>
      </c>
      <c r="AN331" s="29">
        <v>6.6150000000000002</v>
      </c>
      <c r="AO331" s="144">
        <v>1.0202661739130434</v>
      </c>
      <c r="AP331" s="144">
        <v>1.0202661739130434</v>
      </c>
      <c r="AQ331" s="153" t="s">
        <v>20211</v>
      </c>
      <c r="AR331" s="146" t="s">
        <v>20211</v>
      </c>
      <c r="AS331" s="56">
        <v>70.819861316507271</v>
      </c>
      <c r="AT331" s="58" t="s">
        <v>50</v>
      </c>
      <c r="AU331" s="118">
        <v>1958</v>
      </c>
      <c r="AV331" s="149">
        <v>2012</v>
      </c>
      <c r="AW331" s="120">
        <v>56.928153133407697</v>
      </c>
      <c r="AX331" s="120">
        <v>35.464157955222703</v>
      </c>
    </row>
    <row r="332" spans="1:50" ht="15" customHeight="1" x14ac:dyDescent="0.25">
      <c r="A332" s="143">
        <v>250</v>
      </c>
      <c r="B332" s="143">
        <v>49</v>
      </c>
      <c r="C332" s="143" t="s">
        <v>152</v>
      </c>
      <c r="D332" s="9">
        <v>2.5</v>
      </c>
      <c r="E332" s="503" t="s">
        <v>522</v>
      </c>
      <c r="F332" s="503">
        <v>1.8</v>
      </c>
      <c r="G332" s="503"/>
      <c r="H332" s="501"/>
      <c r="I332" s="151" t="s">
        <v>20245</v>
      </c>
      <c r="J332" s="31">
        <v>0.92658800000000008</v>
      </c>
      <c r="K332" s="33">
        <v>0</v>
      </c>
      <c r="L332" s="3">
        <v>0</v>
      </c>
      <c r="M332" s="144">
        <v>0.92658800000000008</v>
      </c>
      <c r="N332" s="504">
        <v>0</v>
      </c>
      <c r="O332" s="29"/>
      <c r="P332" s="29">
        <v>1.8900000000000001</v>
      </c>
      <c r="Q332" s="144">
        <v>0.96341200000000005</v>
      </c>
      <c r="R332" s="144">
        <v>0.96341200000000005</v>
      </c>
      <c r="S332" s="144" t="s">
        <v>20211</v>
      </c>
      <c r="T332" s="146" t="s">
        <v>20211</v>
      </c>
      <c r="U332" s="145">
        <v>49.02582010582011</v>
      </c>
      <c r="V332" s="505">
        <v>0.5</v>
      </c>
      <c r="W332" s="505" t="s">
        <v>2024</v>
      </c>
      <c r="X332" s="43"/>
      <c r="Y332" s="143">
        <v>250</v>
      </c>
      <c r="Z332" s="152">
        <v>49</v>
      </c>
      <c r="AA332" s="143" t="s">
        <v>152</v>
      </c>
      <c r="AB332" s="9">
        <v>2.5</v>
      </c>
      <c r="AC332" s="151" t="s">
        <v>522</v>
      </c>
      <c r="AD332" s="151">
        <v>1.8</v>
      </c>
      <c r="AE332" s="151"/>
      <c r="AF332" s="152"/>
      <c r="AG332" s="143" t="s">
        <v>20245</v>
      </c>
      <c r="AH332" s="144">
        <v>0.14576086956521739</v>
      </c>
      <c r="AI332" s="144">
        <v>1.0723488695652175</v>
      </c>
      <c r="AJ332" s="144">
        <v>0</v>
      </c>
      <c r="AK332" s="143">
        <v>0</v>
      </c>
      <c r="AL332" s="144">
        <v>1.0723488695652175</v>
      </c>
      <c r="AM332" s="144">
        <v>0</v>
      </c>
      <c r="AN332" s="29">
        <v>1.8900000000000001</v>
      </c>
      <c r="AO332" s="144">
        <v>0.81765113043478266</v>
      </c>
      <c r="AP332" s="144">
        <v>0.81765113043478266</v>
      </c>
      <c r="AQ332" s="153" t="s">
        <v>20211</v>
      </c>
      <c r="AR332" s="146" t="s">
        <v>20211</v>
      </c>
      <c r="AS332" s="56">
        <v>56.738035426731081</v>
      </c>
      <c r="AT332" s="58" t="s">
        <v>50</v>
      </c>
      <c r="AU332" s="118">
        <v>1964</v>
      </c>
      <c r="AV332" s="149" t="s">
        <v>2143</v>
      </c>
      <c r="AW332" s="120">
        <v>57.430023748376698</v>
      </c>
      <c r="AX332" s="120">
        <v>35.6699351592261</v>
      </c>
    </row>
    <row r="333" spans="1:50" ht="15" customHeight="1" x14ac:dyDescent="0.25">
      <c r="A333" s="143">
        <v>251</v>
      </c>
      <c r="B333" s="143">
        <v>50</v>
      </c>
      <c r="C333" s="143" t="s">
        <v>153</v>
      </c>
      <c r="D333" s="9">
        <v>1.6</v>
      </c>
      <c r="E333" s="503" t="s">
        <v>522</v>
      </c>
      <c r="F333" s="503">
        <v>2.5</v>
      </c>
      <c r="G333" s="503"/>
      <c r="H333" s="501"/>
      <c r="I333" s="151" t="s">
        <v>20223</v>
      </c>
      <c r="J333" s="31">
        <v>0.62937399999999988</v>
      </c>
      <c r="K333" s="33">
        <v>0</v>
      </c>
      <c r="L333" s="3">
        <v>0</v>
      </c>
      <c r="M333" s="144">
        <v>0.62937399999999988</v>
      </c>
      <c r="N333" s="504">
        <v>0</v>
      </c>
      <c r="O333" s="29"/>
      <c r="P333" s="29">
        <v>1.6800000000000002</v>
      </c>
      <c r="Q333" s="144">
        <v>1.0506260000000003</v>
      </c>
      <c r="R333" s="144">
        <v>1.0506260000000003</v>
      </c>
      <c r="S333" s="144" t="s">
        <v>20211</v>
      </c>
      <c r="T333" s="146" t="s">
        <v>20211</v>
      </c>
      <c r="U333" s="145">
        <v>37.462738095238088</v>
      </c>
      <c r="V333" s="505"/>
      <c r="W333" s="505" t="s">
        <v>2023</v>
      </c>
      <c r="X333" s="43"/>
      <c r="Y333" s="143">
        <v>251</v>
      </c>
      <c r="Z333" s="152">
        <v>50</v>
      </c>
      <c r="AA333" s="143" t="s">
        <v>153</v>
      </c>
      <c r="AB333" s="9">
        <v>1.6</v>
      </c>
      <c r="AC333" s="151" t="s">
        <v>522</v>
      </c>
      <c r="AD333" s="151">
        <v>2.5</v>
      </c>
      <c r="AE333" s="151"/>
      <c r="AF333" s="152"/>
      <c r="AG333" s="143" t="s">
        <v>20223</v>
      </c>
      <c r="AH333" s="144">
        <v>0.7605326086956522</v>
      </c>
      <c r="AI333" s="144">
        <v>1.389906608695652</v>
      </c>
      <c r="AJ333" s="144">
        <v>0</v>
      </c>
      <c r="AK333" s="143">
        <v>0</v>
      </c>
      <c r="AL333" s="144">
        <v>1.389906608695652</v>
      </c>
      <c r="AM333" s="144">
        <v>0</v>
      </c>
      <c r="AN333" s="29">
        <v>1.6800000000000002</v>
      </c>
      <c r="AO333" s="144">
        <v>0.29009339130434819</v>
      </c>
      <c r="AP333" s="144">
        <v>0.29009339130434819</v>
      </c>
      <c r="AQ333" s="153" t="s">
        <v>20211</v>
      </c>
      <c r="AR333" s="146" t="s">
        <v>20211</v>
      </c>
      <c r="AS333" s="56">
        <v>82.73253623188404</v>
      </c>
      <c r="AT333" s="58" t="s">
        <v>50</v>
      </c>
      <c r="AU333" s="118">
        <v>1984</v>
      </c>
      <c r="AV333" s="149" t="s">
        <v>2143</v>
      </c>
      <c r="AW333" s="120">
        <v>57.025748742397603</v>
      </c>
      <c r="AX333" s="120">
        <v>35.412136241075999</v>
      </c>
    </row>
    <row r="334" spans="1:50" ht="15" customHeight="1" x14ac:dyDescent="0.25">
      <c r="A334" s="143">
        <v>252</v>
      </c>
      <c r="B334" s="143">
        <v>51</v>
      </c>
      <c r="C334" s="143" t="s">
        <v>154</v>
      </c>
      <c r="D334" s="9">
        <v>5.6</v>
      </c>
      <c r="E334" s="503" t="s">
        <v>522</v>
      </c>
      <c r="F334" s="503">
        <v>4</v>
      </c>
      <c r="G334" s="503"/>
      <c r="H334" s="501"/>
      <c r="I334" s="151" t="s">
        <v>20255</v>
      </c>
      <c r="J334" s="31">
        <v>1.6675470000000001</v>
      </c>
      <c r="K334" s="33">
        <v>0</v>
      </c>
      <c r="L334" s="3">
        <v>0</v>
      </c>
      <c r="M334" s="144">
        <v>1.6675470000000001</v>
      </c>
      <c r="N334" s="504">
        <v>0</v>
      </c>
      <c r="O334" s="29"/>
      <c r="P334" s="29">
        <v>4.2</v>
      </c>
      <c r="Q334" s="144">
        <v>2.5324530000000003</v>
      </c>
      <c r="R334" s="144">
        <v>2.5324530000000003</v>
      </c>
      <c r="S334" s="144" t="s">
        <v>20211</v>
      </c>
      <c r="T334" s="146" t="s">
        <v>20211</v>
      </c>
      <c r="U334" s="145">
        <v>39.703499999999998</v>
      </c>
      <c r="V334" s="505">
        <v>0.4</v>
      </c>
      <c r="W334" s="505" t="s">
        <v>2024</v>
      </c>
      <c r="X334" s="43"/>
      <c r="Y334" s="143">
        <v>252</v>
      </c>
      <c r="Z334" s="152">
        <v>51</v>
      </c>
      <c r="AA334" s="143" t="s">
        <v>154</v>
      </c>
      <c r="AB334" s="9">
        <v>5.6</v>
      </c>
      <c r="AC334" s="151" t="s">
        <v>522</v>
      </c>
      <c r="AD334" s="151">
        <v>4</v>
      </c>
      <c r="AE334" s="151"/>
      <c r="AF334" s="152"/>
      <c r="AG334" s="143" t="s">
        <v>20255</v>
      </c>
      <c r="AH334" s="144">
        <v>0.12880434782608696</v>
      </c>
      <c r="AI334" s="144">
        <v>1.7963513478260871</v>
      </c>
      <c r="AJ334" s="144">
        <v>0</v>
      </c>
      <c r="AK334" s="143">
        <v>0</v>
      </c>
      <c r="AL334" s="144">
        <v>1.7963513478260871</v>
      </c>
      <c r="AM334" s="144">
        <v>0</v>
      </c>
      <c r="AN334" s="29">
        <v>4.2</v>
      </c>
      <c r="AO334" s="144">
        <v>2.4036486521739131</v>
      </c>
      <c r="AP334" s="144">
        <v>2.4036486521739131</v>
      </c>
      <c r="AQ334" s="153" t="s">
        <v>20211</v>
      </c>
      <c r="AR334" s="146" t="s">
        <v>20211</v>
      </c>
      <c r="AS334" s="56">
        <v>42.770270186335402</v>
      </c>
      <c r="AT334" s="58" t="s">
        <v>50</v>
      </c>
      <c r="AU334" s="118">
        <v>1974</v>
      </c>
      <c r="AV334" s="149" t="s">
        <v>2143</v>
      </c>
      <c r="AW334" s="120">
        <v>56.644682001823099</v>
      </c>
      <c r="AX334" s="120">
        <v>36.226998063349001</v>
      </c>
    </row>
    <row r="335" spans="1:50" ht="15" customHeight="1" x14ac:dyDescent="0.25">
      <c r="A335" s="143">
        <v>253</v>
      </c>
      <c r="B335" s="143">
        <v>52</v>
      </c>
      <c r="C335" s="143" t="s">
        <v>155</v>
      </c>
      <c r="D335" s="9">
        <v>5.6</v>
      </c>
      <c r="E335" s="503" t="s">
        <v>522</v>
      </c>
      <c r="F335" s="503">
        <v>6.3</v>
      </c>
      <c r="G335" s="503"/>
      <c r="H335" s="501"/>
      <c r="I335" s="151" t="s">
        <v>20244</v>
      </c>
      <c r="J335" s="31">
        <v>4.5121859999999998</v>
      </c>
      <c r="K335" s="33">
        <v>0</v>
      </c>
      <c r="L335" s="3">
        <v>0</v>
      </c>
      <c r="M335" s="144">
        <v>4.5121859999999998</v>
      </c>
      <c r="N335" s="504">
        <v>0</v>
      </c>
      <c r="O335" s="29"/>
      <c r="P335" s="29">
        <v>5.88</v>
      </c>
      <c r="Q335" s="144">
        <v>1.3678140000000001</v>
      </c>
      <c r="R335" s="144">
        <v>1.3678140000000001</v>
      </c>
      <c r="S335" s="144" t="s">
        <v>20211</v>
      </c>
      <c r="T335" s="146" t="s">
        <v>20211</v>
      </c>
      <c r="U335" s="145">
        <v>76.737857142857138</v>
      </c>
      <c r="V335" s="505">
        <v>0.4</v>
      </c>
      <c r="W335" s="505" t="s">
        <v>2024</v>
      </c>
      <c r="X335" s="43"/>
      <c r="Y335" s="143">
        <v>253</v>
      </c>
      <c r="Z335" s="152">
        <v>52</v>
      </c>
      <c r="AA335" s="143" t="s">
        <v>155</v>
      </c>
      <c r="AB335" s="9">
        <v>5.6</v>
      </c>
      <c r="AC335" s="151" t="s">
        <v>522</v>
      </c>
      <c r="AD335" s="151">
        <v>6.3</v>
      </c>
      <c r="AE335" s="151"/>
      <c r="AF335" s="152"/>
      <c r="AG335" s="143" t="s">
        <v>20244</v>
      </c>
      <c r="AH335" s="144">
        <v>1.1606304347826086</v>
      </c>
      <c r="AI335" s="144">
        <v>5.6728164347826082</v>
      </c>
      <c r="AJ335" s="144">
        <v>0</v>
      </c>
      <c r="AK335" s="143">
        <v>0</v>
      </c>
      <c r="AL335" s="144">
        <v>5.6728164347826082</v>
      </c>
      <c r="AM335" s="144">
        <v>0</v>
      </c>
      <c r="AN335" s="29">
        <v>5.88</v>
      </c>
      <c r="AO335" s="144">
        <v>0.20718356521739167</v>
      </c>
      <c r="AP335" s="144">
        <v>0.20718356521739167</v>
      </c>
      <c r="AQ335" s="153" t="s">
        <v>20211</v>
      </c>
      <c r="AR335" s="146" t="s">
        <v>20211</v>
      </c>
      <c r="AS335" s="56">
        <v>96.476469979296056</v>
      </c>
      <c r="AT335" s="58" t="s">
        <v>50</v>
      </c>
      <c r="AU335" s="118">
        <v>1953</v>
      </c>
      <c r="AV335" s="150">
        <v>2010</v>
      </c>
      <c r="AW335" s="120">
        <v>56.565187868836702</v>
      </c>
      <c r="AX335" s="120">
        <v>36.444220991006297</v>
      </c>
    </row>
    <row r="336" spans="1:50" ht="15" customHeight="1" x14ac:dyDescent="0.25">
      <c r="A336" s="143">
        <v>254</v>
      </c>
      <c r="B336" s="143">
        <v>53</v>
      </c>
      <c r="C336" s="143" t="s">
        <v>156</v>
      </c>
      <c r="D336" s="9">
        <v>6.3</v>
      </c>
      <c r="E336" s="503" t="s">
        <v>522</v>
      </c>
      <c r="F336" s="503">
        <v>6.3</v>
      </c>
      <c r="G336" s="503"/>
      <c r="H336" s="501"/>
      <c r="I336" s="151" t="s">
        <v>20225</v>
      </c>
      <c r="J336" s="31">
        <v>2.2739985000000003</v>
      </c>
      <c r="K336" s="33">
        <v>0</v>
      </c>
      <c r="L336" s="3">
        <v>0</v>
      </c>
      <c r="M336" s="144">
        <v>2.2739985000000003</v>
      </c>
      <c r="N336" s="504">
        <v>0</v>
      </c>
      <c r="O336" s="29"/>
      <c r="P336" s="29">
        <v>6.6150000000000002</v>
      </c>
      <c r="Q336" s="144">
        <v>4.3410015</v>
      </c>
      <c r="R336" s="144">
        <v>4.3410015</v>
      </c>
      <c r="S336" s="144" t="s">
        <v>20211</v>
      </c>
      <c r="T336" s="146" t="s">
        <v>20211</v>
      </c>
      <c r="U336" s="145">
        <v>34.376394557823133</v>
      </c>
      <c r="V336" s="505">
        <v>0.9</v>
      </c>
      <c r="W336" s="505" t="s">
        <v>2024</v>
      </c>
      <c r="X336" s="43"/>
      <c r="Y336" s="143">
        <v>254</v>
      </c>
      <c r="Z336" s="152">
        <v>53</v>
      </c>
      <c r="AA336" s="143" t="s">
        <v>156</v>
      </c>
      <c r="AB336" s="9">
        <v>6.3</v>
      </c>
      <c r="AC336" s="151" t="s">
        <v>522</v>
      </c>
      <c r="AD336" s="151">
        <v>6.3</v>
      </c>
      <c r="AE336" s="151"/>
      <c r="AF336" s="152"/>
      <c r="AG336" s="143" t="s">
        <v>20225</v>
      </c>
      <c r="AH336" s="144">
        <v>0.89836956521739142</v>
      </c>
      <c r="AI336" s="144">
        <v>3.1723680652173916</v>
      </c>
      <c r="AJ336" s="144">
        <v>0</v>
      </c>
      <c r="AK336" s="143">
        <v>0</v>
      </c>
      <c r="AL336" s="144">
        <v>3.1723680652173916</v>
      </c>
      <c r="AM336" s="144">
        <v>0</v>
      </c>
      <c r="AN336" s="29">
        <v>6.6150000000000002</v>
      </c>
      <c r="AO336" s="144">
        <v>3.4426319347826086</v>
      </c>
      <c r="AP336" s="144">
        <v>3.4426319347826086</v>
      </c>
      <c r="AQ336" s="153" t="s">
        <v>20211</v>
      </c>
      <c r="AR336" s="146" t="s">
        <v>20211</v>
      </c>
      <c r="AS336" s="56">
        <v>47.957189194518385</v>
      </c>
      <c r="AT336" s="58" t="s">
        <v>50</v>
      </c>
      <c r="AU336" s="118">
        <v>1953</v>
      </c>
      <c r="AV336" s="149">
        <v>2014</v>
      </c>
      <c r="AW336" s="120">
        <v>56.565187868836702</v>
      </c>
      <c r="AX336" s="120">
        <v>36.444220991006297</v>
      </c>
    </row>
    <row r="337" spans="1:50" ht="15" customHeight="1" x14ac:dyDescent="0.25">
      <c r="A337" s="143">
        <v>255</v>
      </c>
      <c r="B337" s="143">
        <v>54</v>
      </c>
      <c r="C337" s="143" t="s">
        <v>157</v>
      </c>
      <c r="D337" s="9">
        <v>1.8</v>
      </c>
      <c r="E337" s="503" t="s">
        <v>522</v>
      </c>
      <c r="F337" s="503">
        <v>1.8</v>
      </c>
      <c r="G337" s="503"/>
      <c r="H337" s="501"/>
      <c r="I337" s="151" t="s">
        <v>20256</v>
      </c>
      <c r="J337" s="31">
        <v>1.621875</v>
      </c>
      <c r="K337" s="33">
        <v>0</v>
      </c>
      <c r="L337" s="3">
        <v>0</v>
      </c>
      <c r="M337" s="144">
        <v>1.621875</v>
      </c>
      <c r="N337" s="504">
        <v>0</v>
      </c>
      <c r="O337" s="29"/>
      <c r="P337" s="29">
        <v>1.8900000000000001</v>
      </c>
      <c r="Q337" s="144">
        <v>0.26812500000000017</v>
      </c>
      <c r="R337" s="144">
        <v>0.26812500000000017</v>
      </c>
      <c r="S337" s="144" t="s">
        <v>20211</v>
      </c>
      <c r="T337" s="146" t="s">
        <v>20211</v>
      </c>
      <c r="U337" s="145">
        <v>85.813492063492063</v>
      </c>
      <c r="V337" s="505">
        <v>0.4</v>
      </c>
      <c r="W337" s="505" t="s">
        <v>2024</v>
      </c>
      <c r="X337" s="43"/>
      <c r="Y337" s="143">
        <v>255</v>
      </c>
      <c r="Z337" s="152">
        <v>54</v>
      </c>
      <c r="AA337" s="143" t="s">
        <v>157</v>
      </c>
      <c r="AB337" s="9">
        <v>1.8</v>
      </c>
      <c r="AC337" s="151" t="s">
        <v>522</v>
      </c>
      <c r="AD337" s="151">
        <v>1.8</v>
      </c>
      <c r="AE337" s="151"/>
      <c r="AF337" s="152"/>
      <c r="AG337" s="143" t="s">
        <v>20256</v>
      </c>
      <c r="AH337" s="144">
        <v>0.52192173913043471</v>
      </c>
      <c r="AI337" s="144">
        <v>2.1437967391304347</v>
      </c>
      <c r="AJ337" s="144">
        <v>0</v>
      </c>
      <c r="AK337" s="143">
        <v>0</v>
      </c>
      <c r="AL337" s="144">
        <v>2.1437967391304347</v>
      </c>
      <c r="AM337" s="144">
        <v>0</v>
      </c>
      <c r="AN337" s="29">
        <v>1.8900000000000001</v>
      </c>
      <c r="AO337" s="144">
        <v>-0.25379673913043455</v>
      </c>
      <c r="AP337" s="144">
        <v>-0.25379673913043455</v>
      </c>
      <c r="AQ337" s="153" t="s">
        <v>2217</v>
      </c>
      <c r="AR337" s="146" t="s">
        <v>2217</v>
      </c>
      <c r="AS337" s="56">
        <v>113.42839889579018</v>
      </c>
      <c r="AT337" s="58" t="s">
        <v>50</v>
      </c>
      <c r="AU337" s="118">
        <v>1946</v>
      </c>
      <c r="AV337" s="149" t="s">
        <v>2143</v>
      </c>
      <c r="AW337" s="120">
        <v>56.667470282490001</v>
      </c>
      <c r="AX337" s="120">
        <v>36.360492447413797</v>
      </c>
    </row>
    <row r="338" spans="1:50" ht="15" customHeight="1" x14ac:dyDescent="0.25">
      <c r="A338" s="143">
        <v>256</v>
      </c>
      <c r="B338" s="143">
        <v>55</v>
      </c>
      <c r="C338" s="143" t="s">
        <v>158</v>
      </c>
      <c r="D338" s="9">
        <v>10</v>
      </c>
      <c r="E338" s="503" t="s">
        <v>522</v>
      </c>
      <c r="F338" s="503">
        <v>6.3</v>
      </c>
      <c r="G338" s="503"/>
      <c r="H338" s="501"/>
      <c r="I338" s="151" t="s">
        <v>20257</v>
      </c>
      <c r="J338" s="31">
        <v>5.4865219999999999</v>
      </c>
      <c r="K338" s="33">
        <v>0</v>
      </c>
      <c r="L338" s="3">
        <v>0</v>
      </c>
      <c r="M338" s="144">
        <v>5.4865219999999999</v>
      </c>
      <c r="N338" s="504">
        <v>0</v>
      </c>
      <c r="O338" s="29"/>
      <c r="P338" s="29">
        <v>6.6150000000000002</v>
      </c>
      <c r="Q338" s="144">
        <v>1.1284780000000003</v>
      </c>
      <c r="R338" s="144">
        <v>1.1284780000000003</v>
      </c>
      <c r="S338" s="144" t="s">
        <v>20211</v>
      </c>
      <c r="T338" s="146" t="s">
        <v>20211</v>
      </c>
      <c r="U338" s="145">
        <v>82.940619803476949</v>
      </c>
      <c r="V338" s="505">
        <v>0.4</v>
      </c>
      <c r="W338" s="505" t="s">
        <v>2024</v>
      </c>
      <c r="X338" s="43"/>
      <c r="Y338" s="143">
        <v>256</v>
      </c>
      <c r="Z338" s="152">
        <v>55</v>
      </c>
      <c r="AA338" s="143" t="s">
        <v>158</v>
      </c>
      <c r="AB338" s="9">
        <v>10</v>
      </c>
      <c r="AC338" s="151" t="s">
        <v>522</v>
      </c>
      <c r="AD338" s="151">
        <v>6.3</v>
      </c>
      <c r="AE338" s="151"/>
      <c r="AF338" s="152"/>
      <c r="AG338" s="143" t="s">
        <v>20257</v>
      </c>
      <c r="AH338" s="144">
        <v>0.46389130434782611</v>
      </c>
      <c r="AI338" s="144">
        <v>5.9504133043478262</v>
      </c>
      <c r="AJ338" s="144">
        <v>0</v>
      </c>
      <c r="AK338" s="143">
        <v>0</v>
      </c>
      <c r="AL338" s="144">
        <v>5.9504133043478262</v>
      </c>
      <c r="AM338" s="144">
        <v>0</v>
      </c>
      <c r="AN338" s="29">
        <v>6.6150000000000002</v>
      </c>
      <c r="AO338" s="144">
        <v>0.66458669565217399</v>
      </c>
      <c r="AP338" s="144">
        <v>0.66458669565217399</v>
      </c>
      <c r="AQ338" s="153" t="s">
        <v>20211</v>
      </c>
      <c r="AR338" s="146" t="s">
        <v>20211</v>
      </c>
      <c r="AS338" s="56">
        <v>89.953337934207497</v>
      </c>
      <c r="AT338" s="58" t="s">
        <v>50</v>
      </c>
      <c r="AU338" s="118">
        <v>1966</v>
      </c>
      <c r="AV338" s="149" t="s">
        <v>2143</v>
      </c>
      <c r="AW338" s="120">
        <v>56.518573430220897</v>
      </c>
      <c r="AX338" s="120">
        <v>36.284964491609898</v>
      </c>
    </row>
    <row r="339" spans="1:50" ht="15" customHeight="1" x14ac:dyDescent="0.25">
      <c r="A339" s="143">
        <v>257</v>
      </c>
      <c r="B339" s="143">
        <v>56</v>
      </c>
      <c r="C339" s="143" t="s">
        <v>159</v>
      </c>
      <c r="D339" s="9">
        <v>10</v>
      </c>
      <c r="E339" s="503" t="s">
        <v>522</v>
      </c>
      <c r="F339" s="503">
        <v>10</v>
      </c>
      <c r="G339" s="503"/>
      <c r="H339" s="501"/>
      <c r="I339" s="151" t="s">
        <v>20227</v>
      </c>
      <c r="J339" s="31">
        <v>6.2785160000000007</v>
      </c>
      <c r="K339" s="33">
        <v>0</v>
      </c>
      <c r="L339" s="3">
        <v>0</v>
      </c>
      <c r="M339" s="144">
        <v>6.2785160000000007</v>
      </c>
      <c r="N339" s="504">
        <v>3.23</v>
      </c>
      <c r="O339" s="29" t="s">
        <v>19702</v>
      </c>
      <c r="P339" s="29">
        <v>10.5</v>
      </c>
      <c r="Q339" s="144">
        <v>0.99148399999999937</v>
      </c>
      <c r="R339" s="144">
        <v>0.99148399999999937</v>
      </c>
      <c r="S339" s="144" t="s">
        <v>20211</v>
      </c>
      <c r="T339" s="146" t="s">
        <v>20211</v>
      </c>
      <c r="U339" s="145">
        <v>59.795390476190484</v>
      </c>
      <c r="V339" s="505">
        <v>0.5</v>
      </c>
      <c r="W339" s="505" t="s">
        <v>2024</v>
      </c>
      <c r="X339" s="43"/>
      <c r="Y339" s="143">
        <v>257</v>
      </c>
      <c r="Z339" s="152">
        <v>56</v>
      </c>
      <c r="AA339" s="143" t="s">
        <v>159</v>
      </c>
      <c r="AB339" s="9">
        <v>10</v>
      </c>
      <c r="AC339" s="151" t="s">
        <v>522</v>
      </c>
      <c r="AD339" s="151">
        <v>10</v>
      </c>
      <c r="AE339" s="151"/>
      <c r="AF339" s="152"/>
      <c r="AG339" s="143" t="s">
        <v>20227</v>
      </c>
      <c r="AH339" s="144">
        <v>5.419956521739131</v>
      </c>
      <c r="AI339" s="144">
        <v>11.698472521739131</v>
      </c>
      <c r="AJ339" s="144">
        <v>0</v>
      </c>
      <c r="AK339" s="143">
        <v>0</v>
      </c>
      <c r="AL339" s="144">
        <v>11.698472521739131</v>
      </c>
      <c r="AM339" s="144">
        <v>3.23</v>
      </c>
      <c r="AN339" s="29">
        <v>10.5</v>
      </c>
      <c r="AO339" s="144">
        <v>-4.4284725217391312</v>
      </c>
      <c r="AP339" s="144">
        <v>-4.4284725217391312</v>
      </c>
      <c r="AQ339" s="153" t="s">
        <v>2217</v>
      </c>
      <c r="AR339" s="146" t="s">
        <v>2217</v>
      </c>
      <c r="AS339" s="56">
        <v>111.41402401656316</v>
      </c>
      <c r="AT339" s="58" t="s">
        <v>50</v>
      </c>
      <c r="AU339" s="118">
        <v>1963</v>
      </c>
      <c r="AV339" s="150">
        <v>2012</v>
      </c>
      <c r="AW339" s="120">
        <v>56.668822529493497</v>
      </c>
      <c r="AX339" s="120">
        <v>36.970460711525803</v>
      </c>
    </row>
    <row r="340" spans="1:50" ht="15" customHeight="1" x14ac:dyDescent="0.25">
      <c r="A340" s="143">
        <v>258</v>
      </c>
      <c r="B340" s="143">
        <v>57</v>
      </c>
      <c r="C340" s="143" t="s">
        <v>160</v>
      </c>
      <c r="D340" s="9">
        <v>10</v>
      </c>
      <c r="E340" s="503" t="s">
        <v>522</v>
      </c>
      <c r="F340" s="503">
        <v>16</v>
      </c>
      <c r="G340" s="503"/>
      <c r="H340" s="501"/>
      <c r="I340" s="151" t="s">
        <v>20258</v>
      </c>
      <c r="J340" s="31">
        <v>2.2093830000000003</v>
      </c>
      <c r="K340" s="33">
        <v>0</v>
      </c>
      <c r="L340" s="3">
        <v>0</v>
      </c>
      <c r="M340" s="144">
        <v>2.2093830000000003</v>
      </c>
      <c r="N340" s="504">
        <v>0</v>
      </c>
      <c r="O340" s="29"/>
      <c r="P340" s="29">
        <v>10.5</v>
      </c>
      <c r="Q340" s="144">
        <v>8.2906169999999992</v>
      </c>
      <c r="R340" s="144">
        <v>8.2906169999999992</v>
      </c>
      <c r="S340" s="144" t="s">
        <v>20211</v>
      </c>
      <c r="T340" s="146" t="s">
        <v>20211</v>
      </c>
      <c r="U340" s="145">
        <v>21.041742857142861</v>
      </c>
      <c r="V340" s="505">
        <v>0.4</v>
      </c>
      <c r="W340" s="505" t="s">
        <v>2024</v>
      </c>
      <c r="X340" s="43"/>
      <c r="Y340" s="143">
        <v>258</v>
      </c>
      <c r="Z340" s="152">
        <v>57</v>
      </c>
      <c r="AA340" s="143" t="s">
        <v>160</v>
      </c>
      <c r="AB340" s="9">
        <v>10</v>
      </c>
      <c r="AC340" s="151" t="s">
        <v>522</v>
      </c>
      <c r="AD340" s="151">
        <v>16</v>
      </c>
      <c r="AE340" s="151"/>
      <c r="AF340" s="152"/>
      <c r="AG340" s="143" t="s">
        <v>20258</v>
      </c>
      <c r="AH340" s="144">
        <v>0.21277173913043482</v>
      </c>
      <c r="AI340" s="144">
        <v>2.422154739130435</v>
      </c>
      <c r="AJ340" s="144">
        <v>0</v>
      </c>
      <c r="AK340" s="143">
        <v>0</v>
      </c>
      <c r="AL340" s="144">
        <v>2.422154739130435</v>
      </c>
      <c r="AM340" s="144">
        <v>0</v>
      </c>
      <c r="AN340" s="29">
        <v>10.5</v>
      </c>
      <c r="AO340" s="144">
        <v>8.0778452608695659</v>
      </c>
      <c r="AP340" s="144">
        <v>8.0778452608695659</v>
      </c>
      <c r="AQ340" s="153" t="s">
        <v>20211</v>
      </c>
      <c r="AR340" s="146" t="s">
        <v>20211</v>
      </c>
      <c r="AS340" s="56">
        <v>23.068140372670808</v>
      </c>
      <c r="AT340" s="58" t="s">
        <v>50</v>
      </c>
      <c r="AU340" s="118">
        <v>1971</v>
      </c>
      <c r="AV340" s="149" t="s">
        <v>2143</v>
      </c>
      <c r="AW340" s="120">
        <v>56.7116155893235</v>
      </c>
      <c r="AX340" s="120">
        <v>36.792128917853603</v>
      </c>
    </row>
    <row r="341" spans="1:50" ht="15" customHeight="1" x14ac:dyDescent="0.25">
      <c r="A341" s="143">
        <v>259</v>
      </c>
      <c r="B341" s="143">
        <v>58</v>
      </c>
      <c r="C341" s="143" t="s">
        <v>161</v>
      </c>
      <c r="D341" s="9">
        <v>6.3</v>
      </c>
      <c r="E341" s="503" t="s">
        <v>522</v>
      </c>
      <c r="F341" s="503">
        <v>6.3</v>
      </c>
      <c r="G341" s="503"/>
      <c r="H341" s="501"/>
      <c r="I341" s="151" t="s">
        <v>20225</v>
      </c>
      <c r="J341" s="31">
        <v>3.2745439999999997</v>
      </c>
      <c r="K341" s="33">
        <v>0</v>
      </c>
      <c r="L341" s="3">
        <v>0</v>
      </c>
      <c r="M341" s="144">
        <v>3.2745439999999997</v>
      </c>
      <c r="N341" s="504">
        <v>0</v>
      </c>
      <c r="O341" s="29"/>
      <c r="P341" s="29">
        <v>6.6150000000000002</v>
      </c>
      <c r="Q341" s="144">
        <v>3.3404560000000005</v>
      </c>
      <c r="R341" s="144">
        <v>3.3404560000000005</v>
      </c>
      <c r="S341" s="144" t="s">
        <v>20211</v>
      </c>
      <c r="T341" s="146" t="s">
        <v>20211</v>
      </c>
      <c r="U341" s="145">
        <v>49.501798941798931</v>
      </c>
      <c r="V341" s="505"/>
      <c r="W341" s="505" t="s">
        <v>2023</v>
      </c>
      <c r="X341" s="43"/>
      <c r="Y341" s="143">
        <v>259</v>
      </c>
      <c r="Z341" s="152">
        <v>58</v>
      </c>
      <c r="AA341" s="143" t="s">
        <v>161</v>
      </c>
      <c r="AB341" s="9">
        <v>6.3</v>
      </c>
      <c r="AC341" s="151" t="s">
        <v>522</v>
      </c>
      <c r="AD341" s="151">
        <v>6.3</v>
      </c>
      <c r="AE341" s="151"/>
      <c r="AF341" s="152"/>
      <c r="AG341" s="143" t="s">
        <v>20225</v>
      </c>
      <c r="AH341" s="144">
        <v>3.3078260869565219</v>
      </c>
      <c r="AI341" s="144">
        <v>6.5823700869565211</v>
      </c>
      <c r="AJ341" s="144">
        <v>0</v>
      </c>
      <c r="AK341" s="143">
        <v>0</v>
      </c>
      <c r="AL341" s="144">
        <v>6.5823700869565211</v>
      </c>
      <c r="AM341" s="144">
        <v>0</v>
      </c>
      <c r="AN341" s="29">
        <v>6.6150000000000002</v>
      </c>
      <c r="AO341" s="144">
        <v>3.2629913043479064E-2</v>
      </c>
      <c r="AP341" s="144">
        <v>3.2629913043479064E-2</v>
      </c>
      <c r="AQ341" s="153" t="s">
        <v>20211</v>
      </c>
      <c r="AR341" s="146" t="s">
        <v>20211</v>
      </c>
      <c r="AS341" s="56">
        <v>99.506728449834029</v>
      </c>
      <c r="AT341" s="58" t="s">
        <v>50</v>
      </c>
      <c r="AU341" s="118">
        <v>1974</v>
      </c>
      <c r="AV341" s="149" t="s">
        <v>2143</v>
      </c>
      <c r="AW341" s="120">
        <v>56.619970187154699</v>
      </c>
      <c r="AX341" s="120">
        <v>36.200217500076903</v>
      </c>
    </row>
    <row r="342" spans="1:50" ht="15" customHeight="1" x14ac:dyDescent="0.25">
      <c r="A342" s="143">
        <v>260</v>
      </c>
      <c r="B342" s="143">
        <v>59</v>
      </c>
      <c r="C342" s="143" t="s">
        <v>2017</v>
      </c>
      <c r="D342" s="9">
        <v>4</v>
      </c>
      <c r="E342" s="503" t="s">
        <v>522</v>
      </c>
      <c r="F342" s="503">
        <v>6.3</v>
      </c>
      <c r="G342" s="503"/>
      <c r="H342" s="501"/>
      <c r="I342" s="151" t="s">
        <v>20254</v>
      </c>
      <c r="J342" s="31">
        <v>1.7438399999999998</v>
      </c>
      <c r="K342" s="33">
        <v>0</v>
      </c>
      <c r="L342" s="3">
        <v>0</v>
      </c>
      <c r="M342" s="144">
        <v>1.7438399999999998</v>
      </c>
      <c r="N342" s="504">
        <v>1.5842400000000003</v>
      </c>
      <c r="O342" s="29" t="s">
        <v>17454</v>
      </c>
      <c r="P342" s="29">
        <v>4.2</v>
      </c>
      <c r="Q342" s="144">
        <v>0.87192000000000025</v>
      </c>
      <c r="R342" s="144">
        <v>0.87192000000000025</v>
      </c>
      <c r="S342" s="144" t="s">
        <v>20211</v>
      </c>
      <c r="T342" s="146" t="s">
        <v>20211</v>
      </c>
      <c r="U342" s="145">
        <v>41.519999999999996</v>
      </c>
      <c r="V342" s="505">
        <v>0.3</v>
      </c>
      <c r="W342" s="505" t="s">
        <v>2024</v>
      </c>
      <c r="X342" s="43"/>
      <c r="Y342" s="143">
        <v>260</v>
      </c>
      <c r="Z342" s="152">
        <v>59</v>
      </c>
      <c r="AA342" s="143" t="s">
        <v>2017</v>
      </c>
      <c r="AB342" s="9">
        <v>4</v>
      </c>
      <c r="AC342" s="151" t="s">
        <v>522</v>
      </c>
      <c r="AD342" s="151">
        <v>6.3</v>
      </c>
      <c r="AE342" s="151"/>
      <c r="AF342" s="152"/>
      <c r="AG342" s="143" t="s">
        <v>20254</v>
      </c>
      <c r="AH342" s="144">
        <v>0.61845652173913046</v>
      </c>
      <c r="AI342" s="144">
        <v>2.3622965217391303</v>
      </c>
      <c r="AJ342" s="144">
        <v>0</v>
      </c>
      <c r="AK342" s="143">
        <v>0</v>
      </c>
      <c r="AL342" s="144">
        <v>2.3622965217391303</v>
      </c>
      <c r="AM342" s="144">
        <v>1.5842400000000003</v>
      </c>
      <c r="AN342" s="29">
        <v>4.2</v>
      </c>
      <c r="AO342" s="144">
        <v>0.25346347826086957</v>
      </c>
      <c r="AP342" s="144">
        <v>0.25346347826086957</v>
      </c>
      <c r="AQ342" s="153" t="s">
        <v>20211</v>
      </c>
      <c r="AR342" s="146" t="s">
        <v>20211</v>
      </c>
      <c r="AS342" s="56">
        <v>56.245155279503102</v>
      </c>
      <c r="AT342" s="58" t="s">
        <v>50</v>
      </c>
      <c r="AU342" s="118">
        <v>1975</v>
      </c>
      <c r="AV342" s="149" t="s">
        <v>2143</v>
      </c>
      <c r="AW342" s="120">
        <v>56.6755897009702</v>
      </c>
      <c r="AX342" s="120">
        <v>36.694632804300497</v>
      </c>
    </row>
    <row r="343" spans="1:50" ht="15" customHeight="1" x14ac:dyDescent="0.25">
      <c r="A343" s="143">
        <v>261</v>
      </c>
      <c r="B343" s="143">
        <v>60</v>
      </c>
      <c r="C343" s="143" t="s">
        <v>162</v>
      </c>
      <c r="D343" s="9">
        <v>2.5</v>
      </c>
      <c r="E343" s="503" t="s">
        <v>522</v>
      </c>
      <c r="F343" s="503">
        <v>3.2</v>
      </c>
      <c r="G343" s="503"/>
      <c r="H343" s="501"/>
      <c r="I343" s="151" t="s">
        <v>20250</v>
      </c>
      <c r="J343" s="31">
        <v>2.5465599999999999</v>
      </c>
      <c r="K343" s="33">
        <v>0</v>
      </c>
      <c r="L343" s="3">
        <v>0</v>
      </c>
      <c r="M343" s="144">
        <v>2.5465599999999999</v>
      </c>
      <c r="N343" s="504">
        <v>0.17299999999999999</v>
      </c>
      <c r="O343" s="29" t="s">
        <v>17454</v>
      </c>
      <c r="P343" s="29">
        <v>2.625</v>
      </c>
      <c r="Q343" s="144">
        <v>-9.4559999999999922E-2</v>
      </c>
      <c r="R343" s="144">
        <v>-9.4559999999999922E-2</v>
      </c>
      <c r="S343" s="144" t="s">
        <v>2217</v>
      </c>
      <c r="T343" s="146" t="s">
        <v>2217</v>
      </c>
      <c r="U343" s="145">
        <v>97.011809523809532</v>
      </c>
      <c r="V343" s="505">
        <v>0.4</v>
      </c>
      <c r="W343" s="505" t="s">
        <v>2024</v>
      </c>
      <c r="X343" s="43"/>
      <c r="Y343" s="143">
        <v>261</v>
      </c>
      <c r="Z343" s="152">
        <v>60</v>
      </c>
      <c r="AA343" s="143" t="s">
        <v>162</v>
      </c>
      <c r="AB343" s="9">
        <v>2.5</v>
      </c>
      <c r="AC343" s="151" t="s">
        <v>522</v>
      </c>
      <c r="AD343" s="151">
        <v>3.2</v>
      </c>
      <c r="AE343" s="151"/>
      <c r="AF343" s="152"/>
      <c r="AG343" s="143" t="s">
        <v>20250</v>
      </c>
      <c r="AH343" s="144">
        <v>0.87583695652173921</v>
      </c>
      <c r="AI343" s="144">
        <v>3.4223969565217391</v>
      </c>
      <c r="AJ343" s="144">
        <v>0</v>
      </c>
      <c r="AK343" s="143">
        <v>0</v>
      </c>
      <c r="AL343" s="144">
        <v>3.4223969565217391</v>
      </c>
      <c r="AM343" s="144">
        <v>0.17299999999999999</v>
      </c>
      <c r="AN343" s="29">
        <v>2.625</v>
      </c>
      <c r="AO343" s="144">
        <v>-0.97039695652173918</v>
      </c>
      <c r="AP343" s="144">
        <v>-0.97039695652173918</v>
      </c>
      <c r="AQ343" s="153" t="s">
        <v>2217</v>
      </c>
      <c r="AR343" s="146" t="s">
        <v>2217</v>
      </c>
      <c r="AS343" s="56">
        <v>130.37702691511387</v>
      </c>
      <c r="AT343" s="58" t="s">
        <v>50</v>
      </c>
      <c r="AU343" s="118">
        <v>1978</v>
      </c>
      <c r="AV343" s="149" t="s">
        <v>2143</v>
      </c>
      <c r="AW343" s="120">
        <v>56.698820872395601</v>
      </c>
      <c r="AX343" s="120">
        <v>36.307776077415099</v>
      </c>
    </row>
    <row r="344" spans="1:50" ht="15" customHeight="1" x14ac:dyDescent="0.25">
      <c r="A344" s="143">
        <v>262</v>
      </c>
      <c r="B344" s="143">
        <v>61</v>
      </c>
      <c r="C344" s="143" t="s">
        <v>163</v>
      </c>
      <c r="D344" s="9">
        <v>1.6</v>
      </c>
      <c r="E344" s="503" t="s">
        <v>522</v>
      </c>
      <c r="F344" s="503">
        <v>2.5</v>
      </c>
      <c r="G344" s="503"/>
      <c r="H344" s="501"/>
      <c r="I344" s="151" t="s">
        <v>20223</v>
      </c>
      <c r="J344" s="31">
        <v>0.99751800000000002</v>
      </c>
      <c r="K344" s="33">
        <v>0</v>
      </c>
      <c r="L344" s="3">
        <v>0</v>
      </c>
      <c r="M344" s="144">
        <v>0.99751800000000002</v>
      </c>
      <c r="N344" s="504">
        <v>0</v>
      </c>
      <c r="O344" s="29"/>
      <c r="P344" s="29">
        <v>1.6800000000000002</v>
      </c>
      <c r="Q344" s="144">
        <v>0.68248200000000014</v>
      </c>
      <c r="R344" s="144">
        <v>0.68248200000000014</v>
      </c>
      <c r="S344" s="144" t="s">
        <v>20211</v>
      </c>
      <c r="T344" s="146" t="s">
        <v>20211</v>
      </c>
      <c r="U344" s="145">
        <v>59.376071428571422</v>
      </c>
      <c r="V344" s="505"/>
      <c r="W344" s="505" t="s">
        <v>2023</v>
      </c>
      <c r="X344" s="43"/>
      <c r="Y344" s="143">
        <v>262</v>
      </c>
      <c r="Z344" s="152">
        <v>61</v>
      </c>
      <c r="AA344" s="143" t="s">
        <v>163</v>
      </c>
      <c r="AB344" s="9">
        <v>1.6</v>
      </c>
      <c r="AC344" s="151" t="s">
        <v>522</v>
      </c>
      <c r="AD344" s="151">
        <v>2.5</v>
      </c>
      <c r="AE344" s="151"/>
      <c r="AF344" s="152"/>
      <c r="AG344" s="143" t="s">
        <v>20223</v>
      </c>
      <c r="AH344" s="144">
        <v>0.21110869565217391</v>
      </c>
      <c r="AI344" s="144">
        <v>1.2086266956521738</v>
      </c>
      <c r="AJ344" s="144">
        <v>0</v>
      </c>
      <c r="AK344" s="143">
        <v>0</v>
      </c>
      <c r="AL344" s="144">
        <v>1.2086266956521738</v>
      </c>
      <c r="AM344" s="144">
        <v>0</v>
      </c>
      <c r="AN344" s="29">
        <v>1.6800000000000002</v>
      </c>
      <c r="AO344" s="144">
        <v>0.47137330434782632</v>
      </c>
      <c r="AP344" s="144">
        <v>0.47137330434782632</v>
      </c>
      <c r="AQ344" s="153" t="s">
        <v>20211</v>
      </c>
      <c r="AR344" s="146" t="s">
        <v>20211</v>
      </c>
      <c r="AS344" s="56">
        <v>71.942065217391288</v>
      </c>
      <c r="AT344" s="58" t="s">
        <v>50</v>
      </c>
      <c r="AU344" s="118">
        <v>1978</v>
      </c>
      <c r="AV344" s="149" t="s">
        <v>2143</v>
      </c>
      <c r="AW344" s="120">
        <v>56.645054053303902</v>
      </c>
      <c r="AX344" s="120">
        <v>36.441536564170796</v>
      </c>
    </row>
    <row r="345" spans="1:50" ht="15" customHeight="1" x14ac:dyDescent="0.25">
      <c r="A345" s="143">
        <v>263</v>
      </c>
      <c r="B345" s="143">
        <v>62</v>
      </c>
      <c r="C345" s="143" t="s">
        <v>14886</v>
      </c>
      <c r="D345" s="9">
        <v>2.5</v>
      </c>
      <c r="E345" s="503" t="s">
        <v>522</v>
      </c>
      <c r="F345" s="503">
        <v>2.5</v>
      </c>
      <c r="G345" s="503"/>
      <c r="H345" s="501"/>
      <c r="I345" s="151" t="s">
        <v>20222</v>
      </c>
      <c r="J345" s="31">
        <v>1.9621660000000001</v>
      </c>
      <c r="K345" s="33">
        <v>0</v>
      </c>
      <c r="L345" s="3">
        <v>0</v>
      </c>
      <c r="M345" s="144">
        <v>1.9621660000000001</v>
      </c>
      <c r="N345" s="504">
        <v>0</v>
      </c>
      <c r="O345" s="29"/>
      <c r="P345" s="29">
        <v>2.625</v>
      </c>
      <c r="Q345" s="144">
        <v>0.66283399999999992</v>
      </c>
      <c r="R345" s="144">
        <v>0.66283399999999992</v>
      </c>
      <c r="S345" s="144" t="s">
        <v>20211</v>
      </c>
      <c r="T345" s="146" t="s">
        <v>20211</v>
      </c>
      <c r="U345" s="145">
        <v>74.749180952380954</v>
      </c>
      <c r="V345" s="505">
        <v>0.5</v>
      </c>
      <c r="W345" s="505" t="s">
        <v>2024</v>
      </c>
      <c r="X345" s="43"/>
      <c r="Y345" s="143">
        <v>263</v>
      </c>
      <c r="Z345" s="152">
        <v>62</v>
      </c>
      <c r="AA345" s="143" t="s">
        <v>14886</v>
      </c>
      <c r="AB345" s="9">
        <v>2.5</v>
      </c>
      <c r="AC345" s="151" t="s">
        <v>522</v>
      </c>
      <c r="AD345" s="151">
        <v>2.5</v>
      </c>
      <c r="AE345" s="151"/>
      <c r="AF345" s="152"/>
      <c r="AG345" s="143" t="s">
        <v>20222</v>
      </c>
      <c r="AH345" s="144">
        <v>0.7135869565217392</v>
      </c>
      <c r="AI345" s="144">
        <v>2.6757529565217393</v>
      </c>
      <c r="AJ345" s="144">
        <v>0</v>
      </c>
      <c r="AK345" s="143">
        <v>0</v>
      </c>
      <c r="AL345" s="144">
        <v>2.6757529565217393</v>
      </c>
      <c r="AM345" s="144">
        <v>0</v>
      </c>
      <c r="AN345" s="29">
        <v>2.625</v>
      </c>
      <c r="AO345" s="144">
        <v>-5.0752956521739279E-2</v>
      </c>
      <c r="AP345" s="144">
        <v>-5.0752956521739279E-2</v>
      </c>
      <c r="AQ345" s="153" t="s">
        <v>2217</v>
      </c>
      <c r="AR345" s="146" t="s">
        <v>2217</v>
      </c>
      <c r="AS345" s="56">
        <v>101.93344596273292</v>
      </c>
      <c r="AT345" s="58" t="s">
        <v>50</v>
      </c>
      <c r="AU345" s="118">
        <v>1981</v>
      </c>
      <c r="AV345" s="149" t="s">
        <v>2143</v>
      </c>
      <c r="AW345" s="120">
        <v>56.663088887268501</v>
      </c>
      <c r="AX345" s="120">
        <v>36.803259794991298</v>
      </c>
    </row>
    <row r="346" spans="1:50" ht="15" customHeight="1" x14ac:dyDescent="0.25">
      <c r="A346" s="143">
        <v>264</v>
      </c>
      <c r="B346" s="143">
        <v>63</v>
      </c>
      <c r="C346" s="143" t="s">
        <v>164</v>
      </c>
      <c r="D346" s="9">
        <v>10</v>
      </c>
      <c r="E346" s="503" t="s">
        <v>522</v>
      </c>
      <c r="F346" s="503">
        <v>10</v>
      </c>
      <c r="G346" s="503"/>
      <c r="H346" s="501"/>
      <c r="I346" s="151" t="s">
        <v>20227</v>
      </c>
      <c r="J346" s="31">
        <v>2.6575394999999999</v>
      </c>
      <c r="K346" s="33">
        <v>0</v>
      </c>
      <c r="L346" s="3">
        <v>0</v>
      </c>
      <c r="M346" s="144">
        <v>2.6575394999999999</v>
      </c>
      <c r="N346" s="504">
        <v>3.23</v>
      </c>
      <c r="O346" s="29" t="s">
        <v>19703</v>
      </c>
      <c r="P346" s="29">
        <v>10.5</v>
      </c>
      <c r="Q346" s="144">
        <v>4.6124604999999992</v>
      </c>
      <c r="R346" s="144">
        <v>4.6124604999999992</v>
      </c>
      <c r="S346" s="144" t="s">
        <v>20211</v>
      </c>
      <c r="T346" s="146" t="s">
        <v>20211</v>
      </c>
      <c r="U346" s="145">
        <v>25.309899999999999</v>
      </c>
      <c r="V346" s="505">
        <v>0.2</v>
      </c>
      <c r="W346" s="505" t="s">
        <v>2024</v>
      </c>
      <c r="X346" s="43"/>
      <c r="Y346" s="143">
        <v>264</v>
      </c>
      <c r="Z346" s="152">
        <v>63</v>
      </c>
      <c r="AA346" s="143" t="s">
        <v>164</v>
      </c>
      <c r="AB346" s="9">
        <v>10</v>
      </c>
      <c r="AC346" s="151" t="s">
        <v>522</v>
      </c>
      <c r="AD346" s="151">
        <v>10</v>
      </c>
      <c r="AE346" s="151"/>
      <c r="AF346" s="152"/>
      <c r="AG346" s="143" t="s">
        <v>20227</v>
      </c>
      <c r="AH346" s="144">
        <v>6.306304347826087</v>
      </c>
      <c r="AI346" s="144">
        <v>8.9638438478260873</v>
      </c>
      <c r="AJ346" s="144">
        <v>0</v>
      </c>
      <c r="AK346" s="143">
        <v>0</v>
      </c>
      <c r="AL346" s="144">
        <v>8.9638438478260873</v>
      </c>
      <c r="AM346" s="144">
        <v>3.23</v>
      </c>
      <c r="AN346" s="29">
        <v>10.5</v>
      </c>
      <c r="AO346" s="144">
        <v>-1.6938438478260873</v>
      </c>
      <c r="AP346" s="144">
        <v>-1.6938438478260873</v>
      </c>
      <c r="AQ346" s="153" t="s">
        <v>2217</v>
      </c>
      <c r="AR346" s="146" t="s">
        <v>2217</v>
      </c>
      <c r="AS346" s="56">
        <v>85.369941407867501</v>
      </c>
      <c r="AT346" s="58" t="s">
        <v>50</v>
      </c>
      <c r="AU346" s="118">
        <v>1976</v>
      </c>
      <c r="AV346" s="149">
        <v>2012</v>
      </c>
      <c r="AW346" s="120">
        <v>56.583273284638203</v>
      </c>
      <c r="AX346" s="120">
        <v>36.504831719835202</v>
      </c>
    </row>
    <row r="347" spans="1:50" ht="15" customHeight="1" x14ac:dyDescent="0.25">
      <c r="A347" s="143">
        <v>265</v>
      </c>
      <c r="B347" s="143">
        <v>64</v>
      </c>
      <c r="C347" s="143" t="s">
        <v>165</v>
      </c>
      <c r="D347" s="9">
        <v>4</v>
      </c>
      <c r="E347" s="503" t="s">
        <v>522</v>
      </c>
      <c r="F347" s="503">
        <v>2.5</v>
      </c>
      <c r="G347" s="503"/>
      <c r="H347" s="501"/>
      <c r="I347" s="151" t="s">
        <v>20221</v>
      </c>
      <c r="J347" s="31">
        <v>2.8110423999999998</v>
      </c>
      <c r="K347" s="33">
        <v>0</v>
      </c>
      <c r="L347" s="3">
        <v>0</v>
      </c>
      <c r="M347" s="144">
        <v>2.8110423999999998</v>
      </c>
      <c r="N347" s="504">
        <v>0</v>
      </c>
      <c r="O347" s="29"/>
      <c r="P347" s="29">
        <v>2.625</v>
      </c>
      <c r="Q347" s="144">
        <v>-0.18604239999999983</v>
      </c>
      <c r="R347" s="144">
        <v>-0.18604239999999983</v>
      </c>
      <c r="S347" s="144" t="s">
        <v>2217</v>
      </c>
      <c r="T347" s="146" t="s">
        <v>2217</v>
      </c>
      <c r="U347" s="145">
        <v>107.08732952380953</v>
      </c>
      <c r="V347" s="505">
        <v>0.7</v>
      </c>
      <c r="W347" s="505" t="s">
        <v>2024</v>
      </c>
      <c r="X347" s="43"/>
      <c r="Y347" s="143">
        <v>265</v>
      </c>
      <c r="Z347" s="152">
        <v>64</v>
      </c>
      <c r="AA347" s="143" t="s">
        <v>165</v>
      </c>
      <c r="AB347" s="9">
        <v>4</v>
      </c>
      <c r="AC347" s="151" t="s">
        <v>522</v>
      </c>
      <c r="AD347" s="151">
        <v>2.5</v>
      </c>
      <c r="AE347" s="151"/>
      <c r="AF347" s="152"/>
      <c r="AG347" s="143" t="s">
        <v>20221</v>
      </c>
      <c r="AH347" s="144">
        <v>0.17393478260869563</v>
      </c>
      <c r="AI347" s="144">
        <v>2.9849771826086955</v>
      </c>
      <c r="AJ347" s="144">
        <v>0</v>
      </c>
      <c r="AK347" s="143">
        <v>0</v>
      </c>
      <c r="AL347" s="144">
        <v>2.9849771826086955</v>
      </c>
      <c r="AM347" s="144">
        <v>0</v>
      </c>
      <c r="AN347" s="29">
        <v>2.625</v>
      </c>
      <c r="AO347" s="144">
        <v>-0.35997718260869549</v>
      </c>
      <c r="AP347" s="144">
        <v>-0.35997718260869549</v>
      </c>
      <c r="AQ347" s="153" t="s">
        <v>2217</v>
      </c>
      <c r="AR347" s="146" t="s">
        <v>2217</v>
      </c>
      <c r="AS347" s="56">
        <v>113.71341648033125</v>
      </c>
      <c r="AT347" s="58" t="s">
        <v>50</v>
      </c>
      <c r="AU347" s="118">
        <v>1987</v>
      </c>
      <c r="AV347" s="149" t="s">
        <v>2143</v>
      </c>
      <c r="AW347" s="120">
        <v>56.675776138183203</v>
      </c>
      <c r="AX347" s="120">
        <v>36.681326282337302</v>
      </c>
    </row>
    <row r="348" spans="1:50" ht="15" customHeight="1" x14ac:dyDescent="0.25">
      <c r="A348" s="143">
        <v>266</v>
      </c>
      <c r="B348" s="143">
        <v>65</v>
      </c>
      <c r="C348" s="143" t="s">
        <v>166</v>
      </c>
      <c r="D348" s="9">
        <v>4</v>
      </c>
      <c r="E348" s="503" t="s">
        <v>522</v>
      </c>
      <c r="F348" s="503">
        <v>4</v>
      </c>
      <c r="G348" s="503"/>
      <c r="H348" s="501"/>
      <c r="I348" s="151" t="s">
        <v>20235</v>
      </c>
      <c r="J348" s="31">
        <v>3.319178</v>
      </c>
      <c r="K348" s="33">
        <v>0</v>
      </c>
      <c r="L348" s="3">
        <v>0</v>
      </c>
      <c r="M348" s="144">
        <v>3.319178</v>
      </c>
      <c r="N348" s="504">
        <v>0</v>
      </c>
      <c r="O348" s="29"/>
      <c r="P348" s="29">
        <v>4.2</v>
      </c>
      <c r="Q348" s="144">
        <v>0.88082200000000022</v>
      </c>
      <c r="R348" s="144">
        <v>0.88082200000000022</v>
      </c>
      <c r="S348" s="144" t="s">
        <v>20211</v>
      </c>
      <c r="T348" s="146" t="s">
        <v>20211</v>
      </c>
      <c r="U348" s="145">
        <v>79.028047619047612</v>
      </c>
      <c r="V348" s="505">
        <v>0.1</v>
      </c>
      <c r="W348" s="505" t="s">
        <v>2024</v>
      </c>
      <c r="X348" s="43"/>
      <c r="Y348" s="143">
        <v>266</v>
      </c>
      <c r="Z348" s="152">
        <v>65</v>
      </c>
      <c r="AA348" s="143" t="s">
        <v>166</v>
      </c>
      <c r="AB348" s="9">
        <v>4</v>
      </c>
      <c r="AC348" s="151" t="s">
        <v>522</v>
      </c>
      <c r="AD348" s="151">
        <v>4</v>
      </c>
      <c r="AE348" s="151"/>
      <c r="AF348" s="152"/>
      <c r="AG348" s="143" t="s">
        <v>20235</v>
      </c>
      <c r="AH348" s="144">
        <v>1.3144565217391304</v>
      </c>
      <c r="AI348" s="144">
        <v>4.6336345217391308</v>
      </c>
      <c r="AJ348" s="144">
        <v>0</v>
      </c>
      <c r="AK348" s="143">
        <v>0</v>
      </c>
      <c r="AL348" s="144">
        <v>4.6336345217391308</v>
      </c>
      <c r="AM348" s="144">
        <v>0</v>
      </c>
      <c r="AN348" s="29">
        <v>4.2</v>
      </c>
      <c r="AO348" s="144">
        <v>-0.43363452173913064</v>
      </c>
      <c r="AP348" s="144">
        <v>-0.43363452173913064</v>
      </c>
      <c r="AQ348" s="153" t="s">
        <v>2217</v>
      </c>
      <c r="AR348" s="146" t="s">
        <v>2217</v>
      </c>
      <c r="AS348" s="56">
        <v>110.32463146997929</v>
      </c>
      <c r="AT348" s="58" t="s">
        <v>50</v>
      </c>
      <c r="AU348" s="118">
        <v>1980</v>
      </c>
      <c r="AV348" s="150">
        <v>2012</v>
      </c>
      <c r="AW348" s="120">
        <v>56.771001100550897</v>
      </c>
      <c r="AX348" s="120">
        <v>36.1039893659825</v>
      </c>
    </row>
    <row r="349" spans="1:50" ht="15" customHeight="1" x14ac:dyDescent="0.25">
      <c r="A349" s="143">
        <v>267</v>
      </c>
      <c r="B349" s="143">
        <v>66</v>
      </c>
      <c r="C349" s="143" t="s">
        <v>167</v>
      </c>
      <c r="D349" s="9">
        <v>6.3</v>
      </c>
      <c r="E349" s="503" t="s">
        <v>522</v>
      </c>
      <c r="F349" s="503">
        <v>4</v>
      </c>
      <c r="G349" s="503"/>
      <c r="H349" s="501"/>
      <c r="I349" s="151" t="s">
        <v>20220</v>
      </c>
      <c r="J349" s="31">
        <v>2.6858249999999999</v>
      </c>
      <c r="K349" s="33">
        <v>0</v>
      </c>
      <c r="L349" s="3">
        <v>0</v>
      </c>
      <c r="M349" s="144">
        <v>2.6858249999999999</v>
      </c>
      <c r="N349" s="504">
        <v>0</v>
      </c>
      <c r="O349" s="29"/>
      <c r="P349" s="29">
        <v>4.2</v>
      </c>
      <c r="Q349" s="144">
        <v>1.5141750000000003</v>
      </c>
      <c r="R349" s="144">
        <v>1.5141750000000003</v>
      </c>
      <c r="S349" s="144" t="s">
        <v>20211</v>
      </c>
      <c r="T349" s="146" t="s">
        <v>20211</v>
      </c>
      <c r="U349" s="145">
        <v>63.948214285714279</v>
      </c>
      <c r="V349" s="505">
        <v>0.3</v>
      </c>
      <c r="W349" s="505" t="s">
        <v>2024</v>
      </c>
      <c r="X349" s="43"/>
      <c r="Y349" s="143">
        <v>267</v>
      </c>
      <c r="Z349" s="152">
        <v>66</v>
      </c>
      <c r="AA349" s="143" t="s">
        <v>167</v>
      </c>
      <c r="AB349" s="9">
        <v>6.3</v>
      </c>
      <c r="AC349" s="151" t="s">
        <v>522</v>
      </c>
      <c r="AD349" s="151">
        <v>4</v>
      </c>
      <c r="AE349" s="151"/>
      <c r="AF349" s="152"/>
      <c r="AG349" s="143" t="s">
        <v>20220</v>
      </c>
      <c r="AH349" s="144">
        <v>0.33495652173913043</v>
      </c>
      <c r="AI349" s="144">
        <v>3.0207815217391305</v>
      </c>
      <c r="AJ349" s="144">
        <v>0</v>
      </c>
      <c r="AK349" s="143">
        <v>0</v>
      </c>
      <c r="AL349" s="144">
        <v>3.0207815217391305</v>
      </c>
      <c r="AM349" s="144">
        <v>0</v>
      </c>
      <c r="AN349" s="29">
        <v>4.2</v>
      </c>
      <c r="AO349" s="144">
        <v>1.1792184782608697</v>
      </c>
      <c r="AP349" s="144">
        <v>1.1792184782608697</v>
      </c>
      <c r="AQ349" s="153" t="s">
        <v>20211</v>
      </c>
      <c r="AR349" s="146" t="s">
        <v>20211</v>
      </c>
      <c r="AS349" s="56">
        <v>71.923369565217385</v>
      </c>
      <c r="AT349" s="58" t="s">
        <v>50</v>
      </c>
      <c r="AU349" s="118">
        <v>1980</v>
      </c>
      <c r="AV349" s="149">
        <v>2013</v>
      </c>
      <c r="AW349" s="120">
        <v>56.711062762274103</v>
      </c>
      <c r="AX349" s="120">
        <v>36.653319898019397</v>
      </c>
    </row>
    <row r="350" spans="1:50" ht="15" customHeight="1" x14ac:dyDescent="0.25">
      <c r="A350" s="143">
        <v>268</v>
      </c>
      <c r="B350" s="143">
        <v>67</v>
      </c>
      <c r="C350" s="143" t="s">
        <v>168</v>
      </c>
      <c r="D350" s="9">
        <v>16</v>
      </c>
      <c r="E350" s="503" t="s">
        <v>522</v>
      </c>
      <c r="F350" s="503">
        <v>10</v>
      </c>
      <c r="G350" s="503" t="s">
        <v>522</v>
      </c>
      <c r="H350" s="501">
        <v>10</v>
      </c>
      <c r="I350" s="151" t="s">
        <v>20259</v>
      </c>
      <c r="J350" s="31">
        <v>14.926440000000001</v>
      </c>
      <c r="K350" s="33">
        <v>0</v>
      </c>
      <c r="L350" s="3">
        <v>0</v>
      </c>
      <c r="M350" s="144">
        <v>14.926440000000001</v>
      </c>
      <c r="N350" s="504">
        <v>0</v>
      </c>
      <c r="O350" s="29" t="s">
        <v>14976</v>
      </c>
      <c r="P350" s="29">
        <v>16.8</v>
      </c>
      <c r="Q350" s="144">
        <v>1.8735599999999994</v>
      </c>
      <c r="R350" s="144">
        <v>1.8735599999999994</v>
      </c>
      <c r="S350" s="144" t="s">
        <v>20211</v>
      </c>
      <c r="T350" s="146" t="s">
        <v>20211</v>
      </c>
      <c r="U350" s="145">
        <v>88.847857142857151</v>
      </c>
      <c r="V350" s="505">
        <v>0.4</v>
      </c>
      <c r="W350" s="505" t="s">
        <v>2024</v>
      </c>
      <c r="X350" s="43"/>
      <c r="Y350" s="143">
        <v>268</v>
      </c>
      <c r="Z350" s="152">
        <v>67</v>
      </c>
      <c r="AA350" s="143" t="s">
        <v>168</v>
      </c>
      <c r="AB350" s="9">
        <v>16</v>
      </c>
      <c r="AC350" s="151" t="s">
        <v>522</v>
      </c>
      <c r="AD350" s="151">
        <v>10</v>
      </c>
      <c r="AE350" s="151" t="s">
        <v>522</v>
      </c>
      <c r="AF350" s="152">
        <v>10</v>
      </c>
      <c r="AG350" s="143" t="s">
        <v>20259</v>
      </c>
      <c r="AH350" s="144">
        <v>0</v>
      </c>
      <c r="AI350" s="144">
        <v>14.926440000000001</v>
      </c>
      <c r="AJ350" s="144">
        <v>0</v>
      </c>
      <c r="AK350" s="143">
        <v>0</v>
      </c>
      <c r="AL350" s="144">
        <v>14.926440000000001</v>
      </c>
      <c r="AM350" s="144">
        <v>0</v>
      </c>
      <c r="AN350" s="29">
        <v>16.8</v>
      </c>
      <c r="AO350" s="144">
        <v>1.8735599999999994</v>
      </c>
      <c r="AP350" s="144">
        <v>1.8735599999999994</v>
      </c>
      <c r="AQ350" s="153" t="s">
        <v>20211</v>
      </c>
      <c r="AR350" s="146" t="s">
        <v>20211</v>
      </c>
      <c r="AS350" s="56">
        <v>88.847857142857151</v>
      </c>
      <c r="AT350" s="58" t="s">
        <v>50</v>
      </c>
      <c r="AU350" s="118">
        <v>1957</v>
      </c>
      <c r="AV350" s="149">
        <v>2013</v>
      </c>
      <c r="AW350" s="120">
        <v>56.837688982167201</v>
      </c>
      <c r="AX350" s="120">
        <v>35.913463446160598</v>
      </c>
    </row>
    <row r="351" spans="1:50" ht="15" customHeight="1" x14ac:dyDescent="0.25">
      <c r="A351" s="143">
        <v>269</v>
      </c>
      <c r="B351" s="143">
        <v>68</v>
      </c>
      <c r="C351" s="143" t="s">
        <v>169</v>
      </c>
      <c r="D351" s="9">
        <v>10</v>
      </c>
      <c r="E351" s="503" t="s">
        <v>522</v>
      </c>
      <c r="F351" s="503">
        <v>10</v>
      </c>
      <c r="G351" s="503" t="s">
        <v>522</v>
      </c>
      <c r="H351" s="501">
        <v>10</v>
      </c>
      <c r="I351" s="151" t="s">
        <v>20260</v>
      </c>
      <c r="J351" s="31">
        <v>12.849748</v>
      </c>
      <c r="K351" s="33">
        <v>0</v>
      </c>
      <c r="L351" s="3">
        <v>0</v>
      </c>
      <c r="M351" s="144">
        <v>12.849748</v>
      </c>
      <c r="N351" s="504">
        <v>0</v>
      </c>
      <c r="O351" s="29"/>
      <c r="P351" s="29">
        <v>21</v>
      </c>
      <c r="Q351" s="144">
        <v>8.1502520000000001</v>
      </c>
      <c r="R351" s="144">
        <v>8.1502520000000001</v>
      </c>
      <c r="S351" s="144" t="s">
        <v>20211</v>
      </c>
      <c r="T351" s="146" t="s">
        <v>20211</v>
      </c>
      <c r="U351" s="145">
        <v>61.189276190476185</v>
      </c>
      <c r="V351" s="505">
        <v>0.5</v>
      </c>
      <c r="W351" s="505" t="s">
        <v>2024</v>
      </c>
      <c r="X351" s="43"/>
      <c r="Y351" s="143">
        <v>269</v>
      </c>
      <c r="Z351" s="152">
        <v>68</v>
      </c>
      <c r="AA351" s="143" t="s">
        <v>169</v>
      </c>
      <c r="AB351" s="9">
        <v>10</v>
      </c>
      <c r="AC351" s="151" t="s">
        <v>522</v>
      </c>
      <c r="AD351" s="151">
        <v>10</v>
      </c>
      <c r="AE351" s="151" t="s">
        <v>522</v>
      </c>
      <c r="AF351" s="152">
        <v>10</v>
      </c>
      <c r="AG351" s="143" t="s">
        <v>20260</v>
      </c>
      <c r="AH351" s="144">
        <v>4.0472934782608698</v>
      </c>
      <c r="AI351" s="144">
        <v>16.897041478260871</v>
      </c>
      <c r="AJ351" s="144">
        <v>0</v>
      </c>
      <c r="AK351" s="143">
        <v>0</v>
      </c>
      <c r="AL351" s="144">
        <v>16.897041478260871</v>
      </c>
      <c r="AM351" s="144">
        <v>0</v>
      </c>
      <c r="AN351" s="29">
        <v>21</v>
      </c>
      <c r="AO351" s="144">
        <v>4.1029585217391293</v>
      </c>
      <c r="AP351" s="144">
        <v>4.1029585217391293</v>
      </c>
      <c r="AQ351" s="153" t="s">
        <v>20211</v>
      </c>
      <c r="AR351" s="146" t="s">
        <v>20211</v>
      </c>
      <c r="AS351" s="56">
        <v>80.46210227743272</v>
      </c>
      <c r="AT351" s="58" t="s">
        <v>50</v>
      </c>
      <c r="AU351" s="118">
        <v>1951</v>
      </c>
      <c r="AV351" s="149" t="s">
        <v>2143</v>
      </c>
      <c r="AW351" s="120">
        <v>56.872738067369099</v>
      </c>
      <c r="AX351" s="120">
        <v>35.962227415706899</v>
      </c>
    </row>
    <row r="352" spans="1:50" ht="15" customHeight="1" x14ac:dyDescent="0.25">
      <c r="A352" s="921">
        <v>270</v>
      </c>
      <c r="B352" s="921">
        <v>69</v>
      </c>
      <c r="C352" s="166" t="s">
        <v>170</v>
      </c>
      <c r="D352" s="124">
        <v>10</v>
      </c>
      <c r="E352" s="125"/>
      <c r="F352" s="125"/>
      <c r="G352" s="125"/>
      <c r="H352" s="507"/>
      <c r="I352" s="125" t="s">
        <v>2429</v>
      </c>
      <c r="J352" s="126">
        <v>1.8772230000000001</v>
      </c>
      <c r="K352" s="131">
        <v>1.88</v>
      </c>
      <c r="L352" s="132" t="s">
        <v>248</v>
      </c>
      <c r="M352" s="164">
        <v>1.88</v>
      </c>
      <c r="N352" s="514">
        <v>0</v>
      </c>
      <c r="O352" s="129"/>
      <c r="P352" s="129">
        <v>1.88</v>
      </c>
      <c r="Q352" s="164">
        <v>2.7769999999998074E-3</v>
      </c>
      <c r="R352" s="948">
        <v>-2.9230000000000644E-3</v>
      </c>
      <c r="S352" s="948" t="s">
        <v>2217</v>
      </c>
      <c r="T352" s="173" t="s">
        <v>2217</v>
      </c>
      <c r="U352" s="893">
        <v>17.878314285714289</v>
      </c>
      <c r="V352" s="893"/>
      <c r="W352" s="894" t="s">
        <v>2023</v>
      </c>
      <c r="X352" s="43"/>
      <c r="Y352" s="921">
        <v>270</v>
      </c>
      <c r="Z352" s="897">
        <v>69</v>
      </c>
      <c r="AA352" s="166" t="s">
        <v>170</v>
      </c>
      <c r="AB352" s="124">
        <v>10</v>
      </c>
      <c r="AC352" s="125"/>
      <c r="AD352" s="125"/>
      <c r="AE352" s="125"/>
      <c r="AF352" s="156"/>
      <c r="AG352" s="166" t="s">
        <v>2429</v>
      </c>
      <c r="AH352" s="164">
        <v>2.0408804347826086</v>
      </c>
      <c r="AI352" s="164">
        <v>3.9181034347826085</v>
      </c>
      <c r="AJ352" s="164">
        <v>1.88</v>
      </c>
      <c r="AK352" s="166" t="s">
        <v>248</v>
      </c>
      <c r="AL352" s="164">
        <v>1.88</v>
      </c>
      <c r="AM352" s="164">
        <v>0</v>
      </c>
      <c r="AN352" s="129">
        <v>1.88</v>
      </c>
      <c r="AO352" s="164">
        <v>-2.0381034347826086</v>
      </c>
      <c r="AP352" s="948">
        <v>-2.0381034347826086</v>
      </c>
      <c r="AQ352" s="948" t="s">
        <v>2217</v>
      </c>
      <c r="AR352" s="173" t="s">
        <v>2217</v>
      </c>
      <c r="AS352" s="951">
        <v>37.315270807453416</v>
      </c>
      <c r="AT352" s="175" t="s">
        <v>50</v>
      </c>
      <c r="AU352" s="176">
        <v>1988</v>
      </c>
      <c r="AV352" s="177" t="s">
        <v>2143</v>
      </c>
      <c r="AW352" s="178">
        <v>56.5843719695498</v>
      </c>
      <c r="AX352" s="178">
        <v>35.7619123136638</v>
      </c>
    </row>
    <row r="353" spans="1:50" ht="15" customHeight="1" x14ac:dyDescent="0.25">
      <c r="A353" s="921"/>
      <c r="B353" s="921"/>
      <c r="C353" s="130" t="s">
        <v>1142</v>
      </c>
      <c r="D353" s="124">
        <v>10</v>
      </c>
      <c r="E353" s="125"/>
      <c r="F353" s="125"/>
      <c r="G353" s="125"/>
      <c r="H353" s="507"/>
      <c r="I353" s="125" t="s">
        <v>2429</v>
      </c>
      <c r="J353" s="126">
        <v>1.5743</v>
      </c>
      <c r="K353" s="131">
        <v>1.57</v>
      </c>
      <c r="L353" s="132">
        <v>120</v>
      </c>
      <c r="M353" s="164">
        <v>1.57</v>
      </c>
      <c r="N353" s="514">
        <v>0</v>
      </c>
      <c r="O353" s="129"/>
      <c r="P353" s="129">
        <v>1.57</v>
      </c>
      <c r="Q353" s="164">
        <v>0</v>
      </c>
      <c r="R353" s="949"/>
      <c r="S353" s="949"/>
      <c r="T353" s="173" t="s">
        <v>20211</v>
      </c>
      <c r="U353" s="893"/>
      <c r="V353" s="893"/>
      <c r="W353" s="895"/>
      <c r="X353" s="43"/>
      <c r="Y353" s="921"/>
      <c r="Z353" s="897"/>
      <c r="AA353" s="130" t="s">
        <v>1142</v>
      </c>
      <c r="AB353" s="124">
        <v>10</v>
      </c>
      <c r="AC353" s="125"/>
      <c r="AD353" s="125"/>
      <c r="AE353" s="125"/>
      <c r="AF353" s="156"/>
      <c r="AG353" s="166" t="s">
        <v>2429</v>
      </c>
      <c r="AH353" s="164">
        <v>1.7171739130434782</v>
      </c>
      <c r="AI353" s="164">
        <v>3.291473913043478</v>
      </c>
      <c r="AJ353" s="164">
        <v>1.57</v>
      </c>
      <c r="AK353" s="166">
        <v>120</v>
      </c>
      <c r="AL353" s="164">
        <v>1.57</v>
      </c>
      <c r="AM353" s="164">
        <v>0</v>
      </c>
      <c r="AN353" s="129">
        <v>1.57</v>
      </c>
      <c r="AO353" s="164">
        <v>0</v>
      </c>
      <c r="AP353" s="949"/>
      <c r="AQ353" s="949"/>
      <c r="AR353" s="173" t="s">
        <v>20211</v>
      </c>
      <c r="AS353" s="952"/>
      <c r="AT353" s="175" t="s">
        <v>50</v>
      </c>
      <c r="AU353" s="176">
        <v>1988</v>
      </c>
      <c r="AV353" s="177" t="s">
        <v>2143</v>
      </c>
      <c r="AW353" s="178">
        <v>56.5843719695498</v>
      </c>
      <c r="AX353" s="178">
        <v>35.7619123136638</v>
      </c>
    </row>
    <row r="354" spans="1:50" ht="15" customHeight="1" x14ac:dyDescent="0.25">
      <c r="A354" s="921"/>
      <c r="B354" s="921"/>
      <c r="C354" s="130" t="s">
        <v>1141</v>
      </c>
      <c r="D354" s="124">
        <v>10</v>
      </c>
      <c r="E354" s="125"/>
      <c r="F354" s="125"/>
      <c r="G354" s="125"/>
      <c r="H354" s="507"/>
      <c r="I354" s="125" t="s">
        <v>2429</v>
      </c>
      <c r="J354" s="126">
        <v>0.30292300000000005</v>
      </c>
      <c r="K354" s="133">
        <v>0.3</v>
      </c>
      <c r="L354" s="132" t="s">
        <v>248</v>
      </c>
      <c r="M354" s="164">
        <v>0.3</v>
      </c>
      <c r="N354" s="514">
        <v>0</v>
      </c>
      <c r="O354" s="129"/>
      <c r="P354" s="129">
        <v>0.3</v>
      </c>
      <c r="Q354" s="164">
        <v>-2.9230000000000644E-3</v>
      </c>
      <c r="R354" s="950"/>
      <c r="S354" s="950"/>
      <c r="T354" s="173" t="s">
        <v>20211</v>
      </c>
      <c r="U354" s="893"/>
      <c r="V354" s="893"/>
      <c r="W354" s="896"/>
      <c r="X354" s="43"/>
      <c r="Y354" s="921"/>
      <c r="Z354" s="897"/>
      <c r="AA354" s="130" t="s">
        <v>1141</v>
      </c>
      <c r="AB354" s="124">
        <v>10</v>
      </c>
      <c r="AC354" s="125"/>
      <c r="AD354" s="125"/>
      <c r="AE354" s="125"/>
      <c r="AF354" s="156"/>
      <c r="AG354" s="166" t="s">
        <v>2429</v>
      </c>
      <c r="AH354" s="164">
        <v>0.32370652173913045</v>
      </c>
      <c r="AI354" s="164">
        <v>0.62662952173913045</v>
      </c>
      <c r="AJ354" s="164">
        <v>0.3</v>
      </c>
      <c r="AK354" s="166" t="s">
        <v>248</v>
      </c>
      <c r="AL354" s="164">
        <v>0.3</v>
      </c>
      <c r="AM354" s="164">
        <v>0</v>
      </c>
      <c r="AN354" s="129">
        <v>0.3</v>
      </c>
      <c r="AO354" s="164">
        <v>-0.32662952173913046</v>
      </c>
      <c r="AP354" s="950"/>
      <c r="AQ354" s="950"/>
      <c r="AR354" s="173" t="s">
        <v>20211</v>
      </c>
      <c r="AS354" s="953"/>
      <c r="AT354" s="175" t="s">
        <v>50</v>
      </c>
      <c r="AU354" s="176">
        <v>1988</v>
      </c>
      <c r="AV354" s="177" t="s">
        <v>2143</v>
      </c>
      <c r="AW354" s="178">
        <v>56.5843719695498</v>
      </c>
      <c r="AX354" s="178">
        <v>35.7619123136638</v>
      </c>
    </row>
    <row r="355" spans="1:50" ht="15" customHeight="1" x14ac:dyDescent="0.25">
      <c r="A355" s="875">
        <v>271</v>
      </c>
      <c r="B355" s="875">
        <v>70</v>
      </c>
      <c r="C355" s="143" t="s">
        <v>171</v>
      </c>
      <c r="D355" s="9">
        <v>40</v>
      </c>
      <c r="E355" s="503" t="s">
        <v>522</v>
      </c>
      <c r="F355" s="503">
        <v>40</v>
      </c>
      <c r="G355" s="503"/>
      <c r="H355" s="501"/>
      <c r="I355" s="151" t="s">
        <v>20241</v>
      </c>
      <c r="J355" s="31">
        <v>18.495775999999999</v>
      </c>
      <c r="K355" s="33">
        <v>0</v>
      </c>
      <c r="L355" s="3">
        <v>0</v>
      </c>
      <c r="M355" s="144">
        <v>18.495775999999999</v>
      </c>
      <c r="N355" s="504">
        <v>0</v>
      </c>
      <c r="O355" s="29"/>
      <c r="P355" s="29">
        <v>42</v>
      </c>
      <c r="Q355" s="144">
        <v>23.504224000000001</v>
      </c>
      <c r="R355" s="877">
        <v>11.389850000000001</v>
      </c>
      <c r="S355" s="878" t="s">
        <v>20211</v>
      </c>
      <c r="T355" s="146" t="s">
        <v>20211</v>
      </c>
      <c r="U355" s="878">
        <v>44.037561904761901</v>
      </c>
      <c r="V355" s="878">
        <v>0.4</v>
      </c>
      <c r="W355" s="880" t="s">
        <v>2024</v>
      </c>
      <c r="X355" s="43"/>
      <c r="Y355" s="875">
        <v>271</v>
      </c>
      <c r="Z355" s="874">
        <v>70</v>
      </c>
      <c r="AA355" s="143" t="s">
        <v>171</v>
      </c>
      <c r="AB355" s="9">
        <v>40</v>
      </c>
      <c r="AC355" s="151" t="s">
        <v>522</v>
      </c>
      <c r="AD355" s="151">
        <v>40</v>
      </c>
      <c r="AE355" s="151"/>
      <c r="AF355" s="152"/>
      <c r="AG355" s="143" t="s">
        <v>20241</v>
      </c>
      <c r="AH355" s="144">
        <v>5.8695652173913047</v>
      </c>
      <c r="AI355" s="144">
        <v>24.365341217391304</v>
      </c>
      <c r="AJ355" s="144">
        <v>0</v>
      </c>
      <c r="AK355" s="143">
        <v>0</v>
      </c>
      <c r="AL355" s="144">
        <v>24.365341217391304</v>
      </c>
      <c r="AM355" s="144">
        <v>0</v>
      </c>
      <c r="AN355" s="29">
        <v>42</v>
      </c>
      <c r="AO355" s="144">
        <v>17.634658782608696</v>
      </c>
      <c r="AP355" s="902">
        <v>8.4550673913043486</v>
      </c>
      <c r="AQ355" s="902" t="s">
        <v>20211</v>
      </c>
      <c r="AR355" s="146" t="s">
        <v>20211</v>
      </c>
      <c r="AS355" s="945">
        <v>58.012717184265014</v>
      </c>
      <c r="AT355" s="58" t="s">
        <v>50</v>
      </c>
      <c r="AU355" s="118">
        <v>1976</v>
      </c>
      <c r="AV355" s="149" t="s">
        <v>2143</v>
      </c>
      <c r="AW355" s="120">
        <v>56.838444047844298</v>
      </c>
      <c r="AX355" s="120">
        <v>35.791613740737702</v>
      </c>
    </row>
    <row r="356" spans="1:50" ht="15" customHeight="1" x14ac:dyDescent="0.25">
      <c r="A356" s="875"/>
      <c r="B356" s="875"/>
      <c r="C356" s="1" t="s">
        <v>1142</v>
      </c>
      <c r="D356" s="9">
        <v>20</v>
      </c>
      <c r="E356" s="503" t="s">
        <v>522</v>
      </c>
      <c r="F356" s="503">
        <v>20</v>
      </c>
      <c r="G356" s="503"/>
      <c r="H356" s="501"/>
      <c r="I356" s="151" t="s">
        <v>20261</v>
      </c>
      <c r="J356" s="31">
        <v>9.6101499999999991</v>
      </c>
      <c r="K356" s="34">
        <v>0</v>
      </c>
      <c r="L356" s="4">
        <v>0</v>
      </c>
      <c r="M356" s="144">
        <v>9.6101499999999991</v>
      </c>
      <c r="N356" s="504">
        <v>0</v>
      </c>
      <c r="O356" s="29"/>
      <c r="P356" s="29">
        <v>21</v>
      </c>
      <c r="Q356" s="144">
        <v>11.389850000000001</v>
      </c>
      <c r="R356" s="877"/>
      <c r="S356" s="879" t="s">
        <v>20211</v>
      </c>
      <c r="T356" s="146" t="s">
        <v>20211</v>
      </c>
      <c r="U356" s="879"/>
      <c r="V356" s="879"/>
      <c r="W356" s="881"/>
      <c r="X356" s="43"/>
      <c r="Y356" s="875"/>
      <c r="Z356" s="874"/>
      <c r="AA356" s="1" t="s">
        <v>1142</v>
      </c>
      <c r="AB356" s="9">
        <v>20</v>
      </c>
      <c r="AC356" s="151" t="s">
        <v>522</v>
      </c>
      <c r="AD356" s="151">
        <v>20</v>
      </c>
      <c r="AE356" s="151"/>
      <c r="AF356" s="152"/>
      <c r="AG356" s="143" t="s">
        <v>20261</v>
      </c>
      <c r="AH356" s="144">
        <v>2.9347826086956523</v>
      </c>
      <c r="AI356" s="144">
        <v>12.544932608695651</v>
      </c>
      <c r="AJ356" s="144">
        <v>0</v>
      </c>
      <c r="AK356" s="143">
        <v>0</v>
      </c>
      <c r="AL356" s="144">
        <v>12.544932608695651</v>
      </c>
      <c r="AM356" s="144">
        <v>0</v>
      </c>
      <c r="AN356" s="29">
        <v>21</v>
      </c>
      <c r="AO356" s="144">
        <v>8.4550673913043486</v>
      </c>
      <c r="AP356" s="903"/>
      <c r="AQ356" s="903" t="s">
        <v>20211</v>
      </c>
      <c r="AR356" s="146" t="s">
        <v>20211</v>
      </c>
      <c r="AS356" s="946"/>
      <c r="AT356" s="58" t="s">
        <v>50</v>
      </c>
      <c r="AU356" s="118">
        <v>1976</v>
      </c>
      <c r="AV356" s="149" t="s">
        <v>2143</v>
      </c>
      <c r="AW356" s="120">
        <v>56.838444047844298</v>
      </c>
      <c r="AX356" s="120">
        <v>35.791613740737702</v>
      </c>
    </row>
    <row r="357" spans="1:50" ht="15" customHeight="1" x14ac:dyDescent="0.25">
      <c r="A357" s="875"/>
      <c r="B357" s="875"/>
      <c r="C357" s="1" t="s">
        <v>1141</v>
      </c>
      <c r="D357" s="9">
        <v>20</v>
      </c>
      <c r="E357" s="503" t="s">
        <v>522</v>
      </c>
      <c r="F357" s="503">
        <v>20</v>
      </c>
      <c r="G357" s="503"/>
      <c r="H357" s="501"/>
      <c r="I357" s="151" t="s">
        <v>20261</v>
      </c>
      <c r="J357" s="31">
        <v>8.8856260000000002</v>
      </c>
      <c r="K357" s="34">
        <v>0</v>
      </c>
      <c r="L357" s="4">
        <v>0</v>
      </c>
      <c r="M357" s="144">
        <v>8.8856260000000002</v>
      </c>
      <c r="N357" s="504">
        <v>0</v>
      </c>
      <c r="O357" s="29"/>
      <c r="P357" s="29">
        <v>21</v>
      </c>
      <c r="Q357" s="144">
        <v>12.114374</v>
      </c>
      <c r="R357" s="877"/>
      <c r="S357" s="879" t="s">
        <v>20211</v>
      </c>
      <c r="T357" s="146" t="s">
        <v>20211</v>
      </c>
      <c r="U357" s="879"/>
      <c r="V357" s="879"/>
      <c r="W357" s="882"/>
      <c r="X357" s="43"/>
      <c r="Y357" s="875"/>
      <c r="Z357" s="874"/>
      <c r="AA357" s="1" t="s">
        <v>1141</v>
      </c>
      <c r="AB357" s="9">
        <v>20</v>
      </c>
      <c r="AC357" s="151" t="s">
        <v>522</v>
      </c>
      <c r="AD357" s="151">
        <v>20</v>
      </c>
      <c r="AE357" s="151"/>
      <c r="AF357" s="152"/>
      <c r="AG357" s="143" t="s">
        <v>20261</v>
      </c>
      <c r="AH357" s="144">
        <v>2.9347826086956523</v>
      </c>
      <c r="AI357" s="144">
        <v>11.820408608695653</v>
      </c>
      <c r="AJ357" s="144">
        <v>0</v>
      </c>
      <c r="AK357" s="143">
        <v>0</v>
      </c>
      <c r="AL357" s="144">
        <v>11.820408608695653</v>
      </c>
      <c r="AM357" s="144">
        <v>0</v>
      </c>
      <c r="AN357" s="29">
        <v>21</v>
      </c>
      <c r="AO357" s="144">
        <v>9.1795913913043474</v>
      </c>
      <c r="AP357" s="904"/>
      <c r="AQ357" s="904" t="s">
        <v>20211</v>
      </c>
      <c r="AR357" s="146" t="s">
        <v>20211</v>
      </c>
      <c r="AS357" s="947"/>
      <c r="AT357" s="58" t="s">
        <v>50</v>
      </c>
      <c r="AU357" s="118">
        <v>1976</v>
      </c>
      <c r="AV357" s="149" t="s">
        <v>2143</v>
      </c>
      <c r="AW357" s="120">
        <v>56.838444047844298</v>
      </c>
      <c r="AX357" s="120">
        <v>35.791613740737702</v>
      </c>
    </row>
    <row r="358" spans="1:50" ht="15" customHeight="1" x14ac:dyDescent="0.25">
      <c r="A358" s="875">
        <v>272</v>
      </c>
      <c r="B358" s="875">
        <v>71</v>
      </c>
      <c r="C358" s="143" t="s">
        <v>172</v>
      </c>
      <c r="D358" s="9">
        <v>40</v>
      </c>
      <c r="E358" s="503" t="s">
        <v>522</v>
      </c>
      <c r="F358" s="503">
        <v>40</v>
      </c>
      <c r="G358" s="503" t="s">
        <v>522</v>
      </c>
      <c r="H358" s="501">
        <v>40</v>
      </c>
      <c r="I358" s="151" t="s">
        <v>20262</v>
      </c>
      <c r="J358" s="31">
        <v>49.88109</v>
      </c>
      <c r="K358" s="33">
        <v>6.15</v>
      </c>
      <c r="L358" s="3">
        <v>120</v>
      </c>
      <c r="M358" s="144">
        <v>43.731090000000002</v>
      </c>
      <c r="N358" s="504">
        <v>0</v>
      </c>
      <c r="O358" s="29"/>
      <c r="P358" s="29">
        <v>84</v>
      </c>
      <c r="Q358" s="144">
        <v>40.268909999999998</v>
      </c>
      <c r="R358" s="902">
        <v>40.268909999999998</v>
      </c>
      <c r="S358" s="878" t="s">
        <v>20211</v>
      </c>
      <c r="T358" s="146" t="s">
        <v>20211</v>
      </c>
      <c r="U358" s="878">
        <v>59.382250000000006</v>
      </c>
      <c r="V358" s="878">
        <v>0.25</v>
      </c>
      <c r="W358" s="880" t="s">
        <v>13375</v>
      </c>
      <c r="X358" s="43"/>
      <c r="Y358" s="875">
        <v>272</v>
      </c>
      <c r="Z358" s="874">
        <v>71</v>
      </c>
      <c r="AA358" s="143" t="s">
        <v>172</v>
      </c>
      <c r="AB358" s="9">
        <v>40</v>
      </c>
      <c r="AC358" s="151" t="s">
        <v>522</v>
      </c>
      <c r="AD358" s="151">
        <v>40</v>
      </c>
      <c r="AE358" s="151" t="s">
        <v>522</v>
      </c>
      <c r="AF358" s="152">
        <v>40</v>
      </c>
      <c r="AG358" s="143" t="s">
        <v>20262</v>
      </c>
      <c r="AH358" s="144">
        <v>16.067722826086957</v>
      </c>
      <c r="AI358" s="144">
        <v>65.948812826086964</v>
      </c>
      <c r="AJ358" s="144">
        <v>6.15</v>
      </c>
      <c r="AK358" s="143">
        <v>120</v>
      </c>
      <c r="AL358" s="144">
        <v>59.798812826086966</v>
      </c>
      <c r="AM358" s="144">
        <v>0</v>
      </c>
      <c r="AN358" s="29">
        <v>84</v>
      </c>
      <c r="AO358" s="144">
        <v>24.201187173913034</v>
      </c>
      <c r="AP358" s="902">
        <v>24.201187173913034</v>
      </c>
      <c r="AQ358" s="902" t="s">
        <v>20211</v>
      </c>
      <c r="AR358" s="146" t="s">
        <v>20211</v>
      </c>
      <c r="AS358" s="945">
        <v>78.510491459627332</v>
      </c>
      <c r="AT358" s="58" t="s">
        <v>50</v>
      </c>
      <c r="AU358" s="118">
        <v>1973</v>
      </c>
      <c r="AV358" s="149">
        <v>2014</v>
      </c>
      <c r="AW358" s="120">
        <v>56.812352864856102</v>
      </c>
      <c r="AX358" s="120">
        <v>35.875389292921398</v>
      </c>
    </row>
    <row r="359" spans="1:50" ht="15" customHeight="1" x14ac:dyDescent="0.25">
      <c r="A359" s="875"/>
      <c r="B359" s="875"/>
      <c r="C359" s="1" t="s">
        <v>1142</v>
      </c>
      <c r="D359" s="9">
        <v>40</v>
      </c>
      <c r="E359" s="503" t="s">
        <v>522</v>
      </c>
      <c r="F359" s="503">
        <v>40</v>
      </c>
      <c r="G359" s="503" t="s">
        <v>522</v>
      </c>
      <c r="H359" s="501">
        <v>40</v>
      </c>
      <c r="I359" s="151" t="s">
        <v>20262</v>
      </c>
      <c r="J359" s="31">
        <v>28.80969</v>
      </c>
      <c r="K359" s="34">
        <v>6.15</v>
      </c>
      <c r="L359" s="4">
        <v>120</v>
      </c>
      <c r="M359" s="144">
        <v>22.659689999999998</v>
      </c>
      <c r="N359" s="504">
        <v>0</v>
      </c>
      <c r="O359" s="29"/>
      <c r="P359" s="29">
        <v>84</v>
      </c>
      <c r="Q359" s="144">
        <v>61.340310000000002</v>
      </c>
      <c r="R359" s="903"/>
      <c r="S359" s="878"/>
      <c r="T359" s="146" t="s">
        <v>20211</v>
      </c>
      <c r="U359" s="878"/>
      <c r="V359" s="878"/>
      <c r="W359" s="881"/>
      <c r="X359" s="43"/>
      <c r="Y359" s="875"/>
      <c r="Z359" s="874"/>
      <c r="AA359" s="1" t="s">
        <v>1142</v>
      </c>
      <c r="AB359" s="9">
        <v>40</v>
      </c>
      <c r="AC359" s="151" t="s">
        <v>522</v>
      </c>
      <c r="AD359" s="151">
        <v>40</v>
      </c>
      <c r="AE359" s="151" t="s">
        <v>522</v>
      </c>
      <c r="AF359" s="152">
        <v>40</v>
      </c>
      <c r="AG359" s="143" t="s">
        <v>20262</v>
      </c>
      <c r="AH359" s="144">
        <v>4.5326413043478251</v>
      </c>
      <c r="AI359" s="144">
        <v>33.342331304347823</v>
      </c>
      <c r="AJ359" s="144">
        <v>6.15</v>
      </c>
      <c r="AK359" s="143">
        <v>120</v>
      </c>
      <c r="AL359" s="144">
        <v>27.192331304347825</v>
      </c>
      <c r="AM359" s="144">
        <v>0</v>
      </c>
      <c r="AN359" s="29">
        <v>84</v>
      </c>
      <c r="AO359" s="144">
        <v>56.807668695652175</v>
      </c>
      <c r="AP359" s="903"/>
      <c r="AQ359" s="903"/>
      <c r="AR359" s="146" t="s">
        <v>20211</v>
      </c>
      <c r="AS359" s="946"/>
      <c r="AT359" s="58" t="s">
        <v>50</v>
      </c>
      <c r="AU359" s="118">
        <v>1973</v>
      </c>
      <c r="AV359" s="149">
        <v>2014</v>
      </c>
      <c r="AW359" s="120">
        <v>56.812352864856102</v>
      </c>
      <c r="AX359" s="120">
        <v>35.875389292921398</v>
      </c>
    </row>
    <row r="360" spans="1:50" ht="15" customHeight="1" x14ac:dyDescent="0.25">
      <c r="A360" s="875"/>
      <c r="B360" s="875"/>
      <c r="C360" s="1" t="s">
        <v>1141</v>
      </c>
      <c r="D360" s="9">
        <v>40</v>
      </c>
      <c r="E360" s="503" t="s">
        <v>522</v>
      </c>
      <c r="F360" s="503">
        <v>40</v>
      </c>
      <c r="G360" s="503" t="s">
        <v>522</v>
      </c>
      <c r="H360" s="501">
        <v>40</v>
      </c>
      <c r="I360" s="151" t="s">
        <v>20262</v>
      </c>
      <c r="J360" s="31">
        <v>21.071400000000001</v>
      </c>
      <c r="K360" s="34">
        <v>0</v>
      </c>
      <c r="L360" s="4">
        <v>0</v>
      </c>
      <c r="M360" s="144">
        <v>21.071400000000001</v>
      </c>
      <c r="N360" s="504">
        <v>0</v>
      </c>
      <c r="O360" s="29"/>
      <c r="P360" s="29">
        <v>84</v>
      </c>
      <c r="Q360" s="144">
        <v>62.928600000000003</v>
      </c>
      <c r="R360" s="904"/>
      <c r="S360" s="878"/>
      <c r="T360" s="146" t="s">
        <v>20211</v>
      </c>
      <c r="U360" s="878"/>
      <c r="V360" s="878"/>
      <c r="W360" s="882"/>
      <c r="X360" s="43"/>
      <c r="Y360" s="875"/>
      <c r="Z360" s="874"/>
      <c r="AA360" s="1" t="s">
        <v>1141</v>
      </c>
      <c r="AB360" s="9">
        <v>40</v>
      </c>
      <c r="AC360" s="151" t="s">
        <v>522</v>
      </c>
      <c r="AD360" s="151">
        <v>40</v>
      </c>
      <c r="AE360" s="151" t="s">
        <v>522</v>
      </c>
      <c r="AF360" s="152">
        <v>40</v>
      </c>
      <c r="AG360" s="143" t="s">
        <v>20262</v>
      </c>
      <c r="AH360" s="144">
        <v>11.53508152173913</v>
      </c>
      <c r="AI360" s="144">
        <v>32.606481521739127</v>
      </c>
      <c r="AJ360" s="144">
        <v>0</v>
      </c>
      <c r="AK360" s="143">
        <v>0</v>
      </c>
      <c r="AL360" s="144">
        <v>32.606481521739127</v>
      </c>
      <c r="AM360" s="144">
        <v>0</v>
      </c>
      <c r="AN360" s="29">
        <v>84</v>
      </c>
      <c r="AO360" s="144">
        <v>51.393518478260873</v>
      </c>
      <c r="AP360" s="904"/>
      <c r="AQ360" s="904"/>
      <c r="AR360" s="146" t="s">
        <v>20211</v>
      </c>
      <c r="AS360" s="947"/>
      <c r="AT360" s="58" t="s">
        <v>50</v>
      </c>
      <c r="AU360" s="118">
        <v>1973</v>
      </c>
      <c r="AV360" s="149">
        <v>2014</v>
      </c>
      <c r="AW360" s="120">
        <v>56.812352864856102</v>
      </c>
      <c r="AX360" s="120">
        <v>35.875389292921398</v>
      </c>
    </row>
    <row r="361" spans="1:50" ht="15" customHeight="1" x14ac:dyDescent="0.25">
      <c r="A361" s="875">
        <v>273</v>
      </c>
      <c r="B361" s="875">
        <v>72</v>
      </c>
      <c r="C361" s="143" t="s">
        <v>173</v>
      </c>
      <c r="D361" s="9">
        <v>40</v>
      </c>
      <c r="E361" s="503" t="s">
        <v>522</v>
      </c>
      <c r="F361" s="503">
        <v>40</v>
      </c>
      <c r="G361" s="503"/>
      <c r="H361" s="501"/>
      <c r="I361" s="151" t="s">
        <v>20241</v>
      </c>
      <c r="J361" s="31">
        <v>30.085910999999999</v>
      </c>
      <c r="K361" s="33">
        <v>12.08</v>
      </c>
      <c r="L361" s="3">
        <v>120</v>
      </c>
      <c r="M361" s="144">
        <v>18.005910999999998</v>
      </c>
      <c r="N361" s="504">
        <v>0</v>
      </c>
      <c r="O361" s="29"/>
      <c r="P361" s="29">
        <v>42</v>
      </c>
      <c r="Q361" s="144">
        <v>23.994089000000002</v>
      </c>
      <c r="R361" s="877">
        <v>10.538814</v>
      </c>
      <c r="S361" s="878" t="s">
        <v>20211</v>
      </c>
      <c r="T361" s="146" t="s">
        <v>20211</v>
      </c>
      <c r="U361" s="878">
        <v>71.633121428571428</v>
      </c>
      <c r="V361" s="878">
        <v>0.3</v>
      </c>
      <c r="W361" s="880" t="s">
        <v>2024</v>
      </c>
      <c r="X361" s="43"/>
      <c r="Y361" s="875">
        <v>273</v>
      </c>
      <c r="Z361" s="874">
        <v>72</v>
      </c>
      <c r="AA361" s="143" t="s">
        <v>173</v>
      </c>
      <c r="AB361" s="9">
        <v>40</v>
      </c>
      <c r="AC361" s="151" t="s">
        <v>522</v>
      </c>
      <c r="AD361" s="151">
        <v>40</v>
      </c>
      <c r="AE361" s="151"/>
      <c r="AF361" s="152"/>
      <c r="AG361" s="143" t="s">
        <v>20241</v>
      </c>
      <c r="AH361" s="144">
        <v>2.460391304347826</v>
      </c>
      <c r="AI361" s="144">
        <v>32.546302304347826</v>
      </c>
      <c r="AJ361" s="144">
        <v>12.08</v>
      </c>
      <c r="AK361" s="143">
        <v>120</v>
      </c>
      <c r="AL361" s="144">
        <v>20.466302304347828</v>
      </c>
      <c r="AM361" s="144">
        <v>0</v>
      </c>
      <c r="AN361" s="29">
        <v>42</v>
      </c>
      <c r="AO361" s="144">
        <v>21.533697695652172</v>
      </c>
      <c r="AP361" s="902">
        <v>10.375770521739129</v>
      </c>
      <c r="AQ361" s="902" t="s">
        <v>20211</v>
      </c>
      <c r="AR361" s="146" t="s">
        <v>20211</v>
      </c>
      <c r="AS361" s="945">
        <v>77.491195962732917</v>
      </c>
      <c r="AT361" s="58" t="s">
        <v>50</v>
      </c>
      <c r="AU361" s="118">
        <v>1971</v>
      </c>
      <c r="AV361" s="149" t="s">
        <v>2143</v>
      </c>
      <c r="AW361" s="120">
        <v>56.8824720048164</v>
      </c>
      <c r="AX361" s="120">
        <v>35.868557292290099</v>
      </c>
    </row>
    <row r="362" spans="1:50" ht="15" customHeight="1" x14ac:dyDescent="0.25">
      <c r="A362" s="875"/>
      <c r="B362" s="875"/>
      <c r="C362" s="1" t="s">
        <v>1142</v>
      </c>
      <c r="D362" s="9">
        <v>40</v>
      </c>
      <c r="E362" s="503" t="s">
        <v>522</v>
      </c>
      <c r="F362" s="503">
        <v>40</v>
      </c>
      <c r="G362" s="503"/>
      <c r="H362" s="501"/>
      <c r="I362" s="151" t="s">
        <v>20241</v>
      </c>
      <c r="J362" s="31">
        <v>12.079725</v>
      </c>
      <c r="K362" s="34">
        <v>12.08</v>
      </c>
      <c r="L362" s="4">
        <v>120</v>
      </c>
      <c r="M362" s="144">
        <v>-2.7500000000024727E-4</v>
      </c>
      <c r="N362" s="504">
        <v>12.027750000000001</v>
      </c>
      <c r="O362" s="29" t="s">
        <v>2018</v>
      </c>
      <c r="P362" s="29">
        <v>42</v>
      </c>
      <c r="Q362" s="144">
        <v>29.972525000000001</v>
      </c>
      <c r="R362" s="877"/>
      <c r="S362" s="879" t="s">
        <v>20211</v>
      </c>
      <c r="T362" s="146" t="s">
        <v>20211</v>
      </c>
      <c r="U362" s="879"/>
      <c r="V362" s="879"/>
      <c r="W362" s="881"/>
      <c r="X362" s="43"/>
      <c r="Y362" s="875"/>
      <c r="Z362" s="874"/>
      <c r="AA362" s="1" t="s">
        <v>1142</v>
      </c>
      <c r="AB362" s="9">
        <v>40</v>
      </c>
      <c r="AC362" s="151" t="s">
        <v>522</v>
      </c>
      <c r="AD362" s="151">
        <v>40</v>
      </c>
      <c r="AE362" s="151"/>
      <c r="AF362" s="152"/>
      <c r="AG362" s="143" t="s">
        <v>20241</v>
      </c>
      <c r="AH362" s="144">
        <v>2.2973478260869564</v>
      </c>
      <c r="AI362" s="144">
        <v>14.377072826086955</v>
      </c>
      <c r="AJ362" s="144">
        <v>12.08</v>
      </c>
      <c r="AK362" s="143">
        <v>120</v>
      </c>
      <c r="AL362" s="144">
        <v>2.2970728260869553</v>
      </c>
      <c r="AM362" s="144">
        <v>12.027750000000001</v>
      </c>
      <c r="AN362" s="29">
        <v>42</v>
      </c>
      <c r="AO362" s="144">
        <v>27.675177173913045</v>
      </c>
      <c r="AP362" s="903"/>
      <c r="AQ362" s="903" t="s">
        <v>20211</v>
      </c>
      <c r="AR362" s="146" t="s">
        <v>20211</v>
      </c>
      <c r="AS362" s="946"/>
      <c r="AT362" s="58" t="s">
        <v>50</v>
      </c>
      <c r="AU362" s="118">
        <v>1971</v>
      </c>
      <c r="AV362" s="149" t="s">
        <v>2143</v>
      </c>
      <c r="AW362" s="120">
        <v>56.8824720048164</v>
      </c>
      <c r="AX362" s="120">
        <v>35.868557292290099</v>
      </c>
    </row>
    <row r="363" spans="1:50" ht="15" customHeight="1" x14ac:dyDescent="0.25">
      <c r="A363" s="875"/>
      <c r="B363" s="875"/>
      <c r="C363" s="1" t="s">
        <v>1141</v>
      </c>
      <c r="D363" s="9">
        <v>40</v>
      </c>
      <c r="E363" s="503" t="s">
        <v>522</v>
      </c>
      <c r="F363" s="503">
        <v>40</v>
      </c>
      <c r="G363" s="503"/>
      <c r="H363" s="501"/>
      <c r="I363" s="151" t="s">
        <v>20241</v>
      </c>
      <c r="J363" s="31">
        <v>18.006186</v>
      </c>
      <c r="K363" s="34">
        <v>0</v>
      </c>
      <c r="L363" s="4">
        <v>0</v>
      </c>
      <c r="M363" s="144">
        <v>18.006186</v>
      </c>
      <c r="N363" s="504">
        <v>13.455</v>
      </c>
      <c r="O363" s="29" t="s">
        <v>14977</v>
      </c>
      <c r="P363" s="29">
        <v>42</v>
      </c>
      <c r="Q363" s="144">
        <v>10.538814</v>
      </c>
      <c r="R363" s="877"/>
      <c r="S363" s="879" t="s">
        <v>20211</v>
      </c>
      <c r="T363" s="146" t="s">
        <v>20211</v>
      </c>
      <c r="U363" s="879"/>
      <c r="V363" s="879"/>
      <c r="W363" s="882"/>
      <c r="X363" s="43"/>
      <c r="Y363" s="875"/>
      <c r="Z363" s="874"/>
      <c r="AA363" s="1" t="s">
        <v>1141</v>
      </c>
      <c r="AB363" s="9">
        <v>40</v>
      </c>
      <c r="AC363" s="151" t="s">
        <v>522</v>
      </c>
      <c r="AD363" s="151">
        <v>40</v>
      </c>
      <c r="AE363" s="151"/>
      <c r="AF363" s="152"/>
      <c r="AG363" s="143" t="s">
        <v>20241</v>
      </c>
      <c r="AH363" s="144">
        <v>0.16304347826086954</v>
      </c>
      <c r="AI363" s="144">
        <v>18.169229478260871</v>
      </c>
      <c r="AJ363" s="144">
        <v>0</v>
      </c>
      <c r="AK363" s="143">
        <v>0</v>
      </c>
      <c r="AL363" s="144">
        <v>18.169229478260871</v>
      </c>
      <c r="AM363" s="144">
        <v>13.455</v>
      </c>
      <c r="AN363" s="29">
        <v>42</v>
      </c>
      <c r="AO363" s="144">
        <v>10.375770521739129</v>
      </c>
      <c r="AP363" s="904"/>
      <c r="AQ363" s="904" t="s">
        <v>20211</v>
      </c>
      <c r="AR363" s="146" t="s">
        <v>20211</v>
      </c>
      <c r="AS363" s="947"/>
      <c r="AT363" s="58" t="s">
        <v>50</v>
      </c>
      <c r="AU363" s="118">
        <v>1971</v>
      </c>
      <c r="AV363" s="149" t="s">
        <v>2143</v>
      </c>
      <c r="AW363" s="120">
        <v>56.8824720048164</v>
      </c>
      <c r="AX363" s="120">
        <v>35.868557292290099</v>
      </c>
    </row>
    <row r="364" spans="1:50" ht="15" customHeight="1" x14ac:dyDescent="0.25">
      <c r="A364" s="875">
        <v>274</v>
      </c>
      <c r="B364" s="875">
        <v>73</v>
      </c>
      <c r="C364" s="143" t="s">
        <v>174</v>
      </c>
      <c r="D364" s="9">
        <v>40</v>
      </c>
      <c r="E364" s="503" t="s">
        <v>522</v>
      </c>
      <c r="F364" s="503">
        <v>40</v>
      </c>
      <c r="G364" s="503"/>
      <c r="H364" s="501"/>
      <c r="I364" s="151" t="s">
        <v>20241</v>
      </c>
      <c r="J364" s="31">
        <v>31.940297999999999</v>
      </c>
      <c r="K364" s="33">
        <v>4.62</v>
      </c>
      <c r="L364" s="3">
        <v>120</v>
      </c>
      <c r="M364" s="144">
        <v>27.320297999999998</v>
      </c>
      <c r="N364" s="504">
        <v>0</v>
      </c>
      <c r="O364" s="29"/>
      <c r="P364" s="29">
        <v>42</v>
      </c>
      <c r="Q364" s="144">
        <v>14.679702000000002</v>
      </c>
      <c r="R364" s="877">
        <v>11.820244500000005</v>
      </c>
      <c r="S364" s="880" t="s">
        <v>20211</v>
      </c>
      <c r="T364" s="146" t="s">
        <v>20211</v>
      </c>
      <c r="U364" s="878">
        <v>76.04832857142857</v>
      </c>
      <c r="V364" s="878">
        <v>0.4</v>
      </c>
      <c r="W364" s="880" t="s">
        <v>13375</v>
      </c>
      <c r="X364" s="43"/>
      <c r="Y364" s="921">
        <v>274</v>
      </c>
      <c r="Z364" s="897">
        <v>73</v>
      </c>
      <c r="AA364" s="166" t="s">
        <v>174</v>
      </c>
      <c r="AB364" s="124">
        <v>40</v>
      </c>
      <c r="AC364" s="125" t="s">
        <v>522</v>
      </c>
      <c r="AD364" s="125">
        <v>40</v>
      </c>
      <c r="AE364" s="125"/>
      <c r="AF364" s="156"/>
      <c r="AG364" s="166" t="s">
        <v>20241</v>
      </c>
      <c r="AH364" s="164">
        <v>12.077426086956521</v>
      </c>
      <c r="AI364" s="164">
        <v>44.01772408695652</v>
      </c>
      <c r="AJ364" s="164">
        <v>4.62</v>
      </c>
      <c r="AK364" s="166">
        <v>120</v>
      </c>
      <c r="AL364" s="164">
        <v>39.397724086956522</v>
      </c>
      <c r="AM364" s="164">
        <v>0</v>
      </c>
      <c r="AN364" s="129">
        <v>42</v>
      </c>
      <c r="AO364" s="164">
        <v>2.6022759130434778</v>
      </c>
      <c r="AP364" s="948">
        <v>2.4416445000000024</v>
      </c>
      <c r="AQ364" s="948" t="s">
        <v>20211</v>
      </c>
      <c r="AR364" s="173" t="s">
        <v>20211</v>
      </c>
      <c r="AS364" s="951">
        <v>104.8041049689441</v>
      </c>
      <c r="AT364" s="175" t="s">
        <v>50</v>
      </c>
      <c r="AU364" s="176">
        <v>1971</v>
      </c>
      <c r="AV364" s="177" t="s">
        <v>2143</v>
      </c>
      <c r="AW364" s="178">
        <v>56.817318062913998</v>
      </c>
      <c r="AX364" s="178">
        <v>36.000321125689503</v>
      </c>
    </row>
    <row r="365" spans="1:50" ht="15" customHeight="1" x14ac:dyDescent="0.25">
      <c r="A365" s="875"/>
      <c r="B365" s="875"/>
      <c r="C365" s="1" t="s">
        <v>1142</v>
      </c>
      <c r="D365" s="9">
        <v>40</v>
      </c>
      <c r="E365" s="503" t="s">
        <v>522</v>
      </c>
      <c r="F365" s="503">
        <v>40</v>
      </c>
      <c r="G365" s="503"/>
      <c r="H365" s="501"/>
      <c r="I365" s="151" t="s">
        <v>20241</v>
      </c>
      <c r="J365" s="31">
        <v>18.779755499999997</v>
      </c>
      <c r="K365" s="34">
        <v>4.62</v>
      </c>
      <c r="L365" s="4">
        <v>120</v>
      </c>
      <c r="M365" s="144">
        <v>14.159755499999996</v>
      </c>
      <c r="N365" s="504">
        <v>16.02</v>
      </c>
      <c r="O365" s="29" t="s">
        <v>2019</v>
      </c>
      <c r="P365" s="29">
        <v>42</v>
      </c>
      <c r="Q365" s="144">
        <v>11.820244500000005</v>
      </c>
      <c r="R365" s="877"/>
      <c r="S365" s="881"/>
      <c r="T365" s="146" t="s">
        <v>20211</v>
      </c>
      <c r="U365" s="879"/>
      <c r="V365" s="879"/>
      <c r="W365" s="881"/>
      <c r="X365" s="43"/>
      <c r="Y365" s="921"/>
      <c r="Z365" s="897"/>
      <c r="AA365" s="130" t="s">
        <v>1142</v>
      </c>
      <c r="AB365" s="124">
        <v>40</v>
      </c>
      <c r="AC365" s="125" t="s">
        <v>522</v>
      </c>
      <c r="AD365" s="125">
        <v>40</v>
      </c>
      <c r="AE365" s="125"/>
      <c r="AF365" s="156"/>
      <c r="AG365" s="166" t="s">
        <v>20241</v>
      </c>
      <c r="AH365" s="164">
        <v>9.3786000000000005</v>
      </c>
      <c r="AI365" s="164">
        <v>28.158355499999999</v>
      </c>
      <c r="AJ365" s="164">
        <v>4.62</v>
      </c>
      <c r="AK365" s="166">
        <v>120</v>
      </c>
      <c r="AL365" s="164">
        <v>23.538355499999998</v>
      </c>
      <c r="AM365" s="164">
        <v>16.02</v>
      </c>
      <c r="AN365" s="129">
        <v>42</v>
      </c>
      <c r="AO365" s="164">
        <v>2.4416445000000024</v>
      </c>
      <c r="AP365" s="949"/>
      <c r="AQ365" s="949"/>
      <c r="AR365" s="173" t="s">
        <v>20211</v>
      </c>
      <c r="AS365" s="952"/>
      <c r="AT365" s="175" t="s">
        <v>50</v>
      </c>
      <c r="AU365" s="176">
        <v>1971</v>
      </c>
      <c r="AV365" s="177" t="s">
        <v>2143</v>
      </c>
      <c r="AW365" s="178">
        <v>56.817318062913998</v>
      </c>
      <c r="AX365" s="178">
        <v>36.000321125689503</v>
      </c>
    </row>
    <row r="366" spans="1:50" ht="15" customHeight="1" x14ac:dyDescent="0.25">
      <c r="A366" s="875"/>
      <c r="B366" s="875"/>
      <c r="C366" s="1" t="s">
        <v>1141</v>
      </c>
      <c r="D366" s="9">
        <v>40</v>
      </c>
      <c r="E366" s="503" t="s">
        <v>522</v>
      </c>
      <c r="F366" s="503">
        <v>40</v>
      </c>
      <c r="G366" s="503"/>
      <c r="H366" s="501"/>
      <c r="I366" s="151" t="s">
        <v>20241</v>
      </c>
      <c r="J366" s="31">
        <v>13.1605425</v>
      </c>
      <c r="K366" s="34">
        <v>0</v>
      </c>
      <c r="L366" s="4">
        <v>0</v>
      </c>
      <c r="M366" s="144">
        <v>13.1605425</v>
      </c>
      <c r="N366" s="504">
        <v>5.67</v>
      </c>
      <c r="O366" s="29" t="s">
        <v>17455</v>
      </c>
      <c r="P366" s="29">
        <v>42</v>
      </c>
      <c r="Q366" s="144">
        <v>23.1694575</v>
      </c>
      <c r="R366" s="877"/>
      <c r="S366" s="882"/>
      <c r="T366" s="146" t="s">
        <v>20211</v>
      </c>
      <c r="U366" s="879"/>
      <c r="V366" s="879"/>
      <c r="W366" s="882"/>
      <c r="X366" s="43"/>
      <c r="Y366" s="921"/>
      <c r="Z366" s="897"/>
      <c r="AA366" s="130" t="s">
        <v>1141</v>
      </c>
      <c r="AB366" s="124">
        <v>40</v>
      </c>
      <c r="AC366" s="125" t="s">
        <v>522</v>
      </c>
      <c r="AD366" s="125">
        <v>40</v>
      </c>
      <c r="AE366" s="125"/>
      <c r="AF366" s="156"/>
      <c r="AG366" s="166" t="s">
        <v>20241</v>
      </c>
      <c r="AH366" s="164">
        <v>2.6988260869565215</v>
      </c>
      <c r="AI366" s="164">
        <v>15.859368586956521</v>
      </c>
      <c r="AJ366" s="164">
        <v>0</v>
      </c>
      <c r="AK366" s="166">
        <v>0</v>
      </c>
      <c r="AL366" s="164">
        <v>15.859368586956521</v>
      </c>
      <c r="AM366" s="164">
        <v>5.67</v>
      </c>
      <c r="AN366" s="129">
        <v>42</v>
      </c>
      <c r="AO366" s="164">
        <v>20.470631413043478</v>
      </c>
      <c r="AP366" s="950"/>
      <c r="AQ366" s="950"/>
      <c r="AR366" s="173" t="s">
        <v>20211</v>
      </c>
      <c r="AS366" s="953"/>
      <c r="AT366" s="175" t="s">
        <v>50</v>
      </c>
      <c r="AU366" s="176">
        <v>1971</v>
      </c>
      <c r="AV366" s="177" t="s">
        <v>2143</v>
      </c>
      <c r="AW366" s="178">
        <v>56.817318062913998</v>
      </c>
      <c r="AX366" s="178">
        <v>36.000321125689503</v>
      </c>
    </row>
    <row r="367" spans="1:50" ht="15" customHeight="1" x14ac:dyDescent="0.25">
      <c r="A367" s="875">
        <v>275</v>
      </c>
      <c r="B367" s="875">
        <v>74</v>
      </c>
      <c r="C367" s="143" t="s">
        <v>175</v>
      </c>
      <c r="D367" s="9">
        <v>40</v>
      </c>
      <c r="E367" s="503" t="s">
        <v>522</v>
      </c>
      <c r="F367" s="503">
        <v>40</v>
      </c>
      <c r="G367" s="503"/>
      <c r="H367" s="501"/>
      <c r="I367" s="151" t="s">
        <v>20241</v>
      </c>
      <c r="J367" s="31">
        <v>18.439031999999997</v>
      </c>
      <c r="K367" s="33">
        <v>0</v>
      </c>
      <c r="L367" s="3">
        <v>0</v>
      </c>
      <c r="M367" s="144">
        <v>18.439031999999997</v>
      </c>
      <c r="N367" s="504">
        <v>0</v>
      </c>
      <c r="O367" s="29"/>
      <c r="P367" s="29">
        <v>42</v>
      </c>
      <c r="Q367" s="144">
        <v>23.560968000000003</v>
      </c>
      <c r="R367" s="877">
        <v>7.3772880000000001</v>
      </c>
      <c r="S367" s="878" t="s">
        <v>20211</v>
      </c>
      <c r="T367" s="146" t="s">
        <v>20211</v>
      </c>
      <c r="U367" s="878">
        <v>43.902457142857138</v>
      </c>
      <c r="V367" s="878">
        <v>0.4</v>
      </c>
      <c r="W367" s="880" t="s">
        <v>2024</v>
      </c>
      <c r="X367" s="43"/>
      <c r="Y367" s="875">
        <v>275</v>
      </c>
      <c r="Z367" s="874">
        <v>74</v>
      </c>
      <c r="AA367" s="143" t="s">
        <v>175</v>
      </c>
      <c r="AB367" s="9">
        <v>40</v>
      </c>
      <c r="AC367" s="151" t="s">
        <v>522</v>
      </c>
      <c r="AD367" s="151">
        <v>40</v>
      </c>
      <c r="AE367" s="151"/>
      <c r="AF367" s="152"/>
      <c r="AG367" s="143" t="s">
        <v>20241</v>
      </c>
      <c r="AH367" s="144">
        <v>0</v>
      </c>
      <c r="AI367" s="144">
        <v>18.439031999999997</v>
      </c>
      <c r="AJ367" s="144">
        <v>0</v>
      </c>
      <c r="AK367" s="143">
        <v>0</v>
      </c>
      <c r="AL367" s="144">
        <v>18.439031999999997</v>
      </c>
      <c r="AM367" s="144">
        <v>0</v>
      </c>
      <c r="AN367" s="29">
        <v>42</v>
      </c>
      <c r="AO367" s="144">
        <v>23.560968000000003</v>
      </c>
      <c r="AP367" s="902">
        <v>7.3772880000000001</v>
      </c>
      <c r="AQ367" s="902" t="s">
        <v>20211</v>
      </c>
      <c r="AR367" s="146" t="s">
        <v>20211</v>
      </c>
      <c r="AS367" s="945">
        <v>43.902457142857138</v>
      </c>
      <c r="AT367" s="58" t="s">
        <v>50</v>
      </c>
      <c r="AU367" s="118">
        <v>1981</v>
      </c>
      <c r="AV367" s="149" t="s">
        <v>2143</v>
      </c>
      <c r="AW367" s="120">
        <v>56.846325926478499</v>
      </c>
      <c r="AX367" s="120">
        <v>35.943401629587001</v>
      </c>
    </row>
    <row r="368" spans="1:50" ht="15" customHeight="1" x14ac:dyDescent="0.25">
      <c r="A368" s="875"/>
      <c r="B368" s="875"/>
      <c r="C368" s="1" t="s">
        <v>1142</v>
      </c>
      <c r="D368" s="9">
        <v>20</v>
      </c>
      <c r="E368" s="503" t="s">
        <v>522</v>
      </c>
      <c r="F368" s="503">
        <v>20</v>
      </c>
      <c r="G368" s="503"/>
      <c r="H368" s="501"/>
      <c r="I368" s="151" t="s">
        <v>20261</v>
      </c>
      <c r="J368" s="31">
        <v>13.622712</v>
      </c>
      <c r="K368" s="34">
        <v>0</v>
      </c>
      <c r="L368" s="4">
        <v>0</v>
      </c>
      <c r="M368" s="144">
        <v>13.622712</v>
      </c>
      <c r="N368" s="504">
        <v>0</v>
      </c>
      <c r="O368" s="29"/>
      <c r="P368" s="29">
        <v>21</v>
      </c>
      <c r="Q368" s="144">
        <v>7.3772880000000001</v>
      </c>
      <c r="R368" s="877"/>
      <c r="S368" s="879" t="s">
        <v>20211</v>
      </c>
      <c r="T368" s="146" t="s">
        <v>20211</v>
      </c>
      <c r="U368" s="879"/>
      <c r="V368" s="879"/>
      <c r="W368" s="881"/>
      <c r="X368" s="43"/>
      <c r="Y368" s="875"/>
      <c r="Z368" s="874"/>
      <c r="AA368" s="1" t="s">
        <v>1142</v>
      </c>
      <c r="AB368" s="9">
        <v>20</v>
      </c>
      <c r="AC368" s="151" t="s">
        <v>522</v>
      </c>
      <c r="AD368" s="151">
        <v>20</v>
      </c>
      <c r="AE368" s="151"/>
      <c r="AF368" s="152"/>
      <c r="AG368" s="143" t="s">
        <v>20261</v>
      </c>
      <c r="AH368" s="144">
        <v>0</v>
      </c>
      <c r="AI368" s="144">
        <v>13.622712</v>
      </c>
      <c r="AJ368" s="144">
        <v>0</v>
      </c>
      <c r="AK368" s="143">
        <v>0</v>
      </c>
      <c r="AL368" s="144">
        <v>13.622712</v>
      </c>
      <c r="AM368" s="144">
        <v>0</v>
      </c>
      <c r="AN368" s="29">
        <v>21</v>
      </c>
      <c r="AO368" s="144">
        <v>7.3772880000000001</v>
      </c>
      <c r="AP368" s="903"/>
      <c r="AQ368" s="903" t="s">
        <v>20211</v>
      </c>
      <c r="AR368" s="146" t="s">
        <v>20211</v>
      </c>
      <c r="AS368" s="946"/>
      <c r="AT368" s="58" t="s">
        <v>50</v>
      </c>
      <c r="AU368" s="118">
        <v>1981</v>
      </c>
      <c r="AV368" s="149" t="s">
        <v>2143</v>
      </c>
      <c r="AW368" s="120">
        <v>56.846325926478499</v>
      </c>
      <c r="AX368" s="120">
        <v>35.943401629587001</v>
      </c>
    </row>
    <row r="369" spans="1:50" ht="15" customHeight="1" x14ac:dyDescent="0.25">
      <c r="A369" s="875"/>
      <c r="B369" s="875"/>
      <c r="C369" s="1" t="s">
        <v>1141</v>
      </c>
      <c r="D369" s="9">
        <v>20</v>
      </c>
      <c r="E369" s="503" t="s">
        <v>522</v>
      </c>
      <c r="F369" s="503">
        <v>20</v>
      </c>
      <c r="G369" s="503"/>
      <c r="H369" s="501"/>
      <c r="I369" s="151" t="s">
        <v>20261</v>
      </c>
      <c r="J369" s="31">
        <v>4.8163199999999993</v>
      </c>
      <c r="K369" s="34">
        <v>0</v>
      </c>
      <c r="L369" s="4">
        <v>0</v>
      </c>
      <c r="M369" s="144">
        <v>4.8163199999999993</v>
      </c>
      <c r="N369" s="504">
        <v>0</v>
      </c>
      <c r="O369" s="29"/>
      <c r="P369" s="29">
        <v>21</v>
      </c>
      <c r="Q369" s="144">
        <v>16.183680000000003</v>
      </c>
      <c r="R369" s="877"/>
      <c r="S369" s="879" t="s">
        <v>20211</v>
      </c>
      <c r="T369" s="146" t="s">
        <v>20211</v>
      </c>
      <c r="U369" s="879"/>
      <c r="V369" s="879"/>
      <c r="W369" s="882"/>
      <c r="X369" s="43"/>
      <c r="Y369" s="875"/>
      <c r="Z369" s="874"/>
      <c r="AA369" s="1" t="s">
        <v>1141</v>
      </c>
      <c r="AB369" s="9">
        <v>20</v>
      </c>
      <c r="AC369" s="151" t="s">
        <v>522</v>
      </c>
      <c r="AD369" s="151">
        <v>20</v>
      </c>
      <c r="AE369" s="151"/>
      <c r="AF369" s="152"/>
      <c r="AG369" s="143" t="s">
        <v>20261</v>
      </c>
      <c r="AH369" s="144">
        <v>0</v>
      </c>
      <c r="AI369" s="144">
        <v>4.8163199999999993</v>
      </c>
      <c r="AJ369" s="144">
        <v>0</v>
      </c>
      <c r="AK369" s="143">
        <v>0</v>
      </c>
      <c r="AL369" s="144">
        <v>4.8163199999999993</v>
      </c>
      <c r="AM369" s="144">
        <v>0</v>
      </c>
      <c r="AN369" s="29">
        <v>21</v>
      </c>
      <c r="AO369" s="144">
        <v>16.183680000000003</v>
      </c>
      <c r="AP369" s="904"/>
      <c r="AQ369" s="904" t="s">
        <v>20211</v>
      </c>
      <c r="AR369" s="146" t="s">
        <v>20211</v>
      </c>
      <c r="AS369" s="947"/>
      <c r="AT369" s="58" t="s">
        <v>50</v>
      </c>
      <c r="AU369" s="118">
        <v>1981</v>
      </c>
      <c r="AV369" s="149" t="s">
        <v>2143</v>
      </c>
      <c r="AW369" s="120">
        <v>56.846325926478499</v>
      </c>
      <c r="AX369" s="120">
        <v>35.943401629587001</v>
      </c>
    </row>
    <row r="370" spans="1:50" ht="15" customHeight="1" x14ac:dyDescent="0.25">
      <c r="A370" s="875">
        <v>276</v>
      </c>
      <c r="B370" s="875">
        <v>75</v>
      </c>
      <c r="C370" s="143" t="s">
        <v>176</v>
      </c>
      <c r="D370" s="9">
        <v>10</v>
      </c>
      <c r="E370" s="503" t="s">
        <v>522</v>
      </c>
      <c r="F370" s="503">
        <v>10</v>
      </c>
      <c r="G370" s="503"/>
      <c r="H370" s="501"/>
      <c r="I370" s="151" t="s">
        <v>20227</v>
      </c>
      <c r="J370" s="31">
        <v>6.7588504999999994</v>
      </c>
      <c r="K370" s="33">
        <v>5.05</v>
      </c>
      <c r="L370" s="3">
        <v>120</v>
      </c>
      <c r="M370" s="144">
        <v>1.7088504999999996</v>
      </c>
      <c r="N370" s="504">
        <v>0</v>
      </c>
      <c r="O370" s="29"/>
      <c r="P370" s="29">
        <v>10.5</v>
      </c>
      <c r="Q370" s="144">
        <v>8.7911494999999995</v>
      </c>
      <c r="R370" s="877">
        <v>8.7883379999999995</v>
      </c>
      <c r="S370" s="878" t="s">
        <v>20211</v>
      </c>
      <c r="T370" s="146" t="s">
        <v>20211</v>
      </c>
      <c r="U370" s="878">
        <v>64.370004761904767</v>
      </c>
      <c r="V370" s="878">
        <v>0.3</v>
      </c>
      <c r="W370" s="880" t="s">
        <v>2024</v>
      </c>
      <c r="X370" s="43"/>
      <c r="Y370" s="875">
        <v>276</v>
      </c>
      <c r="Z370" s="874">
        <v>75</v>
      </c>
      <c r="AA370" s="143" t="s">
        <v>176</v>
      </c>
      <c r="AB370" s="9">
        <v>10</v>
      </c>
      <c r="AC370" s="151" t="s">
        <v>522</v>
      </c>
      <c r="AD370" s="151">
        <v>10</v>
      </c>
      <c r="AE370" s="151"/>
      <c r="AF370" s="152"/>
      <c r="AG370" s="143" t="s">
        <v>20227</v>
      </c>
      <c r="AH370" s="144">
        <v>3.5178630434782612</v>
      </c>
      <c r="AI370" s="144">
        <v>10.276713543478261</v>
      </c>
      <c r="AJ370" s="144">
        <v>5.05</v>
      </c>
      <c r="AK370" s="143">
        <v>120</v>
      </c>
      <c r="AL370" s="144">
        <v>5.2267135434782608</v>
      </c>
      <c r="AM370" s="144">
        <v>0</v>
      </c>
      <c r="AN370" s="29">
        <v>10.5</v>
      </c>
      <c r="AO370" s="144">
        <v>5.2732864565217392</v>
      </c>
      <c r="AP370" s="902">
        <v>5.2732864565217392</v>
      </c>
      <c r="AQ370" s="902" t="s">
        <v>20211</v>
      </c>
      <c r="AR370" s="146" t="s">
        <v>20211</v>
      </c>
      <c r="AS370" s="945">
        <v>97.873462318840581</v>
      </c>
      <c r="AT370" s="58" t="s">
        <v>50</v>
      </c>
      <c r="AU370" s="118">
        <v>1987</v>
      </c>
      <c r="AV370" s="149" t="s">
        <v>2143</v>
      </c>
      <c r="AW370" s="120">
        <v>56.940839497052899</v>
      </c>
      <c r="AX370" s="120">
        <v>35.624450234615701</v>
      </c>
    </row>
    <row r="371" spans="1:50" ht="15" customHeight="1" x14ac:dyDescent="0.25">
      <c r="A371" s="875"/>
      <c r="B371" s="875"/>
      <c r="C371" s="1" t="s">
        <v>1142</v>
      </c>
      <c r="D371" s="9">
        <v>10</v>
      </c>
      <c r="E371" s="503" t="s">
        <v>522</v>
      </c>
      <c r="F371" s="503">
        <v>10</v>
      </c>
      <c r="G371" s="503"/>
      <c r="H371" s="501"/>
      <c r="I371" s="151" t="s">
        <v>20227</v>
      </c>
      <c r="J371" s="31">
        <v>5.047188499999999</v>
      </c>
      <c r="K371" s="34">
        <v>5.05</v>
      </c>
      <c r="L371" s="4">
        <v>120</v>
      </c>
      <c r="M371" s="144">
        <v>-2.811500000000855E-3</v>
      </c>
      <c r="N371" s="504">
        <v>0</v>
      </c>
      <c r="O371" s="29"/>
      <c r="P371" s="29">
        <v>10.5</v>
      </c>
      <c r="Q371" s="144">
        <v>10.5028115</v>
      </c>
      <c r="R371" s="877"/>
      <c r="S371" s="879" t="s">
        <v>20211</v>
      </c>
      <c r="T371" s="146" t="s">
        <v>20211</v>
      </c>
      <c r="U371" s="879"/>
      <c r="V371" s="879"/>
      <c r="W371" s="881"/>
      <c r="X371" s="43"/>
      <c r="Y371" s="875"/>
      <c r="Z371" s="874"/>
      <c r="AA371" s="1" t="s">
        <v>1142</v>
      </c>
      <c r="AB371" s="9">
        <v>10</v>
      </c>
      <c r="AC371" s="151" t="s">
        <v>522</v>
      </c>
      <c r="AD371" s="151">
        <v>10</v>
      </c>
      <c r="AE371" s="151"/>
      <c r="AF371" s="152"/>
      <c r="AG371" s="143" t="s">
        <v>20227</v>
      </c>
      <c r="AH371" s="144">
        <v>3.108558695652174</v>
      </c>
      <c r="AI371" s="144">
        <v>8.1557471956521734</v>
      </c>
      <c r="AJ371" s="144">
        <v>5.05</v>
      </c>
      <c r="AK371" s="143">
        <v>120</v>
      </c>
      <c r="AL371" s="144">
        <v>3.1057471956521736</v>
      </c>
      <c r="AM371" s="144">
        <v>0</v>
      </c>
      <c r="AN371" s="29">
        <v>10.5</v>
      </c>
      <c r="AO371" s="144">
        <v>7.3942528043478264</v>
      </c>
      <c r="AP371" s="903"/>
      <c r="AQ371" s="903"/>
      <c r="AR371" s="146" t="s">
        <v>20211</v>
      </c>
      <c r="AS371" s="946"/>
      <c r="AT371" s="58" t="s">
        <v>50</v>
      </c>
      <c r="AU371" s="118">
        <v>1987</v>
      </c>
      <c r="AV371" s="149" t="s">
        <v>2143</v>
      </c>
      <c r="AW371" s="120">
        <v>56.940839497052899</v>
      </c>
      <c r="AX371" s="120">
        <v>35.624450234615701</v>
      </c>
    </row>
    <row r="372" spans="1:50" ht="15" customHeight="1" x14ac:dyDescent="0.25">
      <c r="A372" s="875"/>
      <c r="B372" s="875"/>
      <c r="C372" s="1" t="s">
        <v>1141</v>
      </c>
      <c r="D372" s="9">
        <v>10</v>
      </c>
      <c r="E372" s="503" t="s">
        <v>522</v>
      </c>
      <c r="F372" s="503">
        <v>10</v>
      </c>
      <c r="G372" s="503"/>
      <c r="H372" s="501"/>
      <c r="I372" s="151" t="s">
        <v>20227</v>
      </c>
      <c r="J372" s="31">
        <v>1.711662</v>
      </c>
      <c r="K372" s="34">
        <v>0</v>
      </c>
      <c r="L372" s="4">
        <v>0</v>
      </c>
      <c r="M372" s="144">
        <v>1.711662</v>
      </c>
      <c r="N372" s="504">
        <v>0</v>
      </c>
      <c r="O372" s="29"/>
      <c r="P372" s="29">
        <v>10.5</v>
      </c>
      <c r="Q372" s="144">
        <v>8.7883379999999995</v>
      </c>
      <c r="R372" s="877"/>
      <c r="S372" s="879" t="s">
        <v>20211</v>
      </c>
      <c r="T372" s="146" t="s">
        <v>20211</v>
      </c>
      <c r="U372" s="879"/>
      <c r="V372" s="879"/>
      <c r="W372" s="882"/>
      <c r="X372" s="43"/>
      <c r="Y372" s="875"/>
      <c r="Z372" s="874"/>
      <c r="AA372" s="1" t="s">
        <v>1141</v>
      </c>
      <c r="AB372" s="9">
        <v>10</v>
      </c>
      <c r="AC372" s="151" t="s">
        <v>522</v>
      </c>
      <c r="AD372" s="151">
        <v>10</v>
      </c>
      <c r="AE372" s="151"/>
      <c r="AF372" s="152"/>
      <c r="AG372" s="143" t="s">
        <v>20227</v>
      </c>
      <c r="AH372" s="144">
        <v>0.40930434782608693</v>
      </c>
      <c r="AI372" s="144">
        <v>2.1209663478260872</v>
      </c>
      <c r="AJ372" s="144">
        <v>0</v>
      </c>
      <c r="AK372" s="143">
        <v>0</v>
      </c>
      <c r="AL372" s="144">
        <v>2.1209663478260872</v>
      </c>
      <c r="AM372" s="144">
        <v>0</v>
      </c>
      <c r="AN372" s="29">
        <v>10.5</v>
      </c>
      <c r="AO372" s="144">
        <v>8.3790336521739128</v>
      </c>
      <c r="AP372" s="904"/>
      <c r="AQ372" s="904"/>
      <c r="AR372" s="146" t="s">
        <v>20211</v>
      </c>
      <c r="AS372" s="947"/>
      <c r="AT372" s="58" t="s">
        <v>50</v>
      </c>
      <c r="AU372" s="118">
        <v>1987</v>
      </c>
      <c r="AV372" s="149" t="s">
        <v>2143</v>
      </c>
      <c r="AW372" s="120">
        <v>56.940839497052899</v>
      </c>
      <c r="AX372" s="120">
        <v>35.624450234615701</v>
      </c>
    </row>
    <row r="373" spans="1:50" ht="15" customHeight="1" x14ac:dyDescent="0.25">
      <c r="A373" s="875">
        <v>277</v>
      </c>
      <c r="B373" s="875">
        <v>76</v>
      </c>
      <c r="C373" s="143" t="s">
        <v>177</v>
      </c>
      <c r="D373" s="9">
        <v>25</v>
      </c>
      <c r="E373" s="503" t="s">
        <v>522</v>
      </c>
      <c r="F373" s="503">
        <v>25</v>
      </c>
      <c r="G373" s="503"/>
      <c r="H373" s="501"/>
      <c r="I373" s="151" t="s">
        <v>20226</v>
      </c>
      <c r="J373" s="31">
        <v>16.221864</v>
      </c>
      <c r="K373" s="33">
        <v>3.18</v>
      </c>
      <c r="L373" s="3">
        <v>120</v>
      </c>
      <c r="M373" s="144">
        <v>13.041864</v>
      </c>
      <c r="N373" s="504">
        <v>0</v>
      </c>
      <c r="O373" s="29"/>
      <c r="P373" s="29">
        <v>26.25</v>
      </c>
      <c r="Q373" s="144">
        <v>13.208136</v>
      </c>
      <c r="R373" s="877">
        <v>9.6824639999999995</v>
      </c>
      <c r="S373" s="878" t="s">
        <v>20211</v>
      </c>
      <c r="T373" s="146" t="s">
        <v>20211</v>
      </c>
      <c r="U373" s="878">
        <v>61.797577142857143</v>
      </c>
      <c r="V373" s="878">
        <v>0.4</v>
      </c>
      <c r="W373" s="880" t="s">
        <v>13375</v>
      </c>
      <c r="X373" s="43"/>
      <c r="Y373" s="875">
        <v>277</v>
      </c>
      <c r="Z373" s="874">
        <v>76</v>
      </c>
      <c r="AA373" s="143" t="s">
        <v>177</v>
      </c>
      <c r="AB373" s="9">
        <v>25</v>
      </c>
      <c r="AC373" s="151" t="s">
        <v>522</v>
      </c>
      <c r="AD373" s="151">
        <v>25</v>
      </c>
      <c r="AE373" s="151"/>
      <c r="AF373" s="152"/>
      <c r="AG373" s="143" t="s">
        <v>20226</v>
      </c>
      <c r="AH373" s="144">
        <v>2.1266914446002803</v>
      </c>
      <c r="AI373" s="144">
        <v>18.348555444600279</v>
      </c>
      <c r="AJ373" s="144">
        <v>3.18</v>
      </c>
      <c r="AK373" s="143">
        <v>120</v>
      </c>
      <c r="AL373" s="144">
        <v>15.16855544460028</v>
      </c>
      <c r="AM373" s="144">
        <v>0</v>
      </c>
      <c r="AN373" s="29">
        <v>26.25</v>
      </c>
      <c r="AO373" s="144">
        <v>11.08144455539972</v>
      </c>
      <c r="AP373" s="902">
        <v>9.1160769032258067</v>
      </c>
      <c r="AQ373" s="902" t="s">
        <v>20211</v>
      </c>
      <c r="AR373" s="146" t="s">
        <v>20211</v>
      </c>
      <c r="AS373" s="945">
        <v>69.899258836572486</v>
      </c>
      <c r="AT373" s="58" t="s">
        <v>50</v>
      </c>
      <c r="AU373" s="118">
        <v>1963</v>
      </c>
      <c r="AV373" s="149" t="s">
        <v>2143</v>
      </c>
      <c r="AW373" s="120">
        <v>57.117744196011202</v>
      </c>
      <c r="AX373" s="120">
        <v>35.474582720060397</v>
      </c>
    </row>
    <row r="374" spans="1:50" ht="15" customHeight="1" x14ac:dyDescent="0.25">
      <c r="A374" s="875"/>
      <c r="B374" s="875"/>
      <c r="C374" s="1" t="s">
        <v>1142</v>
      </c>
      <c r="D374" s="9">
        <v>25</v>
      </c>
      <c r="E374" s="503" t="s">
        <v>522</v>
      </c>
      <c r="F374" s="503">
        <v>25</v>
      </c>
      <c r="G374" s="503"/>
      <c r="H374" s="501"/>
      <c r="I374" s="151" t="s">
        <v>20226</v>
      </c>
      <c r="J374" s="31">
        <v>6.4937279999999999</v>
      </c>
      <c r="K374" s="34">
        <v>3.18</v>
      </c>
      <c r="L374" s="4">
        <v>120</v>
      </c>
      <c r="M374" s="144">
        <v>3.3137279999999998</v>
      </c>
      <c r="N374" s="504">
        <v>2.94</v>
      </c>
      <c r="O374" s="29" t="s">
        <v>17456</v>
      </c>
      <c r="P374" s="29">
        <v>26.25</v>
      </c>
      <c r="Q374" s="144">
        <v>19.996271999999998</v>
      </c>
      <c r="R374" s="877"/>
      <c r="S374" s="879"/>
      <c r="T374" s="146" t="s">
        <v>20211</v>
      </c>
      <c r="U374" s="879"/>
      <c r="V374" s="879"/>
      <c r="W374" s="881"/>
      <c r="X374" s="43"/>
      <c r="Y374" s="875"/>
      <c r="Z374" s="874"/>
      <c r="AA374" s="1" t="s">
        <v>1142</v>
      </c>
      <c r="AB374" s="9">
        <v>25</v>
      </c>
      <c r="AC374" s="151" t="s">
        <v>522</v>
      </c>
      <c r="AD374" s="151">
        <v>25</v>
      </c>
      <c r="AE374" s="151"/>
      <c r="AF374" s="152"/>
      <c r="AG374" s="143" t="s">
        <v>20226</v>
      </c>
      <c r="AH374" s="144">
        <v>1.560304347826087</v>
      </c>
      <c r="AI374" s="144">
        <v>8.0540323478260873</v>
      </c>
      <c r="AJ374" s="144">
        <v>3.18</v>
      </c>
      <c r="AK374" s="143">
        <v>120</v>
      </c>
      <c r="AL374" s="144">
        <v>4.8740323478260876</v>
      </c>
      <c r="AM374" s="144">
        <v>2.94</v>
      </c>
      <c r="AN374" s="29">
        <v>26.25</v>
      </c>
      <c r="AO374" s="144">
        <v>18.435967652173911</v>
      </c>
      <c r="AP374" s="903"/>
      <c r="AQ374" s="903" t="s">
        <v>20211</v>
      </c>
      <c r="AR374" s="146" t="s">
        <v>20211</v>
      </c>
      <c r="AS374" s="946"/>
      <c r="AT374" s="58" t="s">
        <v>50</v>
      </c>
      <c r="AU374" s="118">
        <v>1963</v>
      </c>
      <c r="AV374" s="149" t="s">
        <v>2143</v>
      </c>
      <c r="AW374" s="120">
        <v>57.117744196011202</v>
      </c>
      <c r="AX374" s="120">
        <v>35.474582720060397</v>
      </c>
    </row>
    <row r="375" spans="1:50" ht="15" customHeight="1" x14ac:dyDescent="0.25">
      <c r="A375" s="875"/>
      <c r="B375" s="875"/>
      <c r="C375" s="1" t="s">
        <v>1141</v>
      </c>
      <c r="D375" s="9">
        <v>25</v>
      </c>
      <c r="E375" s="503" t="s">
        <v>522</v>
      </c>
      <c r="F375" s="503">
        <v>25</v>
      </c>
      <c r="G375" s="503"/>
      <c r="H375" s="501"/>
      <c r="I375" s="151" t="s">
        <v>20226</v>
      </c>
      <c r="J375" s="31">
        <v>9.728136000000001</v>
      </c>
      <c r="K375" s="34">
        <v>0</v>
      </c>
      <c r="L375" s="4">
        <v>0</v>
      </c>
      <c r="M375" s="144">
        <v>9.728136000000001</v>
      </c>
      <c r="N375" s="504">
        <v>6.8394000000000004</v>
      </c>
      <c r="O375" s="29" t="s">
        <v>2018</v>
      </c>
      <c r="P375" s="29">
        <v>26.25</v>
      </c>
      <c r="Q375" s="144">
        <v>9.6824639999999995</v>
      </c>
      <c r="R375" s="877"/>
      <c r="S375" s="879"/>
      <c r="T375" s="146" t="s">
        <v>20211</v>
      </c>
      <c r="U375" s="879"/>
      <c r="V375" s="879"/>
      <c r="W375" s="882"/>
      <c r="X375" s="43"/>
      <c r="Y375" s="875"/>
      <c r="Z375" s="874"/>
      <c r="AA375" s="1" t="s">
        <v>1141</v>
      </c>
      <c r="AB375" s="9">
        <v>25</v>
      </c>
      <c r="AC375" s="151" t="s">
        <v>522</v>
      </c>
      <c r="AD375" s="151">
        <v>25</v>
      </c>
      <c r="AE375" s="151"/>
      <c r="AF375" s="152"/>
      <c r="AG375" s="143" t="s">
        <v>20226</v>
      </c>
      <c r="AH375" s="144">
        <v>0.56638709677419352</v>
      </c>
      <c r="AI375" s="144">
        <v>10.294523096774194</v>
      </c>
      <c r="AJ375" s="144">
        <v>0</v>
      </c>
      <c r="AK375" s="143">
        <v>0</v>
      </c>
      <c r="AL375" s="144">
        <v>10.294523096774194</v>
      </c>
      <c r="AM375" s="144">
        <v>6.8394000000000004</v>
      </c>
      <c r="AN375" s="29">
        <v>26.25</v>
      </c>
      <c r="AO375" s="144">
        <v>9.1160769032258067</v>
      </c>
      <c r="AP375" s="904"/>
      <c r="AQ375" s="904" t="s">
        <v>20211</v>
      </c>
      <c r="AR375" s="146" t="s">
        <v>20211</v>
      </c>
      <c r="AS375" s="947"/>
      <c r="AT375" s="58" t="s">
        <v>50</v>
      </c>
      <c r="AU375" s="118">
        <v>1963</v>
      </c>
      <c r="AV375" s="149" t="s">
        <v>2143</v>
      </c>
      <c r="AW375" s="120">
        <v>57.117744196011202</v>
      </c>
      <c r="AX375" s="120">
        <v>35.474582720060397</v>
      </c>
    </row>
    <row r="376" spans="1:50" ht="15" customHeight="1" x14ac:dyDescent="0.25">
      <c r="A376" s="875">
        <v>278</v>
      </c>
      <c r="B376" s="875">
        <v>77</v>
      </c>
      <c r="C376" s="143" t="s">
        <v>178</v>
      </c>
      <c r="D376" s="9">
        <v>25</v>
      </c>
      <c r="E376" s="503" t="s">
        <v>522</v>
      </c>
      <c r="F376" s="503">
        <v>25</v>
      </c>
      <c r="G376" s="503"/>
      <c r="H376" s="501"/>
      <c r="I376" s="151" t="s">
        <v>20226</v>
      </c>
      <c r="J376" s="31">
        <v>15.221232000000001</v>
      </c>
      <c r="K376" s="33">
        <v>2.8</v>
      </c>
      <c r="L376" s="3">
        <v>120</v>
      </c>
      <c r="M376" s="144">
        <v>12.421232</v>
      </c>
      <c r="N376" s="504">
        <v>0</v>
      </c>
      <c r="O376" s="29"/>
      <c r="P376" s="29">
        <v>26.25</v>
      </c>
      <c r="Q376" s="144">
        <v>13.828768</v>
      </c>
      <c r="R376" s="877">
        <v>13.828768</v>
      </c>
      <c r="S376" s="878" t="s">
        <v>20211</v>
      </c>
      <c r="T376" s="146" t="s">
        <v>20211</v>
      </c>
      <c r="U376" s="878">
        <v>57.985645714285717</v>
      </c>
      <c r="V376" s="878">
        <v>0.3</v>
      </c>
      <c r="W376" s="880" t="s">
        <v>13375</v>
      </c>
      <c r="X376" s="43"/>
      <c r="Y376" s="875">
        <v>278</v>
      </c>
      <c r="Z376" s="874">
        <v>77</v>
      </c>
      <c r="AA376" s="498" t="s">
        <v>178</v>
      </c>
      <c r="AB376" s="9">
        <v>25</v>
      </c>
      <c r="AC376" s="499" t="s">
        <v>522</v>
      </c>
      <c r="AD376" s="499">
        <v>25</v>
      </c>
      <c r="AE376" s="499"/>
      <c r="AF376" s="497"/>
      <c r="AG376" s="498" t="s">
        <v>20226</v>
      </c>
      <c r="AH376" s="500">
        <v>8.0177173913043482</v>
      </c>
      <c r="AI376" s="500">
        <v>23.238949391304349</v>
      </c>
      <c r="AJ376" s="500">
        <v>2.8</v>
      </c>
      <c r="AK376" s="498">
        <v>120</v>
      </c>
      <c r="AL376" s="500">
        <v>20.438949391304348</v>
      </c>
      <c r="AM376" s="500">
        <v>0</v>
      </c>
      <c r="AN376" s="29">
        <v>26.25</v>
      </c>
      <c r="AO376" s="500">
        <v>5.8110506086956519</v>
      </c>
      <c r="AP376" s="902">
        <v>5.8110506086956519</v>
      </c>
      <c r="AQ376" s="902" t="s">
        <v>20211</v>
      </c>
      <c r="AR376" s="173" t="s">
        <v>20211</v>
      </c>
      <c r="AS376" s="951">
        <v>88.529331014492755</v>
      </c>
      <c r="AT376" s="175" t="s">
        <v>50</v>
      </c>
      <c r="AU376" s="176">
        <v>1981</v>
      </c>
      <c r="AV376" s="177" t="s">
        <v>2143</v>
      </c>
      <c r="AW376" s="178">
        <v>56.587896602222003</v>
      </c>
      <c r="AX376" s="178">
        <v>36.4910108207308</v>
      </c>
    </row>
    <row r="377" spans="1:50" ht="15" customHeight="1" x14ac:dyDescent="0.25">
      <c r="A377" s="875"/>
      <c r="B377" s="875"/>
      <c r="C377" s="1" t="s">
        <v>1142</v>
      </c>
      <c r="D377" s="9">
        <v>25</v>
      </c>
      <c r="E377" s="503" t="s">
        <v>522</v>
      </c>
      <c r="F377" s="503">
        <v>25</v>
      </c>
      <c r="G377" s="503"/>
      <c r="H377" s="501"/>
      <c r="I377" s="151" t="s">
        <v>20226</v>
      </c>
      <c r="J377" s="31">
        <v>15.221232000000001</v>
      </c>
      <c r="K377" s="34">
        <v>2.8</v>
      </c>
      <c r="L377" s="4">
        <v>120</v>
      </c>
      <c r="M377" s="144">
        <v>12.421232</v>
      </c>
      <c r="N377" s="504">
        <v>0</v>
      </c>
      <c r="O377" s="29"/>
      <c r="P377" s="29">
        <v>26.25</v>
      </c>
      <c r="Q377" s="144">
        <v>13.828768</v>
      </c>
      <c r="R377" s="877"/>
      <c r="S377" s="879" t="s">
        <v>20211</v>
      </c>
      <c r="T377" s="146" t="s">
        <v>20211</v>
      </c>
      <c r="U377" s="879"/>
      <c r="V377" s="879"/>
      <c r="W377" s="881"/>
      <c r="X377" s="43"/>
      <c r="Y377" s="875"/>
      <c r="Z377" s="874"/>
      <c r="AA377" s="1" t="s">
        <v>1142</v>
      </c>
      <c r="AB377" s="9">
        <v>25</v>
      </c>
      <c r="AC377" s="499" t="s">
        <v>522</v>
      </c>
      <c r="AD377" s="499">
        <v>25</v>
      </c>
      <c r="AE377" s="499"/>
      <c r="AF377" s="497"/>
      <c r="AG377" s="498" t="s">
        <v>20226</v>
      </c>
      <c r="AH377" s="500">
        <v>8.0177173913043482</v>
      </c>
      <c r="AI377" s="500">
        <v>23.238949391304349</v>
      </c>
      <c r="AJ377" s="500">
        <v>2.8</v>
      </c>
      <c r="AK377" s="498">
        <v>120</v>
      </c>
      <c r="AL377" s="500">
        <v>20.438949391304348</v>
      </c>
      <c r="AM377" s="500">
        <v>0</v>
      </c>
      <c r="AN377" s="29">
        <v>26.25</v>
      </c>
      <c r="AO377" s="500">
        <v>5.8110506086956519</v>
      </c>
      <c r="AP377" s="903"/>
      <c r="AQ377" s="903"/>
      <c r="AR377" s="173" t="s">
        <v>20211</v>
      </c>
      <c r="AS377" s="952"/>
      <c r="AT377" s="175" t="s">
        <v>50</v>
      </c>
      <c r="AU377" s="176">
        <v>1981</v>
      </c>
      <c r="AV377" s="177" t="s">
        <v>2143</v>
      </c>
      <c r="AW377" s="178">
        <v>56.587896602222003</v>
      </c>
      <c r="AX377" s="178">
        <v>36.4910108207308</v>
      </c>
    </row>
    <row r="378" spans="1:50" ht="15" customHeight="1" x14ac:dyDescent="0.25">
      <c r="A378" s="875"/>
      <c r="B378" s="875"/>
      <c r="C378" s="1" t="s">
        <v>1141</v>
      </c>
      <c r="D378" s="9">
        <v>25</v>
      </c>
      <c r="E378" s="503" t="s">
        <v>522</v>
      </c>
      <c r="F378" s="503">
        <v>25</v>
      </c>
      <c r="G378" s="503"/>
      <c r="H378" s="501"/>
      <c r="I378" s="151" t="s">
        <v>20226</v>
      </c>
      <c r="J378" s="31">
        <v>0</v>
      </c>
      <c r="K378" s="34">
        <v>0</v>
      </c>
      <c r="L378" s="4">
        <v>0</v>
      </c>
      <c r="M378" s="144">
        <v>0</v>
      </c>
      <c r="N378" s="504">
        <v>4.4268000000000001</v>
      </c>
      <c r="O378" s="518" t="s">
        <v>19704</v>
      </c>
      <c r="P378" s="29">
        <v>26.25</v>
      </c>
      <c r="Q378" s="144">
        <v>21.8232</v>
      </c>
      <c r="R378" s="877"/>
      <c r="S378" s="879" t="s">
        <v>20211</v>
      </c>
      <c r="T378" s="146" t="s">
        <v>20211</v>
      </c>
      <c r="U378" s="879"/>
      <c r="V378" s="879"/>
      <c r="W378" s="882"/>
      <c r="X378" s="43"/>
      <c r="Y378" s="875"/>
      <c r="Z378" s="874"/>
      <c r="AA378" s="1" t="s">
        <v>1141</v>
      </c>
      <c r="AB378" s="9">
        <v>25</v>
      </c>
      <c r="AC378" s="499" t="s">
        <v>522</v>
      </c>
      <c r="AD378" s="499">
        <v>25</v>
      </c>
      <c r="AE378" s="499"/>
      <c r="AF378" s="497"/>
      <c r="AG378" s="498" t="s">
        <v>20226</v>
      </c>
      <c r="AH378" s="500">
        <v>0</v>
      </c>
      <c r="AI378" s="500">
        <v>0</v>
      </c>
      <c r="AJ378" s="500">
        <v>0</v>
      </c>
      <c r="AK378" s="498">
        <v>0</v>
      </c>
      <c r="AL378" s="500">
        <v>0</v>
      </c>
      <c r="AM378" s="500">
        <v>4.4268000000000001</v>
      </c>
      <c r="AN378" s="29">
        <v>26.25</v>
      </c>
      <c r="AO378" s="500">
        <v>21.8232</v>
      </c>
      <c r="AP378" s="904"/>
      <c r="AQ378" s="904"/>
      <c r="AR378" s="173" t="s">
        <v>20211</v>
      </c>
      <c r="AS378" s="953"/>
      <c r="AT378" s="175" t="s">
        <v>50</v>
      </c>
      <c r="AU378" s="176">
        <v>1981</v>
      </c>
      <c r="AV378" s="177" t="s">
        <v>2143</v>
      </c>
      <c r="AW378" s="178">
        <v>56.587896602222003</v>
      </c>
      <c r="AX378" s="178">
        <v>36.4910108207308</v>
      </c>
    </row>
    <row r="379" spans="1:50" ht="15" customHeight="1" x14ac:dyDescent="0.25">
      <c r="A379" s="875">
        <v>279</v>
      </c>
      <c r="B379" s="875">
        <v>78</v>
      </c>
      <c r="C379" s="143" t="s">
        <v>179</v>
      </c>
      <c r="D379" s="9">
        <v>40</v>
      </c>
      <c r="E379" s="503" t="s">
        <v>522</v>
      </c>
      <c r="F379" s="503">
        <v>40.5</v>
      </c>
      <c r="G379" s="503"/>
      <c r="H379" s="501"/>
      <c r="I379" s="151" t="s">
        <v>20263</v>
      </c>
      <c r="J379" s="31">
        <v>28.446563000000001</v>
      </c>
      <c r="K379" s="33">
        <v>1.21</v>
      </c>
      <c r="L379" s="3">
        <v>120</v>
      </c>
      <c r="M379" s="144">
        <v>27.236563</v>
      </c>
      <c r="N379" s="504">
        <v>0</v>
      </c>
      <c r="O379" s="518"/>
      <c r="P379" s="29">
        <v>42</v>
      </c>
      <c r="Q379" s="144">
        <v>14.763437</v>
      </c>
      <c r="R379" s="877">
        <v>5.6351670000000027</v>
      </c>
      <c r="S379" s="878" t="s">
        <v>20211</v>
      </c>
      <c r="T379" s="146" t="s">
        <v>20211</v>
      </c>
      <c r="U379" s="878">
        <v>67.729911904761906</v>
      </c>
      <c r="V379" s="878">
        <v>0.3</v>
      </c>
      <c r="W379" s="880" t="s">
        <v>13375</v>
      </c>
      <c r="X379" s="43"/>
      <c r="Y379" s="875">
        <v>279</v>
      </c>
      <c r="Z379" s="874">
        <v>78</v>
      </c>
      <c r="AA379" s="143" t="s">
        <v>179</v>
      </c>
      <c r="AB379" s="9">
        <v>40</v>
      </c>
      <c r="AC379" s="151" t="s">
        <v>522</v>
      </c>
      <c r="AD379" s="151">
        <v>40.5</v>
      </c>
      <c r="AE379" s="151"/>
      <c r="AF379" s="152"/>
      <c r="AG379" s="143" t="s">
        <v>20263</v>
      </c>
      <c r="AH379" s="144">
        <v>7.5854760869565228</v>
      </c>
      <c r="AI379" s="144">
        <v>36.032039086956523</v>
      </c>
      <c r="AJ379" s="144">
        <v>1.21</v>
      </c>
      <c r="AK379" s="143">
        <v>120</v>
      </c>
      <c r="AL379" s="144">
        <v>34.822039086956522</v>
      </c>
      <c r="AM379" s="144">
        <v>0</v>
      </c>
      <c r="AN379" s="29">
        <v>42</v>
      </c>
      <c r="AO379" s="144">
        <v>7.1779609130434778</v>
      </c>
      <c r="AP379" s="902">
        <v>-1.4611786521739099</v>
      </c>
      <c r="AQ379" s="902" t="s">
        <v>2217</v>
      </c>
      <c r="AR379" s="146" t="s">
        <v>2217</v>
      </c>
      <c r="AS379" s="945">
        <v>85.790569254658394</v>
      </c>
      <c r="AT379" s="58" t="s">
        <v>50</v>
      </c>
      <c r="AU379" s="118">
        <v>1957</v>
      </c>
      <c r="AV379" s="149" t="s">
        <v>2143</v>
      </c>
      <c r="AW379" s="120">
        <v>56.652821284373097</v>
      </c>
      <c r="AX379" s="120">
        <v>36.286133958084797</v>
      </c>
    </row>
    <row r="380" spans="1:50" ht="15" customHeight="1" x14ac:dyDescent="0.25">
      <c r="A380" s="875"/>
      <c r="B380" s="875"/>
      <c r="C380" s="1" t="s">
        <v>1142</v>
      </c>
      <c r="D380" s="9">
        <v>40</v>
      </c>
      <c r="E380" s="503" t="s">
        <v>522</v>
      </c>
      <c r="F380" s="503">
        <v>40.5</v>
      </c>
      <c r="G380" s="503"/>
      <c r="H380" s="501"/>
      <c r="I380" s="151" t="s">
        <v>20263</v>
      </c>
      <c r="J380" s="31">
        <v>23.682143</v>
      </c>
      <c r="K380" s="34">
        <v>1.21</v>
      </c>
      <c r="L380" s="4">
        <v>120</v>
      </c>
      <c r="M380" s="144">
        <v>22.472142999999999</v>
      </c>
      <c r="N380" s="504">
        <v>13.892689999999998</v>
      </c>
      <c r="O380" s="518" t="s">
        <v>19705</v>
      </c>
      <c r="P380" s="29">
        <v>42</v>
      </c>
      <c r="Q380" s="144">
        <v>5.6351670000000027</v>
      </c>
      <c r="R380" s="877"/>
      <c r="S380" s="879"/>
      <c r="T380" s="146" t="s">
        <v>20211</v>
      </c>
      <c r="U380" s="879"/>
      <c r="V380" s="879"/>
      <c r="W380" s="881"/>
      <c r="X380" s="43"/>
      <c r="Y380" s="875"/>
      <c r="Z380" s="874"/>
      <c r="AA380" s="1" t="s">
        <v>1142</v>
      </c>
      <c r="AB380" s="9">
        <v>40</v>
      </c>
      <c r="AC380" s="151" t="s">
        <v>522</v>
      </c>
      <c r="AD380" s="151">
        <v>40.5</v>
      </c>
      <c r="AE380" s="151"/>
      <c r="AF380" s="152"/>
      <c r="AG380" s="143" t="s">
        <v>20263</v>
      </c>
      <c r="AH380" s="144">
        <v>7.0963456521739143</v>
      </c>
      <c r="AI380" s="144">
        <v>30.778488652173912</v>
      </c>
      <c r="AJ380" s="144">
        <v>1.21</v>
      </c>
      <c r="AK380" s="143">
        <v>120</v>
      </c>
      <c r="AL380" s="144">
        <v>29.568488652173912</v>
      </c>
      <c r="AM380" s="144">
        <v>13.892689999999998</v>
      </c>
      <c r="AN380" s="29">
        <v>42</v>
      </c>
      <c r="AO380" s="144">
        <v>-1.4611786521739099</v>
      </c>
      <c r="AP380" s="903"/>
      <c r="AQ380" s="903" t="s">
        <v>20211</v>
      </c>
      <c r="AR380" s="146" t="s">
        <v>20211</v>
      </c>
      <c r="AS380" s="946"/>
      <c r="AT380" s="58" t="s">
        <v>50</v>
      </c>
      <c r="AU380" s="118">
        <v>1957</v>
      </c>
      <c r="AV380" s="149" t="s">
        <v>2143</v>
      </c>
      <c r="AW380" s="120">
        <v>56.652821284373097</v>
      </c>
      <c r="AX380" s="120">
        <v>36.286133958084797</v>
      </c>
    </row>
    <row r="381" spans="1:50" ht="15" customHeight="1" x14ac:dyDescent="0.25">
      <c r="A381" s="875"/>
      <c r="B381" s="875"/>
      <c r="C381" s="1" t="s">
        <v>1141</v>
      </c>
      <c r="D381" s="9">
        <v>40</v>
      </c>
      <c r="E381" s="503" t="s">
        <v>522</v>
      </c>
      <c r="F381" s="503">
        <v>40.5</v>
      </c>
      <c r="G381" s="503"/>
      <c r="H381" s="501"/>
      <c r="I381" s="151" t="s">
        <v>20263</v>
      </c>
      <c r="J381" s="31">
        <v>4.7644200000000003</v>
      </c>
      <c r="K381" s="34">
        <v>0</v>
      </c>
      <c r="L381" s="4">
        <v>0</v>
      </c>
      <c r="M381" s="144">
        <v>4.7644200000000003</v>
      </c>
      <c r="N381" s="504">
        <v>15.738599999999998</v>
      </c>
      <c r="O381" s="518" t="s">
        <v>18162</v>
      </c>
      <c r="P381" s="29">
        <v>42</v>
      </c>
      <c r="Q381" s="144">
        <v>21.496980000000001</v>
      </c>
      <c r="R381" s="877"/>
      <c r="S381" s="879"/>
      <c r="T381" s="146" t="s">
        <v>20211</v>
      </c>
      <c r="U381" s="879"/>
      <c r="V381" s="879"/>
      <c r="W381" s="882"/>
      <c r="X381" s="43"/>
      <c r="Y381" s="875"/>
      <c r="Z381" s="874"/>
      <c r="AA381" s="1" t="s">
        <v>1141</v>
      </c>
      <c r="AB381" s="9">
        <v>40</v>
      </c>
      <c r="AC381" s="151" t="s">
        <v>522</v>
      </c>
      <c r="AD381" s="151">
        <v>40.5</v>
      </c>
      <c r="AE381" s="151"/>
      <c r="AF381" s="152"/>
      <c r="AG381" s="143" t="s">
        <v>20263</v>
      </c>
      <c r="AH381" s="144">
        <v>0.48913043478260865</v>
      </c>
      <c r="AI381" s="144">
        <v>5.2535504347826087</v>
      </c>
      <c r="AJ381" s="144">
        <v>0</v>
      </c>
      <c r="AK381" s="143">
        <v>0</v>
      </c>
      <c r="AL381" s="144">
        <v>5.2535504347826087</v>
      </c>
      <c r="AM381" s="144">
        <v>15.738599999999998</v>
      </c>
      <c r="AN381" s="29">
        <v>42</v>
      </c>
      <c r="AO381" s="144">
        <v>21.007849565217391</v>
      </c>
      <c r="AP381" s="904"/>
      <c r="AQ381" s="904" t="s">
        <v>20211</v>
      </c>
      <c r="AR381" s="146" t="s">
        <v>20211</v>
      </c>
      <c r="AS381" s="947"/>
      <c r="AT381" s="58" t="s">
        <v>50</v>
      </c>
      <c r="AU381" s="118">
        <v>1957</v>
      </c>
      <c r="AV381" s="149" t="s">
        <v>2143</v>
      </c>
      <c r="AW381" s="120">
        <v>56.652821284373097</v>
      </c>
      <c r="AX381" s="120">
        <v>36.286133958084797</v>
      </c>
    </row>
    <row r="382" spans="1:50" ht="15" customHeight="1" x14ac:dyDescent="0.25">
      <c r="A382" s="875">
        <v>280</v>
      </c>
      <c r="B382" s="875">
        <v>79</v>
      </c>
      <c r="C382" s="143" t="s">
        <v>180</v>
      </c>
      <c r="D382" s="9">
        <v>10</v>
      </c>
      <c r="E382" s="503" t="s">
        <v>522</v>
      </c>
      <c r="F382" s="503">
        <v>16</v>
      </c>
      <c r="G382" s="503"/>
      <c r="H382" s="501"/>
      <c r="I382" s="151" t="s">
        <v>20258</v>
      </c>
      <c r="J382" s="31">
        <v>6.439406</v>
      </c>
      <c r="K382" s="33">
        <v>1.79</v>
      </c>
      <c r="L382" s="3">
        <v>120</v>
      </c>
      <c r="M382" s="144">
        <v>4.6494059999999999</v>
      </c>
      <c r="N382" s="504">
        <v>0</v>
      </c>
      <c r="O382" s="29"/>
      <c r="P382" s="29">
        <v>10.5</v>
      </c>
      <c r="Q382" s="144">
        <v>5.8505940000000001</v>
      </c>
      <c r="R382" s="877">
        <v>5.8505940000000001</v>
      </c>
      <c r="S382" s="878" t="s">
        <v>20211</v>
      </c>
      <c r="T382" s="146" t="s">
        <v>20211</v>
      </c>
      <c r="U382" s="878">
        <v>61.32767619047619</v>
      </c>
      <c r="V382" s="878">
        <v>0.4</v>
      </c>
      <c r="W382" s="880" t="s">
        <v>13375</v>
      </c>
      <c r="X382" s="43"/>
      <c r="Y382" s="875">
        <v>280</v>
      </c>
      <c r="Z382" s="874">
        <v>79</v>
      </c>
      <c r="AA382" s="143" t="s">
        <v>180</v>
      </c>
      <c r="AB382" s="9">
        <v>10</v>
      </c>
      <c r="AC382" s="151" t="s">
        <v>522</v>
      </c>
      <c r="AD382" s="151">
        <v>16</v>
      </c>
      <c r="AE382" s="151"/>
      <c r="AF382" s="152"/>
      <c r="AG382" s="143" t="s">
        <v>20258</v>
      </c>
      <c r="AH382" s="144">
        <v>0.83259782608695665</v>
      </c>
      <c r="AI382" s="144">
        <v>7.2720038260869568</v>
      </c>
      <c r="AJ382" s="144">
        <v>1.79</v>
      </c>
      <c r="AK382" s="143">
        <v>120</v>
      </c>
      <c r="AL382" s="144">
        <v>5.4820038260869568</v>
      </c>
      <c r="AM382" s="144">
        <v>0</v>
      </c>
      <c r="AN382" s="29">
        <v>10.5</v>
      </c>
      <c r="AO382" s="144">
        <v>5.0179961739130432</v>
      </c>
      <c r="AP382" s="902">
        <v>5.0179961739130432</v>
      </c>
      <c r="AQ382" s="902" t="s">
        <v>20211</v>
      </c>
      <c r="AR382" s="146" t="s">
        <v>20211</v>
      </c>
      <c r="AS382" s="945">
        <v>69.257179296066255</v>
      </c>
      <c r="AT382" s="58" t="s">
        <v>50</v>
      </c>
      <c r="AU382" s="118">
        <v>1964</v>
      </c>
      <c r="AV382" s="149" t="s">
        <v>2143</v>
      </c>
      <c r="AW382" s="120">
        <v>57.3406360797293</v>
      </c>
      <c r="AX382" s="120">
        <v>36.047738987915402</v>
      </c>
    </row>
    <row r="383" spans="1:50" ht="15" customHeight="1" x14ac:dyDescent="0.25">
      <c r="A383" s="875"/>
      <c r="B383" s="875"/>
      <c r="C383" s="1" t="s">
        <v>1142</v>
      </c>
      <c r="D383" s="9">
        <v>10</v>
      </c>
      <c r="E383" s="503" t="s">
        <v>522</v>
      </c>
      <c r="F383" s="503">
        <v>16</v>
      </c>
      <c r="G383" s="503"/>
      <c r="H383" s="501"/>
      <c r="I383" s="151" t="s">
        <v>20258</v>
      </c>
      <c r="J383" s="31">
        <v>3.1572499999999999</v>
      </c>
      <c r="K383" s="34">
        <v>1.26</v>
      </c>
      <c r="L383" s="4">
        <v>120</v>
      </c>
      <c r="M383" s="144">
        <v>1.8972499999999999</v>
      </c>
      <c r="N383" s="504">
        <v>0</v>
      </c>
      <c r="O383" s="29"/>
      <c r="P383" s="29">
        <v>10.5</v>
      </c>
      <c r="Q383" s="144">
        <v>8.6027500000000003</v>
      </c>
      <c r="R383" s="877"/>
      <c r="S383" s="879"/>
      <c r="T383" s="146" t="s">
        <v>20211</v>
      </c>
      <c r="U383" s="879"/>
      <c r="V383" s="879"/>
      <c r="W383" s="881"/>
      <c r="X383" s="43"/>
      <c r="Y383" s="875"/>
      <c r="Z383" s="874"/>
      <c r="AA383" s="1" t="s">
        <v>1142</v>
      </c>
      <c r="AB383" s="9">
        <v>10</v>
      </c>
      <c r="AC383" s="151" t="s">
        <v>522</v>
      </c>
      <c r="AD383" s="151">
        <v>16</v>
      </c>
      <c r="AE383" s="151"/>
      <c r="AF383" s="152"/>
      <c r="AG383" s="143" t="s">
        <v>20258</v>
      </c>
      <c r="AH383" s="144">
        <v>0.2303804347826087</v>
      </c>
      <c r="AI383" s="144">
        <v>3.3876304347826087</v>
      </c>
      <c r="AJ383" s="144">
        <v>1.26</v>
      </c>
      <c r="AK383" s="143">
        <v>120</v>
      </c>
      <c r="AL383" s="144">
        <v>2.1276304347826089</v>
      </c>
      <c r="AM383" s="144">
        <v>0</v>
      </c>
      <c r="AN383" s="29">
        <v>10.5</v>
      </c>
      <c r="AO383" s="144">
        <v>8.3723695652173902</v>
      </c>
      <c r="AP383" s="903"/>
      <c r="AQ383" s="903" t="s">
        <v>20211</v>
      </c>
      <c r="AR383" s="146" t="s">
        <v>20211</v>
      </c>
      <c r="AS383" s="946"/>
      <c r="AT383" s="58" t="s">
        <v>50</v>
      </c>
      <c r="AU383" s="118">
        <v>1964</v>
      </c>
      <c r="AV383" s="149" t="s">
        <v>2143</v>
      </c>
      <c r="AW383" s="120">
        <v>57.3406360797293</v>
      </c>
      <c r="AX383" s="120">
        <v>36.047738987915402</v>
      </c>
    </row>
    <row r="384" spans="1:50" ht="15" customHeight="1" x14ac:dyDescent="0.25">
      <c r="A384" s="875"/>
      <c r="B384" s="875"/>
      <c r="C384" s="1" t="s">
        <v>1141</v>
      </c>
      <c r="D384" s="9">
        <v>10</v>
      </c>
      <c r="E384" s="503" t="s">
        <v>522</v>
      </c>
      <c r="F384" s="503">
        <v>16</v>
      </c>
      <c r="G384" s="503"/>
      <c r="H384" s="501"/>
      <c r="I384" s="151" t="s">
        <v>20258</v>
      </c>
      <c r="J384" s="31">
        <v>3.2821559999999996</v>
      </c>
      <c r="K384" s="34">
        <v>0.53</v>
      </c>
      <c r="L384" s="4">
        <v>120</v>
      </c>
      <c r="M384" s="144">
        <v>2.7521559999999994</v>
      </c>
      <c r="N384" s="504">
        <v>0</v>
      </c>
      <c r="O384" s="29"/>
      <c r="P384" s="29">
        <v>10.5</v>
      </c>
      <c r="Q384" s="144">
        <v>7.7478440000000006</v>
      </c>
      <c r="R384" s="877"/>
      <c r="S384" s="879"/>
      <c r="T384" s="146" t="s">
        <v>20211</v>
      </c>
      <c r="U384" s="879"/>
      <c r="V384" s="879"/>
      <c r="W384" s="882"/>
      <c r="X384" s="43"/>
      <c r="Y384" s="875"/>
      <c r="Z384" s="874"/>
      <c r="AA384" s="1" t="s">
        <v>1141</v>
      </c>
      <c r="AB384" s="9">
        <v>10</v>
      </c>
      <c r="AC384" s="151" t="s">
        <v>522</v>
      </c>
      <c r="AD384" s="151">
        <v>16</v>
      </c>
      <c r="AE384" s="151"/>
      <c r="AF384" s="152"/>
      <c r="AG384" s="143" t="s">
        <v>20258</v>
      </c>
      <c r="AH384" s="144">
        <v>0.60221739130434793</v>
      </c>
      <c r="AI384" s="144">
        <v>3.8843733913043477</v>
      </c>
      <c r="AJ384" s="144">
        <v>0.53</v>
      </c>
      <c r="AK384" s="143">
        <v>120</v>
      </c>
      <c r="AL384" s="144">
        <v>3.3543733913043479</v>
      </c>
      <c r="AM384" s="144">
        <v>0</v>
      </c>
      <c r="AN384" s="29">
        <v>10.5</v>
      </c>
      <c r="AO384" s="144">
        <v>7.1456266086956521</v>
      </c>
      <c r="AP384" s="904"/>
      <c r="AQ384" s="904" t="s">
        <v>20211</v>
      </c>
      <c r="AR384" s="146" t="s">
        <v>20211</v>
      </c>
      <c r="AS384" s="947"/>
      <c r="AT384" s="58" t="s">
        <v>50</v>
      </c>
      <c r="AU384" s="118">
        <v>1964</v>
      </c>
      <c r="AV384" s="149" t="s">
        <v>2143</v>
      </c>
      <c r="AW384" s="120">
        <v>57.3406360797293</v>
      </c>
      <c r="AX384" s="120">
        <v>36.047738987915402</v>
      </c>
    </row>
    <row r="385" spans="1:50" ht="15" customHeight="1" x14ac:dyDescent="0.25">
      <c r="A385" s="875">
        <v>281</v>
      </c>
      <c r="B385" s="875">
        <v>80</v>
      </c>
      <c r="C385" s="143" t="s">
        <v>181</v>
      </c>
      <c r="D385" s="9">
        <v>25</v>
      </c>
      <c r="E385" s="503" t="s">
        <v>522</v>
      </c>
      <c r="F385" s="503">
        <v>25</v>
      </c>
      <c r="G385" s="503"/>
      <c r="H385" s="501"/>
      <c r="I385" s="151" t="s">
        <v>20226</v>
      </c>
      <c r="J385" s="31">
        <v>0.329565</v>
      </c>
      <c r="K385" s="33">
        <v>0</v>
      </c>
      <c r="L385" s="3">
        <v>0</v>
      </c>
      <c r="M385" s="144">
        <v>0.329565</v>
      </c>
      <c r="N385" s="504">
        <v>0</v>
      </c>
      <c r="O385" s="29"/>
      <c r="P385" s="29">
        <v>26.25</v>
      </c>
      <c r="Q385" s="144">
        <v>25.920435000000001</v>
      </c>
      <c r="R385" s="877">
        <v>14.47</v>
      </c>
      <c r="S385" s="878" t="s">
        <v>20211</v>
      </c>
      <c r="T385" s="146" t="s">
        <v>20211</v>
      </c>
      <c r="U385" s="878">
        <v>1.2554857142857143</v>
      </c>
      <c r="V385" s="878">
        <v>0.5</v>
      </c>
      <c r="W385" s="880" t="s">
        <v>13375</v>
      </c>
      <c r="X385" s="43"/>
      <c r="Y385" s="875">
        <v>281</v>
      </c>
      <c r="Z385" s="874">
        <v>80</v>
      </c>
      <c r="AA385" s="143" t="s">
        <v>181</v>
      </c>
      <c r="AB385" s="9">
        <v>25</v>
      </c>
      <c r="AC385" s="151" t="s">
        <v>522</v>
      </c>
      <c r="AD385" s="151">
        <v>25</v>
      </c>
      <c r="AE385" s="151"/>
      <c r="AF385" s="152"/>
      <c r="AG385" s="143" t="s">
        <v>20226</v>
      </c>
      <c r="AH385" s="144">
        <v>8.7456521739130419E-2</v>
      </c>
      <c r="AI385" s="144">
        <v>0.41702152173913043</v>
      </c>
      <c r="AJ385" s="144">
        <v>0</v>
      </c>
      <c r="AK385" s="143">
        <v>0</v>
      </c>
      <c r="AL385" s="144">
        <v>0.41702152173913043</v>
      </c>
      <c r="AM385" s="144">
        <v>0</v>
      </c>
      <c r="AN385" s="29">
        <v>26.25</v>
      </c>
      <c r="AO385" s="144">
        <v>25.83297847826087</v>
      </c>
      <c r="AP385" s="902">
        <v>14.47</v>
      </c>
      <c r="AQ385" s="902" t="s">
        <v>20211</v>
      </c>
      <c r="AR385" s="146" t="s">
        <v>20211</v>
      </c>
      <c r="AS385" s="945">
        <v>1.5886534161490682</v>
      </c>
      <c r="AT385" s="58" t="s">
        <v>50</v>
      </c>
      <c r="AU385" s="118">
        <v>1983</v>
      </c>
      <c r="AV385" s="149" t="s">
        <v>2143</v>
      </c>
      <c r="AW385" s="120">
        <v>57.187139393143099</v>
      </c>
      <c r="AX385" s="120">
        <v>35.854838183759199</v>
      </c>
    </row>
    <row r="386" spans="1:50" ht="15" customHeight="1" x14ac:dyDescent="0.25">
      <c r="A386" s="875"/>
      <c r="B386" s="875"/>
      <c r="C386" s="1" t="s">
        <v>1142</v>
      </c>
      <c r="D386" s="9">
        <v>25</v>
      </c>
      <c r="E386" s="503" t="s">
        <v>522</v>
      </c>
      <c r="F386" s="503">
        <v>25</v>
      </c>
      <c r="G386" s="503"/>
      <c r="H386" s="501"/>
      <c r="I386" s="151" t="s">
        <v>20226</v>
      </c>
      <c r="J386" s="31">
        <v>0.329565</v>
      </c>
      <c r="K386" s="34">
        <v>0</v>
      </c>
      <c r="L386" s="4">
        <v>0</v>
      </c>
      <c r="M386" s="144">
        <v>0.329565</v>
      </c>
      <c r="N386" s="504">
        <v>0</v>
      </c>
      <c r="O386" s="29"/>
      <c r="P386" s="29">
        <v>26.25</v>
      </c>
      <c r="Q386" s="144">
        <v>25.920435000000001</v>
      </c>
      <c r="R386" s="877"/>
      <c r="S386" s="879"/>
      <c r="T386" s="146" t="s">
        <v>20211</v>
      </c>
      <c r="U386" s="879"/>
      <c r="V386" s="879"/>
      <c r="W386" s="881"/>
      <c r="X386" s="43"/>
      <c r="Y386" s="875"/>
      <c r="Z386" s="874"/>
      <c r="AA386" s="1" t="s">
        <v>1142</v>
      </c>
      <c r="AB386" s="9">
        <v>25</v>
      </c>
      <c r="AC386" s="151" t="s">
        <v>522</v>
      </c>
      <c r="AD386" s="151">
        <v>25</v>
      </c>
      <c r="AE386" s="151"/>
      <c r="AF386" s="152"/>
      <c r="AG386" s="143" t="s">
        <v>20226</v>
      </c>
      <c r="AH386" s="144">
        <v>8.7456521739130419E-2</v>
      </c>
      <c r="AI386" s="144">
        <v>0.41702152173913043</v>
      </c>
      <c r="AJ386" s="144">
        <v>0</v>
      </c>
      <c r="AK386" s="143">
        <v>0</v>
      </c>
      <c r="AL386" s="144">
        <v>0.41702152173913043</v>
      </c>
      <c r="AM386" s="144">
        <v>0</v>
      </c>
      <c r="AN386" s="29">
        <v>26.25</v>
      </c>
      <c r="AO386" s="144">
        <v>25.83297847826087</v>
      </c>
      <c r="AP386" s="903"/>
      <c r="AQ386" s="903" t="s">
        <v>20211</v>
      </c>
      <c r="AR386" s="146" t="s">
        <v>20211</v>
      </c>
      <c r="AS386" s="946"/>
      <c r="AT386" s="58" t="s">
        <v>50</v>
      </c>
      <c r="AU386" s="118">
        <v>1983</v>
      </c>
      <c r="AV386" s="149" t="s">
        <v>2143</v>
      </c>
      <c r="AW386" s="120">
        <v>57.187139393143099</v>
      </c>
      <c r="AX386" s="120">
        <v>35.854838183759199</v>
      </c>
    </row>
    <row r="387" spans="1:50" ht="15" customHeight="1" x14ac:dyDescent="0.25">
      <c r="A387" s="875"/>
      <c r="B387" s="875"/>
      <c r="C387" s="1" t="s">
        <v>1141</v>
      </c>
      <c r="D387" s="9">
        <v>25</v>
      </c>
      <c r="E387" s="503" t="s">
        <v>522</v>
      </c>
      <c r="F387" s="503">
        <v>25</v>
      </c>
      <c r="G387" s="503"/>
      <c r="H387" s="501"/>
      <c r="I387" s="151" t="s">
        <v>20226</v>
      </c>
      <c r="J387" s="31">
        <v>0</v>
      </c>
      <c r="K387" s="34">
        <v>0</v>
      </c>
      <c r="L387" s="4">
        <v>0</v>
      </c>
      <c r="M387" s="144">
        <v>0</v>
      </c>
      <c r="N387" s="504">
        <v>11.78</v>
      </c>
      <c r="O387" s="29" t="s">
        <v>2019</v>
      </c>
      <c r="P387" s="29">
        <v>26.25</v>
      </c>
      <c r="Q387" s="144">
        <v>14.47</v>
      </c>
      <c r="R387" s="877"/>
      <c r="S387" s="879"/>
      <c r="T387" s="146" t="s">
        <v>20211</v>
      </c>
      <c r="U387" s="879"/>
      <c r="V387" s="879"/>
      <c r="W387" s="882"/>
      <c r="X387" s="43"/>
      <c r="Y387" s="875"/>
      <c r="Z387" s="874"/>
      <c r="AA387" s="1" t="s">
        <v>1141</v>
      </c>
      <c r="AB387" s="9">
        <v>25</v>
      </c>
      <c r="AC387" s="151" t="s">
        <v>522</v>
      </c>
      <c r="AD387" s="151">
        <v>25</v>
      </c>
      <c r="AE387" s="151"/>
      <c r="AF387" s="152"/>
      <c r="AG387" s="143" t="s">
        <v>20226</v>
      </c>
      <c r="AH387" s="148">
        <v>0</v>
      </c>
      <c r="AI387" s="144">
        <v>0</v>
      </c>
      <c r="AJ387" s="144">
        <v>0</v>
      </c>
      <c r="AK387" s="143">
        <v>0</v>
      </c>
      <c r="AL387" s="144">
        <v>0</v>
      </c>
      <c r="AM387" s="144">
        <v>11.78</v>
      </c>
      <c r="AN387" s="29">
        <v>26.25</v>
      </c>
      <c r="AO387" s="144">
        <v>14.47</v>
      </c>
      <c r="AP387" s="904"/>
      <c r="AQ387" s="904" t="s">
        <v>20211</v>
      </c>
      <c r="AR387" s="146" t="s">
        <v>20211</v>
      </c>
      <c r="AS387" s="947"/>
      <c r="AT387" s="58" t="s">
        <v>50</v>
      </c>
      <c r="AU387" s="118">
        <v>1983</v>
      </c>
      <c r="AV387" s="149" t="s">
        <v>2143</v>
      </c>
      <c r="AW387" s="120">
        <v>57.187139393143099</v>
      </c>
      <c r="AX387" s="120">
        <v>35.854838183759199</v>
      </c>
    </row>
    <row r="388" spans="1:50" ht="15" customHeight="1" x14ac:dyDescent="0.25">
      <c r="A388" s="143">
        <v>282</v>
      </c>
      <c r="B388" s="168">
        <v>1</v>
      </c>
      <c r="C388" s="168" t="s">
        <v>182</v>
      </c>
      <c r="D388" s="12">
        <v>2.5</v>
      </c>
      <c r="E388" s="13"/>
      <c r="F388" s="13"/>
      <c r="G388" s="13"/>
      <c r="H388" s="508"/>
      <c r="I388" s="151" t="s">
        <v>20212</v>
      </c>
      <c r="J388" s="114">
        <v>0.78</v>
      </c>
      <c r="K388" s="513">
        <v>0.78</v>
      </c>
      <c r="L388" s="512" t="s">
        <v>248</v>
      </c>
      <c r="M388" s="167">
        <v>0.78</v>
      </c>
      <c r="N388" s="504">
        <v>0</v>
      </c>
      <c r="O388" s="29"/>
      <c r="P388" s="32">
        <v>0.78</v>
      </c>
      <c r="Q388" s="167">
        <v>0</v>
      </c>
      <c r="R388" s="167">
        <v>0</v>
      </c>
      <c r="S388" s="145" t="s">
        <v>20211</v>
      </c>
      <c r="T388" s="146" t="s">
        <v>20211</v>
      </c>
      <c r="U388" s="145">
        <v>29.714285714285715</v>
      </c>
      <c r="V388" s="505">
        <v>0.5</v>
      </c>
      <c r="W388" s="505" t="s">
        <v>2024</v>
      </c>
      <c r="X388" s="43"/>
      <c r="Y388" s="143">
        <v>282</v>
      </c>
      <c r="Z388" s="155">
        <v>1</v>
      </c>
      <c r="AA388" s="168" t="s">
        <v>182</v>
      </c>
      <c r="AB388" s="12">
        <v>2.5</v>
      </c>
      <c r="AC388" s="13"/>
      <c r="AD388" s="13"/>
      <c r="AE388" s="13"/>
      <c r="AF388" s="155"/>
      <c r="AG388" s="143" t="s">
        <v>20212</v>
      </c>
      <c r="AH388" s="167">
        <v>2.8173913043478261E-2</v>
      </c>
      <c r="AI388" s="167">
        <v>0.8081739130434783</v>
      </c>
      <c r="AJ388" s="144">
        <v>0.78</v>
      </c>
      <c r="AK388" s="143" t="s">
        <v>248</v>
      </c>
      <c r="AL388" s="144">
        <v>0.78</v>
      </c>
      <c r="AM388" s="144">
        <v>0</v>
      </c>
      <c r="AN388" s="32">
        <v>0.78</v>
      </c>
      <c r="AO388" s="167">
        <v>-2.8173913043478271E-2</v>
      </c>
      <c r="AP388" s="167">
        <v>-2.8173913043478271E-2</v>
      </c>
      <c r="AQ388" s="168" t="s">
        <v>2217</v>
      </c>
      <c r="AR388" s="146" t="s">
        <v>2217</v>
      </c>
      <c r="AS388" s="59">
        <v>30.787577639751557</v>
      </c>
      <c r="AT388" s="116" t="s">
        <v>49</v>
      </c>
      <c r="AU388" s="118">
        <v>1976</v>
      </c>
      <c r="AV388" s="149">
        <v>2013</v>
      </c>
      <c r="AW388" s="120">
        <v>56.8301746418446</v>
      </c>
      <c r="AX388" s="120">
        <v>34.607680731350698</v>
      </c>
    </row>
    <row r="389" spans="1:50" ht="15" customHeight="1" x14ac:dyDescent="0.25">
      <c r="A389" s="143">
        <v>283</v>
      </c>
      <c r="B389" s="168">
        <v>2</v>
      </c>
      <c r="C389" s="168" t="s">
        <v>183</v>
      </c>
      <c r="D389" s="12">
        <v>2.5</v>
      </c>
      <c r="E389" s="13"/>
      <c r="F389" s="13"/>
      <c r="G389" s="13"/>
      <c r="H389" s="508"/>
      <c r="I389" s="151" t="s">
        <v>20212</v>
      </c>
      <c r="J389" s="114">
        <v>0.27</v>
      </c>
      <c r="K389" s="513">
        <v>0.27</v>
      </c>
      <c r="L389" s="512" t="s">
        <v>248</v>
      </c>
      <c r="M389" s="167">
        <v>0.27</v>
      </c>
      <c r="N389" s="504">
        <v>0</v>
      </c>
      <c r="O389" s="29"/>
      <c r="P389" s="32">
        <v>0.27</v>
      </c>
      <c r="Q389" s="167">
        <v>0</v>
      </c>
      <c r="R389" s="167">
        <v>0</v>
      </c>
      <c r="S389" s="145" t="s">
        <v>20211</v>
      </c>
      <c r="T389" s="146" t="s">
        <v>20211</v>
      </c>
      <c r="U389" s="145">
        <v>10.285714285714286</v>
      </c>
      <c r="V389" s="505">
        <v>0.73</v>
      </c>
      <c r="W389" s="505" t="s">
        <v>2024</v>
      </c>
      <c r="X389" s="43"/>
      <c r="Y389" s="143">
        <v>283</v>
      </c>
      <c r="Z389" s="155">
        <v>2</v>
      </c>
      <c r="AA389" s="168" t="s">
        <v>183</v>
      </c>
      <c r="AB389" s="12">
        <v>2.5</v>
      </c>
      <c r="AC389" s="13"/>
      <c r="AD389" s="13"/>
      <c r="AE389" s="13"/>
      <c r="AF389" s="155"/>
      <c r="AG389" s="143" t="s">
        <v>20212</v>
      </c>
      <c r="AH389" s="167">
        <v>0.56386956521739129</v>
      </c>
      <c r="AI389" s="167">
        <v>0.83386956521739131</v>
      </c>
      <c r="AJ389" s="144">
        <v>0.27</v>
      </c>
      <c r="AK389" s="143" t="s">
        <v>248</v>
      </c>
      <c r="AL389" s="144">
        <v>0.27</v>
      </c>
      <c r="AM389" s="144">
        <v>0</v>
      </c>
      <c r="AN389" s="32">
        <v>0.27</v>
      </c>
      <c r="AO389" s="167">
        <v>-0.56386956521739129</v>
      </c>
      <c r="AP389" s="167">
        <v>-0.56386956521739129</v>
      </c>
      <c r="AQ389" s="168" t="s">
        <v>2217</v>
      </c>
      <c r="AR389" s="146" t="s">
        <v>2217</v>
      </c>
      <c r="AS389" s="59">
        <v>31.766459627329194</v>
      </c>
      <c r="AT389" s="116" t="s">
        <v>49</v>
      </c>
      <c r="AU389" s="118">
        <v>1990</v>
      </c>
      <c r="AV389" s="149" t="s">
        <v>2143</v>
      </c>
      <c r="AW389" s="120">
        <v>56.890550852858198</v>
      </c>
      <c r="AX389" s="120">
        <v>34.736810070502301</v>
      </c>
    </row>
    <row r="390" spans="1:50" ht="15" customHeight="1" x14ac:dyDescent="0.25">
      <c r="A390" s="143">
        <v>284</v>
      </c>
      <c r="B390" s="168">
        <v>3</v>
      </c>
      <c r="C390" s="168" t="s">
        <v>184</v>
      </c>
      <c r="D390" s="12">
        <v>0.56000000000000005</v>
      </c>
      <c r="E390" s="13"/>
      <c r="F390" s="13"/>
      <c r="G390" s="13"/>
      <c r="H390" s="508"/>
      <c r="I390" s="151" t="s">
        <v>20264</v>
      </c>
      <c r="J390" s="114">
        <v>0.02</v>
      </c>
      <c r="K390" s="513">
        <v>0</v>
      </c>
      <c r="L390" s="512">
        <v>0</v>
      </c>
      <c r="M390" s="167">
        <v>0</v>
      </c>
      <c r="N390" s="504">
        <v>0</v>
      </c>
      <c r="O390" s="29"/>
      <c r="P390" s="32">
        <v>0</v>
      </c>
      <c r="Q390" s="167">
        <v>-0.02</v>
      </c>
      <c r="R390" s="167">
        <v>-0.02</v>
      </c>
      <c r="S390" s="168" t="s">
        <v>2217</v>
      </c>
      <c r="T390" s="146" t="s">
        <v>2217</v>
      </c>
      <c r="U390" s="145">
        <v>3.4013605442176864</v>
      </c>
      <c r="V390" s="505">
        <v>0.33</v>
      </c>
      <c r="W390" s="505" t="s">
        <v>2024</v>
      </c>
      <c r="X390" s="43"/>
      <c r="Y390" s="143">
        <v>284</v>
      </c>
      <c r="Z390" s="155">
        <v>3</v>
      </c>
      <c r="AA390" s="168" t="s">
        <v>184</v>
      </c>
      <c r="AB390" s="12">
        <v>0.56000000000000005</v>
      </c>
      <c r="AC390" s="13"/>
      <c r="AD390" s="13"/>
      <c r="AE390" s="13"/>
      <c r="AF390" s="155"/>
      <c r="AG390" s="143" t="s">
        <v>20264</v>
      </c>
      <c r="AH390" s="167">
        <v>0</v>
      </c>
      <c r="AI390" s="167">
        <v>0.02</v>
      </c>
      <c r="AJ390" s="144">
        <v>0</v>
      </c>
      <c r="AK390" s="143">
        <v>0</v>
      </c>
      <c r="AL390" s="144">
        <v>0</v>
      </c>
      <c r="AM390" s="144">
        <v>0</v>
      </c>
      <c r="AN390" s="32">
        <v>0</v>
      </c>
      <c r="AO390" s="167">
        <v>-0.02</v>
      </c>
      <c r="AP390" s="167">
        <v>-0.02</v>
      </c>
      <c r="AQ390" s="14" t="s">
        <v>2217</v>
      </c>
      <c r="AR390" s="146" t="s">
        <v>2217</v>
      </c>
      <c r="AS390" s="59">
        <v>3.4013605442176864</v>
      </c>
      <c r="AT390" s="116" t="s">
        <v>49</v>
      </c>
      <c r="AU390" s="118">
        <v>1970</v>
      </c>
      <c r="AV390" s="149" t="s">
        <v>2143</v>
      </c>
      <c r="AW390" s="120">
        <v>57.178198819369499</v>
      </c>
      <c r="AX390" s="120">
        <v>33.725861625238501</v>
      </c>
    </row>
    <row r="391" spans="1:50" ht="15" customHeight="1" x14ac:dyDescent="0.25">
      <c r="A391" s="143">
        <v>285</v>
      </c>
      <c r="B391" s="168">
        <v>4</v>
      </c>
      <c r="C391" s="168" t="s">
        <v>185</v>
      </c>
      <c r="D391" s="12">
        <v>2.5</v>
      </c>
      <c r="E391" s="13"/>
      <c r="F391" s="13"/>
      <c r="G391" s="13"/>
      <c r="H391" s="508"/>
      <c r="I391" s="151" t="s">
        <v>20212</v>
      </c>
      <c r="J391" s="114">
        <v>1.1299999999999999</v>
      </c>
      <c r="K391" s="513">
        <v>1.1299999999999999</v>
      </c>
      <c r="L391" s="512" t="s">
        <v>248</v>
      </c>
      <c r="M391" s="167">
        <v>1.1299999999999999</v>
      </c>
      <c r="N391" s="504">
        <v>0</v>
      </c>
      <c r="O391" s="29"/>
      <c r="P391" s="32">
        <v>1.1299999999999999</v>
      </c>
      <c r="Q391" s="167">
        <v>0</v>
      </c>
      <c r="R391" s="167">
        <v>0</v>
      </c>
      <c r="S391" s="168" t="s">
        <v>20211</v>
      </c>
      <c r="T391" s="146" t="s">
        <v>20211</v>
      </c>
      <c r="U391" s="145">
        <v>43.047619047619044</v>
      </c>
      <c r="V391" s="505">
        <v>0.7</v>
      </c>
      <c r="W391" s="505" t="s">
        <v>2024</v>
      </c>
      <c r="X391" s="43"/>
      <c r="Y391" s="143">
        <v>285</v>
      </c>
      <c r="Z391" s="155">
        <v>4</v>
      </c>
      <c r="AA391" s="168" t="s">
        <v>185</v>
      </c>
      <c r="AB391" s="12">
        <v>2.5</v>
      </c>
      <c r="AC391" s="13"/>
      <c r="AD391" s="13"/>
      <c r="AE391" s="13"/>
      <c r="AF391" s="155"/>
      <c r="AG391" s="143" t="s">
        <v>20212</v>
      </c>
      <c r="AH391" s="167">
        <v>4.9304347826086954E-2</v>
      </c>
      <c r="AI391" s="167">
        <v>1.179304347826087</v>
      </c>
      <c r="AJ391" s="144">
        <v>1.1299999999999999</v>
      </c>
      <c r="AK391" s="143" t="s">
        <v>248</v>
      </c>
      <c r="AL391" s="144">
        <v>1.1299999999999999</v>
      </c>
      <c r="AM391" s="144">
        <v>0</v>
      </c>
      <c r="AN391" s="32">
        <v>1.1299999999999999</v>
      </c>
      <c r="AO391" s="167">
        <v>-4.9304347826087058E-2</v>
      </c>
      <c r="AP391" s="167">
        <v>-4.9304347826087058E-2</v>
      </c>
      <c r="AQ391" s="14" t="s">
        <v>2217</v>
      </c>
      <c r="AR391" s="146" t="s">
        <v>2217</v>
      </c>
      <c r="AS391" s="59">
        <v>44.925879917184268</v>
      </c>
      <c r="AT391" s="116" t="s">
        <v>49</v>
      </c>
      <c r="AU391" s="118">
        <v>1991</v>
      </c>
      <c r="AV391" s="149" t="s">
        <v>2143</v>
      </c>
      <c r="AW391" s="120">
        <v>56.9354846584773</v>
      </c>
      <c r="AX391" s="120">
        <v>34.451795016160503</v>
      </c>
    </row>
    <row r="392" spans="1:50" ht="15" customHeight="1" x14ac:dyDescent="0.25">
      <c r="A392" s="143">
        <v>286</v>
      </c>
      <c r="B392" s="168">
        <v>5</v>
      </c>
      <c r="C392" s="168" t="s">
        <v>186</v>
      </c>
      <c r="D392" s="12">
        <v>1.6</v>
      </c>
      <c r="E392" s="13"/>
      <c r="F392" s="13"/>
      <c r="G392" s="13"/>
      <c r="H392" s="508"/>
      <c r="I392" s="151" t="s">
        <v>20210</v>
      </c>
      <c r="J392" s="114">
        <v>0.18</v>
      </c>
      <c r="K392" s="513">
        <v>0</v>
      </c>
      <c r="L392" s="512">
        <v>0</v>
      </c>
      <c r="M392" s="167">
        <v>0</v>
      </c>
      <c r="N392" s="504">
        <v>0</v>
      </c>
      <c r="O392" s="29"/>
      <c r="P392" s="32">
        <v>0</v>
      </c>
      <c r="Q392" s="167">
        <v>-0.18</v>
      </c>
      <c r="R392" s="167">
        <v>-0.18</v>
      </c>
      <c r="S392" s="168" t="s">
        <v>2217</v>
      </c>
      <c r="T392" s="146" t="s">
        <v>2217</v>
      </c>
      <c r="U392" s="145">
        <v>10.714285714285714</v>
      </c>
      <c r="V392" s="505"/>
      <c r="W392" s="505" t="s">
        <v>2023</v>
      </c>
      <c r="X392" s="43"/>
      <c r="Y392" s="143">
        <v>286</v>
      </c>
      <c r="Z392" s="155">
        <v>5</v>
      </c>
      <c r="AA392" s="168" t="s">
        <v>186</v>
      </c>
      <c r="AB392" s="12">
        <v>1.6</v>
      </c>
      <c r="AC392" s="13"/>
      <c r="AD392" s="13"/>
      <c r="AE392" s="13"/>
      <c r="AF392" s="155"/>
      <c r="AG392" s="143" t="s">
        <v>20210</v>
      </c>
      <c r="AH392" s="167">
        <v>3.2282608695652172E-2</v>
      </c>
      <c r="AI392" s="167">
        <v>0.21228260869565216</v>
      </c>
      <c r="AJ392" s="144">
        <v>0</v>
      </c>
      <c r="AK392" s="143">
        <v>0</v>
      </c>
      <c r="AL392" s="144">
        <v>0</v>
      </c>
      <c r="AM392" s="144">
        <v>0</v>
      </c>
      <c r="AN392" s="32">
        <v>0</v>
      </c>
      <c r="AO392" s="167">
        <v>-0.21228260869565216</v>
      </c>
      <c r="AP392" s="167">
        <v>-0.21228260869565216</v>
      </c>
      <c r="AQ392" s="14" t="s">
        <v>2217</v>
      </c>
      <c r="AR392" s="146" t="s">
        <v>2217</v>
      </c>
      <c r="AS392" s="59">
        <v>12.635869565217389</v>
      </c>
      <c r="AT392" s="116" t="s">
        <v>49</v>
      </c>
      <c r="AU392" s="118">
        <v>1967</v>
      </c>
      <c r="AV392" s="149" t="s">
        <v>2143</v>
      </c>
      <c r="AW392" s="120">
        <v>57.0901837567651</v>
      </c>
      <c r="AX392" s="120">
        <v>34.158526964322803</v>
      </c>
    </row>
    <row r="393" spans="1:50" ht="15" customHeight="1" x14ac:dyDescent="0.25">
      <c r="A393" s="143">
        <v>287</v>
      </c>
      <c r="B393" s="168">
        <v>6</v>
      </c>
      <c r="C393" s="168" t="s">
        <v>187</v>
      </c>
      <c r="D393" s="12">
        <v>2.5</v>
      </c>
      <c r="E393" s="13"/>
      <c r="F393" s="13"/>
      <c r="G393" s="13"/>
      <c r="H393" s="508"/>
      <c r="I393" s="151" t="s">
        <v>20212</v>
      </c>
      <c r="J393" s="114">
        <v>0.02</v>
      </c>
      <c r="K393" s="513">
        <v>0.02</v>
      </c>
      <c r="L393" s="512" t="s">
        <v>248</v>
      </c>
      <c r="M393" s="167">
        <v>0.02</v>
      </c>
      <c r="N393" s="504">
        <v>0</v>
      </c>
      <c r="O393" s="29"/>
      <c r="P393" s="32">
        <v>0.02</v>
      </c>
      <c r="Q393" s="167">
        <v>0</v>
      </c>
      <c r="R393" s="167">
        <v>0</v>
      </c>
      <c r="S393" s="168" t="s">
        <v>20211</v>
      </c>
      <c r="T393" s="146" t="s">
        <v>20211</v>
      </c>
      <c r="U393" s="145">
        <v>0.76190476190476186</v>
      </c>
      <c r="V393" s="505"/>
      <c r="W393" s="505" t="s">
        <v>2023</v>
      </c>
      <c r="X393" s="43"/>
      <c r="Y393" s="143">
        <v>287</v>
      </c>
      <c r="Z393" s="155">
        <v>6</v>
      </c>
      <c r="AA393" s="168" t="s">
        <v>187</v>
      </c>
      <c r="AB393" s="12">
        <v>2.5</v>
      </c>
      <c r="AC393" s="13"/>
      <c r="AD393" s="13"/>
      <c r="AE393" s="13"/>
      <c r="AF393" s="155"/>
      <c r="AG393" s="143" t="s">
        <v>20212</v>
      </c>
      <c r="AH393" s="167">
        <v>0.1141304347826087</v>
      </c>
      <c r="AI393" s="167">
        <v>0.13413043478260869</v>
      </c>
      <c r="AJ393" s="144">
        <v>0.02</v>
      </c>
      <c r="AK393" s="143" t="s">
        <v>248</v>
      </c>
      <c r="AL393" s="144">
        <v>0.02</v>
      </c>
      <c r="AM393" s="144">
        <v>0</v>
      </c>
      <c r="AN393" s="32">
        <v>0.02</v>
      </c>
      <c r="AO393" s="167">
        <v>-0.11413043478260869</v>
      </c>
      <c r="AP393" s="167">
        <v>-0.11413043478260869</v>
      </c>
      <c r="AQ393" s="14" t="s">
        <v>2217</v>
      </c>
      <c r="AR393" s="146" t="s">
        <v>2217</v>
      </c>
      <c r="AS393" s="59">
        <v>5.1097308488612834</v>
      </c>
      <c r="AT393" s="116" t="s">
        <v>49</v>
      </c>
      <c r="AU393" s="118">
        <v>2005</v>
      </c>
      <c r="AV393" s="149" t="s">
        <v>2143</v>
      </c>
      <c r="AW393" s="120">
        <v>57.109680251436501</v>
      </c>
      <c r="AX393" s="120">
        <v>33.772291400337799</v>
      </c>
    </row>
    <row r="394" spans="1:50" ht="15" customHeight="1" x14ac:dyDescent="0.25">
      <c r="A394" s="143">
        <v>288</v>
      </c>
      <c r="B394" s="168">
        <v>7</v>
      </c>
      <c r="C394" s="168" t="s">
        <v>188</v>
      </c>
      <c r="D394" s="12">
        <v>2.5</v>
      </c>
      <c r="E394" s="13"/>
      <c r="F394" s="13"/>
      <c r="G394" s="13"/>
      <c r="H394" s="508"/>
      <c r="I394" s="151" t="s">
        <v>20212</v>
      </c>
      <c r="J394" s="114">
        <v>0.2</v>
      </c>
      <c r="K394" s="513">
        <v>0.2</v>
      </c>
      <c r="L394" s="512" t="s">
        <v>248</v>
      </c>
      <c r="M394" s="167">
        <v>0.2</v>
      </c>
      <c r="N394" s="504">
        <v>0</v>
      </c>
      <c r="O394" s="29"/>
      <c r="P394" s="32">
        <v>0.2</v>
      </c>
      <c r="Q394" s="167">
        <v>0</v>
      </c>
      <c r="R394" s="167">
        <v>0</v>
      </c>
      <c r="S394" s="168" t="s">
        <v>20211</v>
      </c>
      <c r="T394" s="146" t="s">
        <v>20211</v>
      </c>
      <c r="U394" s="145">
        <v>7.6190476190476186</v>
      </c>
      <c r="V394" s="505"/>
      <c r="W394" s="505" t="s">
        <v>2023</v>
      </c>
      <c r="X394" s="43"/>
      <c r="Y394" s="143">
        <v>288</v>
      </c>
      <c r="Z394" s="155">
        <v>7</v>
      </c>
      <c r="AA394" s="168" t="s">
        <v>188</v>
      </c>
      <c r="AB394" s="12">
        <v>2.5</v>
      </c>
      <c r="AC394" s="13"/>
      <c r="AD394" s="13"/>
      <c r="AE394" s="13"/>
      <c r="AF394" s="155"/>
      <c r="AG394" s="143" t="s">
        <v>20212</v>
      </c>
      <c r="AH394" s="167">
        <v>2.9347826086956522E-2</v>
      </c>
      <c r="AI394" s="167">
        <v>0.22934782608695653</v>
      </c>
      <c r="AJ394" s="144">
        <v>0.2</v>
      </c>
      <c r="AK394" s="143" t="s">
        <v>248</v>
      </c>
      <c r="AL394" s="144">
        <v>0.2</v>
      </c>
      <c r="AM394" s="144">
        <v>0</v>
      </c>
      <c r="AN394" s="32">
        <v>0.2</v>
      </c>
      <c r="AO394" s="167">
        <v>-2.9347826086956519E-2</v>
      </c>
      <c r="AP394" s="167">
        <v>-2.9347826086956519E-2</v>
      </c>
      <c r="AQ394" s="14" t="s">
        <v>2217</v>
      </c>
      <c r="AR394" s="146" t="s">
        <v>2217</v>
      </c>
      <c r="AS394" s="59">
        <v>8.737060041407867</v>
      </c>
      <c r="AT394" s="116" t="s">
        <v>49</v>
      </c>
      <c r="AU394" s="118">
        <v>1967</v>
      </c>
      <c r="AV394" s="149" t="s">
        <v>2143</v>
      </c>
      <c r="AW394" s="120">
        <v>56.655166180638801</v>
      </c>
      <c r="AX394" s="120">
        <v>33.265810048735098</v>
      </c>
    </row>
    <row r="395" spans="1:50" ht="15" customHeight="1" x14ac:dyDescent="0.25">
      <c r="A395" s="143">
        <v>289</v>
      </c>
      <c r="B395" s="168">
        <v>8</v>
      </c>
      <c r="C395" s="168" t="s">
        <v>189</v>
      </c>
      <c r="D395" s="12">
        <v>1.6</v>
      </c>
      <c r="E395" s="13"/>
      <c r="F395" s="13"/>
      <c r="G395" s="13"/>
      <c r="H395" s="508"/>
      <c r="I395" s="151" t="s">
        <v>20210</v>
      </c>
      <c r="J395" s="114">
        <v>0.11</v>
      </c>
      <c r="K395" s="513">
        <v>0.11</v>
      </c>
      <c r="L395" s="512" t="s">
        <v>248</v>
      </c>
      <c r="M395" s="167">
        <v>0.11</v>
      </c>
      <c r="N395" s="504">
        <v>0</v>
      </c>
      <c r="O395" s="29"/>
      <c r="P395" s="32">
        <v>0.11</v>
      </c>
      <c r="Q395" s="167">
        <v>0</v>
      </c>
      <c r="R395" s="167">
        <v>0</v>
      </c>
      <c r="S395" s="168" t="s">
        <v>20211</v>
      </c>
      <c r="T395" s="146" t="s">
        <v>20211</v>
      </c>
      <c r="U395" s="145">
        <v>6.5476190476190466</v>
      </c>
      <c r="V395" s="505">
        <v>0.46</v>
      </c>
      <c r="W395" s="505" t="s">
        <v>2024</v>
      </c>
      <c r="X395" s="43"/>
      <c r="Y395" s="143">
        <v>289</v>
      </c>
      <c r="Z395" s="155">
        <v>8</v>
      </c>
      <c r="AA395" s="168" t="s">
        <v>189</v>
      </c>
      <c r="AB395" s="12">
        <v>1.6</v>
      </c>
      <c r="AC395" s="13"/>
      <c r="AD395" s="13"/>
      <c r="AE395" s="13"/>
      <c r="AF395" s="155"/>
      <c r="AG395" s="143" t="s">
        <v>20210</v>
      </c>
      <c r="AH395" s="167">
        <v>0</v>
      </c>
      <c r="AI395" s="167">
        <v>0.11</v>
      </c>
      <c r="AJ395" s="144">
        <v>0.11</v>
      </c>
      <c r="AK395" s="143" t="s">
        <v>248</v>
      </c>
      <c r="AL395" s="144">
        <v>0.11</v>
      </c>
      <c r="AM395" s="144">
        <v>0</v>
      </c>
      <c r="AN395" s="32">
        <v>0.11</v>
      </c>
      <c r="AO395" s="167">
        <v>0</v>
      </c>
      <c r="AP395" s="167">
        <v>0</v>
      </c>
      <c r="AQ395" s="14" t="s">
        <v>20211</v>
      </c>
      <c r="AR395" s="146" t="s">
        <v>20211</v>
      </c>
      <c r="AS395" s="59">
        <v>6.5476190476190466</v>
      </c>
      <c r="AT395" s="116" t="s">
        <v>49</v>
      </c>
      <c r="AU395" s="118">
        <v>1986</v>
      </c>
      <c r="AV395" s="149" t="s">
        <v>2143</v>
      </c>
      <c r="AW395" s="120">
        <v>56.799069622315798</v>
      </c>
      <c r="AX395" s="120">
        <v>33.365244784147997</v>
      </c>
    </row>
    <row r="396" spans="1:50" ht="15" customHeight="1" x14ac:dyDescent="0.25">
      <c r="A396" s="143">
        <v>290</v>
      </c>
      <c r="B396" s="168">
        <v>9</v>
      </c>
      <c r="C396" s="168" t="s">
        <v>190</v>
      </c>
      <c r="D396" s="12">
        <v>1</v>
      </c>
      <c r="E396" s="13"/>
      <c r="F396" s="13"/>
      <c r="G396" s="13"/>
      <c r="H396" s="508"/>
      <c r="I396" s="151" t="s">
        <v>2043</v>
      </c>
      <c r="J396" s="114">
        <v>0.18</v>
      </c>
      <c r="K396" s="513">
        <v>0.18</v>
      </c>
      <c r="L396" s="512" t="s">
        <v>248</v>
      </c>
      <c r="M396" s="167">
        <v>0.18</v>
      </c>
      <c r="N396" s="504">
        <v>0</v>
      </c>
      <c r="O396" s="29"/>
      <c r="P396" s="32">
        <v>0.18</v>
      </c>
      <c r="Q396" s="167">
        <v>0</v>
      </c>
      <c r="R396" s="167">
        <v>0</v>
      </c>
      <c r="S396" s="168" t="s">
        <v>20211</v>
      </c>
      <c r="T396" s="146" t="s">
        <v>20211</v>
      </c>
      <c r="U396" s="145">
        <v>17.142857142857142</v>
      </c>
      <c r="V396" s="505"/>
      <c r="W396" s="505" t="s">
        <v>2023</v>
      </c>
      <c r="X396" s="43"/>
      <c r="Y396" s="143">
        <v>290</v>
      </c>
      <c r="Z396" s="155">
        <v>9</v>
      </c>
      <c r="AA396" s="168" t="s">
        <v>190</v>
      </c>
      <c r="AB396" s="12">
        <v>1</v>
      </c>
      <c r="AC396" s="13"/>
      <c r="AD396" s="13"/>
      <c r="AE396" s="13"/>
      <c r="AF396" s="155"/>
      <c r="AG396" s="143" t="s">
        <v>2043</v>
      </c>
      <c r="AH396" s="167">
        <v>2.4456521739130436E-2</v>
      </c>
      <c r="AI396" s="167">
        <v>0.20445652173913043</v>
      </c>
      <c r="AJ396" s="144">
        <v>0.18</v>
      </c>
      <c r="AK396" s="143" t="s">
        <v>248</v>
      </c>
      <c r="AL396" s="144">
        <v>0.18</v>
      </c>
      <c r="AM396" s="144">
        <v>0</v>
      </c>
      <c r="AN396" s="32">
        <v>0.18</v>
      </c>
      <c r="AO396" s="167">
        <v>-2.4456521739130432E-2</v>
      </c>
      <c r="AP396" s="167">
        <v>-2.4456521739130432E-2</v>
      </c>
      <c r="AQ396" s="14" t="s">
        <v>2217</v>
      </c>
      <c r="AR396" s="146" t="s">
        <v>2217</v>
      </c>
      <c r="AS396" s="59">
        <v>19.472049689440993</v>
      </c>
      <c r="AT396" s="116" t="s">
        <v>49</v>
      </c>
      <c r="AU396" s="118">
        <v>1991</v>
      </c>
      <c r="AV396" s="149" t="s">
        <v>2143</v>
      </c>
      <c r="AW396" s="120">
        <v>56.6577175697605</v>
      </c>
      <c r="AX396" s="120">
        <v>33.471842528405297</v>
      </c>
    </row>
    <row r="397" spans="1:50" ht="15" customHeight="1" x14ac:dyDescent="0.25">
      <c r="A397" s="143">
        <v>291</v>
      </c>
      <c r="B397" s="168">
        <v>10</v>
      </c>
      <c r="C397" s="168" t="s">
        <v>191</v>
      </c>
      <c r="D397" s="12">
        <v>6.3</v>
      </c>
      <c r="E397" s="13"/>
      <c r="F397" s="13"/>
      <c r="G397" s="13"/>
      <c r="H397" s="508"/>
      <c r="I397" s="151" t="s">
        <v>20215</v>
      </c>
      <c r="J397" s="114">
        <v>3.67</v>
      </c>
      <c r="K397" s="513">
        <v>0</v>
      </c>
      <c r="L397" s="512">
        <v>0</v>
      </c>
      <c r="M397" s="167">
        <v>0</v>
      </c>
      <c r="N397" s="504">
        <v>0</v>
      </c>
      <c r="O397" s="29"/>
      <c r="P397" s="32">
        <v>0</v>
      </c>
      <c r="Q397" s="167">
        <v>-3.67</v>
      </c>
      <c r="R397" s="167">
        <v>-3.67</v>
      </c>
      <c r="S397" s="168" t="s">
        <v>2217</v>
      </c>
      <c r="T397" s="146" t="s">
        <v>2217</v>
      </c>
      <c r="U397" s="145">
        <v>55.479969765684046</v>
      </c>
      <c r="V397" s="505">
        <v>0.23</v>
      </c>
      <c r="W397" s="505" t="s">
        <v>2024</v>
      </c>
      <c r="X397" s="43"/>
      <c r="Y397" s="143">
        <v>291</v>
      </c>
      <c r="Z397" s="155">
        <v>10</v>
      </c>
      <c r="AA397" s="168" t="s">
        <v>191</v>
      </c>
      <c r="AB397" s="12">
        <v>6.3</v>
      </c>
      <c r="AC397" s="13"/>
      <c r="AD397" s="13"/>
      <c r="AE397" s="13"/>
      <c r="AF397" s="155"/>
      <c r="AG397" s="143" t="s">
        <v>20215</v>
      </c>
      <c r="AH397" s="167">
        <v>0.61082608695652174</v>
      </c>
      <c r="AI397" s="167">
        <v>4.2808260869565213</v>
      </c>
      <c r="AJ397" s="144">
        <v>0</v>
      </c>
      <c r="AK397" s="143">
        <v>0</v>
      </c>
      <c r="AL397" s="144">
        <v>0</v>
      </c>
      <c r="AM397" s="144">
        <v>0</v>
      </c>
      <c r="AN397" s="32">
        <v>0</v>
      </c>
      <c r="AO397" s="167">
        <v>-4.2808260869565213</v>
      </c>
      <c r="AP397" s="167">
        <v>-4.2808260869565213</v>
      </c>
      <c r="AQ397" s="14" t="s">
        <v>2217</v>
      </c>
      <c r="AR397" s="146" t="s">
        <v>2217</v>
      </c>
      <c r="AS397" s="59">
        <v>64.713924217029799</v>
      </c>
      <c r="AT397" s="116" t="s">
        <v>49</v>
      </c>
      <c r="AU397" s="118">
        <v>1969</v>
      </c>
      <c r="AV397" s="149" t="s">
        <v>2143</v>
      </c>
      <c r="AW397" s="120">
        <v>57.282362313331902</v>
      </c>
      <c r="AX397" s="120">
        <v>32.919448251431298</v>
      </c>
    </row>
    <row r="398" spans="1:50" ht="15" customHeight="1" x14ac:dyDescent="0.25">
      <c r="A398" s="143">
        <v>292</v>
      </c>
      <c r="B398" s="168">
        <v>11</v>
      </c>
      <c r="C398" s="168" t="s">
        <v>192</v>
      </c>
      <c r="D398" s="12">
        <v>1.6</v>
      </c>
      <c r="E398" s="13"/>
      <c r="F398" s="13"/>
      <c r="G398" s="13"/>
      <c r="H398" s="508"/>
      <c r="I398" s="151" t="s">
        <v>20210</v>
      </c>
      <c r="J398" s="114">
        <v>0.1</v>
      </c>
      <c r="K398" s="513">
        <v>0</v>
      </c>
      <c r="L398" s="512">
        <v>0</v>
      </c>
      <c r="M398" s="167">
        <v>0</v>
      </c>
      <c r="N398" s="504">
        <v>0</v>
      </c>
      <c r="O398" s="29"/>
      <c r="P398" s="32">
        <v>0</v>
      </c>
      <c r="Q398" s="167">
        <v>-0.1</v>
      </c>
      <c r="R398" s="167">
        <v>-0.1</v>
      </c>
      <c r="S398" s="168" t="s">
        <v>2217</v>
      </c>
      <c r="T398" s="146" t="s">
        <v>2217</v>
      </c>
      <c r="U398" s="145">
        <v>5.9523809523809517</v>
      </c>
      <c r="V398" s="505">
        <v>0.72</v>
      </c>
      <c r="W398" s="505" t="s">
        <v>2024</v>
      </c>
      <c r="X398" s="43"/>
      <c r="Y398" s="143">
        <v>292</v>
      </c>
      <c r="Z398" s="155">
        <v>11</v>
      </c>
      <c r="AA398" s="168" t="s">
        <v>192</v>
      </c>
      <c r="AB398" s="12">
        <v>1.6</v>
      </c>
      <c r="AC398" s="13"/>
      <c r="AD398" s="13"/>
      <c r="AE398" s="13"/>
      <c r="AF398" s="155"/>
      <c r="AG398" s="143" t="s">
        <v>20210</v>
      </c>
      <c r="AH398" s="167">
        <v>0</v>
      </c>
      <c r="AI398" s="167">
        <v>0.1</v>
      </c>
      <c r="AJ398" s="144">
        <v>0</v>
      </c>
      <c r="AK398" s="143">
        <v>0</v>
      </c>
      <c r="AL398" s="144">
        <v>0</v>
      </c>
      <c r="AM398" s="144">
        <v>0</v>
      </c>
      <c r="AN398" s="32">
        <v>0</v>
      </c>
      <c r="AO398" s="167">
        <v>-0.1</v>
      </c>
      <c r="AP398" s="167">
        <v>-0.1</v>
      </c>
      <c r="AQ398" s="14" t="s">
        <v>2217</v>
      </c>
      <c r="AR398" s="146" t="s">
        <v>2217</v>
      </c>
      <c r="AS398" s="59">
        <v>5.9523809523809517</v>
      </c>
      <c r="AT398" s="116" t="s">
        <v>49</v>
      </c>
      <c r="AU398" s="118">
        <v>1974</v>
      </c>
      <c r="AV398" s="149" t="s">
        <v>2143</v>
      </c>
      <c r="AW398" s="120">
        <v>56.641229897302701</v>
      </c>
      <c r="AX398" s="120">
        <v>32.847676704850599</v>
      </c>
    </row>
    <row r="399" spans="1:50" ht="15" customHeight="1" x14ac:dyDescent="0.25">
      <c r="A399" s="143">
        <v>293</v>
      </c>
      <c r="B399" s="168">
        <v>12</v>
      </c>
      <c r="C399" s="168" t="s">
        <v>193</v>
      </c>
      <c r="D399" s="12">
        <v>2.5</v>
      </c>
      <c r="E399" s="13"/>
      <c r="F399" s="13"/>
      <c r="G399" s="13"/>
      <c r="H399" s="508"/>
      <c r="I399" s="151" t="s">
        <v>20212</v>
      </c>
      <c r="J399" s="114">
        <v>0.31</v>
      </c>
      <c r="K399" s="513">
        <v>0</v>
      </c>
      <c r="L399" s="512">
        <v>0</v>
      </c>
      <c r="M399" s="167">
        <v>0</v>
      </c>
      <c r="N399" s="504">
        <v>0</v>
      </c>
      <c r="O399" s="29"/>
      <c r="P399" s="32">
        <v>0</v>
      </c>
      <c r="Q399" s="167">
        <v>-0.31</v>
      </c>
      <c r="R399" s="167">
        <v>-0.31</v>
      </c>
      <c r="S399" s="168" t="s">
        <v>2217</v>
      </c>
      <c r="T399" s="146" t="s">
        <v>2217</v>
      </c>
      <c r="U399" s="145">
        <v>11.80952380952381</v>
      </c>
      <c r="V399" s="505">
        <v>0.36</v>
      </c>
      <c r="W399" s="505" t="s">
        <v>2024</v>
      </c>
      <c r="X399" s="43"/>
      <c r="Y399" s="143">
        <v>293</v>
      </c>
      <c r="Z399" s="155">
        <v>12</v>
      </c>
      <c r="AA399" s="168" t="s">
        <v>193</v>
      </c>
      <c r="AB399" s="12">
        <v>2.5</v>
      </c>
      <c r="AC399" s="13"/>
      <c r="AD399" s="13"/>
      <c r="AE399" s="13"/>
      <c r="AF399" s="155"/>
      <c r="AG399" s="143" t="s">
        <v>20212</v>
      </c>
      <c r="AH399" s="167">
        <v>4.6141304347826088E-2</v>
      </c>
      <c r="AI399" s="167">
        <v>0.35614130434782609</v>
      </c>
      <c r="AJ399" s="144">
        <v>0</v>
      </c>
      <c r="AK399" s="143">
        <v>0</v>
      </c>
      <c r="AL399" s="144">
        <v>0</v>
      </c>
      <c r="AM399" s="144">
        <v>0</v>
      </c>
      <c r="AN399" s="32">
        <v>0</v>
      </c>
      <c r="AO399" s="167">
        <v>-0.35614130434782609</v>
      </c>
      <c r="AP399" s="167">
        <v>-0.35614130434782609</v>
      </c>
      <c r="AQ399" s="14" t="s">
        <v>2217</v>
      </c>
      <c r="AR399" s="146" t="s">
        <v>2217</v>
      </c>
      <c r="AS399" s="59">
        <v>13.56728778467909</v>
      </c>
      <c r="AT399" s="116" t="s">
        <v>49</v>
      </c>
      <c r="AU399" s="118">
        <v>1988</v>
      </c>
      <c r="AV399" s="149">
        <v>2013</v>
      </c>
      <c r="AW399" s="120">
        <v>56.959279923887401</v>
      </c>
      <c r="AX399" s="120">
        <v>32.248864062105298</v>
      </c>
    </row>
    <row r="400" spans="1:50" ht="15" customHeight="1" x14ac:dyDescent="0.25">
      <c r="A400" s="143">
        <v>294</v>
      </c>
      <c r="B400" s="168">
        <v>13</v>
      </c>
      <c r="C400" s="168" t="s">
        <v>194</v>
      </c>
      <c r="D400" s="12">
        <v>1.6</v>
      </c>
      <c r="E400" s="13"/>
      <c r="F400" s="13"/>
      <c r="G400" s="13"/>
      <c r="H400" s="508"/>
      <c r="I400" s="151" t="s">
        <v>20210</v>
      </c>
      <c r="J400" s="114">
        <v>0.28999999999999998</v>
      </c>
      <c r="K400" s="513">
        <v>0</v>
      </c>
      <c r="L400" s="512">
        <v>0</v>
      </c>
      <c r="M400" s="167">
        <v>0</v>
      </c>
      <c r="N400" s="504">
        <v>0</v>
      </c>
      <c r="O400" s="29"/>
      <c r="P400" s="32">
        <v>0</v>
      </c>
      <c r="Q400" s="167">
        <v>-0.28999999999999998</v>
      </c>
      <c r="R400" s="167">
        <v>-0.28999999999999998</v>
      </c>
      <c r="S400" s="168" t="s">
        <v>2217</v>
      </c>
      <c r="T400" s="146" t="s">
        <v>2217</v>
      </c>
      <c r="U400" s="145">
        <v>17.261904761904759</v>
      </c>
      <c r="V400" s="505">
        <v>0.41</v>
      </c>
      <c r="W400" s="505" t="s">
        <v>2024</v>
      </c>
      <c r="X400" s="43"/>
      <c r="Y400" s="143">
        <v>294</v>
      </c>
      <c r="Z400" s="155">
        <v>13</v>
      </c>
      <c r="AA400" s="168" t="s">
        <v>194</v>
      </c>
      <c r="AB400" s="12">
        <v>1.6</v>
      </c>
      <c r="AC400" s="13"/>
      <c r="AD400" s="13"/>
      <c r="AE400" s="13"/>
      <c r="AF400" s="155"/>
      <c r="AG400" s="143" t="s">
        <v>20210</v>
      </c>
      <c r="AH400" s="167">
        <v>0.15014347826086957</v>
      </c>
      <c r="AI400" s="167">
        <v>0.44014347826086953</v>
      </c>
      <c r="AJ400" s="144">
        <v>0</v>
      </c>
      <c r="AK400" s="143">
        <v>0</v>
      </c>
      <c r="AL400" s="144">
        <v>0</v>
      </c>
      <c r="AM400" s="144">
        <v>0</v>
      </c>
      <c r="AN400" s="32">
        <v>0</v>
      </c>
      <c r="AO400" s="167">
        <v>-0.44014347826086953</v>
      </c>
      <c r="AP400" s="167">
        <v>-0.44014347826086953</v>
      </c>
      <c r="AQ400" s="14" t="s">
        <v>2217</v>
      </c>
      <c r="AR400" s="146" t="s">
        <v>2217</v>
      </c>
      <c r="AS400" s="59">
        <v>26.199016563146994</v>
      </c>
      <c r="AT400" s="116" t="s">
        <v>49</v>
      </c>
      <c r="AU400" s="118">
        <v>1968</v>
      </c>
      <c r="AV400" s="149" t="s">
        <v>2143</v>
      </c>
      <c r="AW400" s="120">
        <v>57.0576360351549</v>
      </c>
      <c r="AX400" s="120">
        <v>32.331043312724397</v>
      </c>
    </row>
    <row r="401" spans="1:50" ht="15" customHeight="1" x14ac:dyDescent="0.25">
      <c r="A401" s="143">
        <v>295</v>
      </c>
      <c r="B401" s="168">
        <v>14</v>
      </c>
      <c r="C401" s="168" t="s">
        <v>195</v>
      </c>
      <c r="D401" s="12">
        <v>2.5</v>
      </c>
      <c r="E401" s="13" t="s">
        <v>522</v>
      </c>
      <c r="F401" s="13">
        <v>1.6</v>
      </c>
      <c r="G401" s="13"/>
      <c r="H401" s="508"/>
      <c r="I401" s="151" t="s">
        <v>20233</v>
      </c>
      <c r="J401" s="114">
        <v>1.6</v>
      </c>
      <c r="K401" s="513">
        <v>0</v>
      </c>
      <c r="L401" s="512">
        <v>0</v>
      </c>
      <c r="M401" s="167">
        <v>1.6</v>
      </c>
      <c r="N401" s="504">
        <v>0</v>
      </c>
      <c r="O401" s="29"/>
      <c r="P401" s="32">
        <v>1.6800000000000002</v>
      </c>
      <c r="Q401" s="167">
        <v>8.0000000000000071E-2</v>
      </c>
      <c r="R401" s="167">
        <v>8.0000000000000071E-2</v>
      </c>
      <c r="S401" s="168" t="s">
        <v>20211</v>
      </c>
      <c r="T401" s="146" t="s">
        <v>20211</v>
      </c>
      <c r="U401" s="145">
        <v>95.238095238095227</v>
      </c>
      <c r="V401" s="505"/>
      <c r="W401" s="505" t="s">
        <v>2023</v>
      </c>
      <c r="X401" s="43"/>
      <c r="Y401" s="143">
        <v>295</v>
      </c>
      <c r="Z401" s="155">
        <v>14</v>
      </c>
      <c r="AA401" s="168" t="s">
        <v>195</v>
      </c>
      <c r="AB401" s="12">
        <v>2.5</v>
      </c>
      <c r="AC401" s="13" t="s">
        <v>522</v>
      </c>
      <c r="AD401" s="13">
        <v>1.6</v>
      </c>
      <c r="AE401" s="13"/>
      <c r="AF401" s="155"/>
      <c r="AG401" s="143" t="s">
        <v>20233</v>
      </c>
      <c r="AH401" s="167">
        <v>0.17866304347826087</v>
      </c>
      <c r="AI401" s="167">
        <v>1.7786630434782609</v>
      </c>
      <c r="AJ401" s="144">
        <v>0</v>
      </c>
      <c r="AK401" s="143">
        <v>0</v>
      </c>
      <c r="AL401" s="144">
        <v>1.7786630434782609</v>
      </c>
      <c r="AM401" s="144">
        <v>0</v>
      </c>
      <c r="AN401" s="32">
        <v>1.6800000000000002</v>
      </c>
      <c r="AO401" s="167">
        <v>-9.8663043478260715E-2</v>
      </c>
      <c r="AP401" s="167">
        <v>-9.8663043478260715E-2</v>
      </c>
      <c r="AQ401" s="167" t="s">
        <v>2217</v>
      </c>
      <c r="AR401" s="146" t="s">
        <v>2217</v>
      </c>
      <c r="AS401" s="59">
        <v>105.87280020703933</v>
      </c>
      <c r="AT401" s="116" t="s">
        <v>49</v>
      </c>
      <c r="AU401" s="118">
        <v>1970</v>
      </c>
      <c r="AV401" s="149" t="s">
        <v>2143</v>
      </c>
      <c r="AW401" s="120">
        <v>56.835124665264999</v>
      </c>
      <c r="AX401" s="120">
        <v>35.036505971403898</v>
      </c>
    </row>
    <row r="402" spans="1:50" ht="15" customHeight="1" x14ac:dyDescent="0.25">
      <c r="A402" s="143">
        <v>296</v>
      </c>
      <c r="B402" s="168">
        <v>15</v>
      </c>
      <c r="C402" s="168" t="s">
        <v>196</v>
      </c>
      <c r="D402" s="12">
        <v>4</v>
      </c>
      <c r="E402" s="13" t="s">
        <v>522</v>
      </c>
      <c r="F402" s="13">
        <v>2.5</v>
      </c>
      <c r="G402" s="13"/>
      <c r="H402" s="508"/>
      <c r="I402" s="151" t="s">
        <v>20221</v>
      </c>
      <c r="J402" s="114">
        <v>1.1599999999999999</v>
      </c>
      <c r="K402" s="513">
        <v>0</v>
      </c>
      <c r="L402" s="512">
        <v>0</v>
      </c>
      <c r="M402" s="167">
        <v>1.1599999999999999</v>
      </c>
      <c r="N402" s="504">
        <v>0</v>
      </c>
      <c r="O402" s="29"/>
      <c r="P402" s="32">
        <v>2.625</v>
      </c>
      <c r="Q402" s="167">
        <v>1.4650000000000001</v>
      </c>
      <c r="R402" s="167">
        <v>1.4650000000000001</v>
      </c>
      <c r="S402" s="168" t="s">
        <v>20211</v>
      </c>
      <c r="T402" s="146" t="s">
        <v>20211</v>
      </c>
      <c r="U402" s="145">
        <v>44.190476190476183</v>
      </c>
      <c r="V402" s="505">
        <v>0.3</v>
      </c>
      <c r="W402" s="505" t="s">
        <v>2024</v>
      </c>
      <c r="X402" s="43"/>
      <c r="Y402" s="143">
        <v>296</v>
      </c>
      <c r="Z402" s="155">
        <v>15</v>
      </c>
      <c r="AA402" s="168" t="s">
        <v>196</v>
      </c>
      <c r="AB402" s="12">
        <v>4</v>
      </c>
      <c r="AC402" s="13" t="s">
        <v>522</v>
      </c>
      <c r="AD402" s="13">
        <v>2.5</v>
      </c>
      <c r="AE402" s="13"/>
      <c r="AF402" s="155"/>
      <c r="AG402" s="143" t="s">
        <v>20221</v>
      </c>
      <c r="AH402" s="167">
        <v>0.27782608695652172</v>
      </c>
      <c r="AI402" s="167">
        <v>1.4378260869565216</v>
      </c>
      <c r="AJ402" s="144">
        <v>0</v>
      </c>
      <c r="AK402" s="143">
        <v>0</v>
      </c>
      <c r="AL402" s="144">
        <v>1.4378260869565216</v>
      </c>
      <c r="AM402" s="144">
        <v>0</v>
      </c>
      <c r="AN402" s="32">
        <v>2.625</v>
      </c>
      <c r="AO402" s="167">
        <v>1.1871739130434784</v>
      </c>
      <c r="AP402" s="167">
        <v>1.1871739130434784</v>
      </c>
      <c r="AQ402" s="167" t="s">
        <v>20211</v>
      </c>
      <c r="AR402" s="146" t="s">
        <v>20211</v>
      </c>
      <c r="AS402" s="59">
        <v>54.774327122153203</v>
      </c>
      <c r="AT402" s="116" t="s">
        <v>49</v>
      </c>
      <c r="AU402" s="118">
        <v>1968</v>
      </c>
      <c r="AV402" s="149" t="s">
        <v>2143</v>
      </c>
      <c r="AW402" s="120">
        <v>56.697932251352903</v>
      </c>
      <c r="AX402" s="120">
        <v>34.906360128343799</v>
      </c>
    </row>
    <row r="403" spans="1:50" ht="15" customHeight="1" x14ac:dyDescent="0.25">
      <c r="A403" s="143">
        <v>297</v>
      </c>
      <c r="B403" s="168">
        <v>16</v>
      </c>
      <c r="C403" s="168" t="s">
        <v>197</v>
      </c>
      <c r="D403" s="12">
        <v>4</v>
      </c>
      <c r="E403" s="13" t="s">
        <v>522</v>
      </c>
      <c r="F403" s="13">
        <v>4</v>
      </c>
      <c r="G403" s="13"/>
      <c r="H403" s="508"/>
      <c r="I403" s="151" t="s">
        <v>20235</v>
      </c>
      <c r="J403" s="114">
        <v>2.84</v>
      </c>
      <c r="K403" s="513">
        <v>0</v>
      </c>
      <c r="L403" s="512">
        <v>0</v>
      </c>
      <c r="M403" s="167">
        <v>2.84</v>
      </c>
      <c r="N403" s="504">
        <v>0</v>
      </c>
      <c r="O403" s="29"/>
      <c r="P403" s="32">
        <v>4.2</v>
      </c>
      <c r="Q403" s="167">
        <v>1.3600000000000003</v>
      </c>
      <c r="R403" s="167">
        <v>1.3600000000000003</v>
      </c>
      <c r="S403" s="168" t="s">
        <v>20211</v>
      </c>
      <c r="T403" s="146" t="s">
        <v>20211</v>
      </c>
      <c r="U403" s="145">
        <v>67.61904761904762</v>
      </c>
      <c r="V403" s="505">
        <v>0.35</v>
      </c>
      <c r="W403" s="505" t="s">
        <v>2024</v>
      </c>
      <c r="X403" s="43"/>
      <c r="Y403" s="143">
        <v>297</v>
      </c>
      <c r="Z403" s="155">
        <v>16</v>
      </c>
      <c r="AA403" s="168" t="s">
        <v>197</v>
      </c>
      <c r="AB403" s="12">
        <v>4</v>
      </c>
      <c r="AC403" s="13" t="s">
        <v>522</v>
      </c>
      <c r="AD403" s="13">
        <v>4</v>
      </c>
      <c r="AE403" s="13"/>
      <c r="AF403" s="155"/>
      <c r="AG403" s="143" t="s">
        <v>20235</v>
      </c>
      <c r="AH403" s="167">
        <v>0.81890217391304343</v>
      </c>
      <c r="AI403" s="167">
        <v>3.6589021739130434</v>
      </c>
      <c r="AJ403" s="144">
        <v>0</v>
      </c>
      <c r="AK403" s="143">
        <v>0</v>
      </c>
      <c r="AL403" s="144">
        <v>3.6589021739130434</v>
      </c>
      <c r="AM403" s="144">
        <v>0</v>
      </c>
      <c r="AN403" s="32">
        <v>4.2</v>
      </c>
      <c r="AO403" s="167">
        <v>0.54109782608695678</v>
      </c>
      <c r="AP403" s="167">
        <v>0.54109782608695678</v>
      </c>
      <c r="AQ403" s="167" t="s">
        <v>20211</v>
      </c>
      <c r="AR403" s="146" t="s">
        <v>20211</v>
      </c>
      <c r="AS403" s="59">
        <v>87.116718426501038</v>
      </c>
      <c r="AT403" s="116" t="s">
        <v>49</v>
      </c>
      <c r="AU403" s="118">
        <v>1978</v>
      </c>
      <c r="AV403" s="149" t="s">
        <v>2143</v>
      </c>
      <c r="AW403" s="120">
        <v>56.981818912281</v>
      </c>
      <c r="AX403" s="120">
        <v>35.104686451727297</v>
      </c>
    </row>
    <row r="404" spans="1:50" ht="15" customHeight="1" x14ac:dyDescent="0.25">
      <c r="A404" s="143">
        <v>298</v>
      </c>
      <c r="B404" s="168">
        <v>17</v>
      </c>
      <c r="C404" s="168" t="s">
        <v>198</v>
      </c>
      <c r="D404" s="12">
        <v>2.5</v>
      </c>
      <c r="E404" s="13" t="s">
        <v>522</v>
      </c>
      <c r="F404" s="13">
        <v>2.5</v>
      </c>
      <c r="G404" s="13"/>
      <c r="H404" s="508"/>
      <c r="I404" s="151" t="s">
        <v>20222</v>
      </c>
      <c r="J404" s="114">
        <v>1.04</v>
      </c>
      <c r="K404" s="513">
        <v>0</v>
      </c>
      <c r="L404" s="512">
        <v>0</v>
      </c>
      <c r="M404" s="167">
        <v>1.04</v>
      </c>
      <c r="N404" s="504">
        <v>0</v>
      </c>
      <c r="O404" s="29"/>
      <c r="P404" s="32">
        <v>2.625</v>
      </c>
      <c r="Q404" s="167">
        <v>1.585</v>
      </c>
      <c r="R404" s="167">
        <v>1.585</v>
      </c>
      <c r="S404" s="168" t="s">
        <v>20211</v>
      </c>
      <c r="T404" s="146" t="s">
        <v>20211</v>
      </c>
      <c r="U404" s="145">
        <v>39.61904761904762</v>
      </c>
      <c r="V404" s="505">
        <v>0.53</v>
      </c>
      <c r="W404" s="505" t="s">
        <v>2024</v>
      </c>
      <c r="X404" s="43"/>
      <c r="Y404" s="143">
        <v>298</v>
      </c>
      <c r="Z404" s="155">
        <v>17</v>
      </c>
      <c r="AA404" s="168" t="s">
        <v>198</v>
      </c>
      <c r="AB404" s="12">
        <v>2.5</v>
      </c>
      <c r="AC404" s="13" t="s">
        <v>522</v>
      </c>
      <c r="AD404" s="13">
        <v>2.5</v>
      </c>
      <c r="AE404" s="13"/>
      <c r="AF404" s="155"/>
      <c r="AG404" s="143" t="s">
        <v>20222</v>
      </c>
      <c r="AH404" s="167">
        <v>0.2089565217391304</v>
      </c>
      <c r="AI404" s="167">
        <v>1.2489565217391305</v>
      </c>
      <c r="AJ404" s="144">
        <v>0</v>
      </c>
      <c r="AK404" s="143">
        <v>0</v>
      </c>
      <c r="AL404" s="144">
        <v>1.2489565217391305</v>
      </c>
      <c r="AM404" s="144">
        <v>0</v>
      </c>
      <c r="AN404" s="32">
        <v>2.625</v>
      </c>
      <c r="AO404" s="167">
        <v>1.3760434782608695</v>
      </c>
      <c r="AP404" s="167">
        <v>1.3760434782608695</v>
      </c>
      <c r="AQ404" s="167" t="s">
        <v>20211</v>
      </c>
      <c r="AR404" s="146" t="s">
        <v>20211</v>
      </c>
      <c r="AS404" s="59">
        <v>47.579296066252589</v>
      </c>
      <c r="AT404" s="116" t="s">
        <v>49</v>
      </c>
      <c r="AU404" s="118">
        <v>1961</v>
      </c>
      <c r="AV404" s="149" t="s">
        <v>2143</v>
      </c>
      <c r="AW404" s="120">
        <v>57.133121923718498</v>
      </c>
      <c r="AX404" s="120">
        <v>34.672485597217602</v>
      </c>
    </row>
    <row r="405" spans="1:50" ht="15" customHeight="1" x14ac:dyDescent="0.25">
      <c r="A405" s="143">
        <v>299</v>
      </c>
      <c r="B405" s="168">
        <v>18</v>
      </c>
      <c r="C405" s="168" t="s">
        <v>199</v>
      </c>
      <c r="D405" s="12">
        <v>6.3</v>
      </c>
      <c r="E405" s="13" t="s">
        <v>522</v>
      </c>
      <c r="F405" s="13">
        <v>6.3</v>
      </c>
      <c r="G405" s="13"/>
      <c r="H405" s="508"/>
      <c r="I405" s="151" t="s">
        <v>20225</v>
      </c>
      <c r="J405" s="114">
        <v>1.67</v>
      </c>
      <c r="K405" s="513">
        <v>0</v>
      </c>
      <c r="L405" s="512">
        <v>0</v>
      </c>
      <c r="M405" s="167">
        <v>1.67</v>
      </c>
      <c r="N405" s="504">
        <v>0</v>
      </c>
      <c r="O405" s="29"/>
      <c r="P405" s="32">
        <v>6.6150000000000002</v>
      </c>
      <c r="Q405" s="167">
        <v>4.9450000000000003</v>
      </c>
      <c r="R405" s="167">
        <v>4.9450000000000003</v>
      </c>
      <c r="S405" s="168" t="s">
        <v>20211</v>
      </c>
      <c r="T405" s="146" t="s">
        <v>20211</v>
      </c>
      <c r="U405" s="145">
        <v>25.245653817082388</v>
      </c>
      <c r="V405" s="505"/>
      <c r="W405" s="505" t="s">
        <v>2023</v>
      </c>
      <c r="X405" s="43"/>
      <c r="Y405" s="143">
        <v>299</v>
      </c>
      <c r="Z405" s="155">
        <v>18</v>
      </c>
      <c r="AA405" s="168" t="s">
        <v>199</v>
      </c>
      <c r="AB405" s="12">
        <v>6.3</v>
      </c>
      <c r="AC405" s="13" t="s">
        <v>522</v>
      </c>
      <c r="AD405" s="13">
        <v>6.3</v>
      </c>
      <c r="AE405" s="13"/>
      <c r="AF405" s="155"/>
      <c r="AG405" s="143" t="s">
        <v>20225</v>
      </c>
      <c r="AH405" s="167">
        <v>1.2141989247311828</v>
      </c>
      <c r="AI405" s="167">
        <v>2.8841989247311828</v>
      </c>
      <c r="AJ405" s="144">
        <v>0</v>
      </c>
      <c r="AK405" s="143">
        <v>0</v>
      </c>
      <c r="AL405" s="144">
        <v>2.8841989247311828</v>
      </c>
      <c r="AM405" s="144">
        <v>0</v>
      </c>
      <c r="AN405" s="32">
        <v>6.6150000000000002</v>
      </c>
      <c r="AO405" s="167">
        <v>3.7308010752688174</v>
      </c>
      <c r="AP405" s="167">
        <v>3.7308010752688174</v>
      </c>
      <c r="AQ405" s="167" t="s">
        <v>20211</v>
      </c>
      <c r="AR405" s="146" t="s">
        <v>20211</v>
      </c>
      <c r="AS405" s="59">
        <v>43.600890774469882</v>
      </c>
      <c r="AT405" s="116" t="s">
        <v>49</v>
      </c>
      <c r="AU405" s="118">
        <v>1980</v>
      </c>
      <c r="AV405" s="149">
        <v>2015</v>
      </c>
      <c r="AW405" s="120">
        <v>57.204716539039701</v>
      </c>
      <c r="AX405" s="120">
        <v>34.9455300087211</v>
      </c>
    </row>
    <row r="406" spans="1:50" ht="15" customHeight="1" x14ac:dyDescent="0.25">
      <c r="A406" s="143">
        <v>300</v>
      </c>
      <c r="B406" s="168">
        <v>19</v>
      </c>
      <c r="C406" s="168" t="s">
        <v>200</v>
      </c>
      <c r="D406" s="12">
        <v>4</v>
      </c>
      <c r="E406" s="13" t="s">
        <v>522</v>
      </c>
      <c r="F406" s="13">
        <v>4</v>
      </c>
      <c r="G406" s="13"/>
      <c r="H406" s="508"/>
      <c r="I406" s="151" t="s">
        <v>20235</v>
      </c>
      <c r="J406" s="114">
        <v>0.37</v>
      </c>
      <c r="K406" s="513">
        <v>0</v>
      </c>
      <c r="L406" s="512">
        <v>0</v>
      </c>
      <c r="M406" s="167">
        <v>0.37</v>
      </c>
      <c r="N406" s="504">
        <v>0</v>
      </c>
      <c r="O406" s="29"/>
      <c r="P406" s="32">
        <v>4.2</v>
      </c>
      <c r="Q406" s="167">
        <v>3.83</v>
      </c>
      <c r="R406" s="167">
        <v>3.83</v>
      </c>
      <c r="S406" s="168" t="s">
        <v>20211</v>
      </c>
      <c r="T406" s="146" t="s">
        <v>20211</v>
      </c>
      <c r="U406" s="145">
        <v>8.8095238095238084</v>
      </c>
      <c r="V406" s="505"/>
      <c r="W406" s="505" t="s">
        <v>2023</v>
      </c>
      <c r="X406" s="43"/>
      <c r="Y406" s="143">
        <v>300</v>
      </c>
      <c r="Z406" s="155">
        <v>19</v>
      </c>
      <c r="AA406" s="168" t="s">
        <v>200</v>
      </c>
      <c r="AB406" s="12">
        <v>4</v>
      </c>
      <c r="AC406" s="13" t="s">
        <v>522</v>
      </c>
      <c r="AD406" s="13">
        <v>4</v>
      </c>
      <c r="AE406" s="13"/>
      <c r="AF406" s="155"/>
      <c r="AG406" s="143" t="s">
        <v>20235</v>
      </c>
      <c r="AH406" s="167">
        <v>9.3913043478260877E-2</v>
      </c>
      <c r="AI406" s="167">
        <v>0.4639130434782609</v>
      </c>
      <c r="AJ406" s="144">
        <v>0</v>
      </c>
      <c r="AK406" s="143">
        <v>0</v>
      </c>
      <c r="AL406" s="144">
        <v>0.4639130434782609</v>
      </c>
      <c r="AM406" s="144">
        <v>0</v>
      </c>
      <c r="AN406" s="32">
        <v>4.2</v>
      </c>
      <c r="AO406" s="167">
        <v>3.7360869565217394</v>
      </c>
      <c r="AP406" s="167">
        <v>3.7360869565217394</v>
      </c>
      <c r="AQ406" s="167" t="s">
        <v>20211</v>
      </c>
      <c r="AR406" s="146" t="s">
        <v>20211</v>
      </c>
      <c r="AS406" s="59">
        <v>11.045548654244307</v>
      </c>
      <c r="AT406" s="116" t="s">
        <v>49</v>
      </c>
      <c r="AU406" s="118">
        <v>1963</v>
      </c>
      <c r="AV406" s="149" t="s">
        <v>2143</v>
      </c>
      <c r="AW406" s="120">
        <v>56.665454737939299</v>
      </c>
      <c r="AX406" s="120">
        <v>33.8508383047499</v>
      </c>
    </row>
    <row r="407" spans="1:50" ht="15" customHeight="1" x14ac:dyDescent="0.25">
      <c r="A407" s="143">
        <v>301</v>
      </c>
      <c r="B407" s="168">
        <v>20</v>
      </c>
      <c r="C407" s="168" t="s">
        <v>201</v>
      </c>
      <c r="D407" s="12">
        <v>4</v>
      </c>
      <c r="E407" s="13" t="s">
        <v>522</v>
      </c>
      <c r="F407" s="13">
        <v>4</v>
      </c>
      <c r="G407" s="13"/>
      <c r="H407" s="508"/>
      <c r="I407" s="151" t="s">
        <v>20235</v>
      </c>
      <c r="J407" s="114">
        <v>1.2</v>
      </c>
      <c r="K407" s="513">
        <v>0</v>
      </c>
      <c r="L407" s="512">
        <v>0</v>
      </c>
      <c r="M407" s="167">
        <v>1.2</v>
      </c>
      <c r="N407" s="504">
        <v>0</v>
      </c>
      <c r="O407" s="29"/>
      <c r="P407" s="32">
        <v>4.2</v>
      </c>
      <c r="Q407" s="167">
        <v>3</v>
      </c>
      <c r="R407" s="167">
        <v>3</v>
      </c>
      <c r="S407" s="168" t="s">
        <v>20211</v>
      </c>
      <c r="T407" s="146" t="s">
        <v>20211</v>
      </c>
      <c r="U407" s="145">
        <v>28.571428571428569</v>
      </c>
      <c r="V407" s="505">
        <v>0.28999999999999998</v>
      </c>
      <c r="W407" s="505" t="s">
        <v>2024</v>
      </c>
      <c r="X407" s="43"/>
      <c r="Y407" s="143">
        <v>301</v>
      </c>
      <c r="Z407" s="155">
        <v>20</v>
      </c>
      <c r="AA407" s="168" t="s">
        <v>201</v>
      </c>
      <c r="AB407" s="12">
        <v>4</v>
      </c>
      <c r="AC407" s="13" t="s">
        <v>522</v>
      </c>
      <c r="AD407" s="13">
        <v>4</v>
      </c>
      <c r="AE407" s="13"/>
      <c r="AF407" s="155"/>
      <c r="AG407" s="143" t="s">
        <v>20235</v>
      </c>
      <c r="AH407" s="167">
        <v>0.35823913043478256</v>
      </c>
      <c r="AI407" s="167">
        <v>1.5582391304347825</v>
      </c>
      <c r="AJ407" s="144">
        <v>0</v>
      </c>
      <c r="AK407" s="143">
        <v>0</v>
      </c>
      <c r="AL407" s="144">
        <v>1.5582391304347825</v>
      </c>
      <c r="AM407" s="144">
        <v>0</v>
      </c>
      <c r="AN407" s="32">
        <v>4.2</v>
      </c>
      <c r="AO407" s="167">
        <v>2.6417608695652177</v>
      </c>
      <c r="AP407" s="167">
        <v>2.6417608695652177</v>
      </c>
      <c r="AQ407" s="167" t="s">
        <v>20211</v>
      </c>
      <c r="AR407" s="146" t="s">
        <v>20211</v>
      </c>
      <c r="AS407" s="59">
        <v>37.100931677018629</v>
      </c>
      <c r="AT407" s="116" t="s">
        <v>49</v>
      </c>
      <c r="AU407" s="118">
        <v>1967</v>
      </c>
      <c r="AV407" s="149" t="s">
        <v>2143</v>
      </c>
      <c r="AW407" s="120">
        <v>56.887111041744703</v>
      </c>
      <c r="AX407" s="120">
        <v>33.302604380725498</v>
      </c>
    </row>
    <row r="408" spans="1:50" ht="15" customHeight="1" x14ac:dyDescent="0.25">
      <c r="A408" s="143">
        <v>302</v>
      </c>
      <c r="B408" s="168">
        <v>21</v>
      </c>
      <c r="C408" s="168" t="s">
        <v>202</v>
      </c>
      <c r="D408" s="12">
        <v>2.5</v>
      </c>
      <c r="E408" s="13" t="s">
        <v>522</v>
      </c>
      <c r="F408" s="13">
        <v>1.6</v>
      </c>
      <c r="G408" s="13"/>
      <c r="H408" s="508"/>
      <c r="I408" s="151" t="s">
        <v>20233</v>
      </c>
      <c r="J408" s="114">
        <v>0.7</v>
      </c>
      <c r="K408" s="513">
        <v>0</v>
      </c>
      <c r="L408" s="512">
        <v>0</v>
      </c>
      <c r="M408" s="167">
        <v>0.7</v>
      </c>
      <c r="N408" s="504">
        <v>0</v>
      </c>
      <c r="O408" s="29"/>
      <c r="P408" s="32">
        <v>1.6800000000000002</v>
      </c>
      <c r="Q408" s="167">
        <v>0.9800000000000002</v>
      </c>
      <c r="R408" s="167">
        <v>0.9800000000000002</v>
      </c>
      <c r="S408" s="168" t="s">
        <v>20211</v>
      </c>
      <c r="T408" s="146" t="s">
        <v>20211</v>
      </c>
      <c r="U408" s="145">
        <v>41.666666666666664</v>
      </c>
      <c r="V408" s="505">
        <v>0.44</v>
      </c>
      <c r="W408" s="505" t="s">
        <v>2024</v>
      </c>
      <c r="X408" s="43"/>
      <c r="Y408" s="143">
        <v>302</v>
      </c>
      <c r="Z408" s="155">
        <v>21</v>
      </c>
      <c r="AA408" s="168" t="s">
        <v>202</v>
      </c>
      <c r="AB408" s="12">
        <v>2.5</v>
      </c>
      <c r="AC408" s="13" t="s">
        <v>522</v>
      </c>
      <c r="AD408" s="13">
        <v>1.6</v>
      </c>
      <c r="AE408" s="13"/>
      <c r="AF408" s="155"/>
      <c r="AG408" s="143" t="s">
        <v>20233</v>
      </c>
      <c r="AH408" s="167">
        <v>0.5304130434782609</v>
      </c>
      <c r="AI408" s="167">
        <v>1.230413043478261</v>
      </c>
      <c r="AJ408" s="144">
        <v>0</v>
      </c>
      <c r="AK408" s="143">
        <v>0</v>
      </c>
      <c r="AL408" s="144">
        <v>1.230413043478261</v>
      </c>
      <c r="AM408" s="144">
        <v>0</v>
      </c>
      <c r="AN408" s="32">
        <v>1.6800000000000002</v>
      </c>
      <c r="AO408" s="167">
        <v>0.44958695652173919</v>
      </c>
      <c r="AP408" s="167">
        <v>0.44958695652173919</v>
      </c>
      <c r="AQ408" s="167" t="s">
        <v>20211</v>
      </c>
      <c r="AR408" s="146" t="s">
        <v>20211</v>
      </c>
      <c r="AS408" s="59">
        <v>73.238871635610764</v>
      </c>
      <c r="AT408" s="116" t="s">
        <v>49</v>
      </c>
      <c r="AU408" s="118">
        <v>1973</v>
      </c>
      <c r="AV408" s="149" t="s">
        <v>2143</v>
      </c>
      <c r="AW408" s="120">
        <v>57.262977423873402</v>
      </c>
      <c r="AX408" s="120">
        <v>33.360615571515098</v>
      </c>
    </row>
    <row r="409" spans="1:50" ht="15" customHeight="1" x14ac:dyDescent="0.25">
      <c r="A409" s="143">
        <v>303</v>
      </c>
      <c r="B409" s="168">
        <v>22</v>
      </c>
      <c r="C409" s="168" t="s">
        <v>203</v>
      </c>
      <c r="D409" s="12">
        <v>2.5</v>
      </c>
      <c r="E409" s="13" t="s">
        <v>522</v>
      </c>
      <c r="F409" s="13">
        <v>2.5</v>
      </c>
      <c r="G409" s="13"/>
      <c r="H409" s="508"/>
      <c r="I409" s="151" t="s">
        <v>20222</v>
      </c>
      <c r="J409" s="114">
        <v>0.32</v>
      </c>
      <c r="K409" s="513">
        <v>0</v>
      </c>
      <c r="L409" s="512">
        <v>0</v>
      </c>
      <c r="M409" s="167">
        <v>0.32</v>
      </c>
      <c r="N409" s="504">
        <v>0</v>
      </c>
      <c r="O409" s="29"/>
      <c r="P409" s="32">
        <v>2.625</v>
      </c>
      <c r="Q409" s="167">
        <v>2.3050000000000002</v>
      </c>
      <c r="R409" s="167">
        <v>2.3050000000000002</v>
      </c>
      <c r="S409" s="168" t="s">
        <v>20211</v>
      </c>
      <c r="T409" s="146" t="s">
        <v>20211</v>
      </c>
      <c r="U409" s="145">
        <v>12.19047619047619</v>
      </c>
      <c r="V409" s="505">
        <v>0.45</v>
      </c>
      <c r="W409" s="505" t="s">
        <v>2024</v>
      </c>
      <c r="X409" s="43"/>
      <c r="Y409" s="143">
        <v>303</v>
      </c>
      <c r="Z409" s="155">
        <v>22</v>
      </c>
      <c r="AA409" s="168" t="s">
        <v>203</v>
      </c>
      <c r="AB409" s="12">
        <v>2.5</v>
      </c>
      <c r="AC409" s="13" t="s">
        <v>522</v>
      </c>
      <c r="AD409" s="13">
        <v>2.5</v>
      </c>
      <c r="AE409" s="13"/>
      <c r="AF409" s="155"/>
      <c r="AG409" s="143" t="s">
        <v>20222</v>
      </c>
      <c r="AH409" s="167">
        <v>0.34932608695652173</v>
      </c>
      <c r="AI409" s="167">
        <v>0.66932608695652174</v>
      </c>
      <c r="AJ409" s="144">
        <v>0</v>
      </c>
      <c r="AK409" s="143">
        <v>0</v>
      </c>
      <c r="AL409" s="144">
        <v>0.66932608695652174</v>
      </c>
      <c r="AM409" s="144">
        <v>0</v>
      </c>
      <c r="AN409" s="32">
        <v>2.625</v>
      </c>
      <c r="AO409" s="167">
        <v>1.9556739130434782</v>
      </c>
      <c r="AP409" s="167">
        <v>1.9556739130434782</v>
      </c>
      <c r="AQ409" s="167" t="s">
        <v>20211</v>
      </c>
      <c r="AR409" s="146" t="s">
        <v>20211</v>
      </c>
      <c r="AS409" s="59">
        <v>25.498136645962735</v>
      </c>
      <c r="AT409" s="116" t="s">
        <v>49</v>
      </c>
      <c r="AU409" s="118">
        <v>1979</v>
      </c>
      <c r="AV409" s="149" t="s">
        <v>2143</v>
      </c>
      <c r="AW409" s="120">
        <v>57.0472711405613</v>
      </c>
      <c r="AX409" s="120">
        <v>33.375103516095102</v>
      </c>
    </row>
    <row r="410" spans="1:50" ht="15" customHeight="1" x14ac:dyDescent="0.25">
      <c r="A410" s="143">
        <v>304</v>
      </c>
      <c r="B410" s="168">
        <v>23</v>
      </c>
      <c r="C410" s="168" t="s">
        <v>204</v>
      </c>
      <c r="D410" s="12">
        <v>2.5</v>
      </c>
      <c r="E410" s="13" t="s">
        <v>522</v>
      </c>
      <c r="F410" s="13">
        <v>2.5</v>
      </c>
      <c r="G410" s="13"/>
      <c r="H410" s="508"/>
      <c r="I410" s="151" t="s">
        <v>20222</v>
      </c>
      <c r="J410" s="114">
        <v>1.46</v>
      </c>
      <c r="K410" s="513">
        <v>0</v>
      </c>
      <c r="L410" s="512">
        <v>0</v>
      </c>
      <c r="M410" s="167">
        <v>1.46</v>
      </c>
      <c r="N410" s="504">
        <v>0</v>
      </c>
      <c r="O410" s="29"/>
      <c r="P410" s="32">
        <v>2.625</v>
      </c>
      <c r="Q410" s="167">
        <v>1.165</v>
      </c>
      <c r="R410" s="167">
        <v>1.165</v>
      </c>
      <c r="S410" s="168" t="s">
        <v>20211</v>
      </c>
      <c r="T410" s="146" t="s">
        <v>20211</v>
      </c>
      <c r="U410" s="145">
        <v>55.61904761904762</v>
      </c>
      <c r="V410" s="505">
        <v>0.23</v>
      </c>
      <c r="W410" s="505" t="s">
        <v>2024</v>
      </c>
      <c r="X410" s="43"/>
      <c r="Y410" s="143">
        <v>304</v>
      </c>
      <c r="Z410" s="155">
        <v>23</v>
      </c>
      <c r="AA410" s="168" t="s">
        <v>204</v>
      </c>
      <c r="AB410" s="12">
        <v>2.5</v>
      </c>
      <c r="AC410" s="13" t="s">
        <v>522</v>
      </c>
      <c r="AD410" s="13">
        <v>2.5</v>
      </c>
      <c r="AE410" s="13"/>
      <c r="AF410" s="155"/>
      <c r="AG410" s="143" t="s">
        <v>20222</v>
      </c>
      <c r="AH410" s="167">
        <v>0.37004347826086953</v>
      </c>
      <c r="AI410" s="167">
        <v>1.8300434782608694</v>
      </c>
      <c r="AJ410" s="144">
        <v>0</v>
      </c>
      <c r="AK410" s="143">
        <v>0</v>
      </c>
      <c r="AL410" s="144">
        <v>1.8300434782608694</v>
      </c>
      <c r="AM410" s="144">
        <v>0</v>
      </c>
      <c r="AN410" s="32">
        <v>2.625</v>
      </c>
      <c r="AO410" s="167">
        <v>0.79495652173913056</v>
      </c>
      <c r="AP410" s="167">
        <v>0.79495652173913056</v>
      </c>
      <c r="AQ410" s="167" t="s">
        <v>20211</v>
      </c>
      <c r="AR410" s="146" t="s">
        <v>20211</v>
      </c>
      <c r="AS410" s="59">
        <v>69.715942028985509</v>
      </c>
      <c r="AT410" s="116" t="s">
        <v>49</v>
      </c>
      <c r="AU410" s="118">
        <v>1988</v>
      </c>
      <c r="AV410" s="149" t="s">
        <v>2143</v>
      </c>
      <c r="AW410" s="120">
        <v>57.242949227255899</v>
      </c>
      <c r="AX410" s="120">
        <v>33.090655910757498</v>
      </c>
    </row>
    <row r="411" spans="1:50" ht="15" customHeight="1" x14ac:dyDescent="0.25">
      <c r="A411" s="143">
        <v>305</v>
      </c>
      <c r="B411" s="168">
        <v>24</v>
      </c>
      <c r="C411" s="168" t="s">
        <v>205</v>
      </c>
      <c r="D411" s="12">
        <v>63</v>
      </c>
      <c r="E411" s="13" t="s">
        <v>522</v>
      </c>
      <c r="F411" s="13">
        <v>63</v>
      </c>
      <c r="G411" s="13"/>
      <c r="H411" s="508"/>
      <c r="I411" s="151" t="s">
        <v>20265</v>
      </c>
      <c r="J411" s="114">
        <v>0.4</v>
      </c>
      <c r="K411" s="513">
        <v>0</v>
      </c>
      <c r="L411" s="512">
        <v>0</v>
      </c>
      <c r="M411" s="167">
        <v>0.4</v>
      </c>
      <c r="N411" s="504">
        <v>0</v>
      </c>
      <c r="O411" s="29"/>
      <c r="P411" s="32">
        <v>66.150000000000006</v>
      </c>
      <c r="Q411" s="167">
        <v>65.75</v>
      </c>
      <c r="R411" s="167">
        <v>65.75</v>
      </c>
      <c r="S411" s="168" t="s">
        <v>20211</v>
      </c>
      <c r="T411" s="146" t="s">
        <v>20211</v>
      </c>
      <c r="U411" s="145">
        <v>0.60468631897203318</v>
      </c>
      <c r="V411" s="505">
        <v>0.18</v>
      </c>
      <c r="W411" s="505" t="s">
        <v>2024</v>
      </c>
      <c r="X411" s="43"/>
      <c r="Y411" s="143">
        <v>305</v>
      </c>
      <c r="Z411" s="155">
        <v>24</v>
      </c>
      <c r="AA411" s="168" t="s">
        <v>205</v>
      </c>
      <c r="AB411" s="12">
        <v>63</v>
      </c>
      <c r="AC411" s="13" t="s">
        <v>522</v>
      </c>
      <c r="AD411" s="13">
        <v>63</v>
      </c>
      <c r="AE411" s="13"/>
      <c r="AF411" s="155"/>
      <c r="AG411" s="143" t="s">
        <v>20265</v>
      </c>
      <c r="AH411" s="167">
        <v>0</v>
      </c>
      <c r="AI411" s="167">
        <v>0.4</v>
      </c>
      <c r="AJ411" s="144">
        <v>0</v>
      </c>
      <c r="AK411" s="143">
        <v>0</v>
      </c>
      <c r="AL411" s="144">
        <v>0.4</v>
      </c>
      <c r="AM411" s="144">
        <v>0</v>
      </c>
      <c r="AN411" s="32">
        <v>66.150000000000006</v>
      </c>
      <c r="AO411" s="167">
        <v>65.75</v>
      </c>
      <c r="AP411" s="167">
        <v>65.75</v>
      </c>
      <c r="AQ411" s="167" t="s">
        <v>20211</v>
      </c>
      <c r="AR411" s="146" t="s">
        <v>20211</v>
      </c>
      <c r="AS411" s="59">
        <v>0.60468631897203318</v>
      </c>
      <c r="AT411" s="116" t="s">
        <v>49</v>
      </c>
      <c r="AU411" s="118">
        <v>1981</v>
      </c>
      <c r="AV411" s="149" t="s">
        <v>2143</v>
      </c>
      <c r="AW411" s="120">
        <v>57.022266394424797</v>
      </c>
      <c r="AX411" s="120">
        <v>35.013846333166498</v>
      </c>
    </row>
    <row r="412" spans="1:50" ht="15" customHeight="1" x14ac:dyDescent="0.25">
      <c r="A412" s="143">
        <v>306</v>
      </c>
      <c r="B412" s="168">
        <v>25</v>
      </c>
      <c r="C412" s="15" t="s">
        <v>206</v>
      </c>
      <c r="D412" s="12">
        <v>10</v>
      </c>
      <c r="E412" s="13" t="s">
        <v>522</v>
      </c>
      <c r="F412" s="13">
        <v>10</v>
      </c>
      <c r="G412" s="13"/>
      <c r="H412" s="508"/>
      <c r="I412" s="151" t="s">
        <v>20227</v>
      </c>
      <c r="J412" s="114">
        <v>5.59</v>
      </c>
      <c r="K412" s="513">
        <v>0</v>
      </c>
      <c r="L412" s="512">
        <v>0</v>
      </c>
      <c r="M412" s="167">
        <v>5.59</v>
      </c>
      <c r="N412" s="504">
        <v>0</v>
      </c>
      <c r="O412" s="29"/>
      <c r="P412" s="32">
        <v>10.5</v>
      </c>
      <c r="Q412" s="167">
        <v>4.91</v>
      </c>
      <c r="R412" s="167">
        <v>4.91</v>
      </c>
      <c r="S412" s="168" t="s">
        <v>20211</v>
      </c>
      <c r="T412" s="146" t="s">
        <v>20211</v>
      </c>
      <c r="U412" s="145">
        <v>53.238095238095241</v>
      </c>
      <c r="V412" s="505">
        <v>0.42</v>
      </c>
      <c r="W412" s="505" t="s">
        <v>2024</v>
      </c>
      <c r="X412" s="43"/>
      <c r="Y412" s="143">
        <v>306</v>
      </c>
      <c r="Z412" s="155">
        <v>25</v>
      </c>
      <c r="AA412" s="15" t="s">
        <v>206</v>
      </c>
      <c r="AB412" s="12">
        <v>10</v>
      </c>
      <c r="AC412" s="13" t="s">
        <v>522</v>
      </c>
      <c r="AD412" s="13">
        <v>10</v>
      </c>
      <c r="AE412" s="13"/>
      <c r="AF412" s="155"/>
      <c r="AG412" s="143" t="s">
        <v>20227</v>
      </c>
      <c r="AH412" s="167">
        <v>0.30391304347826081</v>
      </c>
      <c r="AI412" s="167">
        <v>5.8939130434782605</v>
      </c>
      <c r="AJ412" s="144">
        <v>0</v>
      </c>
      <c r="AK412" s="143">
        <v>0</v>
      </c>
      <c r="AL412" s="144">
        <v>5.8939130434782605</v>
      </c>
      <c r="AM412" s="144">
        <v>0</v>
      </c>
      <c r="AN412" s="32">
        <v>10.5</v>
      </c>
      <c r="AO412" s="167">
        <v>4.6060869565217395</v>
      </c>
      <c r="AP412" s="167">
        <v>4.6060869565217395</v>
      </c>
      <c r="AQ412" s="167" t="s">
        <v>20211</v>
      </c>
      <c r="AR412" s="146" t="s">
        <v>20211</v>
      </c>
      <c r="AS412" s="59">
        <v>56.132505175983432</v>
      </c>
      <c r="AT412" s="116" t="s">
        <v>49</v>
      </c>
      <c r="AU412" s="118">
        <v>1968</v>
      </c>
      <c r="AV412" s="149" t="s">
        <v>2143</v>
      </c>
      <c r="AW412" s="120">
        <v>57.014514502104603</v>
      </c>
      <c r="AX412" s="120">
        <v>34.987797025961598</v>
      </c>
    </row>
    <row r="413" spans="1:50" ht="15" customHeight="1" x14ac:dyDescent="0.25">
      <c r="A413" s="143">
        <v>307</v>
      </c>
      <c r="B413" s="168">
        <v>26</v>
      </c>
      <c r="C413" s="168" t="s">
        <v>207</v>
      </c>
      <c r="D413" s="12">
        <v>25</v>
      </c>
      <c r="E413" s="13" t="s">
        <v>522</v>
      </c>
      <c r="F413" s="13">
        <v>25</v>
      </c>
      <c r="G413" s="13"/>
      <c r="H413" s="508"/>
      <c r="I413" s="151" t="s">
        <v>20226</v>
      </c>
      <c r="J413" s="114">
        <v>0.6</v>
      </c>
      <c r="K413" s="513">
        <v>0</v>
      </c>
      <c r="L413" s="512">
        <v>0</v>
      </c>
      <c r="M413" s="167">
        <v>0.6</v>
      </c>
      <c r="N413" s="504">
        <v>0</v>
      </c>
      <c r="O413" s="29"/>
      <c r="P413" s="32">
        <v>26.25</v>
      </c>
      <c r="Q413" s="167">
        <v>25.65</v>
      </c>
      <c r="R413" s="167">
        <v>25.65</v>
      </c>
      <c r="S413" s="168" t="s">
        <v>20211</v>
      </c>
      <c r="T413" s="146" t="s">
        <v>20211</v>
      </c>
      <c r="U413" s="145">
        <v>2.2857142857142856</v>
      </c>
      <c r="V413" s="505"/>
      <c r="W413" s="505" t="s">
        <v>2023</v>
      </c>
      <c r="X413" s="43"/>
      <c r="Y413" s="143">
        <v>307</v>
      </c>
      <c r="Z413" s="155">
        <v>26</v>
      </c>
      <c r="AA413" s="168" t="s">
        <v>207</v>
      </c>
      <c r="AB413" s="12">
        <v>25</v>
      </c>
      <c r="AC413" s="13" t="s">
        <v>522</v>
      </c>
      <c r="AD413" s="13">
        <v>25</v>
      </c>
      <c r="AE413" s="13"/>
      <c r="AF413" s="155"/>
      <c r="AG413" s="143" t="s">
        <v>20226</v>
      </c>
      <c r="AH413" s="167">
        <v>0</v>
      </c>
      <c r="AI413" s="167">
        <v>0.6</v>
      </c>
      <c r="AJ413" s="144">
        <v>0</v>
      </c>
      <c r="AK413" s="143">
        <v>0</v>
      </c>
      <c r="AL413" s="144">
        <v>0.6</v>
      </c>
      <c r="AM413" s="144">
        <v>0</v>
      </c>
      <c r="AN413" s="32">
        <v>26.25</v>
      </c>
      <c r="AO413" s="167">
        <v>25.65</v>
      </c>
      <c r="AP413" s="167">
        <v>25.65</v>
      </c>
      <c r="AQ413" s="167" t="s">
        <v>20211</v>
      </c>
      <c r="AR413" s="146" t="s">
        <v>20211</v>
      </c>
      <c r="AS413" s="59">
        <v>2.2857142857142856</v>
      </c>
      <c r="AT413" s="116" t="s">
        <v>49</v>
      </c>
      <c r="AU413" s="118">
        <v>1988</v>
      </c>
      <c r="AV413" s="149" t="s">
        <v>2143</v>
      </c>
      <c r="AW413" s="120">
        <v>56.9466971165782</v>
      </c>
      <c r="AX413" s="120">
        <v>34.866265535717403</v>
      </c>
    </row>
    <row r="414" spans="1:50" ht="15" customHeight="1" x14ac:dyDescent="0.25">
      <c r="A414" s="143">
        <v>308</v>
      </c>
      <c r="B414" s="168">
        <v>27</v>
      </c>
      <c r="C414" s="168" t="s">
        <v>208</v>
      </c>
      <c r="D414" s="12">
        <v>2.5</v>
      </c>
      <c r="E414" s="13" t="s">
        <v>522</v>
      </c>
      <c r="F414" s="13">
        <v>2.5</v>
      </c>
      <c r="G414" s="13"/>
      <c r="H414" s="508"/>
      <c r="I414" s="151" t="s">
        <v>20222</v>
      </c>
      <c r="J414" s="114">
        <v>0.7</v>
      </c>
      <c r="K414" s="513">
        <v>0</v>
      </c>
      <c r="L414" s="512">
        <v>0</v>
      </c>
      <c r="M414" s="167">
        <v>0.7</v>
      </c>
      <c r="N414" s="504">
        <v>0</v>
      </c>
      <c r="O414" s="29"/>
      <c r="P414" s="32">
        <v>2.625</v>
      </c>
      <c r="Q414" s="167">
        <v>1.925</v>
      </c>
      <c r="R414" s="167">
        <v>1.925</v>
      </c>
      <c r="S414" s="168" t="s">
        <v>20211</v>
      </c>
      <c r="T414" s="146" t="s">
        <v>20211</v>
      </c>
      <c r="U414" s="145">
        <v>26.666666666666668</v>
      </c>
      <c r="V414" s="505">
        <v>0.44</v>
      </c>
      <c r="W414" s="505" t="s">
        <v>2024</v>
      </c>
      <c r="X414" s="43"/>
      <c r="Y414" s="143">
        <v>308</v>
      </c>
      <c r="Z414" s="155">
        <v>27</v>
      </c>
      <c r="AA414" s="168" t="s">
        <v>208</v>
      </c>
      <c r="AB414" s="12">
        <v>2.5</v>
      </c>
      <c r="AC414" s="13" t="s">
        <v>522</v>
      </c>
      <c r="AD414" s="13">
        <v>2.5</v>
      </c>
      <c r="AE414" s="13"/>
      <c r="AF414" s="155"/>
      <c r="AG414" s="143" t="s">
        <v>20222</v>
      </c>
      <c r="AH414" s="167">
        <v>0.35657608695652171</v>
      </c>
      <c r="AI414" s="167">
        <v>1.0565760869565217</v>
      </c>
      <c r="AJ414" s="144">
        <v>0</v>
      </c>
      <c r="AK414" s="143">
        <v>0</v>
      </c>
      <c r="AL414" s="144">
        <v>1.0565760869565217</v>
      </c>
      <c r="AM414" s="144">
        <v>0</v>
      </c>
      <c r="AN414" s="32">
        <v>2.625</v>
      </c>
      <c r="AO414" s="167">
        <v>1.5684239130434783</v>
      </c>
      <c r="AP414" s="167">
        <v>1.5684239130434783</v>
      </c>
      <c r="AQ414" s="167" t="s">
        <v>20211</v>
      </c>
      <c r="AR414" s="146" t="s">
        <v>20211</v>
      </c>
      <c r="AS414" s="59">
        <v>40.250517598343684</v>
      </c>
      <c r="AT414" s="116" t="s">
        <v>49</v>
      </c>
      <c r="AU414" s="118">
        <v>1978</v>
      </c>
      <c r="AV414" s="149" t="s">
        <v>2143</v>
      </c>
      <c r="AW414" s="120">
        <v>57.0263069308048</v>
      </c>
      <c r="AX414" s="120">
        <v>34.638122713710501</v>
      </c>
    </row>
    <row r="415" spans="1:50" ht="15" customHeight="1" x14ac:dyDescent="0.25">
      <c r="A415" s="143">
        <v>309</v>
      </c>
      <c r="B415" s="168">
        <v>28</v>
      </c>
      <c r="C415" s="168" t="s">
        <v>209</v>
      </c>
      <c r="D415" s="12">
        <v>6.3</v>
      </c>
      <c r="E415" s="13" t="s">
        <v>522</v>
      </c>
      <c r="F415" s="13">
        <v>6.3</v>
      </c>
      <c r="G415" s="13"/>
      <c r="H415" s="508"/>
      <c r="I415" s="151" t="s">
        <v>20225</v>
      </c>
      <c r="J415" s="114">
        <v>3.45</v>
      </c>
      <c r="K415" s="513">
        <v>0</v>
      </c>
      <c r="L415" s="512">
        <v>0</v>
      </c>
      <c r="M415" s="167">
        <v>3.45</v>
      </c>
      <c r="N415" s="504">
        <v>0</v>
      </c>
      <c r="O415" s="29"/>
      <c r="P415" s="32">
        <v>6.6150000000000002</v>
      </c>
      <c r="Q415" s="167">
        <v>3.165</v>
      </c>
      <c r="R415" s="167">
        <v>3.165</v>
      </c>
      <c r="S415" s="168" t="s">
        <v>20211</v>
      </c>
      <c r="T415" s="146" t="s">
        <v>20211</v>
      </c>
      <c r="U415" s="145">
        <v>52.154195011337869</v>
      </c>
      <c r="V415" s="505">
        <v>0.37</v>
      </c>
      <c r="W415" s="505" t="s">
        <v>2024</v>
      </c>
      <c r="X415" s="43"/>
      <c r="Y415" s="143">
        <v>309</v>
      </c>
      <c r="Z415" s="155">
        <v>28</v>
      </c>
      <c r="AA415" s="168" t="s">
        <v>209</v>
      </c>
      <c r="AB415" s="12">
        <v>6.3</v>
      </c>
      <c r="AC415" s="13" t="s">
        <v>522</v>
      </c>
      <c r="AD415" s="13">
        <v>6.3</v>
      </c>
      <c r="AE415" s="13"/>
      <c r="AF415" s="155"/>
      <c r="AG415" s="143" t="s">
        <v>20225</v>
      </c>
      <c r="AH415" s="167">
        <v>1.9617782608695653</v>
      </c>
      <c r="AI415" s="167">
        <v>5.4117782608695659</v>
      </c>
      <c r="AJ415" s="144">
        <v>0</v>
      </c>
      <c r="AK415" s="143">
        <v>0</v>
      </c>
      <c r="AL415" s="144">
        <v>5.4117782608695659</v>
      </c>
      <c r="AM415" s="144">
        <v>0</v>
      </c>
      <c r="AN415" s="32">
        <v>6.6150000000000002</v>
      </c>
      <c r="AO415" s="167">
        <v>1.2032217391304343</v>
      </c>
      <c r="AP415" s="167">
        <v>1.2032217391304343</v>
      </c>
      <c r="AQ415" s="167" t="s">
        <v>20211</v>
      </c>
      <c r="AR415" s="146" t="s">
        <v>20211</v>
      </c>
      <c r="AS415" s="59">
        <v>81.810706891452227</v>
      </c>
      <c r="AT415" s="116" t="s">
        <v>49</v>
      </c>
      <c r="AU415" s="118">
        <v>1967</v>
      </c>
      <c r="AV415" s="149" t="s">
        <v>2143</v>
      </c>
      <c r="AW415" s="120">
        <v>56.899474218355699</v>
      </c>
      <c r="AX415" s="120">
        <v>32.731618663198198</v>
      </c>
    </row>
    <row r="416" spans="1:50" ht="15" customHeight="1" x14ac:dyDescent="0.25">
      <c r="A416" s="875">
        <v>310</v>
      </c>
      <c r="B416" s="935">
        <v>29</v>
      </c>
      <c r="C416" s="168" t="s">
        <v>210</v>
      </c>
      <c r="D416" s="12">
        <v>40</v>
      </c>
      <c r="E416" s="13" t="s">
        <v>522</v>
      </c>
      <c r="F416" s="13">
        <v>40</v>
      </c>
      <c r="G416" s="13"/>
      <c r="H416" s="508"/>
      <c r="I416" s="151" t="s">
        <v>20241</v>
      </c>
      <c r="J416" s="114">
        <v>20.34</v>
      </c>
      <c r="K416" s="513">
        <v>7.8</v>
      </c>
      <c r="L416" s="512">
        <v>120</v>
      </c>
      <c r="M416" s="167">
        <v>12.54</v>
      </c>
      <c r="N416" s="504">
        <v>0</v>
      </c>
      <c r="O416" s="29"/>
      <c r="P416" s="32">
        <v>42</v>
      </c>
      <c r="Q416" s="167">
        <v>29.46</v>
      </c>
      <c r="R416" s="941">
        <v>29.45</v>
      </c>
      <c r="S416" s="878" t="s">
        <v>20211</v>
      </c>
      <c r="T416" s="146" t="s">
        <v>20211</v>
      </c>
      <c r="U416" s="878">
        <v>48.428571428571431</v>
      </c>
      <c r="V416" s="878">
        <v>0.4</v>
      </c>
      <c r="W416" s="878" t="s">
        <v>2024</v>
      </c>
      <c r="X416" s="43"/>
      <c r="Y416" s="875">
        <v>310</v>
      </c>
      <c r="Z416" s="901">
        <v>29</v>
      </c>
      <c r="AA416" s="168" t="s">
        <v>210</v>
      </c>
      <c r="AB416" s="12">
        <v>40</v>
      </c>
      <c r="AC416" s="13" t="s">
        <v>522</v>
      </c>
      <c r="AD416" s="13">
        <v>40</v>
      </c>
      <c r="AE416" s="13"/>
      <c r="AF416" s="155"/>
      <c r="AG416" s="143" t="s">
        <v>20241</v>
      </c>
      <c r="AH416" s="167">
        <v>4.7561771856007482</v>
      </c>
      <c r="AI416" s="167">
        <v>25.096177185600748</v>
      </c>
      <c r="AJ416" s="144">
        <v>7.8</v>
      </c>
      <c r="AK416" s="143">
        <v>120</v>
      </c>
      <c r="AL416" s="144">
        <v>17.296177185600747</v>
      </c>
      <c r="AM416" s="144">
        <v>0</v>
      </c>
      <c r="AN416" s="32">
        <v>42</v>
      </c>
      <c r="AO416" s="167">
        <v>24.703822814399253</v>
      </c>
      <c r="AP416" s="898">
        <v>24.703822814399253</v>
      </c>
      <c r="AQ416" s="898" t="s">
        <v>20211</v>
      </c>
      <c r="AR416" s="146" t="s">
        <v>20211</v>
      </c>
      <c r="AS416" s="942">
        <v>59.752802822858925</v>
      </c>
      <c r="AT416" s="117" t="s">
        <v>49</v>
      </c>
      <c r="AU416" s="118">
        <v>1964</v>
      </c>
      <c r="AV416" s="149">
        <v>2012</v>
      </c>
      <c r="AW416" s="120">
        <v>57.074295205234499</v>
      </c>
      <c r="AX416" s="120">
        <v>35.000555290347997</v>
      </c>
    </row>
    <row r="417" spans="1:50" ht="15" customHeight="1" x14ac:dyDescent="0.25">
      <c r="A417" s="875"/>
      <c r="B417" s="935"/>
      <c r="C417" s="168" t="s">
        <v>1142</v>
      </c>
      <c r="D417" s="12">
        <v>40</v>
      </c>
      <c r="E417" s="13" t="s">
        <v>522</v>
      </c>
      <c r="F417" s="13">
        <v>40</v>
      </c>
      <c r="G417" s="13"/>
      <c r="H417" s="508"/>
      <c r="I417" s="151" t="s">
        <v>20241</v>
      </c>
      <c r="J417" s="114">
        <v>7.8</v>
      </c>
      <c r="K417" s="513">
        <v>7.8</v>
      </c>
      <c r="L417" s="512">
        <v>120</v>
      </c>
      <c r="M417" s="167">
        <v>0</v>
      </c>
      <c r="N417" s="504">
        <v>0</v>
      </c>
      <c r="O417" s="29"/>
      <c r="P417" s="32">
        <v>42</v>
      </c>
      <c r="Q417" s="167">
        <v>42</v>
      </c>
      <c r="R417" s="941"/>
      <c r="S417" s="879"/>
      <c r="T417" s="146" t="s">
        <v>20211</v>
      </c>
      <c r="U417" s="879"/>
      <c r="V417" s="879"/>
      <c r="W417" s="879" t="s">
        <v>2024</v>
      </c>
      <c r="X417" s="43"/>
      <c r="Y417" s="875"/>
      <c r="Z417" s="901"/>
      <c r="AA417" s="168" t="s">
        <v>1142</v>
      </c>
      <c r="AB417" s="12">
        <v>40</v>
      </c>
      <c r="AC417" s="13" t="s">
        <v>522</v>
      </c>
      <c r="AD417" s="13">
        <v>40</v>
      </c>
      <c r="AE417" s="13"/>
      <c r="AF417" s="155"/>
      <c r="AG417" s="143" t="s">
        <v>20241</v>
      </c>
      <c r="AH417" s="167">
        <v>2.6985467508181396</v>
      </c>
      <c r="AI417" s="167">
        <v>10.498546750818139</v>
      </c>
      <c r="AJ417" s="144">
        <v>7.8</v>
      </c>
      <c r="AK417" s="143">
        <v>120</v>
      </c>
      <c r="AL417" s="144">
        <v>2.6985467508181396</v>
      </c>
      <c r="AM417" s="144">
        <v>0</v>
      </c>
      <c r="AN417" s="32">
        <v>42</v>
      </c>
      <c r="AO417" s="167">
        <v>39.301453249181861</v>
      </c>
      <c r="AP417" s="899"/>
      <c r="AQ417" s="899" t="s">
        <v>20211</v>
      </c>
      <c r="AR417" s="146" t="s">
        <v>20211</v>
      </c>
      <c r="AS417" s="943"/>
      <c r="AT417" s="117" t="s">
        <v>49</v>
      </c>
      <c r="AU417" s="118">
        <v>1964</v>
      </c>
      <c r="AV417" s="149">
        <v>2012</v>
      </c>
      <c r="AW417" s="120">
        <v>57.074295205234499</v>
      </c>
      <c r="AX417" s="120">
        <v>35.000555290347997</v>
      </c>
    </row>
    <row r="418" spans="1:50" ht="15" customHeight="1" x14ac:dyDescent="0.25">
      <c r="A418" s="875"/>
      <c r="B418" s="935"/>
      <c r="C418" s="168" t="s">
        <v>1141</v>
      </c>
      <c r="D418" s="12">
        <v>40</v>
      </c>
      <c r="E418" s="13" t="s">
        <v>522</v>
      </c>
      <c r="F418" s="13">
        <v>40</v>
      </c>
      <c r="G418" s="13"/>
      <c r="H418" s="508"/>
      <c r="I418" s="151" t="s">
        <v>20241</v>
      </c>
      <c r="J418" s="114">
        <v>12.55</v>
      </c>
      <c r="K418" s="513">
        <v>0</v>
      </c>
      <c r="L418" s="512">
        <v>0</v>
      </c>
      <c r="M418" s="167">
        <v>12.55</v>
      </c>
      <c r="N418" s="504">
        <v>0</v>
      </c>
      <c r="O418" s="29"/>
      <c r="P418" s="32">
        <v>42</v>
      </c>
      <c r="Q418" s="167">
        <v>29.45</v>
      </c>
      <c r="R418" s="941"/>
      <c r="S418" s="879"/>
      <c r="T418" s="146" t="s">
        <v>20211</v>
      </c>
      <c r="U418" s="879"/>
      <c r="V418" s="879"/>
      <c r="W418" s="879" t="s">
        <v>2024</v>
      </c>
      <c r="X418" s="43"/>
      <c r="Y418" s="875"/>
      <c r="Z418" s="901"/>
      <c r="AA418" s="168" t="s">
        <v>1141</v>
      </c>
      <c r="AB418" s="12">
        <v>40</v>
      </c>
      <c r="AC418" s="13" t="s">
        <v>522</v>
      </c>
      <c r="AD418" s="13">
        <v>40</v>
      </c>
      <c r="AE418" s="13"/>
      <c r="AF418" s="155"/>
      <c r="AG418" s="143" t="s">
        <v>20241</v>
      </c>
      <c r="AH418" s="167">
        <v>2.0576304347826087</v>
      </c>
      <c r="AI418" s="167">
        <v>14.60763043478261</v>
      </c>
      <c r="AJ418" s="144">
        <v>0</v>
      </c>
      <c r="AK418" s="143">
        <v>0</v>
      </c>
      <c r="AL418" s="144">
        <v>14.60763043478261</v>
      </c>
      <c r="AM418" s="144">
        <v>0</v>
      </c>
      <c r="AN418" s="32">
        <v>42</v>
      </c>
      <c r="AO418" s="167">
        <v>27.39236956521739</v>
      </c>
      <c r="AP418" s="900"/>
      <c r="AQ418" s="900" t="s">
        <v>20211</v>
      </c>
      <c r="AR418" s="146" t="s">
        <v>20211</v>
      </c>
      <c r="AS418" s="944"/>
      <c r="AT418" s="117" t="s">
        <v>49</v>
      </c>
      <c r="AU418" s="118">
        <v>1964</v>
      </c>
      <c r="AV418" s="149">
        <v>2012</v>
      </c>
      <c r="AW418" s="120">
        <v>57.074295205234499</v>
      </c>
      <c r="AX418" s="120">
        <v>35.000555290347997</v>
      </c>
    </row>
    <row r="419" spans="1:50" ht="15" customHeight="1" x14ac:dyDescent="0.25">
      <c r="A419" s="875">
        <v>311</v>
      </c>
      <c r="B419" s="935">
        <v>30</v>
      </c>
      <c r="C419" s="168" t="s">
        <v>211</v>
      </c>
      <c r="D419" s="12">
        <v>25</v>
      </c>
      <c r="E419" s="13" t="s">
        <v>522</v>
      </c>
      <c r="F419" s="13">
        <v>25</v>
      </c>
      <c r="G419" s="13"/>
      <c r="H419" s="508"/>
      <c r="I419" s="151" t="s">
        <v>20226</v>
      </c>
      <c r="J419" s="114">
        <v>7.87</v>
      </c>
      <c r="K419" s="513">
        <v>0.25</v>
      </c>
      <c r="L419" s="512">
        <v>120</v>
      </c>
      <c r="M419" s="167">
        <v>7.62</v>
      </c>
      <c r="N419" s="504">
        <v>0</v>
      </c>
      <c r="O419" s="29"/>
      <c r="P419" s="32">
        <v>26.25</v>
      </c>
      <c r="Q419" s="167">
        <v>18.63</v>
      </c>
      <c r="R419" s="898">
        <v>18.63</v>
      </c>
      <c r="S419" s="878" t="s">
        <v>20211</v>
      </c>
      <c r="T419" s="146" t="s">
        <v>20211</v>
      </c>
      <c r="U419" s="878">
        <v>29.980952380952381</v>
      </c>
      <c r="V419" s="878">
        <v>0.26</v>
      </c>
      <c r="W419" s="878" t="s">
        <v>2024</v>
      </c>
      <c r="X419" s="43"/>
      <c r="Y419" s="875">
        <v>311</v>
      </c>
      <c r="Z419" s="901">
        <v>30</v>
      </c>
      <c r="AA419" s="168" t="s">
        <v>211</v>
      </c>
      <c r="AB419" s="12">
        <v>25</v>
      </c>
      <c r="AC419" s="13" t="s">
        <v>522</v>
      </c>
      <c r="AD419" s="13">
        <v>25</v>
      </c>
      <c r="AE419" s="13"/>
      <c r="AF419" s="155"/>
      <c r="AG419" s="143" t="s">
        <v>20226</v>
      </c>
      <c r="AH419" s="167">
        <v>1.4039184782608696</v>
      </c>
      <c r="AI419" s="167">
        <v>9.2739184782608692</v>
      </c>
      <c r="AJ419" s="144">
        <v>0.25</v>
      </c>
      <c r="AK419" s="143">
        <v>120</v>
      </c>
      <c r="AL419" s="144">
        <v>9.0239184782608692</v>
      </c>
      <c r="AM419" s="144">
        <v>0</v>
      </c>
      <c r="AN419" s="32">
        <v>26.25</v>
      </c>
      <c r="AO419" s="167">
        <v>17.226081521739133</v>
      </c>
      <c r="AP419" s="898">
        <v>17.226081521739133</v>
      </c>
      <c r="AQ419" s="898" t="s">
        <v>20211</v>
      </c>
      <c r="AR419" s="146" t="s">
        <v>20211</v>
      </c>
      <c r="AS419" s="942">
        <v>35.329213250517597</v>
      </c>
      <c r="AT419" s="117" t="s">
        <v>49</v>
      </c>
      <c r="AU419" s="118">
        <v>1979</v>
      </c>
      <c r="AV419" s="149" t="s">
        <v>2143</v>
      </c>
      <c r="AW419" s="120">
        <v>57.0221461517501</v>
      </c>
      <c r="AX419" s="120">
        <v>34.952349550117397</v>
      </c>
    </row>
    <row r="420" spans="1:50" ht="15" customHeight="1" x14ac:dyDescent="0.25">
      <c r="A420" s="875"/>
      <c r="B420" s="935"/>
      <c r="C420" s="168" t="s">
        <v>1142</v>
      </c>
      <c r="D420" s="12">
        <v>25</v>
      </c>
      <c r="E420" s="13" t="s">
        <v>522</v>
      </c>
      <c r="F420" s="13">
        <v>25</v>
      </c>
      <c r="G420" s="13"/>
      <c r="H420" s="508"/>
      <c r="I420" s="151" t="s">
        <v>20226</v>
      </c>
      <c r="J420" s="114">
        <v>0.25</v>
      </c>
      <c r="K420" s="513">
        <v>0.25</v>
      </c>
      <c r="L420" s="512">
        <v>120</v>
      </c>
      <c r="M420" s="167">
        <v>0</v>
      </c>
      <c r="N420" s="504">
        <v>0</v>
      </c>
      <c r="O420" s="29"/>
      <c r="P420" s="32">
        <v>26.25</v>
      </c>
      <c r="Q420" s="167">
        <v>26.25</v>
      </c>
      <c r="R420" s="899"/>
      <c r="S420" s="879" t="s">
        <v>20211</v>
      </c>
      <c r="T420" s="146" t="s">
        <v>20211</v>
      </c>
      <c r="U420" s="879"/>
      <c r="V420" s="879"/>
      <c r="W420" s="879" t="s">
        <v>2024</v>
      </c>
      <c r="X420" s="43"/>
      <c r="Y420" s="875"/>
      <c r="Z420" s="901"/>
      <c r="AA420" s="168" t="s">
        <v>1142</v>
      </c>
      <c r="AB420" s="12">
        <v>25</v>
      </c>
      <c r="AC420" s="13" t="s">
        <v>522</v>
      </c>
      <c r="AD420" s="13">
        <v>25</v>
      </c>
      <c r="AE420" s="13"/>
      <c r="AF420" s="155"/>
      <c r="AG420" s="143" t="s">
        <v>20226</v>
      </c>
      <c r="AH420" s="167">
        <v>0.59204347826086956</v>
      </c>
      <c r="AI420" s="167">
        <v>0.84204347826086956</v>
      </c>
      <c r="AJ420" s="144">
        <v>0.25</v>
      </c>
      <c r="AK420" s="143">
        <v>120</v>
      </c>
      <c r="AL420" s="144">
        <v>0.59204347826086956</v>
      </c>
      <c r="AM420" s="144">
        <v>0</v>
      </c>
      <c r="AN420" s="32">
        <v>26.25</v>
      </c>
      <c r="AO420" s="167">
        <v>25.657956521739131</v>
      </c>
      <c r="AP420" s="899"/>
      <c r="AQ420" s="899" t="s">
        <v>20211</v>
      </c>
      <c r="AR420" s="146" t="s">
        <v>20211</v>
      </c>
      <c r="AS420" s="943"/>
      <c r="AT420" s="117" t="s">
        <v>49</v>
      </c>
      <c r="AU420" s="118">
        <v>1979</v>
      </c>
      <c r="AV420" s="149" t="s">
        <v>2143</v>
      </c>
      <c r="AW420" s="120">
        <v>57.0221461517501</v>
      </c>
      <c r="AX420" s="120">
        <v>34.952349550117397</v>
      </c>
    </row>
    <row r="421" spans="1:50" ht="15" customHeight="1" x14ac:dyDescent="0.25">
      <c r="A421" s="875"/>
      <c r="B421" s="935"/>
      <c r="C421" s="168" t="s">
        <v>1141</v>
      </c>
      <c r="D421" s="12">
        <v>25</v>
      </c>
      <c r="E421" s="13" t="s">
        <v>522</v>
      </c>
      <c r="F421" s="13">
        <v>25</v>
      </c>
      <c r="G421" s="13"/>
      <c r="H421" s="508"/>
      <c r="I421" s="151" t="s">
        <v>20226</v>
      </c>
      <c r="J421" s="114">
        <v>7.62</v>
      </c>
      <c r="K421" s="513">
        <v>0</v>
      </c>
      <c r="L421" s="512">
        <v>0</v>
      </c>
      <c r="M421" s="167">
        <v>7.62</v>
      </c>
      <c r="N421" s="504">
        <v>0</v>
      </c>
      <c r="O421" s="29"/>
      <c r="P421" s="32">
        <v>26.25</v>
      </c>
      <c r="Q421" s="167">
        <v>18.63</v>
      </c>
      <c r="R421" s="900"/>
      <c r="S421" s="879" t="s">
        <v>20211</v>
      </c>
      <c r="T421" s="146" t="s">
        <v>20211</v>
      </c>
      <c r="U421" s="879"/>
      <c r="V421" s="879"/>
      <c r="W421" s="879" t="s">
        <v>2024</v>
      </c>
      <c r="X421" s="43"/>
      <c r="Y421" s="875"/>
      <c r="Z421" s="901"/>
      <c r="AA421" s="168" t="s">
        <v>1141</v>
      </c>
      <c r="AB421" s="12">
        <v>25</v>
      </c>
      <c r="AC421" s="13" t="s">
        <v>522</v>
      </c>
      <c r="AD421" s="13">
        <v>25</v>
      </c>
      <c r="AE421" s="13"/>
      <c r="AF421" s="155"/>
      <c r="AG421" s="143" t="s">
        <v>20226</v>
      </c>
      <c r="AH421" s="167">
        <v>0.8118749999999999</v>
      </c>
      <c r="AI421" s="167">
        <v>8.4318749999999998</v>
      </c>
      <c r="AJ421" s="144">
        <v>0</v>
      </c>
      <c r="AK421" s="143">
        <v>0</v>
      </c>
      <c r="AL421" s="144">
        <v>8.4318749999999998</v>
      </c>
      <c r="AM421" s="144">
        <v>0</v>
      </c>
      <c r="AN421" s="32">
        <v>26.25</v>
      </c>
      <c r="AO421" s="167">
        <v>17.818125000000002</v>
      </c>
      <c r="AP421" s="900"/>
      <c r="AQ421" s="900" t="s">
        <v>20211</v>
      </c>
      <c r="AR421" s="146" t="s">
        <v>20211</v>
      </c>
      <c r="AS421" s="944"/>
      <c r="AT421" s="117" t="s">
        <v>49</v>
      </c>
      <c r="AU421" s="118">
        <v>1979</v>
      </c>
      <c r="AV421" s="149" t="s">
        <v>2143</v>
      </c>
      <c r="AW421" s="120">
        <v>57.0221461517501</v>
      </c>
      <c r="AX421" s="120">
        <v>34.952349550117397</v>
      </c>
    </row>
    <row r="422" spans="1:50" ht="15" customHeight="1" x14ac:dyDescent="0.25">
      <c r="A422" s="875">
        <v>312</v>
      </c>
      <c r="B422" s="935">
        <v>31</v>
      </c>
      <c r="C422" s="168" t="s">
        <v>212</v>
      </c>
      <c r="D422" s="12">
        <v>40</v>
      </c>
      <c r="E422" s="13" t="s">
        <v>522</v>
      </c>
      <c r="F422" s="13">
        <v>25</v>
      </c>
      <c r="G422" s="13"/>
      <c r="H422" s="508"/>
      <c r="I422" s="151" t="s">
        <v>20246</v>
      </c>
      <c r="J422" s="114">
        <v>27</v>
      </c>
      <c r="K422" s="513">
        <v>2.38</v>
      </c>
      <c r="L422" s="512">
        <v>120</v>
      </c>
      <c r="M422" s="167">
        <v>24.62</v>
      </c>
      <c r="N422" s="504">
        <v>0</v>
      </c>
      <c r="O422" s="29"/>
      <c r="P422" s="32">
        <v>26.25</v>
      </c>
      <c r="Q422" s="167">
        <v>1.629999999999999</v>
      </c>
      <c r="R422" s="898">
        <v>1.620000000000001</v>
      </c>
      <c r="S422" s="878" t="s">
        <v>20211</v>
      </c>
      <c r="T422" s="146" t="s">
        <v>20211</v>
      </c>
      <c r="U422" s="878">
        <v>102.85714285714286</v>
      </c>
      <c r="V422" s="878">
        <v>0.3</v>
      </c>
      <c r="W422" s="878" t="s">
        <v>2024</v>
      </c>
      <c r="X422" s="43"/>
      <c r="Y422" s="875">
        <v>312</v>
      </c>
      <c r="Z422" s="901">
        <v>31</v>
      </c>
      <c r="AA422" s="168" t="s">
        <v>212</v>
      </c>
      <c r="AB422" s="12">
        <v>40</v>
      </c>
      <c r="AC422" s="13" t="s">
        <v>522</v>
      </c>
      <c r="AD422" s="13">
        <v>25</v>
      </c>
      <c r="AE422" s="13"/>
      <c r="AF422" s="155"/>
      <c r="AG422" s="143" t="s">
        <v>20246</v>
      </c>
      <c r="AH422" s="167">
        <v>1.066695652173913</v>
      </c>
      <c r="AI422" s="167">
        <v>28.066695652173912</v>
      </c>
      <c r="AJ422" s="144">
        <v>2.38</v>
      </c>
      <c r="AK422" s="143">
        <v>120</v>
      </c>
      <c r="AL422" s="144">
        <v>25.686695652173913</v>
      </c>
      <c r="AM422" s="144">
        <v>0</v>
      </c>
      <c r="AN422" s="32">
        <v>26.25</v>
      </c>
      <c r="AO422" s="167">
        <v>0.56330434782608663</v>
      </c>
      <c r="AP422" s="898">
        <v>0.56330434782608663</v>
      </c>
      <c r="AQ422" s="898" t="s">
        <v>20211</v>
      </c>
      <c r="AR422" s="146" t="s">
        <v>20211</v>
      </c>
      <c r="AS422" s="942">
        <v>106.9207453416149</v>
      </c>
      <c r="AT422" s="117" t="s">
        <v>49</v>
      </c>
      <c r="AU422" s="118">
        <v>1983</v>
      </c>
      <c r="AV422" s="149">
        <v>2012</v>
      </c>
      <c r="AW422" s="120">
        <v>57.007873237507198</v>
      </c>
      <c r="AX422" s="120">
        <v>34.173895079503602</v>
      </c>
    </row>
    <row r="423" spans="1:50" ht="15" customHeight="1" x14ac:dyDescent="0.25">
      <c r="A423" s="875"/>
      <c r="B423" s="935"/>
      <c r="C423" s="168" t="s">
        <v>1142</v>
      </c>
      <c r="D423" s="12">
        <v>40</v>
      </c>
      <c r="E423" s="13" t="s">
        <v>522</v>
      </c>
      <c r="F423" s="13">
        <v>25</v>
      </c>
      <c r="G423" s="13"/>
      <c r="H423" s="508"/>
      <c r="I423" s="151" t="s">
        <v>20246</v>
      </c>
      <c r="J423" s="114">
        <v>2.38</v>
      </c>
      <c r="K423" s="513">
        <v>2.38</v>
      </c>
      <c r="L423" s="512">
        <v>120</v>
      </c>
      <c r="M423" s="167">
        <v>0</v>
      </c>
      <c r="N423" s="504">
        <v>0</v>
      </c>
      <c r="O423" s="29"/>
      <c r="P423" s="32">
        <v>26.25</v>
      </c>
      <c r="Q423" s="167">
        <v>26.25</v>
      </c>
      <c r="R423" s="899"/>
      <c r="S423" s="879" t="s">
        <v>20211</v>
      </c>
      <c r="T423" s="146" t="s">
        <v>20211</v>
      </c>
      <c r="U423" s="879"/>
      <c r="V423" s="879"/>
      <c r="W423" s="879" t="s">
        <v>2024</v>
      </c>
      <c r="X423" s="43"/>
      <c r="Y423" s="875"/>
      <c r="Z423" s="901"/>
      <c r="AA423" s="168" t="s">
        <v>1142</v>
      </c>
      <c r="AB423" s="12">
        <v>40</v>
      </c>
      <c r="AC423" s="13" t="s">
        <v>522</v>
      </c>
      <c r="AD423" s="13">
        <v>25</v>
      </c>
      <c r="AE423" s="13"/>
      <c r="AF423" s="155"/>
      <c r="AG423" s="143" t="s">
        <v>20246</v>
      </c>
      <c r="AH423" s="167">
        <v>8.1586956521739126E-2</v>
      </c>
      <c r="AI423" s="167">
        <v>2.4615869565217392</v>
      </c>
      <c r="AJ423" s="144">
        <v>2.38</v>
      </c>
      <c r="AK423" s="143">
        <v>120</v>
      </c>
      <c r="AL423" s="144">
        <v>8.1586956521739307E-2</v>
      </c>
      <c r="AM423" s="144">
        <v>0</v>
      </c>
      <c r="AN423" s="32">
        <v>26.25</v>
      </c>
      <c r="AO423" s="167">
        <v>26.16841304347826</v>
      </c>
      <c r="AP423" s="899"/>
      <c r="AQ423" s="899"/>
      <c r="AR423" s="146" t="s">
        <v>20211</v>
      </c>
      <c r="AS423" s="943"/>
      <c r="AT423" s="117" t="s">
        <v>49</v>
      </c>
      <c r="AU423" s="118">
        <v>1983</v>
      </c>
      <c r="AV423" s="149">
        <v>2012</v>
      </c>
      <c r="AW423" s="120">
        <v>57.007873237507198</v>
      </c>
      <c r="AX423" s="120">
        <v>34.173895079503602</v>
      </c>
    </row>
    <row r="424" spans="1:50" ht="15" customHeight="1" x14ac:dyDescent="0.25">
      <c r="A424" s="875"/>
      <c r="B424" s="935"/>
      <c r="C424" s="168" t="s">
        <v>1141</v>
      </c>
      <c r="D424" s="12">
        <v>40</v>
      </c>
      <c r="E424" s="13" t="s">
        <v>522</v>
      </c>
      <c r="F424" s="13">
        <v>25</v>
      </c>
      <c r="G424" s="13"/>
      <c r="H424" s="508"/>
      <c r="I424" s="151" t="s">
        <v>20246</v>
      </c>
      <c r="J424" s="114">
        <v>24.63</v>
      </c>
      <c r="K424" s="513">
        <v>0</v>
      </c>
      <c r="L424" s="512">
        <v>0</v>
      </c>
      <c r="M424" s="167">
        <v>24.63</v>
      </c>
      <c r="N424" s="504">
        <v>0</v>
      </c>
      <c r="O424" s="29"/>
      <c r="P424" s="32">
        <v>26.25</v>
      </c>
      <c r="Q424" s="167">
        <v>1.620000000000001</v>
      </c>
      <c r="R424" s="900"/>
      <c r="S424" s="879" t="s">
        <v>20211</v>
      </c>
      <c r="T424" s="146" t="s">
        <v>20211</v>
      </c>
      <c r="U424" s="879"/>
      <c r="V424" s="879"/>
      <c r="W424" s="879" t="s">
        <v>2024</v>
      </c>
      <c r="X424" s="43"/>
      <c r="Y424" s="875"/>
      <c r="Z424" s="901"/>
      <c r="AA424" s="168" t="s">
        <v>1141</v>
      </c>
      <c r="AB424" s="12">
        <v>40</v>
      </c>
      <c r="AC424" s="13" t="s">
        <v>522</v>
      </c>
      <c r="AD424" s="13">
        <v>25</v>
      </c>
      <c r="AE424" s="13"/>
      <c r="AF424" s="155"/>
      <c r="AG424" s="143" t="s">
        <v>20246</v>
      </c>
      <c r="AH424" s="167">
        <v>0.98510869565217385</v>
      </c>
      <c r="AI424" s="167">
        <v>25.615108695652172</v>
      </c>
      <c r="AJ424" s="144">
        <v>0</v>
      </c>
      <c r="AK424" s="143">
        <v>0</v>
      </c>
      <c r="AL424" s="144">
        <v>25.615108695652172</v>
      </c>
      <c r="AM424" s="144">
        <v>0</v>
      </c>
      <c r="AN424" s="32">
        <v>26.25</v>
      </c>
      <c r="AO424" s="167">
        <v>0.63489130434782837</v>
      </c>
      <c r="AP424" s="900"/>
      <c r="AQ424" s="900"/>
      <c r="AR424" s="146" t="s">
        <v>20211</v>
      </c>
      <c r="AS424" s="944"/>
      <c r="AT424" s="117" t="s">
        <v>49</v>
      </c>
      <c r="AU424" s="118">
        <v>1983</v>
      </c>
      <c r="AV424" s="149">
        <v>2012</v>
      </c>
      <c r="AW424" s="120">
        <v>57.007873237507198</v>
      </c>
      <c r="AX424" s="120">
        <v>34.173895079503602</v>
      </c>
    </row>
    <row r="425" spans="1:50" ht="15" customHeight="1" x14ac:dyDescent="0.25">
      <c r="A425" s="875">
        <v>313</v>
      </c>
      <c r="B425" s="935">
        <v>32</v>
      </c>
      <c r="C425" s="168" t="s">
        <v>213</v>
      </c>
      <c r="D425" s="12">
        <v>16</v>
      </c>
      <c r="E425" s="13" t="s">
        <v>522</v>
      </c>
      <c r="F425" s="13">
        <v>10</v>
      </c>
      <c r="G425" s="13"/>
      <c r="H425" s="508"/>
      <c r="I425" s="151" t="s">
        <v>20249</v>
      </c>
      <c r="J425" s="114">
        <v>6.57</v>
      </c>
      <c r="K425" s="513">
        <v>0</v>
      </c>
      <c r="L425" s="512">
        <v>0</v>
      </c>
      <c r="M425" s="167">
        <v>6.57</v>
      </c>
      <c r="N425" s="504">
        <v>0</v>
      </c>
      <c r="O425" s="29"/>
      <c r="P425" s="32">
        <v>10.5</v>
      </c>
      <c r="Q425" s="167">
        <v>3.9299999999999997</v>
      </c>
      <c r="R425" s="898">
        <v>3.9299999999999997</v>
      </c>
      <c r="S425" s="878" t="s">
        <v>20211</v>
      </c>
      <c r="T425" s="146" t="s">
        <v>20211</v>
      </c>
      <c r="U425" s="878">
        <v>62.571428571428569</v>
      </c>
      <c r="V425" s="878">
        <v>0.3</v>
      </c>
      <c r="W425" s="878" t="s">
        <v>2024</v>
      </c>
      <c r="X425" s="43"/>
      <c r="Y425" s="875">
        <v>313</v>
      </c>
      <c r="Z425" s="901">
        <v>32</v>
      </c>
      <c r="AA425" s="168" t="s">
        <v>213</v>
      </c>
      <c r="AB425" s="12">
        <v>16</v>
      </c>
      <c r="AC425" s="13" t="s">
        <v>522</v>
      </c>
      <c r="AD425" s="13">
        <v>10</v>
      </c>
      <c r="AE425" s="13"/>
      <c r="AF425" s="155"/>
      <c r="AG425" s="143" t="s">
        <v>20249</v>
      </c>
      <c r="AH425" s="167">
        <v>9.1923913043478259E-2</v>
      </c>
      <c r="AI425" s="167">
        <v>6.6619239130434789</v>
      </c>
      <c r="AJ425" s="144">
        <v>0</v>
      </c>
      <c r="AK425" s="143">
        <v>0</v>
      </c>
      <c r="AL425" s="144">
        <v>6.6619239130434789</v>
      </c>
      <c r="AM425" s="144">
        <v>0</v>
      </c>
      <c r="AN425" s="32">
        <v>10.5</v>
      </c>
      <c r="AO425" s="167">
        <v>3.8380760869565211</v>
      </c>
      <c r="AP425" s="898">
        <v>3.8380760869565211</v>
      </c>
      <c r="AQ425" s="898" t="s">
        <v>20211</v>
      </c>
      <c r="AR425" s="146" t="s">
        <v>20211</v>
      </c>
      <c r="AS425" s="942">
        <v>63.446894409937897</v>
      </c>
      <c r="AT425" s="117" t="s">
        <v>49</v>
      </c>
      <c r="AU425" s="118">
        <v>1978</v>
      </c>
      <c r="AV425" s="149" t="s">
        <v>2143</v>
      </c>
      <c r="AW425" s="120">
        <v>56.853146924655697</v>
      </c>
      <c r="AX425" s="120">
        <v>33.4977328072369</v>
      </c>
    </row>
    <row r="426" spans="1:50" ht="15" customHeight="1" x14ac:dyDescent="0.25">
      <c r="A426" s="875"/>
      <c r="B426" s="935"/>
      <c r="C426" s="168" t="s">
        <v>1142</v>
      </c>
      <c r="D426" s="12">
        <v>16</v>
      </c>
      <c r="E426" s="13" t="s">
        <v>522</v>
      </c>
      <c r="F426" s="13">
        <v>10</v>
      </c>
      <c r="G426" s="13"/>
      <c r="H426" s="508"/>
      <c r="I426" s="151" t="s">
        <v>20249</v>
      </c>
      <c r="J426" s="114">
        <v>1.42</v>
      </c>
      <c r="K426" s="513">
        <v>0</v>
      </c>
      <c r="L426" s="512">
        <v>0</v>
      </c>
      <c r="M426" s="167">
        <v>1.42</v>
      </c>
      <c r="N426" s="504">
        <v>0</v>
      </c>
      <c r="O426" s="29"/>
      <c r="P426" s="32">
        <v>10.5</v>
      </c>
      <c r="Q426" s="167">
        <v>9.08</v>
      </c>
      <c r="R426" s="899"/>
      <c r="S426" s="879" t="s">
        <v>20211</v>
      </c>
      <c r="T426" s="146" t="s">
        <v>20211</v>
      </c>
      <c r="U426" s="879"/>
      <c r="V426" s="879"/>
      <c r="W426" s="879" t="s">
        <v>2024</v>
      </c>
      <c r="X426" s="43"/>
      <c r="Y426" s="875"/>
      <c r="Z426" s="901"/>
      <c r="AA426" s="168" t="s">
        <v>1142</v>
      </c>
      <c r="AB426" s="12">
        <v>16</v>
      </c>
      <c r="AC426" s="13" t="s">
        <v>522</v>
      </c>
      <c r="AD426" s="13">
        <v>10</v>
      </c>
      <c r="AE426" s="13"/>
      <c r="AF426" s="155"/>
      <c r="AG426" s="143" t="s">
        <v>20249</v>
      </c>
      <c r="AH426" s="167">
        <v>0</v>
      </c>
      <c r="AI426" s="167">
        <v>1.42</v>
      </c>
      <c r="AJ426" s="144">
        <v>0</v>
      </c>
      <c r="AK426" s="143">
        <v>0</v>
      </c>
      <c r="AL426" s="144">
        <v>1.42</v>
      </c>
      <c r="AM426" s="144">
        <v>0</v>
      </c>
      <c r="AN426" s="32">
        <v>10.5</v>
      </c>
      <c r="AO426" s="167">
        <v>9.08</v>
      </c>
      <c r="AP426" s="899"/>
      <c r="AQ426" s="899" t="s">
        <v>20211</v>
      </c>
      <c r="AR426" s="146" t="s">
        <v>20211</v>
      </c>
      <c r="AS426" s="943"/>
      <c r="AT426" s="117" t="s">
        <v>49</v>
      </c>
      <c r="AU426" s="118">
        <v>1978</v>
      </c>
      <c r="AV426" s="149" t="s">
        <v>2143</v>
      </c>
      <c r="AW426" s="120">
        <v>56.853146924655697</v>
      </c>
      <c r="AX426" s="120">
        <v>33.4977328072369</v>
      </c>
    </row>
    <row r="427" spans="1:50" ht="15" customHeight="1" x14ac:dyDescent="0.25">
      <c r="A427" s="875"/>
      <c r="B427" s="935"/>
      <c r="C427" s="168" t="s">
        <v>1141</v>
      </c>
      <c r="D427" s="12">
        <v>16</v>
      </c>
      <c r="E427" s="13" t="s">
        <v>522</v>
      </c>
      <c r="F427" s="13">
        <v>10</v>
      </c>
      <c r="G427" s="13"/>
      <c r="H427" s="508"/>
      <c r="I427" s="151" t="s">
        <v>20249</v>
      </c>
      <c r="J427" s="114">
        <v>5.15</v>
      </c>
      <c r="K427" s="513">
        <v>0</v>
      </c>
      <c r="L427" s="512">
        <v>0</v>
      </c>
      <c r="M427" s="167">
        <v>5.15</v>
      </c>
      <c r="N427" s="504">
        <v>0</v>
      </c>
      <c r="O427" s="29"/>
      <c r="P427" s="32">
        <v>10.5</v>
      </c>
      <c r="Q427" s="167">
        <v>5.35</v>
      </c>
      <c r="R427" s="900"/>
      <c r="S427" s="879" t="s">
        <v>20211</v>
      </c>
      <c r="T427" s="146" t="s">
        <v>20211</v>
      </c>
      <c r="U427" s="879"/>
      <c r="V427" s="879"/>
      <c r="W427" s="879" t="s">
        <v>2024</v>
      </c>
      <c r="X427" s="43"/>
      <c r="Y427" s="875"/>
      <c r="Z427" s="901"/>
      <c r="AA427" s="168" t="s">
        <v>1141</v>
      </c>
      <c r="AB427" s="12">
        <v>16</v>
      </c>
      <c r="AC427" s="13" t="s">
        <v>522</v>
      </c>
      <c r="AD427" s="13">
        <v>10</v>
      </c>
      <c r="AE427" s="13"/>
      <c r="AF427" s="155"/>
      <c r="AG427" s="143" t="s">
        <v>20249</v>
      </c>
      <c r="AH427" s="167">
        <v>9.1923913043478259E-2</v>
      </c>
      <c r="AI427" s="167">
        <v>5.2419239130434789</v>
      </c>
      <c r="AJ427" s="144">
        <v>0</v>
      </c>
      <c r="AK427" s="143">
        <v>0</v>
      </c>
      <c r="AL427" s="144">
        <v>5.2419239130434789</v>
      </c>
      <c r="AM427" s="144">
        <v>0</v>
      </c>
      <c r="AN427" s="32">
        <v>10.5</v>
      </c>
      <c r="AO427" s="167">
        <v>5.2580760869565211</v>
      </c>
      <c r="AP427" s="900"/>
      <c r="AQ427" s="900" t="s">
        <v>20211</v>
      </c>
      <c r="AR427" s="146" t="s">
        <v>20211</v>
      </c>
      <c r="AS427" s="944"/>
      <c r="AT427" s="117" t="s">
        <v>49</v>
      </c>
      <c r="AU427" s="118">
        <v>1978</v>
      </c>
      <c r="AV427" s="149" t="s">
        <v>2143</v>
      </c>
      <c r="AW427" s="120">
        <v>56.853146924655697</v>
      </c>
      <c r="AX427" s="120">
        <v>33.4977328072369</v>
      </c>
    </row>
    <row r="428" spans="1:50" ht="15" customHeight="1" x14ac:dyDescent="0.25">
      <c r="A428" s="875">
        <v>314</v>
      </c>
      <c r="B428" s="935">
        <v>33</v>
      </c>
      <c r="C428" s="168" t="s">
        <v>214</v>
      </c>
      <c r="D428" s="12">
        <v>25</v>
      </c>
      <c r="E428" s="13" t="s">
        <v>522</v>
      </c>
      <c r="F428" s="13">
        <v>25</v>
      </c>
      <c r="G428" s="13"/>
      <c r="H428" s="508"/>
      <c r="I428" s="151" t="s">
        <v>20226</v>
      </c>
      <c r="J428" s="114">
        <v>0.68</v>
      </c>
      <c r="K428" s="513">
        <v>0.48</v>
      </c>
      <c r="L428" s="512">
        <v>120</v>
      </c>
      <c r="M428" s="167">
        <v>0.20000000000000007</v>
      </c>
      <c r="N428" s="504">
        <v>0</v>
      </c>
      <c r="O428" s="29"/>
      <c r="P428" s="32">
        <v>26.25</v>
      </c>
      <c r="Q428" s="167">
        <v>26.05</v>
      </c>
      <c r="R428" s="898">
        <v>26.05</v>
      </c>
      <c r="S428" s="878" t="s">
        <v>20211</v>
      </c>
      <c r="T428" s="146" t="s">
        <v>20211</v>
      </c>
      <c r="U428" s="878">
        <v>2.5904761904761906</v>
      </c>
      <c r="V428" s="878"/>
      <c r="W428" s="878" t="s">
        <v>2023</v>
      </c>
      <c r="X428" s="43"/>
      <c r="Y428" s="875">
        <v>314</v>
      </c>
      <c r="Z428" s="901">
        <v>33</v>
      </c>
      <c r="AA428" s="168" t="s">
        <v>214</v>
      </c>
      <c r="AB428" s="12">
        <v>25</v>
      </c>
      <c r="AC428" s="13" t="s">
        <v>522</v>
      </c>
      <c r="AD428" s="13">
        <v>25</v>
      </c>
      <c r="AE428" s="13"/>
      <c r="AF428" s="155"/>
      <c r="AG428" s="143" t="s">
        <v>20226</v>
      </c>
      <c r="AH428" s="167">
        <v>0.11836956521739131</v>
      </c>
      <c r="AI428" s="167">
        <v>0.79836956521739133</v>
      </c>
      <c r="AJ428" s="144">
        <v>0.48</v>
      </c>
      <c r="AK428" s="143">
        <v>120</v>
      </c>
      <c r="AL428" s="144">
        <v>0.31836956521739135</v>
      </c>
      <c r="AM428" s="144">
        <v>0</v>
      </c>
      <c r="AN428" s="32">
        <v>26.25</v>
      </c>
      <c r="AO428" s="167">
        <v>25.931630434782608</v>
      </c>
      <c r="AP428" s="898">
        <v>25.931630434782608</v>
      </c>
      <c r="AQ428" s="898" t="s">
        <v>20211</v>
      </c>
      <c r="AR428" s="146" t="s">
        <v>20211</v>
      </c>
      <c r="AS428" s="942">
        <v>3.0414078674948244</v>
      </c>
      <c r="AT428" s="117" t="s">
        <v>49</v>
      </c>
      <c r="AU428" s="118">
        <v>1980</v>
      </c>
      <c r="AV428" s="149" t="s">
        <v>2143</v>
      </c>
      <c r="AW428" s="120">
        <v>56.7828357560401</v>
      </c>
      <c r="AX428" s="120">
        <v>33.525905056328497</v>
      </c>
    </row>
    <row r="429" spans="1:50" ht="15" customHeight="1" x14ac:dyDescent="0.25">
      <c r="A429" s="875"/>
      <c r="B429" s="935"/>
      <c r="C429" s="168" t="s">
        <v>1142</v>
      </c>
      <c r="D429" s="12">
        <v>25</v>
      </c>
      <c r="E429" s="13" t="s">
        <v>522</v>
      </c>
      <c r="F429" s="13">
        <v>25</v>
      </c>
      <c r="G429" s="13"/>
      <c r="H429" s="508"/>
      <c r="I429" s="151" t="s">
        <v>20226</v>
      </c>
      <c r="J429" s="114">
        <v>0.48</v>
      </c>
      <c r="K429" s="513">
        <v>0.48</v>
      </c>
      <c r="L429" s="512">
        <v>120</v>
      </c>
      <c r="M429" s="167">
        <v>0</v>
      </c>
      <c r="N429" s="504">
        <v>0</v>
      </c>
      <c r="O429" s="29"/>
      <c r="P429" s="32">
        <v>26.25</v>
      </c>
      <c r="Q429" s="167">
        <v>26.25</v>
      </c>
      <c r="R429" s="899"/>
      <c r="S429" s="879" t="s">
        <v>20211</v>
      </c>
      <c r="T429" s="146" t="s">
        <v>20211</v>
      </c>
      <c r="U429" s="879"/>
      <c r="V429" s="879"/>
      <c r="W429" s="879"/>
      <c r="X429" s="43"/>
      <c r="Y429" s="875"/>
      <c r="Z429" s="901"/>
      <c r="AA429" s="168" t="s">
        <v>1142</v>
      </c>
      <c r="AB429" s="12">
        <v>25</v>
      </c>
      <c r="AC429" s="13" t="s">
        <v>522</v>
      </c>
      <c r="AD429" s="13">
        <v>25</v>
      </c>
      <c r="AE429" s="13"/>
      <c r="AF429" s="155"/>
      <c r="AG429" s="143" t="s">
        <v>20226</v>
      </c>
      <c r="AH429" s="167">
        <v>0.11836956521739131</v>
      </c>
      <c r="AI429" s="167">
        <v>0.59836956521739126</v>
      </c>
      <c r="AJ429" s="144">
        <v>0.48</v>
      </c>
      <c r="AK429" s="143">
        <v>120</v>
      </c>
      <c r="AL429" s="144">
        <v>0.11836956521739128</v>
      </c>
      <c r="AM429" s="144">
        <v>0</v>
      </c>
      <c r="AN429" s="32">
        <v>26.25</v>
      </c>
      <c r="AO429" s="167">
        <v>26.131630434782608</v>
      </c>
      <c r="AP429" s="899"/>
      <c r="AQ429" s="899" t="s">
        <v>20211</v>
      </c>
      <c r="AR429" s="146" t="s">
        <v>20211</v>
      </c>
      <c r="AS429" s="943"/>
      <c r="AT429" s="117" t="s">
        <v>49</v>
      </c>
      <c r="AU429" s="118">
        <v>1980</v>
      </c>
      <c r="AV429" s="149" t="s">
        <v>2143</v>
      </c>
      <c r="AW429" s="120">
        <v>56.7828357560401</v>
      </c>
      <c r="AX429" s="120">
        <v>33.525905056328497</v>
      </c>
    </row>
    <row r="430" spans="1:50" ht="15" customHeight="1" x14ac:dyDescent="0.25">
      <c r="A430" s="875"/>
      <c r="B430" s="935"/>
      <c r="C430" s="168" t="s">
        <v>1141</v>
      </c>
      <c r="D430" s="12">
        <v>25</v>
      </c>
      <c r="E430" s="13" t="s">
        <v>522</v>
      </c>
      <c r="F430" s="13">
        <v>25</v>
      </c>
      <c r="G430" s="13"/>
      <c r="H430" s="508"/>
      <c r="I430" s="151" t="s">
        <v>20226</v>
      </c>
      <c r="J430" s="114">
        <v>0.2</v>
      </c>
      <c r="K430" s="513">
        <v>0</v>
      </c>
      <c r="L430" s="512">
        <v>0</v>
      </c>
      <c r="M430" s="167">
        <v>0.2</v>
      </c>
      <c r="N430" s="504">
        <v>0</v>
      </c>
      <c r="O430" s="29"/>
      <c r="P430" s="32">
        <v>26.25</v>
      </c>
      <c r="Q430" s="167">
        <v>26.05</v>
      </c>
      <c r="R430" s="900"/>
      <c r="S430" s="879" t="s">
        <v>20211</v>
      </c>
      <c r="T430" s="146" t="s">
        <v>20211</v>
      </c>
      <c r="U430" s="879"/>
      <c r="V430" s="879"/>
      <c r="W430" s="879"/>
      <c r="X430" s="43"/>
      <c r="Y430" s="875"/>
      <c r="Z430" s="901"/>
      <c r="AA430" s="168" t="s">
        <v>1141</v>
      </c>
      <c r="AB430" s="12">
        <v>25</v>
      </c>
      <c r="AC430" s="13" t="s">
        <v>522</v>
      </c>
      <c r="AD430" s="13">
        <v>25</v>
      </c>
      <c r="AE430" s="13"/>
      <c r="AF430" s="155"/>
      <c r="AG430" s="143" t="s">
        <v>20226</v>
      </c>
      <c r="AH430" s="167">
        <v>0</v>
      </c>
      <c r="AI430" s="167">
        <v>0.2</v>
      </c>
      <c r="AJ430" s="144">
        <v>0</v>
      </c>
      <c r="AK430" s="143">
        <v>0</v>
      </c>
      <c r="AL430" s="144">
        <v>0.2</v>
      </c>
      <c r="AM430" s="144">
        <v>0</v>
      </c>
      <c r="AN430" s="32">
        <v>26.25</v>
      </c>
      <c r="AO430" s="167">
        <v>26.05</v>
      </c>
      <c r="AP430" s="900"/>
      <c r="AQ430" s="900" t="s">
        <v>20211</v>
      </c>
      <c r="AR430" s="146" t="s">
        <v>20211</v>
      </c>
      <c r="AS430" s="944"/>
      <c r="AT430" s="117" t="s">
        <v>49</v>
      </c>
      <c r="AU430" s="118">
        <v>1980</v>
      </c>
      <c r="AV430" s="149" t="s">
        <v>2143</v>
      </c>
      <c r="AW430" s="120">
        <v>56.7828357560401</v>
      </c>
      <c r="AX430" s="120">
        <v>33.525905056328497</v>
      </c>
    </row>
    <row r="431" spans="1:50" ht="15" customHeight="1" x14ac:dyDescent="0.25">
      <c r="A431" s="875">
        <v>315</v>
      </c>
      <c r="B431" s="935">
        <v>34</v>
      </c>
      <c r="C431" s="168" t="s">
        <v>215</v>
      </c>
      <c r="D431" s="12">
        <v>25</v>
      </c>
      <c r="E431" s="13" t="s">
        <v>522</v>
      </c>
      <c r="F431" s="13">
        <v>25</v>
      </c>
      <c r="G431" s="13"/>
      <c r="H431" s="508"/>
      <c r="I431" s="151" t="s">
        <v>20226</v>
      </c>
      <c r="J431" s="114">
        <v>16.34</v>
      </c>
      <c r="K431" s="513">
        <v>0</v>
      </c>
      <c r="L431" s="512">
        <v>0</v>
      </c>
      <c r="M431" s="167">
        <v>16.34</v>
      </c>
      <c r="N431" s="504">
        <v>0</v>
      </c>
      <c r="O431" s="29"/>
      <c r="P431" s="32">
        <v>26.25</v>
      </c>
      <c r="Q431" s="167">
        <v>9.91</v>
      </c>
      <c r="R431" s="941">
        <v>9.91</v>
      </c>
      <c r="S431" s="878" t="s">
        <v>20211</v>
      </c>
      <c r="T431" s="146" t="s">
        <v>20211</v>
      </c>
      <c r="U431" s="878">
        <v>62.247619047619047</v>
      </c>
      <c r="V431" s="878">
        <v>0.32</v>
      </c>
      <c r="W431" s="878" t="s">
        <v>2024</v>
      </c>
      <c r="X431" s="43"/>
      <c r="Y431" s="875">
        <v>315</v>
      </c>
      <c r="Z431" s="901">
        <v>34</v>
      </c>
      <c r="AA431" s="168" t="s">
        <v>215</v>
      </c>
      <c r="AB431" s="12">
        <v>25</v>
      </c>
      <c r="AC431" s="13" t="s">
        <v>522</v>
      </c>
      <c r="AD431" s="13">
        <v>25</v>
      </c>
      <c r="AE431" s="13"/>
      <c r="AF431" s="155"/>
      <c r="AG431" s="143" t="s">
        <v>20226</v>
      </c>
      <c r="AH431" s="167">
        <v>1.3910434782608694</v>
      </c>
      <c r="AI431" s="167">
        <v>17.731043478260869</v>
      </c>
      <c r="AJ431" s="144">
        <v>0</v>
      </c>
      <c r="AK431" s="143">
        <v>0</v>
      </c>
      <c r="AL431" s="144">
        <v>17.731043478260869</v>
      </c>
      <c r="AM431" s="144">
        <v>0</v>
      </c>
      <c r="AN431" s="32">
        <v>26.25</v>
      </c>
      <c r="AO431" s="167">
        <v>8.5189565217391312</v>
      </c>
      <c r="AP431" s="898">
        <v>8.5189565217391312</v>
      </c>
      <c r="AQ431" s="898" t="s">
        <v>20211</v>
      </c>
      <c r="AR431" s="146" t="s">
        <v>20211</v>
      </c>
      <c r="AS431" s="942">
        <v>67.54683229813665</v>
      </c>
      <c r="AT431" s="117" t="s">
        <v>49</v>
      </c>
      <c r="AU431" s="118">
        <v>1982</v>
      </c>
      <c r="AV431" s="149" t="s">
        <v>2143</v>
      </c>
      <c r="AW431" s="120">
        <v>57.137287048507098</v>
      </c>
      <c r="AX431" s="120">
        <v>33.1036333908744</v>
      </c>
    </row>
    <row r="432" spans="1:50" ht="15" customHeight="1" x14ac:dyDescent="0.25">
      <c r="A432" s="875"/>
      <c r="B432" s="935"/>
      <c r="C432" s="168" t="s">
        <v>1142</v>
      </c>
      <c r="D432" s="12">
        <v>25</v>
      </c>
      <c r="E432" s="13" t="s">
        <v>522</v>
      </c>
      <c r="F432" s="13">
        <v>25</v>
      </c>
      <c r="G432" s="13"/>
      <c r="H432" s="508"/>
      <c r="I432" s="151" t="s">
        <v>20226</v>
      </c>
      <c r="J432" s="114">
        <v>1.73</v>
      </c>
      <c r="K432" s="513">
        <v>0</v>
      </c>
      <c r="L432" s="512">
        <v>0</v>
      </c>
      <c r="M432" s="167">
        <v>1.73</v>
      </c>
      <c r="N432" s="504">
        <v>0</v>
      </c>
      <c r="O432" s="29"/>
      <c r="P432" s="32">
        <v>26.25</v>
      </c>
      <c r="Q432" s="167">
        <v>24.52</v>
      </c>
      <c r="R432" s="941"/>
      <c r="S432" s="879"/>
      <c r="T432" s="146" t="s">
        <v>20211</v>
      </c>
      <c r="U432" s="879"/>
      <c r="V432" s="879"/>
      <c r="W432" s="879" t="s">
        <v>2024</v>
      </c>
      <c r="X432" s="43"/>
      <c r="Y432" s="875"/>
      <c r="Z432" s="901"/>
      <c r="AA432" s="168" t="s">
        <v>1142</v>
      </c>
      <c r="AB432" s="12">
        <v>25</v>
      </c>
      <c r="AC432" s="13" t="s">
        <v>522</v>
      </c>
      <c r="AD432" s="13">
        <v>25</v>
      </c>
      <c r="AE432" s="13"/>
      <c r="AF432" s="155"/>
      <c r="AG432" s="143" t="s">
        <v>20226</v>
      </c>
      <c r="AH432" s="167">
        <v>0.71936956521739126</v>
      </c>
      <c r="AI432" s="167">
        <v>2.449369565217391</v>
      </c>
      <c r="AJ432" s="144">
        <v>0</v>
      </c>
      <c r="AK432" s="143">
        <v>0</v>
      </c>
      <c r="AL432" s="144">
        <v>2.449369565217391</v>
      </c>
      <c r="AM432" s="144">
        <v>0</v>
      </c>
      <c r="AN432" s="32">
        <v>26.25</v>
      </c>
      <c r="AO432" s="167">
        <v>23.800630434782608</v>
      </c>
      <c r="AP432" s="899"/>
      <c r="AQ432" s="899" t="s">
        <v>20211</v>
      </c>
      <c r="AR432" s="146" t="s">
        <v>20211</v>
      </c>
      <c r="AS432" s="943"/>
      <c r="AT432" s="117" t="s">
        <v>49</v>
      </c>
      <c r="AU432" s="118">
        <v>1982</v>
      </c>
      <c r="AV432" s="149" t="s">
        <v>2143</v>
      </c>
      <c r="AW432" s="120">
        <v>57.137287048507098</v>
      </c>
      <c r="AX432" s="120">
        <v>33.1036333908744</v>
      </c>
    </row>
    <row r="433" spans="1:50" ht="15" customHeight="1" x14ac:dyDescent="0.25">
      <c r="A433" s="875"/>
      <c r="B433" s="935"/>
      <c r="C433" s="168" t="s">
        <v>1141</v>
      </c>
      <c r="D433" s="12">
        <v>25</v>
      </c>
      <c r="E433" s="13" t="s">
        <v>522</v>
      </c>
      <c r="F433" s="13">
        <v>25</v>
      </c>
      <c r="G433" s="13"/>
      <c r="H433" s="508"/>
      <c r="I433" s="151" t="s">
        <v>20226</v>
      </c>
      <c r="J433" s="114">
        <v>14.6</v>
      </c>
      <c r="K433" s="513">
        <v>0</v>
      </c>
      <c r="L433" s="512">
        <v>0</v>
      </c>
      <c r="M433" s="167">
        <v>14.6</v>
      </c>
      <c r="N433" s="504">
        <v>0</v>
      </c>
      <c r="O433" s="29"/>
      <c r="P433" s="32">
        <v>26.25</v>
      </c>
      <c r="Q433" s="167">
        <v>11.65</v>
      </c>
      <c r="R433" s="941"/>
      <c r="S433" s="879"/>
      <c r="T433" s="146" t="s">
        <v>20211</v>
      </c>
      <c r="U433" s="879"/>
      <c r="V433" s="879"/>
      <c r="W433" s="879" t="s">
        <v>2024</v>
      </c>
      <c r="X433" s="43"/>
      <c r="Y433" s="875"/>
      <c r="Z433" s="901"/>
      <c r="AA433" s="168" t="s">
        <v>1141</v>
      </c>
      <c r="AB433" s="12">
        <v>25</v>
      </c>
      <c r="AC433" s="13" t="s">
        <v>522</v>
      </c>
      <c r="AD433" s="13">
        <v>25</v>
      </c>
      <c r="AE433" s="13"/>
      <c r="AF433" s="155"/>
      <c r="AG433" s="143" t="s">
        <v>20226</v>
      </c>
      <c r="AH433" s="167">
        <v>0.67167391304347823</v>
      </c>
      <c r="AI433" s="167">
        <v>15.271673913043477</v>
      </c>
      <c r="AJ433" s="144">
        <v>0</v>
      </c>
      <c r="AK433" s="143">
        <v>0</v>
      </c>
      <c r="AL433" s="144">
        <v>15.271673913043477</v>
      </c>
      <c r="AM433" s="144">
        <v>0</v>
      </c>
      <c r="AN433" s="32">
        <v>26.25</v>
      </c>
      <c r="AO433" s="167">
        <v>10.978326086956523</v>
      </c>
      <c r="AP433" s="900"/>
      <c r="AQ433" s="900" t="s">
        <v>20211</v>
      </c>
      <c r="AR433" s="146" t="s">
        <v>20211</v>
      </c>
      <c r="AS433" s="944"/>
      <c r="AT433" s="117" t="s">
        <v>49</v>
      </c>
      <c r="AU433" s="118">
        <v>1982</v>
      </c>
      <c r="AV433" s="149" t="s">
        <v>2143</v>
      </c>
      <c r="AW433" s="120">
        <v>57.137287048507098</v>
      </c>
      <c r="AX433" s="120">
        <v>33.1036333908744</v>
      </c>
    </row>
    <row r="434" spans="1:50" ht="15" customHeight="1" x14ac:dyDescent="0.25">
      <c r="A434" s="875">
        <v>316</v>
      </c>
      <c r="B434" s="935">
        <v>35</v>
      </c>
      <c r="C434" s="168" t="s">
        <v>216</v>
      </c>
      <c r="D434" s="12">
        <v>10</v>
      </c>
      <c r="E434" s="13" t="s">
        <v>522</v>
      </c>
      <c r="F434" s="13">
        <v>10</v>
      </c>
      <c r="G434" s="13"/>
      <c r="H434" s="508"/>
      <c r="I434" s="151" t="s">
        <v>20227</v>
      </c>
      <c r="J434" s="114">
        <v>7.04</v>
      </c>
      <c r="K434" s="513">
        <v>0</v>
      </c>
      <c r="L434" s="512">
        <v>0</v>
      </c>
      <c r="M434" s="167">
        <v>7.04</v>
      </c>
      <c r="N434" s="504">
        <v>0</v>
      </c>
      <c r="O434" s="29"/>
      <c r="P434" s="32">
        <v>10.5</v>
      </c>
      <c r="Q434" s="167">
        <v>3.46</v>
      </c>
      <c r="R434" s="898">
        <v>3.46</v>
      </c>
      <c r="S434" s="878" t="s">
        <v>20211</v>
      </c>
      <c r="T434" s="146" t="s">
        <v>20211</v>
      </c>
      <c r="U434" s="878">
        <v>67.047619047619051</v>
      </c>
      <c r="V434" s="878">
        <v>0.2</v>
      </c>
      <c r="W434" s="878" t="s">
        <v>2024</v>
      </c>
      <c r="X434" s="43"/>
      <c r="Y434" s="875">
        <v>316</v>
      </c>
      <c r="Z434" s="901">
        <v>35</v>
      </c>
      <c r="AA434" s="168" t="s">
        <v>216</v>
      </c>
      <c r="AB434" s="12">
        <v>10</v>
      </c>
      <c r="AC434" s="13" t="s">
        <v>522</v>
      </c>
      <c r="AD434" s="13">
        <v>10</v>
      </c>
      <c r="AE434" s="13"/>
      <c r="AF434" s="155"/>
      <c r="AG434" s="143" t="s">
        <v>20227</v>
      </c>
      <c r="AH434" s="167">
        <v>1.0970217391304349</v>
      </c>
      <c r="AI434" s="167">
        <v>8.1370217391304358</v>
      </c>
      <c r="AJ434" s="144">
        <v>0</v>
      </c>
      <c r="AK434" s="143">
        <v>0</v>
      </c>
      <c r="AL434" s="144">
        <v>8.1370217391304358</v>
      </c>
      <c r="AM434" s="144">
        <v>0</v>
      </c>
      <c r="AN434" s="32">
        <v>10.5</v>
      </c>
      <c r="AO434" s="167">
        <v>2.3629782608695642</v>
      </c>
      <c r="AP434" s="898">
        <v>2.3629782608695642</v>
      </c>
      <c r="AQ434" s="898" t="s">
        <v>20211</v>
      </c>
      <c r="AR434" s="146" t="s">
        <v>20211</v>
      </c>
      <c r="AS434" s="942">
        <v>77.495445134575576</v>
      </c>
      <c r="AT434" s="117" t="s">
        <v>49</v>
      </c>
      <c r="AU434" s="118">
        <v>1967</v>
      </c>
      <c r="AV434" s="149" t="s">
        <v>2143</v>
      </c>
      <c r="AW434" s="120">
        <v>57.193513743186898</v>
      </c>
      <c r="AX434" s="120">
        <v>33.014034325895501</v>
      </c>
    </row>
    <row r="435" spans="1:50" ht="15" customHeight="1" x14ac:dyDescent="0.25">
      <c r="A435" s="875"/>
      <c r="B435" s="935"/>
      <c r="C435" s="168" t="s">
        <v>1142</v>
      </c>
      <c r="D435" s="12">
        <v>10</v>
      </c>
      <c r="E435" s="13" t="s">
        <v>522</v>
      </c>
      <c r="F435" s="13">
        <v>10</v>
      </c>
      <c r="G435" s="13"/>
      <c r="H435" s="508"/>
      <c r="I435" s="151" t="s">
        <v>20227</v>
      </c>
      <c r="J435" s="114">
        <v>3.71</v>
      </c>
      <c r="K435" s="513">
        <v>0</v>
      </c>
      <c r="L435" s="512">
        <v>0</v>
      </c>
      <c r="M435" s="167">
        <v>3.71</v>
      </c>
      <c r="N435" s="504">
        <v>0</v>
      </c>
      <c r="O435" s="29"/>
      <c r="P435" s="32">
        <v>10.5</v>
      </c>
      <c r="Q435" s="167">
        <v>6.79</v>
      </c>
      <c r="R435" s="899"/>
      <c r="S435" s="878"/>
      <c r="T435" s="146" t="s">
        <v>20211</v>
      </c>
      <c r="U435" s="878"/>
      <c r="V435" s="878"/>
      <c r="W435" s="878" t="s">
        <v>2024</v>
      </c>
      <c r="X435" s="43"/>
      <c r="Y435" s="875"/>
      <c r="Z435" s="901"/>
      <c r="AA435" s="168" t="s">
        <v>1142</v>
      </c>
      <c r="AB435" s="12">
        <v>10</v>
      </c>
      <c r="AC435" s="13" t="s">
        <v>522</v>
      </c>
      <c r="AD435" s="13">
        <v>10</v>
      </c>
      <c r="AE435" s="13"/>
      <c r="AF435" s="155"/>
      <c r="AG435" s="143" t="s">
        <v>20227</v>
      </c>
      <c r="AH435" s="167">
        <v>0.61082608695652174</v>
      </c>
      <c r="AI435" s="167">
        <v>4.3208260869565214</v>
      </c>
      <c r="AJ435" s="144">
        <v>0</v>
      </c>
      <c r="AK435" s="143">
        <v>0</v>
      </c>
      <c r="AL435" s="144">
        <v>4.3208260869565214</v>
      </c>
      <c r="AM435" s="144">
        <v>0</v>
      </c>
      <c r="AN435" s="32">
        <v>10.5</v>
      </c>
      <c r="AO435" s="167">
        <v>6.1791739130434786</v>
      </c>
      <c r="AP435" s="899"/>
      <c r="AQ435" s="899"/>
      <c r="AR435" s="146" t="s">
        <v>20211</v>
      </c>
      <c r="AS435" s="943"/>
      <c r="AT435" s="117" t="s">
        <v>49</v>
      </c>
      <c r="AU435" s="118">
        <v>1967</v>
      </c>
      <c r="AV435" s="149" t="s">
        <v>2143</v>
      </c>
      <c r="AW435" s="120">
        <v>57.193513743186898</v>
      </c>
      <c r="AX435" s="120">
        <v>33.014034325895501</v>
      </c>
    </row>
    <row r="436" spans="1:50" ht="15" customHeight="1" x14ac:dyDescent="0.25">
      <c r="A436" s="875"/>
      <c r="B436" s="936"/>
      <c r="C436" s="169" t="s">
        <v>1141</v>
      </c>
      <c r="D436" s="12">
        <v>10</v>
      </c>
      <c r="E436" s="13" t="s">
        <v>522</v>
      </c>
      <c r="F436" s="13">
        <v>10</v>
      </c>
      <c r="G436" s="13"/>
      <c r="H436" s="508"/>
      <c r="I436" s="151" t="s">
        <v>20227</v>
      </c>
      <c r="J436" s="114">
        <v>3.32</v>
      </c>
      <c r="K436" s="513">
        <v>0</v>
      </c>
      <c r="L436" s="512">
        <v>0</v>
      </c>
      <c r="M436" s="167">
        <v>3.32</v>
      </c>
      <c r="N436" s="504">
        <v>0</v>
      </c>
      <c r="O436" s="29"/>
      <c r="P436" s="32">
        <v>10.5</v>
      </c>
      <c r="Q436" s="154">
        <v>7.18</v>
      </c>
      <c r="R436" s="900"/>
      <c r="S436" s="878"/>
      <c r="T436" s="146" t="s">
        <v>20211</v>
      </c>
      <c r="U436" s="878"/>
      <c r="V436" s="878"/>
      <c r="W436" s="878" t="s">
        <v>2024</v>
      </c>
      <c r="X436" s="43"/>
      <c r="Y436" s="875"/>
      <c r="Z436" s="932"/>
      <c r="AA436" s="169" t="s">
        <v>1141</v>
      </c>
      <c r="AB436" s="12">
        <v>10</v>
      </c>
      <c r="AC436" s="13" t="s">
        <v>522</v>
      </c>
      <c r="AD436" s="13">
        <v>10</v>
      </c>
      <c r="AE436" s="13"/>
      <c r="AF436" s="155"/>
      <c r="AG436" s="143" t="s">
        <v>20227</v>
      </c>
      <c r="AH436" s="154">
        <v>0.48619565217391303</v>
      </c>
      <c r="AI436" s="154">
        <v>3.8061956521739129</v>
      </c>
      <c r="AJ436" s="144">
        <v>0</v>
      </c>
      <c r="AK436" s="143">
        <v>0</v>
      </c>
      <c r="AL436" s="144">
        <v>3.8061956521739129</v>
      </c>
      <c r="AM436" s="144">
        <v>0</v>
      </c>
      <c r="AN436" s="32">
        <v>10.5</v>
      </c>
      <c r="AO436" s="154">
        <v>6.6938043478260871</v>
      </c>
      <c r="AP436" s="900"/>
      <c r="AQ436" s="900"/>
      <c r="AR436" s="146" t="s">
        <v>20211</v>
      </c>
      <c r="AS436" s="944"/>
      <c r="AT436" s="117" t="s">
        <v>49</v>
      </c>
      <c r="AU436" s="118">
        <v>1967</v>
      </c>
      <c r="AV436" s="149" t="s">
        <v>2143</v>
      </c>
      <c r="AW436" s="120">
        <v>57.193513743186898</v>
      </c>
      <c r="AX436" s="120">
        <v>33.014034325895501</v>
      </c>
    </row>
    <row r="437" spans="1:50" ht="15" customHeight="1" x14ac:dyDescent="0.25">
      <c r="A437" s="179"/>
      <c r="B437" s="927" t="s">
        <v>1139</v>
      </c>
      <c r="C437" s="928"/>
      <c r="D437" s="938">
        <v>4209.2599999999975</v>
      </c>
      <c r="E437" s="939"/>
      <c r="F437" s="939"/>
      <c r="G437" s="939"/>
      <c r="H437" s="940"/>
      <c r="I437" s="180">
        <v>3938.22</v>
      </c>
      <c r="J437" s="192">
        <v>1000.2018769016462</v>
      </c>
      <c r="K437" s="181"/>
      <c r="L437" s="181"/>
      <c r="M437" s="181"/>
      <c r="N437" s="182"/>
      <c r="O437" s="183"/>
      <c r="P437" s="183"/>
      <c r="Q437" s="182"/>
      <c r="R437" s="182"/>
      <c r="S437" s="182"/>
      <c r="T437" s="182"/>
      <c r="U437" s="183"/>
      <c r="V437" s="182"/>
      <c r="W437" s="182"/>
      <c r="X437" s="43"/>
      <c r="Y437" s="179"/>
      <c r="Z437" s="927" t="s">
        <v>1139</v>
      </c>
      <c r="AA437" s="929"/>
      <c r="AB437" s="939">
        <v>4209.2599999999975</v>
      </c>
      <c r="AC437" s="939"/>
      <c r="AD437" s="939"/>
      <c r="AE437" s="939"/>
      <c r="AF437" s="940"/>
      <c r="AG437" s="180">
        <v>3938.22</v>
      </c>
      <c r="AH437" s="184">
        <v>212.42128789738214</v>
      </c>
      <c r="AI437" s="184">
        <v>1212.463164799027</v>
      </c>
      <c r="AJ437" s="182"/>
      <c r="AK437" s="182"/>
      <c r="AL437" s="182"/>
      <c r="AM437" s="182"/>
      <c r="AN437" s="183"/>
      <c r="AO437" s="185"/>
      <c r="AP437" s="185"/>
      <c r="AQ437" s="185"/>
      <c r="AR437" s="182"/>
      <c r="AS437" s="186"/>
      <c r="AT437" s="187"/>
      <c r="AU437" s="188"/>
      <c r="AV437" s="189"/>
      <c r="AW437" s="181"/>
      <c r="AX437" s="181"/>
    </row>
    <row r="438" spans="1:50" ht="15" customHeight="1" x14ac:dyDescent="0.25">
      <c r="A438" s="179"/>
      <c r="B438" s="927" t="s">
        <v>608</v>
      </c>
      <c r="C438" s="928"/>
      <c r="D438" s="937"/>
      <c r="E438" s="937"/>
      <c r="F438" s="937"/>
      <c r="G438" s="937"/>
      <c r="H438" s="928"/>
      <c r="I438" s="182"/>
      <c r="J438" s="181"/>
      <c r="K438" s="181"/>
      <c r="L438" s="181"/>
      <c r="M438" s="181"/>
      <c r="N438" s="182"/>
      <c r="O438" s="183"/>
      <c r="P438" s="183"/>
      <c r="Q438" s="182"/>
      <c r="R438" s="190">
        <v>-30.227890144839623</v>
      </c>
      <c r="S438" s="191"/>
      <c r="T438" s="182"/>
      <c r="U438" s="183"/>
      <c r="V438" s="182"/>
      <c r="W438" s="182"/>
      <c r="X438" s="43"/>
      <c r="Y438" s="179"/>
      <c r="Z438" s="927" t="s">
        <v>608</v>
      </c>
      <c r="AA438" s="929"/>
      <c r="AB438" s="937"/>
      <c r="AC438" s="937"/>
      <c r="AD438" s="937"/>
      <c r="AE438" s="937"/>
      <c r="AF438" s="928"/>
      <c r="AG438" s="182"/>
      <c r="AH438" s="185"/>
      <c r="AI438" s="185"/>
      <c r="AJ438" s="182"/>
      <c r="AK438" s="182"/>
      <c r="AL438" s="182"/>
      <c r="AM438" s="182"/>
      <c r="AN438" s="183"/>
      <c r="AO438" s="185"/>
      <c r="AP438" s="190">
        <v>-78.12777451440482</v>
      </c>
      <c r="AQ438" s="191"/>
      <c r="AR438" s="182"/>
      <c r="AS438" s="186"/>
      <c r="AT438" s="187"/>
      <c r="AU438" s="188"/>
      <c r="AV438" s="189"/>
      <c r="AW438" s="181"/>
      <c r="AX438" s="181"/>
    </row>
    <row r="439" spans="1:50" ht="15" customHeight="1" thickBot="1" x14ac:dyDescent="0.3">
      <c r="A439" s="179"/>
      <c r="B439" s="927" t="s">
        <v>609</v>
      </c>
      <c r="C439" s="928"/>
      <c r="D439" s="937"/>
      <c r="E439" s="937"/>
      <c r="F439" s="937"/>
      <c r="G439" s="937"/>
      <c r="H439" s="928"/>
      <c r="I439" s="182"/>
      <c r="J439" s="181"/>
      <c r="K439" s="181"/>
      <c r="L439" s="181"/>
      <c r="M439" s="181"/>
      <c r="N439" s="182"/>
      <c r="O439" s="183"/>
      <c r="P439" s="183"/>
      <c r="Q439" s="182"/>
      <c r="R439" s="190">
        <v>1120.3870084315947</v>
      </c>
      <c r="S439" s="191"/>
      <c r="T439" s="182"/>
      <c r="U439" s="183"/>
      <c r="V439" s="182"/>
      <c r="W439" s="182"/>
      <c r="X439" s="43"/>
      <c r="Y439" s="179"/>
      <c r="Z439" s="927" t="s">
        <v>609</v>
      </c>
      <c r="AA439" s="929"/>
      <c r="AB439" s="937"/>
      <c r="AC439" s="937"/>
      <c r="AD439" s="937"/>
      <c r="AE439" s="937"/>
      <c r="AF439" s="928"/>
      <c r="AG439" s="182"/>
      <c r="AH439" s="185"/>
      <c r="AI439" s="185"/>
      <c r="AJ439" s="182"/>
      <c r="AK439" s="182"/>
      <c r="AL439" s="182"/>
      <c r="AM439" s="182"/>
      <c r="AN439" s="183"/>
      <c r="AO439" s="185"/>
      <c r="AP439" s="190">
        <v>983.34085626464741</v>
      </c>
      <c r="AQ439" s="191"/>
      <c r="AR439" s="182"/>
      <c r="AS439" s="186"/>
      <c r="AT439" s="187"/>
      <c r="AU439" s="188"/>
      <c r="AV439" s="189"/>
      <c r="AW439" s="181"/>
      <c r="AX439" s="181"/>
    </row>
    <row r="440" spans="1:50" ht="15" customHeight="1" x14ac:dyDescent="0.25">
      <c r="A440" s="19"/>
      <c r="B440" s="20"/>
      <c r="C440" s="60" t="s">
        <v>1139</v>
      </c>
      <c r="D440" s="922">
        <v>342.20000000000005</v>
      </c>
      <c r="E440" s="923"/>
      <c r="F440" s="923"/>
      <c r="G440" s="923"/>
      <c r="H440" s="924"/>
      <c r="I440" s="21"/>
      <c r="J440" s="35">
        <v>72.02</v>
      </c>
      <c r="K440" s="36"/>
      <c r="L440" s="36"/>
      <c r="M440" s="61"/>
      <c r="N440" s="36"/>
      <c r="O440" s="36"/>
      <c r="P440" s="23"/>
      <c r="Q440" s="63"/>
      <c r="R440" s="24"/>
      <c r="S440" s="23"/>
      <c r="T440" s="23"/>
      <c r="U440" s="64"/>
      <c r="V440" s="62"/>
      <c r="W440" s="62"/>
      <c r="Y440" s="19"/>
      <c r="Z440" s="20"/>
      <c r="AA440" s="60" t="s">
        <v>1139</v>
      </c>
      <c r="AB440" s="922">
        <v>342.20000000000005</v>
      </c>
      <c r="AC440" s="923"/>
      <c r="AD440" s="923"/>
      <c r="AE440" s="923"/>
      <c r="AF440" s="924"/>
      <c r="AG440" s="171"/>
      <c r="AH440" s="22">
        <v>5.1222282608695657</v>
      </c>
      <c r="AI440" s="157"/>
      <c r="AJ440" s="158"/>
      <c r="AK440" s="158"/>
      <c r="AL440" s="158"/>
      <c r="AM440" s="158"/>
      <c r="AN440" s="158"/>
      <c r="AO440" s="25"/>
      <c r="AP440" s="26"/>
      <c r="AQ440" s="65"/>
      <c r="AR440" s="66"/>
      <c r="AS440" s="67"/>
      <c r="AT440" s="68" t="s">
        <v>500</v>
      </c>
      <c r="AU440" s="44"/>
    </row>
    <row r="441" spans="1:50" ht="15" customHeight="1" x14ac:dyDescent="0.25">
      <c r="A441" s="69"/>
      <c r="B441" s="49"/>
      <c r="C441" s="70" t="s">
        <v>608</v>
      </c>
      <c r="D441" s="71"/>
      <c r="E441" s="72"/>
      <c r="F441" s="170"/>
      <c r="G441" s="72"/>
      <c r="H441" s="72"/>
      <c r="I441" s="73"/>
      <c r="J441" s="73"/>
      <c r="K441" s="74"/>
      <c r="L441" s="74"/>
      <c r="M441" s="75"/>
      <c r="N441" s="74"/>
      <c r="O441" s="74"/>
      <c r="P441" s="73"/>
      <c r="Q441" s="925">
        <v>-1.0799999999999996</v>
      </c>
      <c r="R441" s="926"/>
      <c r="S441" s="73"/>
      <c r="T441" s="27"/>
      <c r="U441" s="76"/>
      <c r="V441" s="77"/>
      <c r="W441" s="77"/>
      <c r="Y441" s="69"/>
      <c r="Z441" s="49"/>
      <c r="AA441" s="70" t="s">
        <v>608</v>
      </c>
      <c r="AB441" s="9"/>
      <c r="AC441" s="78"/>
      <c r="AD441" s="78"/>
      <c r="AE441" s="78"/>
      <c r="AF441" s="78"/>
      <c r="AG441" s="79"/>
      <c r="AH441" s="79"/>
      <c r="AI441" s="79"/>
      <c r="AJ441" s="79"/>
      <c r="AK441" s="79"/>
      <c r="AL441" s="79"/>
      <c r="AM441" s="79"/>
      <c r="AN441" s="80"/>
      <c r="AO441" s="925">
        <v>-1.2490434782608699</v>
      </c>
      <c r="AP441" s="926"/>
      <c r="AQ441" s="81"/>
      <c r="AR441" s="82"/>
      <c r="AS441" s="83"/>
      <c r="AT441" s="84" t="s">
        <v>500</v>
      </c>
      <c r="AU441" s="44"/>
    </row>
    <row r="442" spans="1:50" ht="15" customHeight="1" thickBot="1" x14ac:dyDescent="0.3">
      <c r="A442" s="85"/>
      <c r="B442" s="86"/>
      <c r="C442" s="87" t="s">
        <v>609</v>
      </c>
      <c r="D442" s="88"/>
      <c r="E442" s="28"/>
      <c r="F442" s="28"/>
      <c r="G442" s="28"/>
      <c r="H442" s="28"/>
      <c r="I442" s="28"/>
      <c r="J442" s="28"/>
      <c r="K442" s="36"/>
      <c r="L442" s="36"/>
      <c r="M442" s="61"/>
      <c r="N442" s="36"/>
      <c r="O442" s="36"/>
      <c r="P442" s="28"/>
      <c r="Q442" s="930">
        <v>107.76000000000002</v>
      </c>
      <c r="R442" s="931"/>
      <c r="S442" s="28"/>
      <c r="T442" s="28"/>
      <c r="U442" s="89"/>
      <c r="V442" s="62"/>
      <c r="W442" s="62"/>
      <c r="Y442" s="85"/>
      <c r="Z442" s="86"/>
      <c r="AA442" s="87" t="s">
        <v>609</v>
      </c>
      <c r="AB442" s="90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2"/>
      <c r="AO442" s="930">
        <v>103.25270652173914</v>
      </c>
      <c r="AP442" s="931"/>
      <c r="AQ442" s="93"/>
      <c r="AR442" s="94"/>
      <c r="AS442" s="95"/>
      <c r="AT442" s="96" t="s">
        <v>500</v>
      </c>
      <c r="AU442" s="44"/>
    </row>
    <row r="443" spans="1:50" ht="15" customHeight="1" x14ac:dyDescent="0.25">
      <c r="A443" s="19"/>
      <c r="B443" s="20"/>
      <c r="C443" s="60" t="s">
        <v>1139</v>
      </c>
      <c r="D443" s="922">
        <v>648.89999999999986</v>
      </c>
      <c r="E443" s="923"/>
      <c r="F443" s="923"/>
      <c r="G443" s="923"/>
      <c r="H443" s="924"/>
      <c r="I443" s="21"/>
      <c r="J443" s="35">
        <v>100.43</v>
      </c>
      <c r="K443" s="36"/>
      <c r="L443" s="36"/>
      <c r="M443" s="61"/>
      <c r="N443" s="36"/>
      <c r="O443" s="36"/>
      <c r="P443" s="23"/>
      <c r="Q443" s="63"/>
      <c r="R443" s="24"/>
      <c r="S443" s="23"/>
      <c r="T443" s="23"/>
      <c r="U443" s="64"/>
      <c r="V443" s="62"/>
      <c r="W443" s="62"/>
      <c r="Y443" s="19"/>
      <c r="Z443" s="20"/>
      <c r="AA443" s="60" t="s">
        <v>1139</v>
      </c>
      <c r="AB443" s="922">
        <v>648.89999999999986</v>
      </c>
      <c r="AC443" s="923"/>
      <c r="AD443" s="923"/>
      <c r="AE443" s="923"/>
      <c r="AF443" s="924"/>
      <c r="AG443" s="21"/>
      <c r="AH443" s="22">
        <v>8.1542103260869574</v>
      </c>
      <c r="AI443" s="157"/>
      <c r="AJ443" s="158"/>
      <c r="AK443" s="158"/>
      <c r="AL443" s="158"/>
      <c r="AM443" s="158"/>
      <c r="AN443" s="158"/>
      <c r="AO443" s="25"/>
      <c r="AP443" s="26"/>
      <c r="AQ443" s="65"/>
      <c r="AR443" s="66"/>
      <c r="AS443" s="67"/>
      <c r="AT443" s="68" t="s">
        <v>501</v>
      </c>
      <c r="AU443" s="44"/>
    </row>
    <row r="444" spans="1:50" ht="15" customHeight="1" x14ac:dyDescent="0.25">
      <c r="A444" s="69"/>
      <c r="B444" s="49"/>
      <c r="C444" s="70" t="s">
        <v>608</v>
      </c>
      <c r="D444" s="71"/>
      <c r="E444" s="72"/>
      <c r="F444" s="170"/>
      <c r="G444" s="72"/>
      <c r="H444" s="72"/>
      <c r="I444" s="73"/>
      <c r="J444" s="73"/>
      <c r="K444" s="74"/>
      <c r="L444" s="74"/>
      <c r="M444" s="75"/>
      <c r="N444" s="74"/>
      <c r="O444" s="74"/>
      <c r="P444" s="73"/>
      <c r="Q444" s="925">
        <v>-1.9400000000000002</v>
      </c>
      <c r="R444" s="926"/>
      <c r="S444" s="73"/>
      <c r="T444" s="27"/>
      <c r="U444" s="76"/>
      <c r="V444" s="77"/>
      <c r="W444" s="77"/>
      <c r="Y444" s="69"/>
      <c r="Z444" s="49"/>
      <c r="AA444" s="70" t="s">
        <v>608</v>
      </c>
      <c r="AB444" s="9"/>
      <c r="AC444" s="78"/>
      <c r="AD444" s="78"/>
      <c r="AE444" s="78"/>
      <c r="AF444" s="78"/>
      <c r="AG444" s="79"/>
      <c r="AH444" s="79"/>
      <c r="AI444" s="79"/>
      <c r="AJ444" s="79"/>
      <c r="AK444" s="79"/>
      <c r="AL444" s="79"/>
      <c r="AM444" s="79"/>
      <c r="AN444" s="80"/>
      <c r="AO444" s="925">
        <v>-3.0163478260869567</v>
      </c>
      <c r="AP444" s="926"/>
      <c r="AQ444" s="81"/>
      <c r="AR444" s="82"/>
      <c r="AS444" s="83"/>
      <c r="AT444" s="84" t="s">
        <v>501</v>
      </c>
      <c r="AU444" s="44"/>
    </row>
    <row r="445" spans="1:50" ht="15" customHeight="1" thickBot="1" x14ac:dyDescent="0.3">
      <c r="A445" s="85"/>
      <c r="B445" s="86"/>
      <c r="C445" s="87" t="s">
        <v>609</v>
      </c>
      <c r="D445" s="88"/>
      <c r="E445" s="28"/>
      <c r="F445" s="28"/>
      <c r="G445" s="28"/>
      <c r="H445" s="28"/>
      <c r="I445" s="28"/>
      <c r="J445" s="28"/>
      <c r="K445" s="36"/>
      <c r="L445" s="36"/>
      <c r="M445" s="61"/>
      <c r="N445" s="36"/>
      <c r="O445" s="36"/>
      <c r="P445" s="28"/>
      <c r="Q445" s="930">
        <v>233.18500000000006</v>
      </c>
      <c r="R445" s="931"/>
      <c r="S445" s="28"/>
      <c r="T445" s="28"/>
      <c r="U445" s="89"/>
      <c r="V445" s="62"/>
      <c r="W445" s="62"/>
      <c r="Y445" s="85"/>
      <c r="Z445" s="86"/>
      <c r="AA445" s="87" t="s">
        <v>609</v>
      </c>
      <c r="AB445" s="90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2"/>
      <c r="AO445" s="930">
        <v>226.00437663043482</v>
      </c>
      <c r="AP445" s="931"/>
      <c r="AQ445" s="93"/>
      <c r="AR445" s="94"/>
      <c r="AS445" s="95"/>
      <c r="AT445" s="96" t="s">
        <v>501</v>
      </c>
      <c r="AU445" s="44"/>
    </row>
    <row r="446" spans="1:50" ht="15" customHeight="1" x14ac:dyDescent="0.25">
      <c r="A446" s="19"/>
      <c r="B446" s="20"/>
      <c r="C446" s="60" t="s">
        <v>1139</v>
      </c>
      <c r="D446" s="922">
        <v>524.6</v>
      </c>
      <c r="E446" s="923"/>
      <c r="F446" s="923"/>
      <c r="G446" s="923"/>
      <c r="H446" s="924"/>
      <c r="I446" s="21"/>
      <c r="J446" s="35">
        <v>127.61999999999999</v>
      </c>
      <c r="K446" s="36"/>
      <c r="L446" s="36"/>
      <c r="M446" s="61"/>
      <c r="N446" s="36"/>
      <c r="O446" s="36"/>
      <c r="P446" s="23"/>
      <c r="Q446" s="63"/>
      <c r="R446" s="24"/>
      <c r="S446" s="23"/>
      <c r="T446" s="23"/>
      <c r="U446" s="64"/>
      <c r="V446" s="62"/>
      <c r="W446" s="62"/>
      <c r="Y446" s="19"/>
      <c r="Z446" s="20"/>
      <c r="AA446" s="60" t="s">
        <v>1139</v>
      </c>
      <c r="AB446" s="922">
        <v>524.6</v>
      </c>
      <c r="AC446" s="923"/>
      <c r="AD446" s="923"/>
      <c r="AE446" s="923"/>
      <c r="AF446" s="924"/>
      <c r="AG446" s="21"/>
      <c r="AH446" s="22">
        <v>27.467641865357635</v>
      </c>
      <c r="AI446" s="157"/>
      <c r="AJ446" s="158"/>
      <c r="AK446" s="158"/>
      <c r="AL446" s="158"/>
      <c r="AM446" s="158"/>
      <c r="AN446" s="158"/>
      <c r="AO446" s="25"/>
      <c r="AP446" s="26"/>
      <c r="AQ446" s="65"/>
      <c r="AR446" s="66"/>
      <c r="AS446" s="67"/>
      <c r="AT446" s="68" t="s">
        <v>503</v>
      </c>
      <c r="AU446" s="44"/>
    </row>
    <row r="447" spans="1:50" ht="15" customHeight="1" x14ac:dyDescent="0.25">
      <c r="A447" s="69"/>
      <c r="B447" s="49"/>
      <c r="C447" s="70" t="s">
        <v>608</v>
      </c>
      <c r="D447" s="71"/>
      <c r="E447" s="72"/>
      <c r="F447" s="170"/>
      <c r="G447" s="72"/>
      <c r="H447" s="72"/>
      <c r="I447" s="73"/>
      <c r="J447" s="73"/>
      <c r="K447" s="74"/>
      <c r="L447" s="74"/>
      <c r="M447" s="75"/>
      <c r="N447" s="74"/>
      <c r="O447" s="74"/>
      <c r="P447" s="73"/>
      <c r="Q447" s="925">
        <v>-4.17</v>
      </c>
      <c r="R447" s="926"/>
      <c r="S447" s="73"/>
      <c r="T447" s="27"/>
      <c r="U447" s="76"/>
      <c r="V447" s="77"/>
      <c r="W447" s="77"/>
      <c r="Y447" s="69"/>
      <c r="Z447" s="49"/>
      <c r="AA447" s="70" t="s">
        <v>608</v>
      </c>
      <c r="AB447" s="9"/>
      <c r="AC447" s="78"/>
      <c r="AD447" s="78"/>
      <c r="AE447" s="78"/>
      <c r="AF447" s="78"/>
      <c r="AG447" s="79"/>
      <c r="AH447" s="79"/>
      <c r="AI447" s="79"/>
      <c r="AJ447" s="79"/>
      <c r="AK447" s="79"/>
      <c r="AL447" s="79"/>
      <c r="AM447" s="79"/>
      <c r="AN447" s="80"/>
      <c r="AO447" s="925">
        <v>-14.679923913043471</v>
      </c>
      <c r="AP447" s="926"/>
      <c r="AQ447" s="81"/>
      <c r="AR447" s="82"/>
      <c r="AS447" s="83"/>
      <c r="AT447" s="84" t="s">
        <v>503</v>
      </c>
      <c r="AU447" s="44"/>
    </row>
    <row r="448" spans="1:50" ht="15" customHeight="1" thickBot="1" x14ac:dyDescent="0.3">
      <c r="A448" s="85"/>
      <c r="B448" s="86"/>
      <c r="C448" s="87" t="s">
        <v>609</v>
      </c>
      <c r="D448" s="88"/>
      <c r="E448" s="28"/>
      <c r="F448" s="28"/>
      <c r="G448" s="28"/>
      <c r="H448" s="28"/>
      <c r="I448" s="28"/>
      <c r="J448" s="28"/>
      <c r="K448" s="36"/>
      <c r="L448" s="36"/>
      <c r="M448" s="61"/>
      <c r="N448" s="36"/>
      <c r="O448" s="36"/>
      <c r="P448" s="28"/>
      <c r="Q448" s="930">
        <v>134.13499999999999</v>
      </c>
      <c r="R448" s="931"/>
      <c r="S448" s="28"/>
      <c r="T448" s="28"/>
      <c r="U448" s="89"/>
      <c r="V448" s="62"/>
      <c r="W448" s="62"/>
      <c r="Y448" s="85"/>
      <c r="Z448" s="86"/>
      <c r="AA448" s="87" t="s">
        <v>609</v>
      </c>
      <c r="AB448" s="90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2"/>
      <c r="AO448" s="930">
        <v>117.17728204768585</v>
      </c>
      <c r="AP448" s="931"/>
      <c r="AQ448" s="93"/>
      <c r="AR448" s="94"/>
      <c r="AS448" s="95"/>
      <c r="AT448" s="96" t="s">
        <v>503</v>
      </c>
      <c r="AU448" s="44"/>
    </row>
    <row r="449" spans="1:47" ht="15" customHeight="1" x14ac:dyDescent="0.25">
      <c r="A449" s="19"/>
      <c r="B449" s="20"/>
      <c r="C449" s="60" t="s">
        <v>1139</v>
      </c>
      <c r="D449" s="922">
        <v>257.89999999999998</v>
      </c>
      <c r="E449" s="923"/>
      <c r="F449" s="923"/>
      <c r="G449" s="923"/>
      <c r="H449" s="924"/>
      <c r="I449" s="21"/>
      <c r="J449" s="35">
        <v>55.730000000000004</v>
      </c>
      <c r="K449" s="36"/>
      <c r="L449" s="36"/>
      <c r="M449" s="61"/>
      <c r="N449" s="36"/>
      <c r="O449" s="36"/>
      <c r="P449" s="23"/>
      <c r="Q449" s="63"/>
      <c r="R449" s="24"/>
      <c r="S449" s="23"/>
      <c r="T449" s="23"/>
      <c r="U449" s="64"/>
      <c r="V449" s="62"/>
      <c r="W449" s="62"/>
      <c r="Y449" s="19"/>
      <c r="Z449" s="20"/>
      <c r="AA449" s="60" t="s">
        <v>1139</v>
      </c>
      <c r="AB449" s="922">
        <v>257.89999999999998</v>
      </c>
      <c r="AC449" s="923"/>
      <c r="AD449" s="923"/>
      <c r="AE449" s="923"/>
      <c r="AF449" s="924"/>
      <c r="AG449" s="21"/>
      <c r="AH449" s="22">
        <v>3.1862630434782604</v>
      </c>
      <c r="AI449" s="157"/>
      <c r="AJ449" s="158"/>
      <c r="AK449" s="158"/>
      <c r="AL449" s="158"/>
      <c r="AM449" s="158"/>
      <c r="AN449" s="158"/>
      <c r="AO449" s="25"/>
      <c r="AP449" s="26"/>
      <c r="AQ449" s="65"/>
      <c r="AR449" s="66"/>
      <c r="AS449" s="97"/>
      <c r="AT449" s="68" t="s">
        <v>48</v>
      </c>
      <c r="AU449" s="44"/>
    </row>
    <row r="450" spans="1:47" ht="15" customHeight="1" x14ac:dyDescent="0.25">
      <c r="A450" s="69"/>
      <c r="B450" s="49"/>
      <c r="C450" s="70" t="s">
        <v>608</v>
      </c>
      <c r="D450" s="71"/>
      <c r="E450" s="72"/>
      <c r="F450" s="170"/>
      <c r="G450" s="72"/>
      <c r="H450" s="72"/>
      <c r="I450" s="73"/>
      <c r="J450" s="73"/>
      <c r="K450" s="74"/>
      <c r="L450" s="74"/>
      <c r="M450" s="75"/>
      <c r="N450" s="74"/>
      <c r="O450" s="74"/>
      <c r="P450" s="73"/>
      <c r="Q450" s="925">
        <v>-2.57</v>
      </c>
      <c r="R450" s="926"/>
      <c r="S450" s="73"/>
      <c r="T450" s="27"/>
      <c r="U450" s="76"/>
      <c r="V450" s="77"/>
      <c r="W450" s="77"/>
      <c r="Y450" s="69"/>
      <c r="Z450" s="49"/>
      <c r="AA450" s="70" t="s">
        <v>608</v>
      </c>
      <c r="AB450" s="9"/>
      <c r="AC450" s="78"/>
      <c r="AD450" s="78"/>
      <c r="AE450" s="78"/>
      <c r="AF450" s="78"/>
      <c r="AG450" s="79"/>
      <c r="AH450" s="79"/>
      <c r="AI450" s="79"/>
      <c r="AJ450" s="79"/>
      <c r="AK450" s="79"/>
      <c r="AL450" s="79"/>
      <c r="AM450" s="79"/>
      <c r="AN450" s="80"/>
      <c r="AO450" s="925">
        <v>-2.6974999999999993</v>
      </c>
      <c r="AP450" s="926"/>
      <c r="AQ450" s="81"/>
      <c r="AR450" s="82"/>
      <c r="AS450" s="98"/>
      <c r="AT450" s="84" t="s">
        <v>48</v>
      </c>
      <c r="AU450" s="44"/>
    </row>
    <row r="451" spans="1:47" ht="15" customHeight="1" thickBot="1" x14ac:dyDescent="0.3">
      <c r="A451" s="85"/>
      <c r="B451" s="86"/>
      <c r="C451" s="87" t="s">
        <v>609</v>
      </c>
      <c r="D451" s="88"/>
      <c r="E451" s="28"/>
      <c r="F451" s="28"/>
      <c r="G451" s="28"/>
      <c r="H451" s="28"/>
      <c r="I451" s="28"/>
      <c r="J451" s="28"/>
      <c r="K451" s="36"/>
      <c r="L451" s="36"/>
      <c r="M451" s="61"/>
      <c r="N451" s="36"/>
      <c r="O451" s="36"/>
      <c r="P451" s="28"/>
      <c r="Q451" s="930">
        <v>85.95</v>
      </c>
      <c r="R451" s="931"/>
      <c r="S451" s="28"/>
      <c r="T451" s="28"/>
      <c r="U451" s="89"/>
      <c r="V451" s="62"/>
      <c r="W451" s="62"/>
      <c r="Y451" s="85"/>
      <c r="Z451" s="86"/>
      <c r="AA451" s="87" t="s">
        <v>609</v>
      </c>
      <c r="AB451" s="90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2"/>
      <c r="AO451" s="930">
        <v>83.051236956521748</v>
      </c>
      <c r="AP451" s="931"/>
      <c r="AQ451" s="93"/>
      <c r="AR451" s="94"/>
      <c r="AS451" s="99"/>
      <c r="AT451" s="96" t="s">
        <v>48</v>
      </c>
      <c r="AU451" s="44"/>
    </row>
    <row r="452" spans="1:47" ht="15" customHeight="1" x14ac:dyDescent="0.25">
      <c r="A452" s="19"/>
      <c r="B452" s="20"/>
      <c r="C452" s="60" t="s">
        <v>1139</v>
      </c>
      <c r="D452" s="922">
        <v>331.79999999999995</v>
      </c>
      <c r="E452" s="923"/>
      <c r="F452" s="923"/>
      <c r="G452" s="923"/>
      <c r="H452" s="924"/>
      <c r="I452" s="21"/>
      <c r="J452" s="35">
        <v>89.455577001646276</v>
      </c>
      <c r="K452" s="36"/>
      <c r="L452" s="36"/>
      <c r="M452" s="61"/>
      <c r="N452" s="36"/>
      <c r="O452" s="36"/>
      <c r="P452" s="23"/>
      <c r="Q452" s="63"/>
      <c r="R452" s="24"/>
      <c r="S452" s="23"/>
      <c r="T452" s="23"/>
      <c r="U452" s="64"/>
      <c r="V452" s="62"/>
      <c r="W452" s="62"/>
      <c r="Y452" s="19"/>
      <c r="Z452" s="20"/>
      <c r="AA452" s="60" t="s">
        <v>1139</v>
      </c>
      <c r="AB452" s="922">
        <v>331.79999999999995</v>
      </c>
      <c r="AC452" s="923"/>
      <c r="AD452" s="923"/>
      <c r="AE452" s="923"/>
      <c r="AF452" s="924"/>
      <c r="AG452" s="21"/>
      <c r="AH452" s="22">
        <v>22.349643057503506</v>
      </c>
      <c r="AI452" s="157"/>
      <c r="AJ452" s="158"/>
      <c r="AK452" s="158"/>
      <c r="AL452" s="158"/>
      <c r="AM452" s="158"/>
      <c r="AN452" s="158"/>
      <c r="AO452" s="25"/>
      <c r="AP452" s="26"/>
      <c r="AQ452" s="65"/>
      <c r="AR452" s="66"/>
      <c r="AS452" s="97"/>
      <c r="AT452" s="68" t="s">
        <v>504</v>
      </c>
      <c r="AU452" s="44"/>
    </row>
    <row r="453" spans="1:47" ht="15" customHeight="1" x14ac:dyDescent="0.25">
      <c r="A453" s="69"/>
      <c r="B453" s="49"/>
      <c r="C453" s="70" t="s">
        <v>608</v>
      </c>
      <c r="D453" s="71"/>
      <c r="E453" s="72"/>
      <c r="F453" s="170"/>
      <c r="G453" s="72"/>
      <c r="H453" s="72"/>
      <c r="I453" s="73"/>
      <c r="J453" s="73"/>
      <c r="K453" s="74"/>
      <c r="L453" s="74"/>
      <c r="M453" s="75"/>
      <c r="N453" s="74"/>
      <c r="O453" s="74"/>
      <c r="P453" s="73"/>
      <c r="Q453" s="925">
        <v>-3.1310282448396332</v>
      </c>
      <c r="R453" s="926"/>
      <c r="S453" s="73"/>
      <c r="T453" s="27"/>
      <c r="U453" s="76"/>
      <c r="V453" s="77"/>
      <c r="W453" s="77"/>
      <c r="Y453" s="69"/>
      <c r="Z453" s="49"/>
      <c r="AA453" s="70" t="s">
        <v>608</v>
      </c>
      <c r="AB453" s="9"/>
      <c r="AC453" s="78"/>
      <c r="AD453" s="78"/>
      <c r="AE453" s="78"/>
      <c r="AF453" s="78"/>
      <c r="AG453" s="79"/>
      <c r="AH453" s="79"/>
      <c r="AI453" s="79"/>
      <c r="AJ453" s="79"/>
      <c r="AK453" s="79"/>
      <c r="AL453" s="79"/>
      <c r="AM453" s="79"/>
      <c r="AN453" s="80"/>
      <c r="AO453" s="925">
        <v>-4.7293108535352859</v>
      </c>
      <c r="AP453" s="926"/>
      <c r="AQ453" s="81"/>
      <c r="AR453" s="82"/>
      <c r="AS453" s="98"/>
      <c r="AT453" s="84" t="s">
        <v>504</v>
      </c>
      <c r="AU453" s="44"/>
    </row>
    <row r="454" spans="1:47" ht="15" customHeight="1" thickBot="1" x14ac:dyDescent="0.3">
      <c r="A454" s="85"/>
      <c r="B454" s="86"/>
      <c r="C454" s="87" t="s">
        <v>609</v>
      </c>
      <c r="D454" s="88"/>
      <c r="E454" s="28"/>
      <c r="F454" s="28"/>
      <c r="G454" s="28"/>
      <c r="H454" s="28"/>
      <c r="I454" s="28"/>
      <c r="J454" s="28"/>
      <c r="K454" s="36"/>
      <c r="L454" s="36"/>
      <c r="M454" s="61"/>
      <c r="N454" s="36"/>
      <c r="O454" s="36"/>
      <c r="P454" s="28"/>
      <c r="Q454" s="930">
        <v>75.174361431594448</v>
      </c>
      <c r="R454" s="931"/>
      <c r="S454" s="28"/>
      <c r="T454" s="28"/>
      <c r="U454" s="89"/>
      <c r="V454" s="62"/>
      <c r="W454" s="62"/>
      <c r="Y454" s="85"/>
      <c r="Z454" s="86"/>
      <c r="AA454" s="87" t="s">
        <v>609</v>
      </c>
      <c r="AB454" s="90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2"/>
      <c r="AO454" s="930">
        <v>71.298762582786907</v>
      </c>
      <c r="AP454" s="931"/>
      <c r="AQ454" s="93"/>
      <c r="AR454" s="94"/>
      <c r="AS454" s="99"/>
      <c r="AT454" s="96" t="s">
        <v>504</v>
      </c>
      <c r="AU454" s="44"/>
    </row>
    <row r="455" spans="1:47" ht="15" customHeight="1" x14ac:dyDescent="0.25">
      <c r="A455" s="19"/>
      <c r="B455" s="20"/>
      <c r="C455" s="60" t="s">
        <v>1139</v>
      </c>
      <c r="D455" s="922">
        <v>1453.7000000000003</v>
      </c>
      <c r="E455" s="923"/>
      <c r="F455" s="923"/>
      <c r="G455" s="923"/>
      <c r="H455" s="924"/>
      <c r="I455" s="21"/>
      <c r="J455" s="35">
        <v>438.74629990000005</v>
      </c>
      <c r="K455" s="36"/>
      <c r="L455" s="36"/>
      <c r="M455" s="61"/>
      <c r="N455" s="36"/>
      <c r="O455" s="36"/>
      <c r="P455" s="23"/>
      <c r="Q455" s="63"/>
      <c r="R455" s="24"/>
      <c r="S455" s="23"/>
      <c r="T455" s="23"/>
      <c r="U455" s="64"/>
      <c r="V455" s="62"/>
      <c r="W455" s="62"/>
      <c r="Y455" s="19"/>
      <c r="Z455" s="20"/>
      <c r="AA455" s="60" t="s">
        <v>1139</v>
      </c>
      <c r="AB455" s="922">
        <v>1453.7000000000003</v>
      </c>
      <c r="AC455" s="923"/>
      <c r="AD455" s="923"/>
      <c r="AE455" s="923"/>
      <c r="AF455" s="924"/>
      <c r="AG455" s="21"/>
      <c r="AH455" s="22">
        <v>127.54472632071061</v>
      </c>
      <c r="AI455" s="157"/>
      <c r="AJ455" s="158"/>
      <c r="AK455" s="158"/>
      <c r="AL455" s="158"/>
      <c r="AM455" s="158"/>
      <c r="AN455" s="158"/>
      <c r="AO455" s="25"/>
      <c r="AP455" s="26"/>
      <c r="AQ455" s="65"/>
      <c r="AR455" s="66"/>
      <c r="AS455" s="97"/>
      <c r="AT455" s="68" t="s">
        <v>50</v>
      </c>
      <c r="AU455" s="44"/>
    </row>
    <row r="456" spans="1:47" ht="15" customHeight="1" x14ac:dyDescent="0.25">
      <c r="A456" s="69"/>
      <c r="B456" s="49"/>
      <c r="C456" s="70" t="s">
        <v>608</v>
      </c>
      <c r="D456" s="71"/>
      <c r="E456" s="72"/>
      <c r="F456" s="170"/>
      <c r="G456" s="72"/>
      <c r="H456" s="72"/>
      <c r="I456" s="73"/>
      <c r="J456" s="73"/>
      <c r="K456" s="74"/>
      <c r="L456" s="74"/>
      <c r="M456" s="75"/>
      <c r="N456" s="74"/>
      <c r="O456" s="74"/>
      <c r="P456" s="73"/>
      <c r="Q456" s="925">
        <v>-12.7668619</v>
      </c>
      <c r="R456" s="926"/>
      <c r="S456" s="73"/>
      <c r="T456" s="27"/>
      <c r="U456" s="76"/>
      <c r="V456" s="77"/>
      <c r="W456" s="77"/>
      <c r="Y456" s="69"/>
      <c r="Z456" s="49"/>
      <c r="AA456" s="70" t="s">
        <v>608</v>
      </c>
      <c r="AB456" s="9"/>
      <c r="AC456" s="78"/>
      <c r="AD456" s="78"/>
      <c r="AE456" s="78"/>
      <c r="AF456" s="78"/>
      <c r="AG456" s="79"/>
      <c r="AH456" s="79"/>
      <c r="AI456" s="79"/>
      <c r="AJ456" s="79"/>
      <c r="AK456" s="79"/>
      <c r="AL456" s="79"/>
      <c r="AM456" s="79"/>
      <c r="AN456" s="80"/>
      <c r="AO456" s="925">
        <v>-45.43830931304349</v>
      </c>
      <c r="AP456" s="926"/>
      <c r="AQ456" s="81"/>
      <c r="AR456" s="82"/>
      <c r="AS456" s="98"/>
      <c r="AT456" s="84" t="s">
        <v>50</v>
      </c>
      <c r="AU456" s="44"/>
    </row>
    <row r="457" spans="1:47" ht="15" customHeight="1" thickBot="1" x14ac:dyDescent="0.3">
      <c r="A457" s="85"/>
      <c r="B457" s="86"/>
      <c r="C457" s="87" t="s">
        <v>609</v>
      </c>
      <c r="D457" s="88"/>
      <c r="E457" s="28"/>
      <c r="F457" s="28"/>
      <c r="G457" s="28"/>
      <c r="H457" s="28"/>
      <c r="I457" s="28"/>
      <c r="J457" s="28"/>
      <c r="K457" s="36"/>
      <c r="L457" s="36"/>
      <c r="M457" s="61"/>
      <c r="N457" s="36"/>
      <c r="O457" s="36"/>
      <c r="P457" s="28"/>
      <c r="Q457" s="930">
        <v>269.01764700000007</v>
      </c>
      <c r="R457" s="931"/>
      <c r="S457" s="28"/>
      <c r="T457" s="28"/>
      <c r="U457" s="89"/>
      <c r="V457" s="62"/>
      <c r="W457" s="62"/>
      <c r="Y457" s="85"/>
      <c r="Z457" s="86"/>
      <c r="AA457" s="87" t="s">
        <v>609</v>
      </c>
      <c r="AB457" s="90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2"/>
      <c r="AO457" s="930">
        <v>184.22072741841978</v>
      </c>
      <c r="AP457" s="931"/>
      <c r="AQ457" s="93"/>
      <c r="AR457" s="94"/>
      <c r="AS457" s="99"/>
      <c r="AT457" s="96" t="s">
        <v>50</v>
      </c>
      <c r="AU457" s="44"/>
    </row>
    <row r="458" spans="1:47" ht="15" customHeight="1" x14ac:dyDescent="0.25">
      <c r="A458" s="19"/>
      <c r="B458" s="20"/>
      <c r="C458" s="60" t="s">
        <v>1139</v>
      </c>
      <c r="D458" s="922">
        <v>650.16000000000008</v>
      </c>
      <c r="E458" s="923"/>
      <c r="F458" s="923"/>
      <c r="G458" s="923"/>
      <c r="H458" s="924"/>
      <c r="I458" s="21"/>
      <c r="J458" s="35">
        <v>116.2</v>
      </c>
      <c r="K458" s="36"/>
      <c r="L458" s="36"/>
      <c r="M458" s="61"/>
      <c r="N458" s="36"/>
      <c r="O458" s="36"/>
      <c r="P458" s="23"/>
      <c r="Q458" s="63"/>
      <c r="R458" s="24"/>
      <c r="S458" s="23"/>
      <c r="T458" s="23"/>
      <c r="U458" s="64"/>
      <c r="V458" s="62"/>
      <c r="W458" s="62"/>
      <c r="Y458" s="19"/>
      <c r="Z458" s="20"/>
      <c r="AA458" s="60" t="s">
        <v>1139</v>
      </c>
      <c r="AB458" s="922">
        <v>650.16000000000008</v>
      </c>
      <c r="AC458" s="923"/>
      <c r="AD458" s="923"/>
      <c r="AE458" s="923"/>
      <c r="AF458" s="924"/>
      <c r="AG458" s="21"/>
      <c r="AH458" s="22">
        <v>18.596575023375408</v>
      </c>
      <c r="AI458" s="157"/>
      <c r="AJ458" s="158"/>
      <c r="AK458" s="158"/>
      <c r="AL458" s="158"/>
      <c r="AM458" s="158"/>
      <c r="AN458" s="158"/>
      <c r="AO458" s="25"/>
      <c r="AP458" s="26"/>
      <c r="AQ458" s="65"/>
      <c r="AR458" s="66"/>
      <c r="AS458" s="97"/>
      <c r="AT458" s="68" t="s">
        <v>49</v>
      </c>
      <c r="AU458" s="44"/>
    </row>
    <row r="459" spans="1:47" ht="15" customHeight="1" x14ac:dyDescent="0.25">
      <c r="A459" s="69"/>
      <c r="B459" s="49"/>
      <c r="C459" s="70" t="s">
        <v>608</v>
      </c>
      <c r="D459" s="71"/>
      <c r="E459" s="72"/>
      <c r="F459" s="170"/>
      <c r="G459" s="72"/>
      <c r="H459" s="72"/>
      <c r="I459" s="73"/>
      <c r="J459" s="73"/>
      <c r="K459" s="74"/>
      <c r="L459" s="74"/>
      <c r="M459" s="75"/>
      <c r="N459" s="74"/>
      <c r="O459" s="74"/>
      <c r="P459" s="73"/>
      <c r="Q459" s="925">
        <v>-4.57</v>
      </c>
      <c r="R459" s="926"/>
      <c r="S459" s="73"/>
      <c r="T459" s="27"/>
      <c r="U459" s="76"/>
      <c r="V459" s="77"/>
      <c r="W459" s="77"/>
      <c r="Y459" s="69"/>
      <c r="Z459" s="49"/>
      <c r="AA459" s="70" t="s">
        <v>608</v>
      </c>
      <c r="AB459" s="9"/>
      <c r="AC459" s="78"/>
      <c r="AD459" s="78"/>
      <c r="AE459" s="78"/>
      <c r="AF459" s="78"/>
      <c r="AG459" s="79"/>
      <c r="AH459" s="79"/>
      <c r="AI459" s="79"/>
      <c r="AJ459" s="79"/>
      <c r="AK459" s="79"/>
      <c r="AL459" s="79"/>
      <c r="AM459" s="79"/>
      <c r="AN459" s="80"/>
      <c r="AO459" s="925">
        <v>-6.3173391304347817</v>
      </c>
      <c r="AP459" s="926"/>
      <c r="AQ459" s="81"/>
      <c r="AR459" s="82"/>
      <c r="AS459" s="98"/>
      <c r="AT459" s="84" t="s">
        <v>49</v>
      </c>
      <c r="AU459" s="44"/>
    </row>
    <row r="460" spans="1:47" ht="15" customHeight="1" thickBot="1" x14ac:dyDescent="0.3">
      <c r="A460" s="85"/>
      <c r="B460" s="86"/>
      <c r="C460" s="87" t="s">
        <v>609</v>
      </c>
      <c r="D460" s="88"/>
      <c r="E460" s="28"/>
      <c r="F460" s="28"/>
      <c r="G460" s="28"/>
      <c r="H460" s="28"/>
      <c r="I460" s="28"/>
      <c r="J460" s="28"/>
      <c r="K460" s="36"/>
      <c r="L460" s="36"/>
      <c r="M460" s="61"/>
      <c r="N460" s="36"/>
      <c r="O460" s="36"/>
      <c r="P460" s="28"/>
      <c r="Q460" s="930">
        <v>215.16500000000002</v>
      </c>
      <c r="R460" s="931"/>
      <c r="S460" s="28"/>
      <c r="T460" s="28"/>
      <c r="U460" s="89"/>
      <c r="V460" s="62"/>
      <c r="W460" s="62"/>
      <c r="Y460" s="85"/>
      <c r="Z460" s="86"/>
      <c r="AA460" s="87" t="s">
        <v>609</v>
      </c>
      <c r="AB460" s="90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2"/>
      <c r="AO460" s="930">
        <v>198.33576410705939</v>
      </c>
      <c r="AP460" s="931"/>
      <c r="AQ460" s="93"/>
      <c r="AR460" s="94"/>
      <c r="AS460" s="99"/>
      <c r="AT460" s="96" t="s">
        <v>49</v>
      </c>
      <c r="AU460" s="44"/>
    </row>
    <row r="461" spans="1:47" ht="15" customHeight="1" x14ac:dyDescent="0.25">
      <c r="B461" s="6"/>
      <c r="C461" s="170"/>
      <c r="D461" s="100"/>
      <c r="E461" s="170"/>
      <c r="F461" s="10"/>
      <c r="G461" s="170"/>
      <c r="H461" s="170"/>
      <c r="I461" s="10"/>
      <c r="J461" s="7"/>
      <c r="K461" s="170"/>
      <c r="L461" s="170"/>
      <c r="M461" s="101"/>
      <c r="N461" s="170"/>
      <c r="O461" s="170"/>
      <c r="P461" s="170"/>
      <c r="Q461" s="875" t="s">
        <v>1183</v>
      </c>
      <c r="R461" s="875"/>
      <c r="S461" s="875"/>
      <c r="T461" s="875"/>
      <c r="U461" s="8">
        <v>154</v>
      </c>
      <c r="V461" s="37"/>
      <c r="W461" s="37"/>
      <c r="X461" s="102"/>
      <c r="Y461" s="57"/>
      <c r="Z461" s="17"/>
      <c r="AA461" s="17"/>
      <c r="AB461" s="17"/>
      <c r="AC461" s="17"/>
      <c r="AD461" s="17"/>
      <c r="AE461" s="17"/>
      <c r="AF461" s="103"/>
      <c r="AG461" s="17"/>
      <c r="AH461" s="104"/>
      <c r="AI461" s="104"/>
      <c r="AJ461" s="17"/>
      <c r="AK461" s="17"/>
      <c r="AL461" s="17"/>
      <c r="AM461" s="17"/>
      <c r="AN461" s="17"/>
      <c r="AO461" s="971" t="s">
        <v>1183</v>
      </c>
      <c r="AP461" s="972"/>
      <c r="AQ461" s="972"/>
      <c r="AR461" s="973"/>
      <c r="AS461" s="8">
        <v>133</v>
      </c>
      <c r="AT461" s="105"/>
    </row>
    <row r="462" spans="1:47" ht="15" customHeight="1" x14ac:dyDescent="0.25">
      <c r="B462" s="6"/>
      <c r="C462" s="170"/>
      <c r="D462" s="100"/>
      <c r="E462" s="170"/>
      <c r="F462" s="170"/>
      <c r="G462" s="170"/>
      <c r="H462" s="170"/>
      <c r="I462" s="10"/>
      <c r="J462" s="7"/>
      <c r="K462" s="170"/>
      <c r="L462" s="170"/>
      <c r="M462" s="101"/>
      <c r="N462" s="170"/>
      <c r="O462" s="170"/>
      <c r="P462" s="170"/>
      <c r="Q462" s="875" t="s">
        <v>1184</v>
      </c>
      <c r="R462" s="875"/>
      <c r="S462" s="875"/>
      <c r="T462" s="875"/>
      <c r="U462" s="8">
        <v>125</v>
      </c>
      <c r="V462" s="37"/>
      <c r="W462" s="37"/>
      <c r="X462" s="102"/>
      <c r="Y462" s="57"/>
      <c r="Z462" s="17"/>
      <c r="AA462" s="17"/>
      <c r="AB462" s="17"/>
      <c r="AC462" s="17"/>
      <c r="AD462" s="17"/>
      <c r="AE462" s="17"/>
      <c r="AF462" s="17"/>
      <c r="AG462" s="17"/>
      <c r="AH462" s="104"/>
      <c r="AI462" s="104"/>
      <c r="AJ462" s="17"/>
      <c r="AK462" s="17"/>
      <c r="AL462" s="17"/>
      <c r="AM462" s="17"/>
      <c r="AN462" s="17"/>
      <c r="AO462" s="868" t="s">
        <v>1184</v>
      </c>
      <c r="AP462" s="876"/>
      <c r="AQ462" s="876"/>
      <c r="AR462" s="874"/>
      <c r="AS462" s="8">
        <v>107</v>
      </c>
      <c r="AT462" s="105"/>
    </row>
    <row r="463" spans="1:47" ht="15" customHeight="1" x14ac:dyDescent="0.25">
      <c r="B463" s="6"/>
      <c r="C463" s="170"/>
      <c r="D463" s="100"/>
      <c r="E463" s="170"/>
      <c r="F463" s="170"/>
      <c r="G463" s="170"/>
      <c r="H463" s="170"/>
      <c r="I463" s="170"/>
      <c r="J463" s="7"/>
      <c r="K463" s="170"/>
      <c r="L463" s="170"/>
      <c r="M463" s="101"/>
      <c r="N463" s="170"/>
      <c r="O463" s="170"/>
      <c r="P463" s="170"/>
      <c r="Q463" s="875" t="s">
        <v>218</v>
      </c>
      <c r="R463" s="875"/>
      <c r="S463" s="875"/>
      <c r="T463" s="875"/>
      <c r="U463" s="8">
        <v>31</v>
      </c>
      <c r="V463" s="37"/>
      <c r="W463" s="37"/>
      <c r="X463" s="102"/>
      <c r="Y463" s="57"/>
      <c r="Z463" s="17"/>
      <c r="AA463" s="17"/>
      <c r="AB463" s="17"/>
      <c r="AC463" s="17"/>
      <c r="AD463" s="17"/>
      <c r="AE463" s="17"/>
      <c r="AF463" s="17"/>
      <c r="AG463" s="17"/>
      <c r="AH463" s="104"/>
      <c r="AI463" s="104"/>
      <c r="AJ463" s="17"/>
      <c r="AK463" s="17"/>
      <c r="AL463" s="17"/>
      <c r="AM463" s="17"/>
      <c r="AN463" s="17"/>
      <c r="AO463" s="868" t="s">
        <v>1393</v>
      </c>
      <c r="AP463" s="876"/>
      <c r="AQ463" s="876"/>
      <c r="AR463" s="874"/>
      <c r="AS463" s="8">
        <v>49</v>
      </c>
      <c r="AT463" s="105"/>
    </row>
    <row r="464" spans="1:47" ht="15" customHeight="1" x14ac:dyDescent="0.25">
      <c r="B464" s="6"/>
      <c r="C464" s="170"/>
      <c r="D464" s="100"/>
      <c r="E464" s="170"/>
      <c r="F464" s="170"/>
      <c r="G464" s="170"/>
      <c r="H464" s="170"/>
      <c r="I464" s="170"/>
      <c r="J464" s="7"/>
      <c r="K464" s="170"/>
      <c r="L464" s="170"/>
      <c r="M464" s="101"/>
      <c r="N464" s="170"/>
      <c r="O464" s="170"/>
      <c r="P464" s="170"/>
      <c r="Q464" s="875" t="s">
        <v>1185</v>
      </c>
      <c r="R464" s="875"/>
      <c r="S464" s="875"/>
      <c r="T464" s="875"/>
      <c r="U464" s="8">
        <v>6</v>
      </c>
      <c r="V464" s="37"/>
      <c r="W464" s="37"/>
      <c r="X464" s="102"/>
      <c r="Y464" s="57"/>
      <c r="Z464" s="17"/>
      <c r="AA464" s="17"/>
      <c r="AB464" s="17"/>
      <c r="AC464" s="17"/>
      <c r="AD464" s="17"/>
      <c r="AE464" s="17"/>
      <c r="AF464" s="17"/>
      <c r="AG464" s="17"/>
      <c r="AH464" s="104"/>
      <c r="AI464" s="104"/>
      <c r="AJ464" s="17"/>
      <c r="AK464" s="17"/>
      <c r="AL464" s="17"/>
      <c r="AM464" s="17"/>
      <c r="AN464" s="17"/>
      <c r="AO464" s="868" t="s">
        <v>1185</v>
      </c>
      <c r="AP464" s="876"/>
      <c r="AQ464" s="876"/>
      <c r="AR464" s="874"/>
      <c r="AS464" s="8">
        <v>27</v>
      </c>
      <c r="AT464" s="105"/>
    </row>
    <row r="465" spans="2:47" ht="15" customHeight="1" x14ac:dyDescent="0.25">
      <c r="B465" s="6"/>
      <c r="C465" s="170"/>
      <c r="D465" s="100"/>
      <c r="E465" s="170"/>
      <c r="F465" s="170"/>
      <c r="G465" s="170"/>
      <c r="H465" s="170"/>
      <c r="I465" s="170"/>
      <c r="J465" s="7"/>
      <c r="K465" s="170"/>
      <c r="L465" s="170"/>
      <c r="M465" s="101"/>
      <c r="N465" s="170"/>
      <c r="O465" s="170"/>
      <c r="P465" s="170"/>
      <c r="Q465" s="875" t="s">
        <v>1285</v>
      </c>
      <c r="R465" s="875"/>
      <c r="S465" s="875"/>
      <c r="T465" s="875"/>
      <c r="U465" s="8">
        <v>46</v>
      </c>
      <c r="V465" s="37"/>
      <c r="W465" s="37"/>
      <c r="X465" s="102"/>
      <c r="Y465" s="106"/>
      <c r="Z465" s="107"/>
      <c r="AA465" s="102"/>
      <c r="AB465" s="102"/>
      <c r="AC465" s="102"/>
      <c r="AD465" s="102"/>
      <c r="AE465" s="102"/>
      <c r="AF465" s="102"/>
      <c r="AG465" s="102"/>
      <c r="AH465" s="108"/>
      <c r="AI465" s="108"/>
      <c r="AJ465" s="102"/>
      <c r="AK465" s="102"/>
      <c r="AL465" s="102"/>
      <c r="AM465" s="102"/>
      <c r="AN465" s="102"/>
      <c r="AO465" s="868" t="s">
        <v>1285</v>
      </c>
      <c r="AP465" s="876"/>
      <c r="AQ465" s="876"/>
      <c r="AR465" s="874"/>
      <c r="AS465" s="8">
        <v>80</v>
      </c>
      <c r="AT465" s="57"/>
      <c r="AU465" s="44"/>
    </row>
    <row r="466" spans="2:47" ht="15" customHeight="1" x14ac:dyDescent="0.25">
      <c r="B466" s="6"/>
      <c r="C466" s="170"/>
      <c r="D466" s="100"/>
      <c r="E466" s="170"/>
      <c r="F466" s="170"/>
      <c r="G466" s="170"/>
      <c r="H466" s="170"/>
      <c r="I466" s="170"/>
      <c r="J466" s="7"/>
      <c r="K466" s="170"/>
      <c r="L466" s="170"/>
      <c r="M466" s="101"/>
      <c r="N466" s="170"/>
      <c r="O466" s="170"/>
      <c r="P466" s="170"/>
      <c r="Q466" s="875" t="s">
        <v>217</v>
      </c>
      <c r="R466" s="875"/>
      <c r="S466" s="875"/>
      <c r="T466" s="875"/>
      <c r="U466" s="8">
        <v>6</v>
      </c>
      <c r="V466" s="37"/>
      <c r="W466" s="37"/>
      <c r="X466" s="102"/>
      <c r="Y466" s="57"/>
      <c r="Z466" s="107"/>
      <c r="AA466" s="102"/>
      <c r="AB466" s="102"/>
      <c r="AC466" s="102"/>
      <c r="AD466" s="102"/>
      <c r="AE466" s="102"/>
      <c r="AF466" s="102"/>
      <c r="AG466" s="102"/>
      <c r="AH466" s="108"/>
      <c r="AI466" s="108"/>
      <c r="AJ466" s="102"/>
      <c r="AK466" s="102"/>
      <c r="AL466" s="102"/>
      <c r="AM466" s="102"/>
      <c r="AN466" s="102"/>
      <c r="AO466" s="868" t="s">
        <v>14768</v>
      </c>
      <c r="AP466" s="876"/>
      <c r="AQ466" s="876"/>
      <c r="AR466" s="874"/>
      <c r="AS466" s="8">
        <v>27</v>
      </c>
      <c r="AT466" s="106"/>
      <c r="AU466" s="44"/>
    </row>
    <row r="467" spans="2:47" ht="68.25" customHeight="1" x14ac:dyDescent="0.25">
      <c r="J467" s="134">
        <v>690.55443790164622</v>
      </c>
      <c r="K467" s="134"/>
      <c r="L467" s="134"/>
      <c r="M467" s="135"/>
      <c r="N467" s="134"/>
      <c r="O467" s="134"/>
      <c r="P467" s="134"/>
      <c r="Q467" s="868" t="s">
        <v>18581</v>
      </c>
      <c r="R467" s="869"/>
      <c r="S467" s="869"/>
      <c r="T467" s="870"/>
      <c r="U467" s="520">
        <v>4</v>
      </c>
      <c r="V467" s="134"/>
      <c r="W467" s="134"/>
      <c r="X467" s="136"/>
      <c r="Y467" s="137"/>
      <c r="Z467" s="138"/>
      <c r="AA467" s="136"/>
      <c r="AB467" s="136"/>
      <c r="AC467" s="136"/>
      <c r="AD467" s="136"/>
      <c r="AE467" s="136"/>
      <c r="AF467" s="136"/>
      <c r="AG467" s="136"/>
      <c r="AH467" s="134">
        <v>146.32492957573635</v>
      </c>
      <c r="AI467" s="134">
        <v>836.71936747738255</v>
      </c>
      <c r="AR467" s="48"/>
      <c r="AS467" s="44"/>
      <c r="AT467" s="44"/>
      <c r="AU467" s="44"/>
    </row>
    <row r="468" spans="2:47" ht="15" customHeight="1" x14ac:dyDescent="0.25">
      <c r="J468" s="134">
        <v>3</v>
      </c>
      <c r="K468" s="134"/>
      <c r="L468" s="134"/>
      <c r="M468" s="135"/>
      <c r="N468" s="134"/>
      <c r="O468" s="134"/>
      <c r="P468" s="134"/>
      <c r="Q468" s="134"/>
      <c r="R468" s="134"/>
      <c r="S468" s="139"/>
      <c r="T468" s="134"/>
      <c r="U468" s="134"/>
      <c r="V468" s="134"/>
      <c r="W468" s="134"/>
      <c r="X468" s="136"/>
      <c r="Y468" s="137"/>
      <c r="Z468" s="138"/>
      <c r="AA468" s="136"/>
      <c r="AB468" s="136"/>
      <c r="AC468" s="136"/>
      <c r="AD468" s="136"/>
      <c r="AE468" s="136"/>
      <c r="AF468" s="136"/>
      <c r="AG468" s="136"/>
      <c r="AH468" s="140"/>
      <c r="AI468" s="140"/>
      <c r="AR468" s="48"/>
      <c r="AS468" s="44"/>
      <c r="AT468" s="111"/>
      <c r="AU468" s="44"/>
    </row>
    <row r="469" spans="2:47" ht="15" customHeight="1" x14ac:dyDescent="0.25">
      <c r="J469" s="134"/>
      <c r="K469" s="134"/>
      <c r="L469" s="134"/>
      <c r="M469" s="135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6"/>
      <c r="Y469" s="137"/>
      <c r="Z469" s="138"/>
      <c r="AA469" s="136"/>
      <c r="AB469" s="136"/>
      <c r="AC469" s="136"/>
      <c r="AD469" s="136"/>
      <c r="AE469" s="136"/>
      <c r="AF469" s="136"/>
      <c r="AG469" s="136"/>
      <c r="AH469" s="140"/>
      <c r="AI469" s="140"/>
      <c r="AR469" s="48"/>
      <c r="AS469" s="44"/>
      <c r="AT469" s="44"/>
      <c r="AU469" s="44"/>
    </row>
    <row r="470" spans="2:47" ht="15" customHeight="1" x14ac:dyDescent="0.25">
      <c r="J470" s="134"/>
      <c r="K470" s="134"/>
      <c r="L470" s="134"/>
      <c r="M470" s="135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6"/>
      <c r="Y470" s="137"/>
      <c r="Z470" s="138"/>
      <c r="AA470" s="136"/>
      <c r="AB470" s="136"/>
      <c r="AC470" s="136"/>
      <c r="AD470" s="136"/>
      <c r="AE470" s="136"/>
      <c r="AF470" s="136"/>
      <c r="AG470" s="136"/>
      <c r="AH470" s="140"/>
      <c r="AI470" s="140"/>
      <c r="AR470" s="48"/>
      <c r="AS470" s="44"/>
      <c r="AT470" s="44"/>
      <c r="AU470" s="44"/>
    </row>
  </sheetData>
  <sheetProtection formatCells="0" formatColumns="0" formatRows="0" insertColumns="0" insertRows="0" insertHyperlinks="0" deleteColumns="0" deleteRows="0" pivotTables="0"/>
  <autoFilter ref="A8:AX466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3">
    <mergeCell ref="AS136:AS138"/>
    <mergeCell ref="AS64:AS66"/>
    <mergeCell ref="AP49:AP51"/>
    <mergeCell ref="A46:A48"/>
    <mergeCell ref="Y130:Y132"/>
    <mergeCell ref="Y70:Y72"/>
    <mergeCell ref="Y73:Y75"/>
    <mergeCell ref="U76:U78"/>
    <mergeCell ref="S70:S72"/>
    <mergeCell ref="Y76:Y78"/>
    <mergeCell ref="U64:U66"/>
    <mergeCell ref="R64:R66"/>
    <mergeCell ref="R73:R75"/>
    <mergeCell ref="S73:S75"/>
    <mergeCell ref="A73:A75"/>
    <mergeCell ref="W73:W75"/>
    <mergeCell ref="Y49:Y51"/>
    <mergeCell ref="A49:A51"/>
    <mergeCell ref="AP133:AP135"/>
    <mergeCell ref="AP61:AP63"/>
    <mergeCell ref="AS46:AS48"/>
    <mergeCell ref="AS67:AS69"/>
    <mergeCell ref="AQ61:AQ63"/>
    <mergeCell ref="AQ64:AQ66"/>
    <mergeCell ref="AQ67:AQ69"/>
    <mergeCell ref="AS61:AS63"/>
    <mergeCell ref="AQ46:AQ48"/>
    <mergeCell ref="AP46:AP48"/>
    <mergeCell ref="AP73:AP75"/>
    <mergeCell ref="AQ425:AQ427"/>
    <mergeCell ref="AQ428:AQ430"/>
    <mergeCell ref="AQ431:AQ433"/>
    <mergeCell ref="AP428:AP430"/>
    <mergeCell ref="AQ133:AQ135"/>
    <mergeCell ref="AQ136:AQ138"/>
    <mergeCell ref="AQ139:AQ141"/>
    <mergeCell ref="AP70:AP72"/>
    <mergeCell ref="AP67:AP69"/>
    <mergeCell ref="AP64:AP66"/>
    <mergeCell ref="AQ145:AQ147"/>
    <mergeCell ref="AS133:AS135"/>
    <mergeCell ref="AQ70:AQ72"/>
    <mergeCell ref="AQ73:AQ75"/>
    <mergeCell ref="AQ76:AQ78"/>
    <mergeCell ref="AQ130:AQ132"/>
    <mergeCell ref="AS183:AS185"/>
    <mergeCell ref="AS352:AS354"/>
    <mergeCell ref="AS195:AS197"/>
    <mergeCell ref="AS40:AS42"/>
    <mergeCell ref="AP40:AP42"/>
    <mergeCell ref="AW5:AW7"/>
    <mergeCell ref="AX5:AX7"/>
    <mergeCell ref="AT5:AT7"/>
    <mergeCell ref="AS5:AS7"/>
    <mergeCell ref="AU5:AU7"/>
    <mergeCell ref="AV5:AV7"/>
    <mergeCell ref="AB5:AP5"/>
    <mergeCell ref="AR5:AR7"/>
    <mergeCell ref="AI6:AI7"/>
    <mergeCell ref="AO6:AP7"/>
    <mergeCell ref="AM6:AM7"/>
    <mergeCell ref="AJ6:AK6"/>
    <mergeCell ref="AB8:AF8"/>
    <mergeCell ref="AQ5:AQ7"/>
    <mergeCell ref="AO454:AP454"/>
    <mergeCell ref="AO453:AP453"/>
    <mergeCell ref="AO465:AR465"/>
    <mergeCell ref="AO451:AP451"/>
    <mergeCell ref="AO450:AP450"/>
    <mergeCell ref="AO447:AP447"/>
    <mergeCell ref="Q466:T466"/>
    <mergeCell ref="Q453:R453"/>
    <mergeCell ref="U385:U387"/>
    <mergeCell ref="Z439:AA439"/>
    <mergeCell ref="Z428:Z430"/>
    <mergeCell ref="Q464:T464"/>
    <mergeCell ref="Q462:T462"/>
    <mergeCell ref="Q465:T465"/>
    <mergeCell ref="Q463:T463"/>
    <mergeCell ref="R428:R430"/>
    <mergeCell ref="Q461:T461"/>
    <mergeCell ref="R425:R427"/>
    <mergeCell ref="S419:S421"/>
    <mergeCell ref="S431:S433"/>
    <mergeCell ref="AQ434:AQ436"/>
    <mergeCell ref="AP434:AP436"/>
    <mergeCell ref="AP431:AP433"/>
    <mergeCell ref="AP425:AP427"/>
    <mergeCell ref="AO466:AR466"/>
    <mergeCell ref="AP367:AP369"/>
    <mergeCell ref="AP376:AP378"/>
    <mergeCell ref="AO456:AP456"/>
    <mergeCell ref="AO457:AP457"/>
    <mergeCell ref="AP281:AP283"/>
    <mergeCell ref="AQ352:AQ354"/>
    <mergeCell ref="AQ385:AQ387"/>
    <mergeCell ref="AQ370:AQ372"/>
    <mergeCell ref="AQ373:AQ375"/>
    <mergeCell ref="AO461:AR461"/>
    <mergeCell ref="AO448:AP448"/>
    <mergeCell ref="AO441:AP441"/>
    <mergeCell ref="AO464:AR464"/>
    <mergeCell ref="AO463:AR463"/>
    <mergeCell ref="AO462:AR462"/>
    <mergeCell ref="AO460:AP460"/>
    <mergeCell ref="AO459:AP459"/>
    <mergeCell ref="AO445:AP445"/>
    <mergeCell ref="AO444:AP444"/>
    <mergeCell ref="AP361:AP363"/>
    <mergeCell ref="AP358:AP360"/>
    <mergeCell ref="AP352:AP354"/>
    <mergeCell ref="AP373:AP375"/>
    <mergeCell ref="Q1:R1"/>
    <mergeCell ref="R43:R45"/>
    <mergeCell ref="AO4:AT4"/>
    <mergeCell ref="AS43:AS45"/>
    <mergeCell ref="AP43:AP45"/>
    <mergeCell ref="AQ40:AQ42"/>
    <mergeCell ref="AQ43:AQ45"/>
    <mergeCell ref="B2:T2"/>
    <mergeCell ref="AS236:AS238"/>
    <mergeCell ref="Y183:Y185"/>
    <mergeCell ref="Y192:Y194"/>
    <mergeCell ref="Y204:Y206"/>
    <mergeCell ref="Z189:Z191"/>
    <mergeCell ref="Z236:Z238"/>
    <mergeCell ref="AS49:AS51"/>
    <mergeCell ref="AS130:AS132"/>
    <mergeCell ref="AS70:AS72"/>
    <mergeCell ref="AS73:AS75"/>
    <mergeCell ref="AS76:AS78"/>
    <mergeCell ref="AP136:AP138"/>
    <mergeCell ref="AP130:AP132"/>
    <mergeCell ref="AP76:AP78"/>
    <mergeCell ref="AS151:AS153"/>
    <mergeCell ref="AS145:AS147"/>
    <mergeCell ref="Z40:Z42"/>
    <mergeCell ref="U46:U48"/>
    <mergeCell ref="Y40:Y42"/>
    <mergeCell ref="Y61:Y63"/>
    <mergeCell ref="U61:U63"/>
    <mergeCell ref="Z67:Z69"/>
    <mergeCell ref="Y46:Y48"/>
    <mergeCell ref="R40:R42"/>
    <mergeCell ref="D8:H8"/>
    <mergeCell ref="S40:S42"/>
    <mergeCell ref="U40:U42"/>
    <mergeCell ref="Z64:Z66"/>
    <mergeCell ref="Y64:Y66"/>
    <mergeCell ref="Y67:Y69"/>
    <mergeCell ref="V40:V42"/>
    <mergeCell ref="V43:V45"/>
    <mergeCell ref="W43:W45"/>
    <mergeCell ref="W40:W42"/>
    <mergeCell ref="B4:T4"/>
    <mergeCell ref="B198:B200"/>
    <mergeCell ref="B195:B197"/>
    <mergeCell ref="B192:B194"/>
    <mergeCell ref="Z43:Z45"/>
    <mergeCell ref="Z61:Z63"/>
    <mergeCell ref="Y43:Y45"/>
    <mergeCell ref="U43:U45"/>
    <mergeCell ref="B40:B42"/>
    <mergeCell ref="R145:R147"/>
    <mergeCell ref="B145:B147"/>
    <mergeCell ref="B186:B188"/>
    <mergeCell ref="B151:B153"/>
    <mergeCell ref="B136:B138"/>
    <mergeCell ref="S133:S135"/>
    <mergeCell ref="R130:R132"/>
    <mergeCell ref="S130:S132"/>
    <mergeCell ref="B139:B141"/>
    <mergeCell ref="R139:R141"/>
    <mergeCell ref="R142:R144"/>
    <mergeCell ref="S139:S141"/>
    <mergeCell ref="S136:S138"/>
    <mergeCell ref="R136:R138"/>
    <mergeCell ref="B142:B144"/>
    <mergeCell ref="Q456:R456"/>
    <mergeCell ref="Q460:R460"/>
    <mergeCell ref="S428:S430"/>
    <mergeCell ref="S367:S369"/>
    <mergeCell ref="R269:R271"/>
    <mergeCell ref="S425:S427"/>
    <mergeCell ref="R422:R424"/>
    <mergeCell ref="S352:S354"/>
    <mergeCell ref="R281:R283"/>
    <mergeCell ref="R352:R354"/>
    <mergeCell ref="R278:R280"/>
    <mergeCell ref="S358:S360"/>
    <mergeCell ref="S373:S375"/>
    <mergeCell ref="R373:R375"/>
    <mergeCell ref="S361:S363"/>
    <mergeCell ref="S370:S372"/>
    <mergeCell ref="S275:S277"/>
    <mergeCell ref="S272:S274"/>
    <mergeCell ref="S278:S280"/>
    <mergeCell ref="S76:S78"/>
    <mergeCell ref="R76:R78"/>
    <mergeCell ref="S67:S69"/>
    <mergeCell ref="R70:R72"/>
    <mergeCell ref="B70:B72"/>
    <mergeCell ref="B76:B78"/>
    <mergeCell ref="B73:B75"/>
    <mergeCell ref="B130:B132"/>
    <mergeCell ref="B133:B135"/>
    <mergeCell ref="R133:R135"/>
    <mergeCell ref="B67:B69"/>
    <mergeCell ref="Z70:Z72"/>
    <mergeCell ref="Z73:Z75"/>
    <mergeCell ref="S43:S45"/>
    <mergeCell ref="S64:S66"/>
    <mergeCell ref="B43:B45"/>
    <mergeCell ref="S46:S48"/>
    <mergeCell ref="S61:S63"/>
    <mergeCell ref="R46:R48"/>
    <mergeCell ref="B61:B63"/>
    <mergeCell ref="B64:B66"/>
    <mergeCell ref="U67:U69"/>
    <mergeCell ref="U70:U72"/>
    <mergeCell ref="U73:U75"/>
    <mergeCell ref="R61:R63"/>
    <mergeCell ref="R67:R69"/>
    <mergeCell ref="W67:W69"/>
    <mergeCell ref="V64:V66"/>
    <mergeCell ref="W64:W66"/>
    <mergeCell ref="V67:V69"/>
    <mergeCell ref="V73:V75"/>
    <mergeCell ref="V46:V48"/>
    <mergeCell ref="W46:W48"/>
    <mergeCell ref="V61:V63"/>
    <mergeCell ref="W61:W63"/>
    <mergeCell ref="Z76:Z78"/>
    <mergeCell ref="Z136:Z138"/>
    <mergeCell ref="Z139:Z141"/>
    <mergeCell ref="Z133:Z135"/>
    <mergeCell ref="W130:W132"/>
    <mergeCell ref="W133:W135"/>
    <mergeCell ref="W136:W138"/>
    <mergeCell ref="W139:W141"/>
    <mergeCell ref="W142:W144"/>
    <mergeCell ref="Z195:Z197"/>
    <mergeCell ref="B154:B156"/>
    <mergeCell ref="B148:B150"/>
    <mergeCell ref="R148:R150"/>
    <mergeCell ref="B183:B185"/>
    <mergeCell ref="B189:B191"/>
    <mergeCell ref="R154:R156"/>
    <mergeCell ref="Z130:Z132"/>
    <mergeCell ref="Y139:Y141"/>
    <mergeCell ref="Y142:Y144"/>
    <mergeCell ref="Y136:Y138"/>
    <mergeCell ref="Y133:Y135"/>
    <mergeCell ref="U142:U144"/>
    <mergeCell ref="Z142:Z144"/>
    <mergeCell ref="U130:U132"/>
    <mergeCell ref="U133:U135"/>
    <mergeCell ref="U136:U138"/>
    <mergeCell ref="U139:U141"/>
    <mergeCell ref="S142:S144"/>
    <mergeCell ref="Z148:Z150"/>
    <mergeCell ref="Y145:Y147"/>
    <mergeCell ref="Z183:Z185"/>
    <mergeCell ref="U183:U185"/>
    <mergeCell ref="U189:U191"/>
    <mergeCell ref="Z151:Z153"/>
    <mergeCell ref="S151:S153"/>
    <mergeCell ref="S154:S156"/>
    <mergeCell ref="Z154:Z156"/>
    <mergeCell ref="S148:S150"/>
    <mergeCell ref="S145:S147"/>
    <mergeCell ref="Y151:Y153"/>
    <mergeCell ref="U151:U153"/>
    <mergeCell ref="S186:S188"/>
    <mergeCell ref="Z145:Z147"/>
    <mergeCell ref="Y148:Y150"/>
    <mergeCell ref="Y154:Y156"/>
    <mergeCell ref="U145:U147"/>
    <mergeCell ref="U148:U150"/>
    <mergeCell ref="W145:W147"/>
    <mergeCell ref="W148:W150"/>
    <mergeCell ref="S183:S185"/>
    <mergeCell ref="U154:U156"/>
    <mergeCell ref="AS139:AS141"/>
    <mergeCell ref="AS148:AS150"/>
    <mergeCell ref="AS154:AS156"/>
    <mergeCell ref="AP139:AP141"/>
    <mergeCell ref="AS142:AS144"/>
    <mergeCell ref="AQ142:AQ144"/>
    <mergeCell ref="AP183:AP185"/>
    <mergeCell ref="AQ154:AQ156"/>
    <mergeCell ref="AS189:AS191"/>
    <mergeCell ref="AP142:AP144"/>
    <mergeCell ref="AP145:AP147"/>
    <mergeCell ref="AQ189:AQ191"/>
    <mergeCell ref="AS186:AS188"/>
    <mergeCell ref="AS278:AS280"/>
    <mergeCell ref="AQ242:AQ244"/>
    <mergeCell ref="AS272:AS274"/>
    <mergeCell ref="AP278:AP280"/>
    <mergeCell ref="AP201:AP203"/>
    <mergeCell ref="AP272:AP274"/>
    <mergeCell ref="Z272:Z274"/>
    <mergeCell ref="AQ198:AQ200"/>
    <mergeCell ref="AQ204:AQ206"/>
    <mergeCell ref="AQ236:AQ238"/>
    <mergeCell ref="Z239:Z241"/>
    <mergeCell ref="Z260:Z262"/>
    <mergeCell ref="AQ201:AQ203"/>
    <mergeCell ref="AQ233:AQ235"/>
    <mergeCell ref="Z204:Z206"/>
    <mergeCell ref="AP204:AP206"/>
    <mergeCell ref="AQ275:AQ277"/>
    <mergeCell ref="AP275:AP277"/>
    <mergeCell ref="AS201:AS203"/>
    <mergeCell ref="AS204:AS206"/>
    <mergeCell ref="AP198:AP200"/>
    <mergeCell ref="AS233:AS235"/>
    <mergeCell ref="AS198:AS200"/>
    <mergeCell ref="AS269:AS271"/>
    <mergeCell ref="AS242:AS244"/>
    <mergeCell ref="AS239:AS241"/>
    <mergeCell ref="AQ148:AQ150"/>
    <mergeCell ref="AQ151:AQ153"/>
    <mergeCell ref="AQ239:AQ241"/>
    <mergeCell ref="AQ272:AQ274"/>
    <mergeCell ref="AQ260:AQ262"/>
    <mergeCell ref="AP189:AP191"/>
    <mergeCell ref="AP236:AP238"/>
    <mergeCell ref="AP148:AP150"/>
    <mergeCell ref="AP239:AP241"/>
    <mergeCell ref="AP242:AP244"/>
    <mergeCell ref="AP260:AP262"/>
    <mergeCell ref="AP186:AP188"/>
    <mergeCell ref="AQ186:AQ188"/>
    <mergeCell ref="AQ183:AQ185"/>
    <mergeCell ref="AP151:AP153"/>
    <mergeCell ref="AP154:AP156"/>
    <mergeCell ref="AP192:AP194"/>
    <mergeCell ref="AQ192:AQ194"/>
    <mergeCell ref="AS192:AS194"/>
    <mergeCell ref="AP195:AP197"/>
    <mergeCell ref="AQ195:AQ197"/>
    <mergeCell ref="AS431:AS433"/>
    <mergeCell ref="Z361:Z363"/>
    <mergeCell ref="AQ376:AQ378"/>
    <mergeCell ref="Y358:Y360"/>
    <mergeCell ref="Y367:Y369"/>
    <mergeCell ref="Y364:Y366"/>
    <mergeCell ref="Z416:Z418"/>
    <mergeCell ref="AS364:AS366"/>
    <mergeCell ref="Y379:Y381"/>
    <mergeCell ref="Y361:Y363"/>
    <mergeCell ref="Y428:Y430"/>
    <mergeCell ref="AS358:AS360"/>
    <mergeCell ref="AS385:AS387"/>
    <mergeCell ref="AS419:AS421"/>
    <mergeCell ref="AP385:AP387"/>
    <mergeCell ref="AS425:AS427"/>
    <mergeCell ref="AS428:AS430"/>
    <mergeCell ref="AP382:AP384"/>
    <mergeCell ref="AP364:AP366"/>
    <mergeCell ref="AS422:AS424"/>
    <mergeCell ref="AQ382:AQ384"/>
    <mergeCell ref="AS416:AS418"/>
    <mergeCell ref="AQ422:AQ424"/>
    <mergeCell ref="AQ419:AQ421"/>
    <mergeCell ref="AS281:AS283"/>
    <mergeCell ref="AS373:AS375"/>
    <mergeCell ref="AS361:AS363"/>
    <mergeCell ref="AS370:AS372"/>
    <mergeCell ref="AQ358:AQ360"/>
    <mergeCell ref="AQ364:AQ366"/>
    <mergeCell ref="AS376:AS378"/>
    <mergeCell ref="AQ367:AQ369"/>
    <mergeCell ref="AS379:AS381"/>
    <mergeCell ref="AQ281:AQ283"/>
    <mergeCell ref="AQ355:AQ357"/>
    <mergeCell ref="AQ361:AQ363"/>
    <mergeCell ref="AS434:AS436"/>
    <mergeCell ref="AS275:AS277"/>
    <mergeCell ref="AP233:AP235"/>
    <mergeCell ref="Z269:Z271"/>
    <mergeCell ref="Z242:Z244"/>
    <mergeCell ref="Y236:Y238"/>
    <mergeCell ref="Y352:Y354"/>
    <mergeCell ref="Y239:Y241"/>
    <mergeCell ref="Y242:Y244"/>
    <mergeCell ref="Y269:Y271"/>
    <mergeCell ref="Y278:Y280"/>
    <mergeCell ref="Y281:Y283"/>
    <mergeCell ref="Y272:Y274"/>
    <mergeCell ref="Y275:Y277"/>
    <mergeCell ref="AQ269:AQ271"/>
    <mergeCell ref="AQ379:AQ381"/>
    <mergeCell ref="AQ416:AQ418"/>
    <mergeCell ref="AP370:AP372"/>
    <mergeCell ref="AQ278:AQ280"/>
    <mergeCell ref="AS382:AS384"/>
    <mergeCell ref="AS355:AS357"/>
    <mergeCell ref="AP379:AP381"/>
    <mergeCell ref="AP355:AP357"/>
    <mergeCell ref="AS367:AS369"/>
    <mergeCell ref="D458:H458"/>
    <mergeCell ref="AB458:AF458"/>
    <mergeCell ref="Q459:R459"/>
    <mergeCell ref="Q450:R450"/>
    <mergeCell ref="Q445:R445"/>
    <mergeCell ref="D438:H438"/>
    <mergeCell ref="R385:R387"/>
    <mergeCell ref="R434:R436"/>
    <mergeCell ref="D437:H437"/>
    <mergeCell ref="R431:R433"/>
    <mergeCell ref="Q457:R457"/>
    <mergeCell ref="Q442:R442"/>
    <mergeCell ref="AB440:AF440"/>
    <mergeCell ref="AB437:AF437"/>
    <mergeCell ref="AB438:AF438"/>
    <mergeCell ref="R419:R421"/>
    <mergeCell ref="Y431:Y433"/>
    <mergeCell ref="Y434:Y436"/>
    <mergeCell ref="S434:S436"/>
    <mergeCell ref="R416:R418"/>
    <mergeCell ref="Q447:R447"/>
    <mergeCell ref="D455:H455"/>
    <mergeCell ref="AB455:AF455"/>
    <mergeCell ref="Q454:R454"/>
    <mergeCell ref="AB452:AF452"/>
    <mergeCell ref="Q451:R451"/>
    <mergeCell ref="Q448:R448"/>
    <mergeCell ref="D449:H449"/>
    <mergeCell ref="AB449:AF449"/>
    <mergeCell ref="U376:U378"/>
    <mergeCell ref="Y419:Y421"/>
    <mergeCell ref="Y422:Y424"/>
    <mergeCell ref="Y385:Y387"/>
    <mergeCell ref="Y416:Y418"/>
    <mergeCell ref="U379:U381"/>
    <mergeCell ref="AB446:AF446"/>
    <mergeCell ref="AB439:AF439"/>
    <mergeCell ref="U431:U433"/>
    <mergeCell ref="D439:H439"/>
    <mergeCell ref="Y425:Y427"/>
    <mergeCell ref="Y382:Y384"/>
    <mergeCell ref="Z385:Z387"/>
    <mergeCell ref="Y376:Y378"/>
    <mergeCell ref="S416:S418"/>
    <mergeCell ref="U416:U418"/>
    <mergeCell ref="U422:U424"/>
    <mergeCell ref="U425:U427"/>
    <mergeCell ref="S422:S424"/>
    <mergeCell ref="D452:H452"/>
    <mergeCell ref="Q444:R444"/>
    <mergeCell ref="D446:H446"/>
    <mergeCell ref="A361:A363"/>
    <mergeCell ref="B428:B430"/>
    <mergeCell ref="B425:B427"/>
    <mergeCell ref="B437:C437"/>
    <mergeCell ref="B434:B436"/>
    <mergeCell ref="B438:C438"/>
    <mergeCell ref="B416:B418"/>
    <mergeCell ref="B419:B421"/>
    <mergeCell ref="B431:B433"/>
    <mergeCell ref="B385:B387"/>
    <mergeCell ref="B422:B424"/>
    <mergeCell ref="B376:B378"/>
    <mergeCell ref="B364:B366"/>
    <mergeCell ref="R361:R363"/>
    <mergeCell ref="B361:B363"/>
    <mergeCell ref="B382:B384"/>
    <mergeCell ref="B367:B369"/>
    <mergeCell ref="R382:R384"/>
    <mergeCell ref="R379:R381"/>
    <mergeCell ref="A434:A436"/>
    <mergeCell ref="A428:A430"/>
    <mergeCell ref="A148:A150"/>
    <mergeCell ref="A425:A427"/>
    <mergeCell ref="A373:A375"/>
    <mergeCell ref="A376:A378"/>
    <mergeCell ref="A379:A381"/>
    <mergeCell ref="A385:A387"/>
    <mergeCell ref="A201:A203"/>
    <mergeCell ref="A204:A206"/>
    <mergeCell ref="A419:A421"/>
    <mergeCell ref="A422:A424"/>
    <mergeCell ref="A281:A283"/>
    <mergeCell ref="A358:A360"/>
    <mergeCell ref="A236:A238"/>
    <mergeCell ref="A151:A153"/>
    <mergeCell ref="A154:A156"/>
    <mergeCell ref="A364:A366"/>
    <mergeCell ref="A382:A384"/>
    <mergeCell ref="A195:A197"/>
    <mergeCell ref="A260:A262"/>
    <mergeCell ref="A239:A241"/>
    <mergeCell ref="A242:A244"/>
    <mergeCell ref="A352:A354"/>
    <mergeCell ref="A40:A42"/>
    <mergeCell ref="A43:A45"/>
    <mergeCell ref="A133:A135"/>
    <mergeCell ref="A136:A138"/>
    <mergeCell ref="A355:A357"/>
    <mergeCell ref="A278:A280"/>
    <mergeCell ref="A186:A188"/>
    <mergeCell ref="A192:A194"/>
    <mergeCell ref="A61:A63"/>
    <mergeCell ref="A64:A66"/>
    <mergeCell ref="A67:A69"/>
    <mergeCell ref="A139:A141"/>
    <mergeCell ref="A142:A144"/>
    <mergeCell ref="A198:A200"/>
    <mergeCell ref="A189:A191"/>
    <mergeCell ref="A275:A277"/>
    <mergeCell ref="A130:A132"/>
    <mergeCell ref="A70:A72"/>
    <mergeCell ref="A183:A185"/>
    <mergeCell ref="A76:A78"/>
    <mergeCell ref="A269:A271"/>
    <mergeCell ref="A272:A274"/>
    <mergeCell ref="A233:A235"/>
    <mergeCell ref="A145:A147"/>
    <mergeCell ref="A431:A433"/>
    <mergeCell ref="Z431:Z433"/>
    <mergeCell ref="B355:B357"/>
    <mergeCell ref="B358:B360"/>
    <mergeCell ref="R364:R366"/>
    <mergeCell ref="Y355:Y357"/>
    <mergeCell ref="U373:U375"/>
    <mergeCell ref="S364:S366"/>
    <mergeCell ref="S376:S378"/>
    <mergeCell ref="R358:R360"/>
    <mergeCell ref="R376:R378"/>
    <mergeCell ref="R355:R357"/>
    <mergeCell ref="R367:R369"/>
    <mergeCell ref="A367:A369"/>
    <mergeCell ref="A370:A372"/>
    <mergeCell ref="A416:A418"/>
    <mergeCell ref="R370:R372"/>
    <mergeCell ref="U382:U384"/>
    <mergeCell ref="U367:U369"/>
    <mergeCell ref="U355:U357"/>
    <mergeCell ref="U358:U360"/>
    <mergeCell ref="V419:V421"/>
    <mergeCell ref="V422:V424"/>
    <mergeCell ref="V425:V427"/>
    <mergeCell ref="U434:U436"/>
    <mergeCell ref="D440:H440"/>
    <mergeCell ref="Z425:Z427"/>
    <mergeCell ref="B373:B375"/>
    <mergeCell ref="B370:B372"/>
    <mergeCell ref="B379:B381"/>
    <mergeCell ref="AP416:AP418"/>
    <mergeCell ref="D443:H443"/>
    <mergeCell ref="Q441:R441"/>
    <mergeCell ref="B439:C439"/>
    <mergeCell ref="Z438:AA438"/>
    <mergeCell ref="AO442:AP442"/>
    <mergeCell ref="Z437:AA437"/>
    <mergeCell ref="Y370:Y372"/>
    <mergeCell ref="Y373:Y375"/>
    <mergeCell ref="U428:U430"/>
    <mergeCell ref="AB443:AF443"/>
    <mergeCell ref="S379:S381"/>
    <mergeCell ref="S382:S384"/>
    <mergeCell ref="Z434:Z436"/>
    <mergeCell ref="S385:S387"/>
    <mergeCell ref="V416:V418"/>
    <mergeCell ref="U419:U421"/>
    <mergeCell ref="Z382:Z384"/>
    <mergeCell ref="R151:R153"/>
    <mergeCell ref="Y186:Y188"/>
    <mergeCell ref="Y189:Y191"/>
    <mergeCell ref="V154:V156"/>
    <mergeCell ref="W183:W185"/>
    <mergeCell ref="W186:W188"/>
    <mergeCell ref="W189:W191"/>
    <mergeCell ref="V189:V191"/>
    <mergeCell ref="V192:V194"/>
    <mergeCell ref="W192:W194"/>
    <mergeCell ref="W151:W153"/>
    <mergeCell ref="V183:V185"/>
    <mergeCell ref="W154:W156"/>
    <mergeCell ref="V151:V153"/>
    <mergeCell ref="U281:U283"/>
    <mergeCell ref="U370:U372"/>
    <mergeCell ref="U364:U366"/>
    <mergeCell ref="R183:R185"/>
    <mergeCell ref="R186:R188"/>
    <mergeCell ref="S281:S283"/>
    <mergeCell ref="S355:S357"/>
    <mergeCell ref="S201:S203"/>
    <mergeCell ref="S204:S206"/>
    <mergeCell ref="S198:S200"/>
    <mergeCell ref="R189:R191"/>
    <mergeCell ref="S195:S197"/>
    <mergeCell ref="S189:S191"/>
    <mergeCell ref="U198:U200"/>
    <mergeCell ref="U361:U363"/>
    <mergeCell ref="U233:U235"/>
    <mergeCell ref="U260:U262"/>
    <mergeCell ref="U239:U241"/>
    <mergeCell ref="U242:U244"/>
    <mergeCell ref="R236:R238"/>
    <mergeCell ref="R272:R274"/>
    <mergeCell ref="R204:R206"/>
    <mergeCell ref="U186:U188"/>
    <mergeCell ref="U195:U197"/>
    <mergeCell ref="Y260:Y262"/>
    <mergeCell ref="U236:U238"/>
    <mergeCell ref="Y233:Y235"/>
    <mergeCell ref="Z233:Z235"/>
    <mergeCell ref="U275:U277"/>
    <mergeCell ref="U272:U274"/>
    <mergeCell ref="Z278:Z280"/>
    <mergeCell ref="Z352:Z354"/>
    <mergeCell ref="Z281:Z283"/>
    <mergeCell ref="Z275:Z277"/>
    <mergeCell ref="V272:V274"/>
    <mergeCell ref="V269:V271"/>
    <mergeCell ref="V233:V235"/>
    <mergeCell ref="U269:U271"/>
    <mergeCell ref="U278:U280"/>
    <mergeCell ref="U352:U354"/>
    <mergeCell ref="W233:W235"/>
    <mergeCell ref="W236:W238"/>
    <mergeCell ref="V236:V238"/>
    <mergeCell ref="W242:W244"/>
    <mergeCell ref="V242:V244"/>
    <mergeCell ref="W239:W241"/>
    <mergeCell ref="W260:W262"/>
    <mergeCell ref="V260:V262"/>
    <mergeCell ref="B352:B354"/>
    <mergeCell ref="B201:B203"/>
    <mergeCell ref="B204:B206"/>
    <mergeCell ref="B272:B274"/>
    <mergeCell ref="R239:R241"/>
    <mergeCell ref="B269:B271"/>
    <mergeCell ref="R242:R244"/>
    <mergeCell ref="S242:S244"/>
    <mergeCell ref="B275:B277"/>
    <mergeCell ref="R275:R277"/>
    <mergeCell ref="S260:S262"/>
    <mergeCell ref="S239:S241"/>
    <mergeCell ref="S233:S235"/>
    <mergeCell ref="R233:R235"/>
    <mergeCell ref="B242:B244"/>
    <mergeCell ref="B233:B235"/>
    <mergeCell ref="B281:B283"/>
    <mergeCell ref="B278:B280"/>
    <mergeCell ref="S236:S238"/>
    <mergeCell ref="B239:B241"/>
    <mergeCell ref="R260:R262"/>
    <mergeCell ref="S269:S271"/>
    <mergeCell ref="B260:B262"/>
    <mergeCell ref="B236:B238"/>
    <mergeCell ref="Y198:Y200"/>
    <mergeCell ref="Y201:Y203"/>
    <mergeCell ref="U204:U206"/>
    <mergeCell ref="Z192:Z194"/>
    <mergeCell ref="Z198:Z200"/>
    <mergeCell ref="V186:V188"/>
    <mergeCell ref="W198:W200"/>
    <mergeCell ref="V198:V200"/>
    <mergeCell ref="R198:R200"/>
    <mergeCell ref="U201:U203"/>
    <mergeCell ref="R201:R203"/>
    <mergeCell ref="Z201:Z203"/>
    <mergeCell ref="V201:V203"/>
    <mergeCell ref="V204:V206"/>
    <mergeCell ref="W201:W203"/>
    <mergeCell ref="W204:W206"/>
    <mergeCell ref="S192:S194"/>
    <mergeCell ref="U192:U194"/>
    <mergeCell ref="R195:R197"/>
    <mergeCell ref="Y195:Y197"/>
    <mergeCell ref="V195:V197"/>
    <mergeCell ref="W195:W197"/>
    <mergeCell ref="Z186:Z188"/>
    <mergeCell ref="R192:R194"/>
    <mergeCell ref="W434:W436"/>
    <mergeCell ref="W364:W366"/>
    <mergeCell ref="W367:W369"/>
    <mergeCell ref="W370:W372"/>
    <mergeCell ref="W373:W375"/>
    <mergeCell ref="W376:W378"/>
    <mergeCell ref="W425:W427"/>
    <mergeCell ref="W428:W430"/>
    <mergeCell ref="W419:W421"/>
    <mergeCell ref="W422:W424"/>
    <mergeCell ref="Z373:Z375"/>
    <mergeCell ref="Z364:Z366"/>
    <mergeCell ref="Z379:Z381"/>
    <mergeCell ref="Z367:Z369"/>
    <mergeCell ref="Z370:Z372"/>
    <mergeCell ref="AP422:AP424"/>
    <mergeCell ref="AP419:AP421"/>
    <mergeCell ref="Z419:Z421"/>
    <mergeCell ref="W269:W271"/>
    <mergeCell ref="W275:W277"/>
    <mergeCell ref="W272:W274"/>
    <mergeCell ref="Z376:Z378"/>
    <mergeCell ref="Z422:Z424"/>
    <mergeCell ref="Z358:Z360"/>
    <mergeCell ref="Z355:Z357"/>
    <mergeCell ref="AP269:AP271"/>
    <mergeCell ref="V373:V375"/>
    <mergeCell ref="W379:W381"/>
    <mergeCell ref="W382:W384"/>
    <mergeCell ref="W385:W387"/>
    <mergeCell ref="W416:W418"/>
    <mergeCell ref="W355:W357"/>
    <mergeCell ref="W278:W280"/>
    <mergeCell ref="W281:W283"/>
    <mergeCell ref="W352:W354"/>
    <mergeCell ref="V382:V384"/>
    <mergeCell ref="V376:V378"/>
    <mergeCell ref="V367:V369"/>
    <mergeCell ref="V370:V372"/>
    <mergeCell ref="V358:V360"/>
    <mergeCell ref="W358:W360"/>
    <mergeCell ref="W361:W363"/>
    <mergeCell ref="V355:V357"/>
    <mergeCell ref="V361:V363"/>
    <mergeCell ref="V364:V366"/>
    <mergeCell ref="V278:V280"/>
    <mergeCell ref="V428:V430"/>
    <mergeCell ref="V379:V381"/>
    <mergeCell ref="V275:V277"/>
    <mergeCell ref="AN6:AN7"/>
    <mergeCell ref="AH6:AH7"/>
    <mergeCell ref="D6:H7"/>
    <mergeCell ref="J6:J7"/>
    <mergeCell ref="K6:L6"/>
    <mergeCell ref="Z5:Z7"/>
    <mergeCell ref="AG6:AG7"/>
    <mergeCell ref="O6:O7"/>
    <mergeCell ref="AA5:AA7"/>
    <mergeCell ref="V5:V7"/>
    <mergeCell ref="N6:N7"/>
    <mergeCell ref="P6:P7"/>
    <mergeCell ref="S5:S7"/>
    <mergeCell ref="Q6:R7"/>
    <mergeCell ref="T5:T7"/>
    <mergeCell ref="W5:W7"/>
    <mergeCell ref="Y5:Y7"/>
    <mergeCell ref="AB6:AF7"/>
    <mergeCell ref="V70:V72"/>
    <mergeCell ref="W70:W72"/>
    <mergeCell ref="V352:V354"/>
    <mergeCell ref="Q467:T467"/>
    <mergeCell ref="C5:C7"/>
    <mergeCell ref="U5:U7"/>
    <mergeCell ref="B5:B7"/>
    <mergeCell ref="D5:R5"/>
    <mergeCell ref="M6:M7"/>
    <mergeCell ref="I6:I7"/>
    <mergeCell ref="A5:A7"/>
    <mergeCell ref="AL6:AL7"/>
    <mergeCell ref="V434:V436"/>
    <mergeCell ref="V133:V135"/>
    <mergeCell ref="V136:V138"/>
    <mergeCell ref="V139:V141"/>
    <mergeCell ref="V142:V144"/>
    <mergeCell ref="V145:V147"/>
    <mergeCell ref="V148:V150"/>
    <mergeCell ref="V76:V78"/>
    <mergeCell ref="W76:W78"/>
    <mergeCell ref="V130:V132"/>
    <mergeCell ref="V431:V433"/>
    <mergeCell ref="W431:W433"/>
    <mergeCell ref="V385:V387"/>
    <mergeCell ref="V239:V241"/>
    <mergeCell ref="V281:V283"/>
  </mergeCells>
  <phoneticPr fontId="3" type="noConversion"/>
  <conditionalFormatting sqref="A9:C436 I9:I436 M9:M436 P9:U436">
    <cfRule type="expression" dxfId="114" priority="144">
      <formula>$S9="закрыт"</formula>
    </cfRule>
  </conditionalFormatting>
  <conditionalFormatting sqref="Y9:AX436">
    <cfRule type="expression" dxfId="113" priority="143">
      <formula>$AQ9="закрыт"</formula>
    </cfRule>
  </conditionalFormatting>
  <conditionalFormatting sqref="J9:J436">
    <cfRule type="expression" dxfId="112" priority="113">
      <formula>$S9="закрыт"</formula>
    </cfRule>
  </conditionalFormatting>
  <conditionalFormatting sqref="J207:J244">
    <cfRule type="expression" dxfId="111" priority="112">
      <formula>$S207="закрыт"</formula>
    </cfRule>
  </conditionalFormatting>
  <conditionalFormatting sqref="J388:J436">
    <cfRule type="expression" dxfId="110" priority="111">
      <formula>$S388="закрыт"</formula>
    </cfRule>
  </conditionalFormatting>
  <conditionalFormatting sqref="J9:J38">
    <cfRule type="expression" dxfId="109" priority="110">
      <formula>$S9="закрыт"</formula>
    </cfRule>
  </conditionalFormatting>
  <conditionalFormatting sqref="J39:J78">
    <cfRule type="expression" dxfId="108" priority="109">
      <formula>$S39="закрыт"</formula>
    </cfRule>
  </conditionalFormatting>
  <conditionalFormatting sqref="J79:J156">
    <cfRule type="expression" dxfId="107" priority="108">
      <formula>$S79="закрыт"</formula>
    </cfRule>
  </conditionalFormatting>
  <conditionalFormatting sqref="J284:J387">
    <cfRule type="expression" dxfId="106" priority="107">
      <formula>$S284="закрыт"</formula>
    </cfRule>
  </conditionalFormatting>
  <conditionalFormatting sqref="J245:J283">
    <cfRule type="expression" dxfId="105" priority="106">
      <formula>$S245="закрыт"</formula>
    </cfRule>
  </conditionalFormatting>
  <conditionalFormatting sqref="J157:J206">
    <cfRule type="expression" dxfId="104" priority="105">
      <formula>$S157="закрыт"</formula>
    </cfRule>
  </conditionalFormatting>
  <conditionalFormatting sqref="D9:H436">
    <cfRule type="expression" dxfId="103" priority="104">
      <formula>$S9="закрыт"</formula>
    </cfRule>
  </conditionalFormatting>
  <conditionalFormatting sqref="D207:H244">
    <cfRule type="expression" dxfId="102" priority="103">
      <formula>$S207="закрыт"</formula>
    </cfRule>
  </conditionalFormatting>
  <conditionalFormatting sqref="D388:H436">
    <cfRule type="expression" dxfId="101" priority="102">
      <formula>$S388="закрыт"</formula>
    </cfRule>
  </conditionalFormatting>
  <conditionalFormatting sqref="D9:H38">
    <cfRule type="expression" dxfId="100" priority="101">
      <formula>$S9="закрыт"</formula>
    </cfRule>
  </conditionalFormatting>
  <conditionalFormatting sqref="D39:H78">
    <cfRule type="expression" dxfId="99" priority="100">
      <formula>$S39="закрыт"</formula>
    </cfRule>
  </conditionalFormatting>
  <conditionalFormatting sqref="D79:H156">
    <cfRule type="expression" dxfId="98" priority="99">
      <formula>$S79="закрыт"</formula>
    </cfRule>
  </conditionalFormatting>
  <conditionalFormatting sqref="D284:H387">
    <cfRule type="expression" dxfId="97" priority="98">
      <formula>$S284="закрыт"</formula>
    </cfRule>
  </conditionalFormatting>
  <conditionalFormatting sqref="D245:H283">
    <cfRule type="expression" dxfId="96" priority="97">
      <formula>$S245="закрыт"</formula>
    </cfRule>
  </conditionalFormatting>
  <conditionalFormatting sqref="D157:H206">
    <cfRule type="expression" dxfId="95" priority="96">
      <formula>$S157="закрыт"</formula>
    </cfRule>
  </conditionalFormatting>
  <conditionalFormatting sqref="K9:L436">
    <cfRule type="expression" dxfId="94" priority="95">
      <formula>$S9="закрыт"</formula>
    </cfRule>
  </conditionalFormatting>
  <conditionalFormatting sqref="K207:L244">
    <cfRule type="expression" dxfId="93" priority="94">
      <formula>$S207="закрыт"</formula>
    </cfRule>
  </conditionalFormatting>
  <conditionalFormatting sqref="K388:L436">
    <cfRule type="expression" dxfId="92" priority="93">
      <formula>$S388="закрыт"</formula>
    </cfRule>
  </conditionalFormatting>
  <conditionalFormatting sqref="K9:L38">
    <cfRule type="expression" dxfId="91" priority="92">
      <formula>$S9="закрыт"</formula>
    </cfRule>
  </conditionalFormatting>
  <conditionalFormatting sqref="K39:L78">
    <cfRule type="expression" dxfId="90" priority="91">
      <formula>$S39="закрыт"</formula>
    </cfRule>
  </conditionalFormatting>
  <conditionalFormatting sqref="K79:L156">
    <cfRule type="expression" dxfId="89" priority="90">
      <formula>$S79="закрыт"</formula>
    </cfRule>
  </conditionalFormatting>
  <conditionalFormatting sqref="K284:L387">
    <cfRule type="expression" dxfId="88" priority="89">
      <formula>$S284="закрыт"</formula>
    </cfRule>
  </conditionalFormatting>
  <conditionalFormatting sqref="K245:L283">
    <cfRule type="expression" dxfId="87" priority="88">
      <formula>$S245="закрыт"</formula>
    </cfRule>
  </conditionalFormatting>
  <conditionalFormatting sqref="K157:K206">
    <cfRule type="expression" dxfId="86" priority="87">
      <formula>$S157="закрыт"</formula>
    </cfRule>
  </conditionalFormatting>
  <conditionalFormatting sqref="L157:L206">
    <cfRule type="expression" dxfId="85" priority="86">
      <formula>$S157="закрыт"</formula>
    </cfRule>
  </conditionalFormatting>
  <conditionalFormatting sqref="N9:O436">
    <cfRule type="expression" dxfId="84" priority="85">
      <formula>$S9="закрыт"</formula>
    </cfRule>
  </conditionalFormatting>
  <conditionalFormatting sqref="N207:O244">
    <cfRule type="expression" dxfId="83" priority="84">
      <formula>$S207="закрыт"</formula>
    </cfRule>
  </conditionalFormatting>
  <conditionalFormatting sqref="N388:O436">
    <cfRule type="expression" dxfId="82" priority="83">
      <formula>$S388="закрыт"</formula>
    </cfRule>
  </conditionalFormatting>
  <conditionalFormatting sqref="N9:N38">
    <cfRule type="expression" dxfId="81" priority="82">
      <formula>$S9="закрыт"</formula>
    </cfRule>
  </conditionalFormatting>
  <conditionalFormatting sqref="O9:O38">
    <cfRule type="expression" dxfId="80" priority="81">
      <formula>$S9="закрыт"</formula>
    </cfRule>
  </conditionalFormatting>
  <conditionalFormatting sqref="N39:N78">
    <cfRule type="expression" dxfId="79" priority="80">
      <formula>$S39="закрыт"</formula>
    </cfRule>
  </conditionalFormatting>
  <conditionalFormatting sqref="O39:O78">
    <cfRule type="expression" dxfId="78" priority="79">
      <formula>$S39="закрыт"</formula>
    </cfRule>
  </conditionalFormatting>
  <conditionalFormatting sqref="N79:O156">
    <cfRule type="expression" dxfId="77" priority="78">
      <formula>$S79="закрыт"</formula>
    </cfRule>
  </conditionalFormatting>
  <conditionalFormatting sqref="N284:O387">
    <cfRule type="expression" dxfId="76" priority="77">
      <formula>$S284="закрыт"</formula>
    </cfRule>
  </conditionalFormatting>
  <conditionalFormatting sqref="N245:O283">
    <cfRule type="expression" dxfId="75" priority="76">
      <formula>$S245="закрыт"</formula>
    </cfRule>
  </conditionalFormatting>
  <conditionalFormatting sqref="N339:O339">
    <cfRule type="expression" dxfId="74" priority="75">
      <formula>$S339="закрыт"</formula>
    </cfRule>
  </conditionalFormatting>
  <conditionalFormatting sqref="V49:V61 V9:V46 V73 V67 V64 V70 V76 V79:V436">
    <cfRule type="expression" dxfId="73" priority="74">
      <formula>$S9="закрыт"</formula>
    </cfRule>
  </conditionalFormatting>
  <conditionalFormatting sqref="V284:V387">
    <cfRule type="expression" dxfId="72" priority="73">
      <formula>$S284="закрыт"</formula>
    </cfRule>
  </conditionalFormatting>
  <conditionalFormatting sqref="V388:V436">
    <cfRule type="expression" dxfId="71" priority="72">
      <formula>$S388="закрыт"</formula>
    </cfRule>
  </conditionalFormatting>
  <conditionalFormatting sqref="V207:V244">
    <cfRule type="expression" dxfId="70" priority="71">
      <formula>$S207="закрыт"</formula>
    </cfRule>
  </conditionalFormatting>
  <conditionalFormatting sqref="V79:V156">
    <cfRule type="expression" dxfId="69" priority="70">
      <formula>$S79="закрыт"</formula>
    </cfRule>
  </conditionalFormatting>
  <conditionalFormatting sqref="V245:V283">
    <cfRule type="expression" dxfId="68" priority="69">
      <formula>$S245="закрыт"</formula>
    </cfRule>
  </conditionalFormatting>
  <conditionalFormatting sqref="V49:V61 V9:V46 V73 V67 V64 V70 V76">
    <cfRule type="expression" dxfId="67" priority="68">
      <formula>$S9="закрыт"</formula>
    </cfRule>
  </conditionalFormatting>
  <conditionalFormatting sqref="V157:V183 V186:V206">
    <cfRule type="expression" dxfId="66" priority="67">
      <formula>$S157="закрыт"</formula>
    </cfRule>
  </conditionalFormatting>
  <conditionalFormatting sqref="V157:V183 V186:V206">
    <cfRule type="expression" dxfId="65" priority="66" stopIfTrue="1">
      <formula>$T157="ЦП закрыт"</formula>
    </cfRule>
  </conditionalFormatting>
  <conditionalFormatting sqref="V195:V197">
    <cfRule type="expression" dxfId="64" priority="65">
      <formula>$S195="закрыт"</formula>
    </cfRule>
  </conditionalFormatting>
  <conditionalFormatting sqref="V207:V244">
    <cfRule type="expression" dxfId="63" priority="64">
      <formula>$S207="закрыт"</formula>
    </cfRule>
  </conditionalFormatting>
  <conditionalFormatting sqref="V207:V244">
    <cfRule type="expression" dxfId="62" priority="63">
      <formula>$S207="закрыт"</formula>
    </cfRule>
  </conditionalFormatting>
  <conditionalFormatting sqref="V388:V436">
    <cfRule type="expression" dxfId="61" priority="62">
      <formula>$S388="закрыт"</formula>
    </cfRule>
  </conditionalFormatting>
  <conditionalFormatting sqref="V388:V436">
    <cfRule type="expression" dxfId="60" priority="61">
      <formula>$S388="закрыт"</formula>
    </cfRule>
  </conditionalFormatting>
  <conditionalFormatting sqref="V9:V38">
    <cfRule type="expression" dxfId="59" priority="60">
      <formula>$S9="закрыт"</formula>
    </cfRule>
  </conditionalFormatting>
  <conditionalFormatting sqref="V49:V61 V39:V46 V73 V64 V67 V70 V76">
    <cfRule type="expression" dxfId="58" priority="59">
      <formula>$S39="закрыт"</formula>
    </cfRule>
  </conditionalFormatting>
  <conditionalFormatting sqref="V79:V156">
    <cfRule type="expression" dxfId="57" priority="58">
      <formula>$S79="закрыт"</formula>
    </cfRule>
  </conditionalFormatting>
  <conditionalFormatting sqref="V79:V156">
    <cfRule type="expression" dxfId="56" priority="57">
      <formula>$S79="закрыт"</formula>
    </cfRule>
  </conditionalFormatting>
  <conditionalFormatting sqref="V284:V387">
    <cfRule type="expression" dxfId="55" priority="56">
      <formula>$S284="закрыт"</formula>
    </cfRule>
  </conditionalFormatting>
  <conditionalFormatting sqref="V284:V387">
    <cfRule type="expression" dxfId="54" priority="55">
      <formula>$S284="закрыт"</formula>
    </cfRule>
  </conditionalFormatting>
  <conditionalFormatting sqref="V245:V283">
    <cfRule type="expression" dxfId="53" priority="54">
      <formula>$S245="закрыт"</formula>
    </cfRule>
  </conditionalFormatting>
  <conditionalFormatting sqref="V245:V283">
    <cfRule type="expression" dxfId="52" priority="53">
      <formula>$S245="закрыт"</formula>
    </cfRule>
  </conditionalFormatting>
  <conditionalFormatting sqref="V157:V206">
    <cfRule type="expression" dxfId="51" priority="52">
      <formula>$S157="закрыт"</formula>
    </cfRule>
  </conditionalFormatting>
  <conditionalFormatting sqref="V157:V183 V186:V206">
    <cfRule type="expression" dxfId="50" priority="51">
      <formula>$S157="закрыт"</formula>
    </cfRule>
  </conditionalFormatting>
  <conditionalFormatting sqref="V157:V183 V186:V206">
    <cfRule type="expression" dxfId="49" priority="50" stopIfTrue="1">
      <formula>$T157="ЦП закрыт"</formula>
    </cfRule>
  </conditionalFormatting>
  <conditionalFormatting sqref="V195:V197">
    <cfRule type="expression" dxfId="48" priority="49">
      <formula>$S195="закрыт"</formula>
    </cfRule>
  </conditionalFormatting>
  <conditionalFormatting sqref="W73 W49:W61 W9:W46 W64 W67 W70 W76 W79:W436">
    <cfRule type="expression" dxfId="47" priority="48">
      <formula>$S9="закрыт"</formula>
    </cfRule>
  </conditionalFormatting>
  <conditionalFormatting sqref="W284:W387">
    <cfRule type="expression" dxfId="46" priority="47">
      <formula>$S284="закрыт"</formula>
    </cfRule>
  </conditionalFormatting>
  <conditionalFormatting sqref="W388:W436">
    <cfRule type="expression" dxfId="45" priority="46">
      <formula>$S388="закрыт"</formula>
    </cfRule>
  </conditionalFormatting>
  <conditionalFormatting sqref="W207:W244">
    <cfRule type="expression" dxfId="44" priority="45">
      <formula>$S207="закрыт"</formula>
    </cfRule>
  </conditionalFormatting>
  <conditionalFormatting sqref="W79:W156">
    <cfRule type="expression" dxfId="43" priority="44">
      <formula>$S79="закрыт"</formula>
    </cfRule>
  </conditionalFormatting>
  <conditionalFormatting sqref="W245:W283">
    <cfRule type="expression" dxfId="42" priority="43">
      <formula>$S245="закрыт"</formula>
    </cfRule>
  </conditionalFormatting>
  <conditionalFormatting sqref="W73 W49:W61 W9:W46 W64 W67 W70 W76">
    <cfRule type="expression" dxfId="41" priority="42">
      <formula>$S9="закрыт"</formula>
    </cfRule>
  </conditionalFormatting>
  <conditionalFormatting sqref="W157:W206">
    <cfRule type="expression" dxfId="40" priority="41">
      <formula>$S157="закрыт"</formula>
    </cfRule>
  </conditionalFormatting>
  <conditionalFormatting sqref="W195:W197">
    <cfRule type="expression" dxfId="39" priority="40">
      <formula>$S195="закрыт"</formula>
    </cfRule>
  </conditionalFormatting>
  <conditionalFormatting sqref="W207:W244">
    <cfRule type="expression" dxfId="38" priority="39">
      <formula>$S207="закрыт"</formula>
    </cfRule>
  </conditionalFormatting>
  <conditionalFormatting sqref="W207:W244">
    <cfRule type="expression" dxfId="37" priority="38">
      <formula>$S207="закрыт"</formula>
    </cfRule>
  </conditionalFormatting>
  <conditionalFormatting sqref="W388:W436">
    <cfRule type="expression" dxfId="36" priority="37">
      <formula>$S388="закрыт"</formula>
    </cfRule>
  </conditionalFormatting>
  <conditionalFormatting sqref="W388:W436">
    <cfRule type="expression" dxfId="35" priority="36">
      <formula>$S388="закрыт"</formula>
    </cfRule>
  </conditionalFormatting>
  <conditionalFormatting sqref="W9:W38">
    <cfRule type="expression" dxfId="34" priority="35">
      <formula>$S9="закрыт"</formula>
    </cfRule>
  </conditionalFormatting>
  <conditionalFormatting sqref="W49:W61 W39:W46 W73 W64 W67 W70 W76">
    <cfRule type="expression" dxfId="33" priority="34">
      <formula>$S39="закрыт"</formula>
    </cfRule>
  </conditionalFormatting>
  <conditionalFormatting sqref="W79:W156">
    <cfRule type="expression" dxfId="32" priority="33">
      <formula>$S79="закрыт"</formula>
    </cfRule>
  </conditionalFormatting>
  <conditionalFormatting sqref="W79:W156">
    <cfRule type="expression" dxfId="31" priority="32">
      <formula>$S79="закрыт"</formula>
    </cfRule>
  </conditionalFormatting>
  <conditionalFormatting sqref="W367 W379 W376 W370 W364 W284:W355 W358:W361 W373 W382 W385:W387">
    <cfRule type="expression" dxfId="30" priority="31">
      <formula>$S284="закрыт"</formula>
    </cfRule>
  </conditionalFormatting>
  <conditionalFormatting sqref="W379 W376 W370 W364 W367 W284:W355 W358:W361 W373 W382 W385:W387">
    <cfRule type="expression" dxfId="29" priority="30">
      <formula>$S284="закрыт"</formula>
    </cfRule>
  </conditionalFormatting>
  <conditionalFormatting sqref="W245:W283">
    <cfRule type="expression" dxfId="28" priority="29">
      <formula>$S245="закрыт"</formula>
    </cfRule>
  </conditionalFormatting>
  <conditionalFormatting sqref="W245:W283">
    <cfRule type="expression" dxfId="27" priority="28">
      <formula>$S245="закрыт"</formula>
    </cfRule>
  </conditionalFormatting>
  <conditionalFormatting sqref="W157:W206">
    <cfRule type="expression" dxfId="26" priority="27">
      <formula>$S157="закрыт"</formula>
    </cfRule>
  </conditionalFormatting>
  <conditionalFormatting sqref="W157:W206">
    <cfRule type="expression" dxfId="25" priority="26">
      <formula>$S157="закрыт"</formula>
    </cfRule>
  </conditionalFormatting>
  <conditionalFormatting sqref="W195:W197">
    <cfRule type="expression" dxfId="24" priority="25">
      <formula>$S195="закрыт"</formula>
    </cfRule>
  </conditionalFormatting>
  <conditionalFormatting sqref="W158:W159">
    <cfRule type="expression" dxfId="23" priority="24">
      <formula>$S158="закрыт"</formula>
    </cfRule>
  </conditionalFormatting>
  <conditionalFormatting sqref="W158:W159">
    <cfRule type="expression" dxfId="22" priority="23">
      <formula>$S158="закрыт"</formula>
    </cfRule>
  </conditionalFormatting>
  <conditionalFormatting sqref="W158:W159">
    <cfRule type="expression" dxfId="21" priority="22">
      <formula>$S158="закрыт"</formula>
    </cfRule>
  </conditionalFormatting>
  <conditionalFormatting sqref="W162">
    <cfRule type="expression" dxfId="20" priority="21">
      <formula>$S162="закрыт"</formula>
    </cfRule>
  </conditionalFormatting>
  <conditionalFormatting sqref="W162">
    <cfRule type="expression" dxfId="19" priority="20">
      <formula>$S162="закрыт"</formula>
    </cfRule>
  </conditionalFormatting>
  <conditionalFormatting sqref="W162">
    <cfRule type="expression" dxfId="18" priority="19">
      <formula>$S162="закрыт"</formula>
    </cfRule>
  </conditionalFormatting>
  <conditionalFormatting sqref="W168">
    <cfRule type="expression" dxfId="17" priority="18">
      <formula>$S168="закрыт"</formula>
    </cfRule>
  </conditionalFormatting>
  <conditionalFormatting sqref="W168">
    <cfRule type="expression" dxfId="16" priority="17">
      <formula>$S168="закрыт"</formula>
    </cfRule>
  </conditionalFormatting>
  <conditionalFormatting sqref="W168">
    <cfRule type="expression" dxfId="15" priority="16">
      <formula>$S168="закрыт"</formula>
    </cfRule>
  </conditionalFormatting>
  <conditionalFormatting sqref="W170">
    <cfRule type="expression" dxfId="14" priority="15">
      <formula>$S170="закрыт"</formula>
    </cfRule>
  </conditionalFormatting>
  <conditionalFormatting sqref="W170">
    <cfRule type="expression" dxfId="13" priority="14">
      <formula>$S170="закрыт"</formula>
    </cfRule>
  </conditionalFormatting>
  <conditionalFormatting sqref="W170">
    <cfRule type="expression" dxfId="12" priority="13">
      <formula>$S170="закрыт"</formula>
    </cfRule>
  </conditionalFormatting>
  <conditionalFormatting sqref="W173">
    <cfRule type="expression" dxfId="11" priority="12">
      <formula>$S173="закрыт"</formula>
    </cfRule>
  </conditionalFormatting>
  <conditionalFormatting sqref="W173">
    <cfRule type="expression" dxfId="10" priority="11">
      <formula>$S173="закрыт"</formula>
    </cfRule>
  </conditionalFormatting>
  <conditionalFormatting sqref="W173">
    <cfRule type="expression" dxfId="9" priority="10">
      <formula>$S173="закрыт"</formula>
    </cfRule>
  </conditionalFormatting>
  <conditionalFormatting sqref="W177">
    <cfRule type="expression" dxfId="8" priority="9">
      <formula>$S177="закрыт"</formula>
    </cfRule>
  </conditionalFormatting>
  <conditionalFormatting sqref="W177">
    <cfRule type="expression" dxfId="7" priority="8">
      <formula>$S177="закрыт"</formula>
    </cfRule>
  </conditionalFormatting>
  <conditionalFormatting sqref="W177">
    <cfRule type="expression" dxfId="6" priority="7">
      <formula>$S177="закрыт"</formula>
    </cfRule>
  </conditionalFormatting>
  <conditionalFormatting sqref="W180">
    <cfRule type="expression" dxfId="5" priority="6">
      <formula>$S180="закрыт"</formula>
    </cfRule>
  </conditionalFormatting>
  <conditionalFormatting sqref="W180">
    <cfRule type="expression" dxfId="4" priority="5">
      <formula>$S180="закрыт"</formula>
    </cfRule>
  </conditionalFormatting>
  <conditionalFormatting sqref="W180">
    <cfRule type="expression" dxfId="3" priority="4">
      <formula>$S180="закрыт"</formula>
    </cfRule>
  </conditionalFormatting>
  <conditionalFormatting sqref="W181">
    <cfRule type="expression" dxfId="2" priority="3">
      <formula>$S181="закрыт"</formula>
    </cfRule>
  </conditionalFormatting>
  <conditionalFormatting sqref="W181">
    <cfRule type="expression" dxfId="1" priority="2">
      <formula>$S181="закрыт"</formula>
    </cfRule>
  </conditionalFormatting>
  <conditionalFormatting sqref="W181">
    <cfRule type="expression" dxfId="0" priority="1">
      <formula>$S181="закрыт"</formula>
    </cfRule>
  </conditionalFormatting>
  <dataValidations disablePrompts="1" count="1">
    <dataValidation type="whole" operator="equal" allowBlank="1" showInputMessage="1" showErrorMessage="1" sqref="F461">
      <formula1>F437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T495"/>
  <sheetViews>
    <sheetView zoomScale="70" zoomScaleNormal="70" workbookViewId="0">
      <pane ySplit="7" topLeftCell="A152" activePane="bottomLeft" state="frozen"/>
      <selection pane="bottomLeft" activeCell="L177" sqref="L177"/>
    </sheetView>
  </sheetViews>
  <sheetFormatPr defaultRowHeight="15.75" x14ac:dyDescent="0.25"/>
  <cols>
    <col min="1" max="1" width="30.7109375" style="335" customWidth="1"/>
    <col min="2" max="6" width="5.7109375" style="301" customWidth="1"/>
    <col min="7" max="9" width="20.7109375" style="301" customWidth="1"/>
    <col min="10" max="11" width="10.7109375" style="336" customWidth="1"/>
    <col min="12" max="12" width="10.7109375" style="301" customWidth="1"/>
    <col min="13" max="13" width="10.7109375" style="337" customWidth="1"/>
    <col min="14" max="14" width="20.7109375" style="315" customWidth="1"/>
    <col min="15" max="16" width="20.7109375" style="204" customWidth="1"/>
    <col min="17" max="17" width="11.42578125" style="204" customWidth="1"/>
    <col min="18" max="18" width="10.7109375" style="334" customWidth="1"/>
    <col min="19" max="19" width="10.7109375" style="204" customWidth="1"/>
    <col min="20" max="20" width="10.7109375" style="334" customWidth="1"/>
    <col min="21" max="16384" width="9.140625" style="204"/>
  </cols>
  <sheetData>
    <row r="1" spans="1:20" ht="15" customHeight="1" x14ac:dyDescent="0.25">
      <c r="A1" s="1049" t="s">
        <v>1436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0" ht="15" customHeight="1" x14ac:dyDescent="0.25">
      <c r="A2" s="1176" t="s">
        <v>244</v>
      </c>
      <c r="B2" s="1138" t="s">
        <v>1136</v>
      </c>
      <c r="C2" s="1139"/>
      <c r="D2" s="1139"/>
      <c r="E2" s="1139"/>
      <c r="F2" s="1140"/>
      <c r="G2" s="1146" t="s">
        <v>1187</v>
      </c>
      <c r="H2" s="1147"/>
      <c r="I2" s="1147"/>
      <c r="J2" s="1147"/>
      <c r="K2" s="1147"/>
      <c r="L2" s="1147"/>
      <c r="M2" s="1041"/>
      <c r="N2" s="1033" t="s">
        <v>1668</v>
      </c>
      <c r="O2" s="1033"/>
      <c r="P2" s="1033"/>
      <c r="Q2" s="1033"/>
      <c r="R2" s="1033"/>
      <c r="S2" s="1033"/>
      <c r="T2" s="1033"/>
    </row>
    <row r="3" spans="1:20" ht="15" customHeight="1" x14ac:dyDescent="0.25">
      <c r="A3" s="1177"/>
      <c r="B3" s="1141"/>
      <c r="C3" s="1039"/>
      <c r="D3" s="1039"/>
      <c r="E3" s="1039"/>
      <c r="F3" s="1142"/>
      <c r="G3" s="1034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0" ht="15" customHeight="1" x14ac:dyDescent="0.25">
      <c r="A4" s="1177"/>
      <c r="B4" s="1141"/>
      <c r="C4" s="1039"/>
      <c r="D4" s="1039"/>
      <c r="E4" s="1039"/>
      <c r="F4" s="1142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0" ht="15" customHeight="1" x14ac:dyDescent="0.25">
      <c r="A5" s="1177"/>
      <c r="B5" s="1141"/>
      <c r="C5" s="1039"/>
      <c r="D5" s="1039"/>
      <c r="E5" s="1039"/>
      <c r="F5" s="1142"/>
      <c r="G5" s="1007" t="s">
        <v>1189</v>
      </c>
      <c r="H5" s="1007" t="s">
        <v>1195</v>
      </c>
      <c r="I5" s="1007" t="s">
        <v>1191</v>
      </c>
      <c r="J5" s="205" t="s">
        <v>19510</v>
      </c>
      <c r="K5" s="205" t="s">
        <v>19511</v>
      </c>
      <c r="L5" s="1007" t="s">
        <v>1193</v>
      </c>
      <c r="M5" s="1011" t="s">
        <v>1194</v>
      </c>
      <c r="N5" s="1007" t="s">
        <v>1189</v>
      </c>
      <c r="O5" s="1007" t="s">
        <v>1195</v>
      </c>
      <c r="P5" s="1007" t="s">
        <v>1191</v>
      </c>
      <c r="Q5" s="206" t="s">
        <v>19510</v>
      </c>
      <c r="R5" s="206" t="s">
        <v>19511</v>
      </c>
      <c r="S5" s="1007" t="s">
        <v>1193</v>
      </c>
      <c r="T5" s="1011" t="s">
        <v>1194</v>
      </c>
    </row>
    <row r="6" spans="1:20" ht="15" customHeight="1" x14ac:dyDescent="0.25">
      <c r="A6" s="1178"/>
      <c r="B6" s="1143"/>
      <c r="C6" s="1144"/>
      <c r="D6" s="1144"/>
      <c r="E6" s="1144"/>
      <c r="F6" s="1145"/>
      <c r="G6" s="1008"/>
      <c r="H6" s="1008"/>
      <c r="I6" s="1008"/>
      <c r="J6" s="205" t="s">
        <v>1192</v>
      </c>
      <c r="K6" s="205" t="s">
        <v>1192</v>
      </c>
      <c r="L6" s="1008"/>
      <c r="M6" s="1012"/>
      <c r="N6" s="1008"/>
      <c r="O6" s="1008"/>
      <c r="P6" s="1008"/>
      <c r="Q6" s="205" t="s">
        <v>1192</v>
      </c>
      <c r="R6" s="205" t="s">
        <v>1192</v>
      </c>
      <c r="S6" s="1008"/>
      <c r="T6" s="1012"/>
    </row>
    <row r="7" spans="1:20" ht="15" customHeight="1" thickBot="1" x14ac:dyDescent="0.3">
      <c r="A7" s="207">
        <v>1</v>
      </c>
      <c r="B7" s="1013">
        <v>2</v>
      </c>
      <c r="C7" s="1014"/>
      <c r="D7" s="1014"/>
      <c r="E7" s="1014"/>
      <c r="F7" s="1015"/>
      <c r="G7" s="208">
        <v>3</v>
      </c>
      <c r="H7" s="208">
        <v>4</v>
      </c>
      <c r="I7" s="208">
        <v>5</v>
      </c>
      <c r="J7" s="209">
        <v>6</v>
      </c>
      <c r="K7" s="209">
        <v>7</v>
      </c>
      <c r="L7" s="208">
        <v>8</v>
      </c>
      <c r="M7" s="210">
        <v>9</v>
      </c>
      <c r="N7" s="208">
        <v>10</v>
      </c>
      <c r="O7" s="208">
        <v>11</v>
      </c>
      <c r="P7" s="208">
        <v>12</v>
      </c>
      <c r="Q7" s="208">
        <v>13</v>
      </c>
      <c r="R7" s="208">
        <v>14</v>
      </c>
      <c r="S7" s="208">
        <v>15</v>
      </c>
      <c r="T7" s="208">
        <v>16</v>
      </c>
    </row>
    <row r="8" spans="1:20" ht="15" customHeight="1" x14ac:dyDescent="0.25">
      <c r="A8" s="211" t="str">
        <f>Итоговая!C388</f>
        <v>ПС  35/10 кВ Страшевичи</v>
      </c>
      <c r="B8" s="212">
        <f>Итоговая!D388</f>
        <v>2.5</v>
      </c>
      <c r="C8" s="213"/>
      <c r="D8" s="213"/>
      <c r="E8" s="213"/>
      <c r="F8" s="214"/>
      <c r="G8" s="1161" t="s">
        <v>18842</v>
      </c>
      <c r="H8" s="1161"/>
      <c r="I8" s="1161"/>
      <c r="J8" s="1161"/>
      <c r="K8" s="1161"/>
      <c r="L8" s="1161"/>
      <c r="M8" s="1161"/>
      <c r="N8" s="215"/>
      <c r="O8" s="215"/>
      <c r="P8" s="215"/>
      <c r="Q8" s="215"/>
      <c r="R8" s="216"/>
      <c r="S8" s="215"/>
      <c r="T8" s="217"/>
    </row>
    <row r="9" spans="1:20" ht="15" customHeight="1" x14ac:dyDescent="0.25">
      <c r="A9" s="218"/>
      <c r="B9" s="219"/>
      <c r="C9" s="220"/>
      <c r="D9" s="220"/>
      <c r="E9" s="220"/>
      <c r="F9" s="221"/>
      <c r="G9" s="1157" t="s">
        <v>2262</v>
      </c>
      <c r="H9" s="1157"/>
      <c r="I9" s="1157"/>
      <c r="J9" s="994">
        <f>0.048*0.9*0.6</f>
        <v>2.5920000000000002E-2</v>
      </c>
      <c r="K9" s="995"/>
      <c r="L9" s="727"/>
      <c r="M9" s="519"/>
      <c r="N9" s="223"/>
      <c r="O9" s="223"/>
      <c r="P9" s="223"/>
      <c r="Q9" s="223"/>
      <c r="R9" s="224"/>
      <c r="S9" s="223"/>
      <c r="T9" s="225"/>
    </row>
    <row r="10" spans="1:20" ht="15" customHeight="1" thickBot="1" x14ac:dyDescent="0.3">
      <c r="A10" s="226"/>
      <c r="B10" s="227"/>
      <c r="C10" s="228"/>
      <c r="D10" s="228"/>
      <c r="E10" s="228"/>
      <c r="F10" s="229"/>
      <c r="G10" s="1007" t="s">
        <v>1199</v>
      </c>
      <c r="H10" s="1007"/>
      <c r="I10" s="1007"/>
      <c r="J10" s="230"/>
      <c r="K10" s="231">
        <f>SUM(J9)</f>
        <v>2.5920000000000002E-2</v>
      </c>
      <c r="L10" s="232">
        <v>0.92</v>
      </c>
      <c r="M10" s="231">
        <f>K10/L10</f>
        <v>2.8173913043478261E-2</v>
      </c>
      <c r="N10" s="1007" t="s">
        <v>1199</v>
      </c>
      <c r="O10" s="1007"/>
      <c r="P10" s="1007"/>
      <c r="Q10" s="232"/>
      <c r="R10" s="231">
        <f>SUM(R8:R8)</f>
        <v>0</v>
      </c>
      <c r="S10" s="232">
        <v>0.92</v>
      </c>
      <c r="T10" s="233">
        <f>R10/S10</f>
        <v>0</v>
      </c>
    </row>
    <row r="11" spans="1:20" ht="15" customHeight="1" x14ac:dyDescent="0.25">
      <c r="A11" s="211" t="str">
        <f>Итоговая!C389</f>
        <v xml:space="preserve">ПС 35/10 кВ Сукромля </v>
      </c>
      <c r="B11" s="234">
        <f>Итоговая!D389</f>
        <v>2.5</v>
      </c>
      <c r="C11" s="235"/>
      <c r="D11" s="235"/>
      <c r="E11" s="235"/>
      <c r="F11" s="236"/>
      <c r="G11" s="1162" t="s">
        <v>2011</v>
      </c>
      <c r="H11" s="1162"/>
      <c r="I11" s="1162"/>
      <c r="J11" s="1162"/>
      <c r="K11" s="1162"/>
      <c r="L11" s="1162"/>
      <c r="M11" s="1162"/>
      <c r="N11" s="215"/>
      <c r="O11" s="215"/>
      <c r="P11" s="215"/>
      <c r="Q11" s="215"/>
      <c r="R11" s="216"/>
      <c r="S11" s="215"/>
      <c r="T11" s="217"/>
    </row>
    <row r="12" spans="1:20" ht="15" customHeight="1" x14ac:dyDescent="0.25">
      <c r="A12" s="218"/>
      <c r="B12" s="237"/>
      <c r="C12" s="238"/>
      <c r="D12" s="238"/>
      <c r="E12" s="238"/>
      <c r="F12" s="239"/>
      <c r="G12" s="206" t="s">
        <v>2002</v>
      </c>
      <c r="H12" s="206" t="s">
        <v>2101</v>
      </c>
      <c r="I12" s="206" t="s">
        <v>2088</v>
      </c>
      <c r="J12" s="205"/>
      <c r="K12" s="205">
        <f>0.3*0.75</f>
        <v>0.22499999999999998</v>
      </c>
      <c r="L12" s="206"/>
      <c r="M12" s="240"/>
      <c r="N12" s="206"/>
      <c r="O12" s="206"/>
      <c r="P12" s="206"/>
      <c r="Q12" s="206"/>
      <c r="R12" s="205"/>
      <c r="S12" s="206"/>
      <c r="T12" s="241"/>
    </row>
    <row r="13" spans="1:20" ht="15" customHeight="1" x14ac:dyDescent="0.25">
      <c r="A13" s="218"/>
      <c r="B13" s="237"/>
      <c r="C13" s="238"/>
      <c r="D13" s="238"/>
      <c r="E13" s="238"/>
      <c r="F13" s="239"/>
      <c r="G13" s="206" t="s">
        <v>2070</v>
      </c>
      <c r="H13" s="206" t="s">
        <v>2069</v>
      </c>
      <c r="I13" s="206" t="s">
        <v>2109</v>
      </c>
      <c r="J13" s="205"/>
      <c r="K13" s="205">
        <f>0.3*0.75</f>
        <v>0.22499999999999998</v>
      </c>
      <c r="L13" s="206"/>
      <c r="M13" s="240"/>
      <c r="N13" s="206"/>
      <c r="O13" s="206"/>
      <c r="P13" s="206"/>
      <c r="Q13" s="206"/>
      <c r="R13" s="205"/>
      <c r="S13" s="206"/>
      <c r="T13" s="241"/>
    </row>
    <row r="14" spans="1:20" ht="15" customHeight="1" x14ac:dyDescent="0.25">
      <c r="A14" s="218"/>
      <c r="B14" s="237"/>
      <c r="C14" s="238"/>
      <c r="D14" s="238"/>
      <c r="E14" s="238"/>
      <c r="F14" s="239"/>
      <c r="G14" s="1161" t="s">
        <v>14933</v>
      </c>
      <c r="H14" s="1161"/>
      <c r="I14" s="1161"/>
      <c r="J14" s="1161"/>
      <c r="K14" s="1161"/>
      <c r="L14" s="1161"/>
      <c r="M14" s="1161"/>
      <c r="N14" s="206"/>
      <c r="O14" s="206"/>
      <c r="P14" s="206"/>
      <c r="Q14" s="206"/>
      <c r="R14" s="205"/>
      <c r="S14" s="206"/>
      <c r="T14" s="241"/>
    </row>
    <row r="15" spans="1:20" ht="15" customHeight="1" x14ac:dyDescent="0.25">
      <c r="A15" s="218"/>
      <c r="B15" s="237"/>
      <c r="C15" s="238"/>
      <c r="D15" s="238"/>
      <c r="E15" s="238"/>
      <c r="F15" s="239"/>
      <c r="G15" s="206" t="s">
        <v>15000</v>
      </c>
      <c r="H15" s="206" t="s">
        <v>15001</v>
      </c>
      <c r="I15" s="206" t="s">
        <v>15002</v>
      </c>
      <c r="J15" s="205"/>
      <c r="K15" s="205">
        <f>(0.65-0.1)*0.9</f>
        <v>0.49500000000000005</v>
      </c>
      <c r="L15" s="206"/>
      <c r="M15" s="240"/>
      <c r="N15" s="206"/>
      <c r="O15" s="206"/>
      <c r="P15" s="206"/>
      <c r="Q15" s="206"/>
      <c r="R15" s="205"/>
      <c r="S15" s="206"/>
      <c r="T15" s="241"/>
    </row>
    <row r="16" spans="1:20" ht="15" customHeight="1" x14ac:dyDescent="0.25">
      <c r="A16" s="738"/>
      <c r="B16" s="735"/>
      <c r="C16" s="732"/>
      <c r="D16" s="732"/>
      <c r="E16" s="732"/>
      <c r="F16" s="739"/>
      <c r="G16" s="1161" t="s">
        <v>18842</v>
      </c>
      <c r="H16" s="1161"/>
      <c r="I16" s="1161"/>
      <c r="J16" s="1161"/>
      <c r="K16" s="1161"/>
      <c r="L16" s="1161"/>
      <c r="M16" s="1161"/>
      <c r="N16" s="716"/>
      <c r="O16" s="716"/>
      <c r="P16" s="716"/>
      <c r="Q16" s="716"/>
      <c r="R16" s="717"/>
      <c r="S16" s="716"/>
      <c r="T16" s="259"/>
    </row>
    <row r="17" spans="1:20" ht="15" customHeight="1" x14ac:dyDescent="0.25">
      <c r="A17" s="738"/>
      <c r="B17" s="735"/>
      <c r="C17" s="732"/>
      <c r="D17" s="732"/>
      <c r="E17" s="732"/>
      <c r="F17" s="739"/>
      <c r="G17" s="1157" t="s">
        <v>2262</v>
      </c>
      <c r="H17" s="1157"/>
      <c r="I17" s="1157"/>
      <c r="J17" s="994">
        <f>0.044*0.9*0.6</f>
        <v>2.3759999999999996E-2</v>
      </c>
      <c r="K17" s="995"/>
      <c r="L17" s="727"/>
      <c r="M17" s="519"/>
      <c r="N17" s="716"/>
      <c r="O17" s="716"/>
      <c r="P17" s="716"/>
      <c r="Q17" s="716"/>
      <c r="R17" s="717"/>
      <c r="S17" s="716"/>
      <c r="T17" s="259"/>
    </row>
    <row r="18" spans="1:20" ht="15" customHeight="1" thickBot="1" x14ac:dyDescent="0.3">
      <c r="A18" s="242"/>
      <c r="B18" s="243"/>
      <c r="C18" s="244"/>
      <c r="D18" s="244"/>
      <c r="E18" s="244"/>
      <c r="F18" s="245"/>
      <c r="G18" s="1032" t="s">
        <v>1199</v>
      </c>
      <c r="H18" s="1032"/>
      <c r="I18" s="1032"/>
      <c r="J18" s="246"/>
      <c r="K18" s="247">
        <f>SUM(J15:K17)</f>
        <v>0.51876</v>
      </c>
      <c r="L18" s="248">
        <v>0.92</v>
      </c>
      <c r="M18" s="247">
        <f>K18/L18</f>
        <v>0.56386956521739129</v>
      </c>
      <c r="N18" s="1032" t="s">
        <v>1199</v>
      </c>
      <c r="O18" s="1032"/>
      <c r="P18" s="1032"/>
      <c r="Q18" s="248"/>
      <c r="R18" s="247">
        <f>SUM(R11:R12)</f>
        <v>0</v>
      </c>
      <c r="S18" s="248">
        <v>0.92</v>
      </c>
      <c r="T18" s="249">
        <f>R18/S18</f>
        <v>0</v>
      </c>
    </row>
    <row r="19" spans="1:20" ht="15" customHeight="1" x14ac:dyDescent="0.25">
      <c r="A19" s="218" t="str">
        <f>Итоговая!C390</f>
        <v xml:space="preserve">ПС 35/10 кВ Кр. Городок </v>
      </c>
      <c r="B19" s="237">
        <f>Итоговая!D390</f>
        <v>0.56000000000000005</v>
      </c>
      <c r="C19" s="238"/>
      <c r="D19" s="238"/>
      <c r="E19" s="238"/>
      <c r="F19" s="239"/>
      <c r="G19" s="250"/>
      <c r="H19" s="250"/>
      <c r="I19" s="250"/>
      <c r="J19" s="251"/>
      <c r="K19" s="251"/>
      <c r="L19" s="250"/>
      <c r="M19" s="252"/>
      <c r="N19" s="250"/>
      <c r="O19" s="250"/>
      <c r="P19" s="250"/>
      <c r="Q19" s="250"/>
      <c r="R19" s="251"/>
      <c r="S19" s="250"/>
      <c r="T19" s="253"/>
    </row>
    <row r="20" spans="1:20" ht="15" customHeight="1" thickBot="1" x14ac:dyDescent="0.3">
      <c r="A20" s="242"/>
      <c r="B20" s="243"/>
      <c r="C20" s="244"/>
      <c r="D20" s="244"/>
      <c r="E20" s="244"/>
      <c r="F20" s="245"/>
      <c r="G20" s="1032" t="s">
        <v>1199</v>
      </c>
      <c r="H20" s="1032"/>
      <c r="I20" s="1032"/>
      <c r="J20" s="246"/>
      <c r="K20" s="247">
        <f>SUM(K19:K19)</f>
        <v>0</v>
      </c>
      <c r="L20" s="248">
        <v>0.92</v>
      </c>
      <c r="M20" s="247">
        <f>K20/L20</f>
        <v>0</v>
      </c>
      <c r="N20" s="1032" t="s">
        <v>1199</v>
      </c>
      <c r="O20" s="1032"/>
      <c r="P20" s="1032"/>
      <c r="Q20" s="248"/>
      <c r="R20" s="247">
        <f>SUM(R19:R19)</f>
        <v>0</v>
      </c>
      <c r="S20" s="248">
        <v>0.92</v>
      </c>
      <c r="T20" s="249">
        <f>R20/S20</f>
        <v>0</v>
      </c>
    </row>
    <row r="21" spans="1:20" ht="15" customHeight="1" x14ac:dyDescent="0.25">
      <c r="A21" s="211" t="str">
        <f>Итоговая!C391</f>
        <v xml:space="preserve">ПС 35/10 кВ Прямухино </v>
      </c>
      <c r="B21" s="234">
        <f>Итоговая!D391</f>
        <v>2.5</v>
      </c>
      <c r="C21" s="235"/>
      <c r="D21" s="235"/>
      <c r="E21" s="235"/>
      <c r="F21" s="236"/>
      <c r="G21" s="1161" t="s">
        <v>18842</v>
      </c>
      <c r="H21" s="1161"/>
      <c r="I21" s="1161"/>
      <c r="J21" s="1161"/>
      <c r="K21" s="1161"/>
      <c r="L21" s="1161"/>
      <c r="M21" s="1161"/>
      <c r="N21" s="215"/>
      <c r="O21" s="215"/>
      <c r="P21" s="215"/>
      <c r="Q21" s="215"/>
      <c r="R21" s="216"/>
      <c r="S21" s="215"/>
      <c r="T21" s="217"/>
    </row>
    <row r="22" spans="1:20" ht="15" customHeight="1" x14ac:dyDescent="0.25">
      <c r="A22" s="218"/>
      <c r="B22" s="237"/>
      <c r="C22" s="238"/>
      <c r="D22" s="238"/>
      <c r="E22" s="238"/>
      <c r="F22" s="239"/>
      <c r="G22" s="1157" t="s">
        <v>2262</v>
      </c>
      <c r="H22" s="1157"/>
      <c r="I22" s="1157"/>
      <c r="J22" s="994">
        <f>0.084*0.9*0.6</f>
        <v>4.5359999999999998E-2</v>
      </c>
      <c r="K22" s="995"/>
      <c r="L22" s="727"/>
      <c r="M22" s="519"/>
      <c r="N22" s="223"/>
      <c r="O22" s="223"/>
      <c r="P22" s="223"/>
      <c r="Q22" s="223"/>
      <c r="R22" s="224"/>
      <c r="S22" s="223"/>
      <c r="T22" s="225"/>
    </row>
    <row r="23" spans="1:20" ht="15" customHeight="1" thickBot="1" x14ac:dyDescent="0.3">
      <c r="A23" s="242"/>
      <c r="B23" s="243"/>
      <c r="C23" s="244"/>
      <c r="D23" s="244"/>
      <c r="E23" s="244"/>
      <c r="F23" s="245"/>
      <c r="G23" s="1032" t="s">
        <v>1199</v>
      </c>
      <c r="H23" s="1032"/>
      <c r="I23" s="1032"/>
      <c r="J23" s="246"/>
      <c r="K23" s="247">
        <f>SUM(J22)</f>
        <v>4.5359999999999998E-2</v>
      </c>
      <c r="L23" s="248">
        <v>0.92</v>
      </c>
      <c r="M23" s="247">
        <f>K23/L23</f>
        <v>4.9304347826086954E-2</v>
      </c>
      <c r="N23" s="1032" t="s">
        <v>1199</v>
      </c>
      <c r="O23" s="1032"/>
      <c r="P23" s="1032"/>
      <c r="Q23" s="248"/>
      <c r="R23" s="247">
        <f>SUM(R21:R21)</f>
        <v>0</v>
      </c>
      <c r="S23" s="248">
        <v>0.92</v>
      </c>
      <c r="T23" s="249">
        <f>R23/S23</f>
        <v>0</v>
      </c>
    </row>
    <row r="24" spans="1:20" ht="15" customHeight="1" x14ac:dyDescent="0.25">
      <c r="A24" s="211" t="str">
        <f>Итоговая!C392</f>
        <v xml:space="preserve">ПС 35/10 кВ Пень  </v>
      </c>
      <c r="B24" s="234">
        <f>Итоговая!D392</f>
        <v>1.6</v>
      </c>
      <c r="C24" s="254"/>
      <c r="D24" s="254"/>
      <c r="E24" s="254"/>
      <c r="F24" s="255"/>
      <c r="G24" s="1161" t="s">
        <v>18842</v>
      </c>
      <c r="H24" s="1161"/>
      <c r="I24" s="1161"/>
      <c r="J24" s="1161"/>
      <c r="K24" s="1161"/>
      <c r="L24" s="1161"/>
      <c r="M24" s="1161"/>
      <c r="N24" s="215"/>
      <c r="O24" s="215"/>
      <c r="P24" s="215"/>
      <c r="Q24" s="215"/>
      <c r="R24" s="216"/>
      <c r="S24" s="215"/>
      <c r="T24" s="217"/>
    </row>
    <row r="25" spans="1:20" ht="15" customHeight="1" x14ac:dyDescent="0.25">
      <c r="A25" s="218"/>
      <c r="B25" s="237"/>
      <c r="C25" s="256"/>
      <c r="D25" s="256"/>
      <c r="E25" s="256"/>
      <c r="F25" s="257"/>
      <c r="G25" s="1157" t="s">
        <v>2262</v>
      </c>
      <c r="H25" s="1157"/>
      <c r="I25" s="1157"/>
      <c r="J25" s="994">
        <f>0.055*0.9*0.6</f>
        <v>2.9700000000000001E-2</v>
      </c>
      <c r="K25" s="995"/>
      <c r="L25" s="727"/>
      <c r="M25" s="519"/>
      <c r="N25" s="223"/>
      <c r="O25" s="223"/>
      <c r="P25" s="223"/>
      <c r="Q25" s="223"/>
      <c r="R25" s="224"/>
      <c r="S25" s="223"/>
      <c r="T25" s="225"/>
    </row>
    <row r="26" spans="1:20" ht="15" customHeight="1" thickBot="1" x14ac:dyDescent="0.3">
      <c r="A26" s="242"/>
      <c r="B26" s="243"/>
      <c r="C26" s="244"/>
      <c r="D26" s="244"/>
      <c r="E26" s="244"/>
      <c r="F26" s="245"/>
      <c r="G26" s="1032" t="s">
        <v>1199</v>
      </c>
      <c r="H26" s="1032"/>
      <c r="I26" s="1032"/>
      <c r="J26" s="246"/>
      <c r="K26" s="247">
        <f>SUM(J25)</f>
        <v>2.9700000000000001E-2</v>
      </c>
      <c r="L26" s="248">
        <v>0.92</v>
      </c>
      <c r="M26" s="247">
        <f>K26/L26</f>
        <v>3.2282608695652172E-2</v>
      </c>
      <c r="N26" s="1032" t="s">
        <v>1199</v>
      </c>
      <c r="O26" s="1032"/>
      <c r="P26" s="1032"/>
      <c r="Q26" s="248"/>
      <c r="R26" s="247">
        <f>SUM(R24:R24)</f>
        <v>0</v>
      </c>
      <c r="S26" s="248">
        <v>0.92</v>
      </c>
      <c r="T26" s="249">
        <f>R26/S26</f>
        <v>0</v>
      </c>
    </row>
    <row r="27" spans="1:20" ht="15" customHeight="1" x14ac:dyDescent="0.25">
      <c r="A27" s="211" t="str">
        <f>Итоговая!C393</f>
        <v xml:space="preserve">ПС 35/10 кВ Печниково </v>
      </c>
      <c r="B27" s="234">
        <f>Итоговая!D393</f>
        <v>2.5</v>
      </c>
      <c r="C27" s="254"/>
      <c r="D27" s="254"/>
      <c r="E27" s="254"/>
      <c r="F27" s="255"/>
      <c r="G27" s="1162" t="s">
        <v>2011</v>
      </c>
      <c r="H27" s="1162"/>
      <c r="I27" s="1162"/>
      <c r="J27" s="1162"/>
      <c r="K27" s="1162"/>
      <c r="L27" s="1162"/>
      <c r="M27" s="1162"/>
      <c r="N27" s="215"/>
      <c r="O27" s="215"/>
      <c r="P27" s="215"/>
      <c r="Q27" s="215"/>
      <c r="R27" s="216"/>
      <c r="S27" s="215"/>
      <c r="T27" s="217"/>
    </row>
    <row r="28" spans="1:20" ht="15" customHeight="1" x14ac:dyDescent="0.25">
      <c r="A28" s="218"/>
      <c r="B28" s="258"/>
      <c r="C28" s="256"/>
      <c r="D28" s="256"/>
      <c r="E28" s="256"/>
      <c r="F28" s="257"/>
      <c r="G28" s="206" t="s">
        <v>2060</v>
      </c>
      <c r="H28" s="206" t="s">
        <v>2061</v>
      </c>
      <c r="I28" s="206" t="s">
        <v>2062</v>
      </c>
      <c r="J28" s="205"/>
      <c r="K28" s="205">
        <v>0.06</v>
      </c>
      <c r="L28" s="206"/>
      <c r="M28" s="240"/>
      <c r="N28" s="206"/>
      <c r="O28" s="206"/>
      <c r="P28" s="206"/>
      <c r="Q28" s="206"/>
      <c r="R28" s="205"/>
      <c r="S28" s="206"/>
      <c r="T28" s="241"/>
    </row>
    <row r="29" spans="1:20" ht="15" customHeight="1" x14ac:dyDescent="0.25">
      <c r="A29" s="218"/>
      <c r="B29" s="258"/>
      <c r="C29" s="256"/>
      <c r="D29" s="256"/>
      <c r="E29" s="256"/>
      <c r="F29" s="257"/>
      <c r="G29" s="1161" t="s">
        <v>18842</v>
      </c>
      <c r="H29" s="1161"/>
      <c r="I29" s="1161"/>
      <c r="J29" s="1161"/>
      <c r="K29" s="1161"/>
      <c r="L29" s="1161"/>
      <c r="M29" s="1161"/>
      <c r="N29" s="232"/>
      <c r="O29" s="232"/>
      <c r="P29" s="232"/>
      <c r="Q29" s="232"/>
      <c r="R29" s="230"/>
      <c r="S29" s="232"/>
      <c r="T29" s="259"/>
    </row>
    <row r="30" spans="1:20" ht="15" customHeight="1" x14ac:dyDescent="0.25">
      <c r="A30" s="218"/>
      <c r="B30" s="258"/>
      <c r="C30" s="256"/>
      <c r="D30" s="256"/>
      <c r="E30" s="256"/>
      <c r="F30" s="257"/>
      <c r="G30" s="232" t="s">
        <v>19007</v>
      </c>
      <c r="H30" s="232" t="s">
        <v>19008</v>
      </c>
      <c r="I30" s="232">
        <v>41115106</v>
      </c>
      <c r="J30" s="230">
        <f>0.14*0.75</f>
        <v>0.10500000000000001</v>
      </c>
      <c r="K30" s="230"/>
      <c r="L30" s="232"/>
      <c r="M30" s="260"/>
      <c r="N30" s="232"/>
      <c r="O30" s="232"/>
      <c r="P30" s="232"/>
      <c r="Q30" s="232"/>
      <c r="R30" s="230"/>
      <c r="S30" s="232"/>
      <c r="T30" s="259"/>
    </row>
    <row r="31" spans="1:20" ht="15" customHeight="1" thickBot="1" x14ac:dyDescent="0.3">
      <c r="A31" s="242"/>
      <c r="B31" s="243"/>
      <c r="C31" s="244"/>
      <c r="D31" s="244"/>
      <c r="E31" s="244"/>
      <c r="F31" s="245"/>
      <c r="G31" s="1032" t="s">
        <v>1199</v>
      </c>
      <c r="H31" s="1032"/>
      <c r="I31" s="1032"/>
      <c r="J31" s="246"/>
      <c r="K31" s="247">
        <f>SUM(J30:K30)</f>
        <v>0.10500000000000001</v>
      </c>
      <c r="L31" s="248">
        <v>0.92</v>
      </c>
      <c r="M31" s="247">
        <f>K31/L31</f>
        <v>0.1141304347826087</v>
      </c>
      <c r="N31" s="1032" t="s">
        <v>1199</v>
      </c>
      <c r="O31" s="1032"/>
      <c r="P31" s="1032"/>
      <c r="Q31" s="248"/>
      <c r="R31" s="247">
        <f>SUM(R27:R28)</f>
        <v>0</v>
      </c>
      <c r="S31" s="248">
        <v>0.92</v>
      </c>
      <c r="T31" s="249">
        <f>R31/S31</f>
        <v>0</v>
      </c>
    </row>
    <row r="32" spans="1:20" ht="15" customHeight="1" x14ac:dyDescent="0.25">
      <c r="A32" s="218" t="str">
        <f>Итоговая!C394</f>
        <v xml:space="preserve">ПС 35/10 кВ Максимково </v>
      </c>
      <c r="B32" s="237">
        <f>Итоговая!D394</f>
        <v>2.5</v>
      </c>
      <c r="C32" s="220"/>
      <c r="D32" s="220"/>
      <c r="E32" s="220"/>
      <c r="F32" s="221"/>
      <c r="G32" s="1161" t="s">
        <v>18842</v>
      </c>
      <c r="H32" s="1161"/>
      <c r="I32" s="1161"/>
      <c r="J32" s="1161"/>
      <c r="K32" s="1161"/>
      <c r="L32" s="1161"/>
      <c r="M32" s="1161"/>
      <c r="N32" s="250"/>
      <c r="O32" s="250"/>
      <c r="P32" s="250"/>
      <c r="Q32" s="250"/>
      <c r="R32" s="251"/>
      <c r="S32" s="250"/>
      <c r="T32" s="253"/>
    </row>
    <row r="33" spans="1:20" ht="15" customHeight="1" x14ac:dyDescent="0.25">
      <c r="A33" s="218"/>
      <c r="B33" s="237"/>
      <c r="C33" s="220"/>
      <c r="D33" s="220"/>
      <c r="E33" s="220"/>
      <c r="F33" s="221"/>
      <c r="G33" s="1157" t="s">
        <v>2262</v>
      </c>
      <c r="H33" s="1157"/>
      <c r="I33" s="1157"/>
      <c r="J33" s="994">
        <f>0.05*0.9*0.6</f>
        <v>2.7000000000000003E-2</v>
      </c>
      <c r="K33" s="995"/>
      <c r="L33" s="727"/>
      <c r="M33" s="519"/>
      <c r="N33" s="223"/>
      <c r="O33" s="223"/>
      <c r="P33" s="223"/>
      <c r="Q33" s="223"/>
      <c r="R33" s="224"/>
      <c r="S33" s="223"/>
      <c r="T33" s="225"/>
    </row>
    <row r="34" spans="1:20" ht="15" customHeight="1" thickBot="1" x14ac:dyDescent="0.3">
      <c r="A34" s="226"/>
      <c r="B34" s="227"/>
      <c r="C34" s="228"/>
      <c r="D34" s="228"/>
      <c r="E34" s="228"/>
      <c r="F34" s="229"/>
      <c r="G34" s="1007" t="s">
        <v>1199</v>
      </c>
      <c r="H34" s="1007"/>
      <c r="I34" s="1007"/>
      <c r="J34" s="230"/>
      <c r="K34" s="231">
        <f>SUM(J33)</f>
        <v>2.7000000000000003E-2</v>
      </c>
      <c r="L34" s="232">
        <v>0.92</v>
      </c>
      <c r="M34" s="231">
        <f>K34/L34</f>
        <v>2.9347826086956522E-2</v>
      </c>
      <c r="N34" s="1007" t="s">
        <v>1199</v>
      </c>
      <c r="O34" s="1007"/>
      <c r="P34" s="1007"/>
      <c r="Q34" s="232"/>
      <c r="R34" s="231">
        <f>SUM(R32:R32)</f>
        <v>0</v>
      </c>
      <c r="S34" s="232">
        <v>0.92</v>
      </c>
      <c r="T34" s="233">
        <f>R34/S34</f>
        <v>0</v>
      </c>
    </row>
    <row r="35" spans="1:20" ht="15" customHeight="1" x14ac:dyDescent="0.25">
      <c r="A35" s="737" t="str">
        <f>Итоговая!C395</f>
        <v xml:space="preserve">ПС 35/10 кВ Филистово </v>
      </c>
      <c r="B35" s="734">
        <f>Итоговая!D395</f>
        <v>1.6</v>
      </c>
      <c r="C35" s="213"/>
      <c r="D35" s="213"/>
      <c r="E35" s="213"/>
      <c r="F35" s="214"/>
      <c r="G35" s="992" t="s">
        <v>18842</v>
      </c>
      <c r="H35" s="992"/>
      <c r="I35" s="992"/>
      <c r="J35" s="992"/>
      <c r="K35" s="992"/>
      <c r="L35" s="992"/>
      <c r="M35" s="992"/>
      <c r="N35" s="215"/>
      <c r="O35" s="215"/>
      <c r="P35" s="215"/>
      <c r="Q35" s="215"/>
      <c r="R35" s="216"/>
      <c r="S35" s="215"/>
      <c r="T35" s="217"/>
    </row>
    <row r="36" spans="1:20" ht="15" customHeight="1" x14ac:dyDescent="0.25">
      <c r="A36" s="738"/>
      <c r="B36" s="735"/>
      <c r="C36" s="220"/>
      <c r="D36" s="220"/>
      <c r="E36" s="220"/>
      <c r="F36" s="221"/>
      <c r="G36" s="1157" t="s">
        <v>2262</v>
      </c>
      <c r="H36" s="1157"/>
      <c r="I36" s="1157"/>
      <c r="J36" s="994">
        <f>0.005*0.9</f>
        <v>4.5000000000000005E-3</v>
      </c>
      <c r="K36" s="995"/>
      <c r="L36" s="727"/>
      <c r="M36" s="519"/>
      <c r="N36" s="223"/>
      <c r="O36" s="223"/>
      <c r="P36" s="223"/>
      <c r="Q36" s="223"/>
      <c r="R36" s="224"/>
      <c r="S36" s="223"/>
      <c r="T36" s="225"/>
    </row>
    <row r="37" spans="1:20" ht="15" customHeight="1" thickBot="1" x14ac:dyDescent="0.3">
      <c r="A37" s="242"/>
      <c r="B37" s="745"/>
      <c r="C37" s="746"/>
      <c r="D37" s="746"/>
      <c r="E37" s="746"/>
      <c r="F37" s="245"/>
      <c r="G37" s="1032" t="s">
        <v>1199</v>
      </c>
      <c r="H37" s="1032"/>
      <c r="I37" s="1032"/>
      <c r="J37" s="726"/>
      <c r="K37" s="247">
        <f>SUM(K35:K36)</f>
        <v>0</v>
      </c>
      <c r="L37" s="723">
        <v>0.92</v>
      </c>
      <c r="M37" s="247">
        <f>K37/L37</f>
        <v>0</v>
      </c>
      <c r="N37" s="1032" t="s">
        <v>1199</v>
      </c>
      <c r="O37" s="1032"/>
      <c r="P37" s="1032"/>
      <c r="Q37" s="723"/>
      <c r="R37" s="247">
        <f>SUM(R35:R35)</f>
        <v>0</v>
      </c>
      <c r="S37" s="723">
        <v>0.92</v>
      </c>
      <c r="T37" s="249">
        <f>R37/S37</f>
        <v>0</v>
      </c>
    </row>
    <row r="38" spans="1:20" ht="15" customHeight="1" x14ac:dyDescent="0.25">
      <c r="A38" s="211" t="str">
        <f>Итоговая!C396</f>
        <v xml:space="preserve">ПС 35/10 кВ Оковцы  </v>
      </c>
      <c r="B38" s="234">
        <f>Итоговая!D396</f>
        <v>1</v>
      </c>
      <c r="C38" s="213"/>
      <c r="D38" s="213"/>
      <c r="E38" s="213"/>
      <c r="F38" s="214"/>
      <c r="G38" s="1161" t="s">
        <v>18842</v>
      </c>
      <c r="H38" s="1161"/>
      <c r="I38" s="1161"/>
      <c r="J38" s="1161"/>
      <c r="K38" s="1161"/>
      <c r="L38" s="1161"/>
      <c r="M38" s="1161"/>
      <c r="N38" s="215"/>
      <c r="O38" s="215"/>
      <c r="P38" s="215"/>
      <c r="Q38" s="215"/>
      <c r="R38" s="216"/>
      <c r="S38" s="215"/>
      <c r="T38" s="217"/>
    </row>
    <row r="39" spans="1:20" ht="15" customHeight="1" x14ac:dyDescent="0.25">
      <c r="A39" s="218"/>
      <c r="B39" s="237"/>
      <c r="C39" s="220"/>
      <c r="D39" s="220"/>
      <c r="E39" s="220"/>
      <c r="F39" s="221"/>
      <c r="G39" s="1157" t="s">
        <v>2262</v>
      </c>
      <c r="H39" s="1157"/>
      <c r="I39" s="1157"/>
      <c r="J39" s="994">
        <f>0.025*0.9</f>
        <v>2.2500000000000003E-2</v>
      </c>
      <c r="K39" s="995"/>
      <c r="L39" s="727"/>
      <c r="M39" s="519"/>
      <c r="N39" s="223"/>
      <c r="O39" s="223"/>
      <c r="P39" s="223"/>
      <c r="Q39" s="223"/>
      <c r="R39" s="224"/>
      <c r="S39" s="223"/>
      <c r="T39" s="225"/>
    </row>
    <row r="40" spans="1:20" ht="15" customHeight="1" thickBot="1" x14ac:dyDescent="0.3">
      <c r="A40" s="242"/>
      <c r="B40" s="243"/>
      <c r="C40" s="244"/>
      <c r="D40" s="244"/>
      <c r="E40" s="244"/>
      <c r="F40" s="245"/>
      <c r="G40" s="1032" t="s">
        <v>1199</v>
      </c>
      <c r="H40" s="1032"/>
      <c r="I40" s="1032"/>
      <c r="J40" s="246"/>
      <c r="K40" s="247">
        <f>SUM(J39)</f>
        <v>2.2500000000000003E-2</v>
      </c>
      <c r="L40" s="248">
        <v>0.92</v>
      </c>
      <c r="M40" s="247">
        <f>K40/L40</f>
        <v>2.4456521739130436E-2</v>
      </c>
      <c r="N40" s="1032" t="s">
        <v>1199</v>
      </c>
      <c r="O40" s="1032"/>
      <c r="P40" s="1032"/>
      <c r="Q40" s="248"/>
      <c r="R40" s="247">
        <f>SUM(R38:R38)</f>
        <v>0</v>
      </c>
      <c r="S40" s="248">
        <v>0.92</v>
      </c>
      <c r="T40" s="249">
        <f>R40/S40</f>
        <v>0</v>
      </c>
    </row>
    <row r="41" spans="1:20" ht="15" customHeight="1" x14ac:dyDescent="0.25">
      <c r="A41" s="1116" t="str">
        <f>Итоговая!C397</f>
        <v xml:space="preserve">ПС 35/10 кВ Селигер  </v>
      </c>
      <c r="B41" s="1113">
        <f>Итоговая!D397</f>
        <v>6.3</v>
      </c>
      <c r="C41" s="1109"/>
      <c r="D41" s="1109"/>
      <c r="E41" s="1109"/>
      <c r="F41" s="1118"/>
      <c r="G41" s="992" t="s">
        <v>1288</v>
      </c>
      <c r="H41" s="992"/>
      <c r="I41" s="992"/>
      <c r="J41" s="992"/>
      <c r="K41" s="992"/>
      <c r="L41" s="992"/>
      <c r="M41" s="992"/>
      <c r="N41" s="992" t="s">
        <v>1288</v>
      </c>
      <c r="O41" s="992"/>
      <c r="P41" s="992"/>
      <c r="Q41" s="992"/>
      <c r="R41" s="992"/>
      <c r="S41" s="992"/>
      <c r="T41" s="992"/>
    </row>
    <row r="42" spans="1:20" ht="15" customHeight="1" x14ac:dyDescent="0.25">
      <c r="A42" s="1117"/>
      <c r="B42" s="1114"/>
      <c r="C42" s="1110"/>
      <c r="D42" s="1110"/>
      <c r="E42" s="1110"/>
      <c r="F42" s="1119"/>
      <c r="G42" s="206" t="s">
        <v>1019</v>
      </c>
      <c r="H42" s="206" t="s">
        <v>1020</v>
      </c>
      <c r="I42" s="261" t="s">
        <v>1021</v>
      </c>
      <c r="J42" s="262"/>
      <c r="K42" s="205">
        <v>1</v>
      </c>
      <c r="L42" s="206"/>
      <c r="M42" s="240"/>
      <c r="N42" s="724" t="s">
        <v>1022</v>
      </c>
      <c r="O42" s="724" t="s">
        <v>1023</v>
      </c>
      <c r="P42" s="724" t="s">
        <v>1024</v>
      </c>
      <c r="Q42" s="205"/>
      <c r="R42" s="205">
        <v>0.04</v>
      </c>
      <c r="S42" s="724"/>
      <c r="T42" s="519"/>
    </row>
    <row r="43" spans="1:20" ht="15" customHeight="1" x14ac:dyDescent="0.25">
      <c r="A43" s="218"/>
      <c r="B43" s="219"/>
      <c r="C43" s="220"/>
      <c r="D43" s="220"/>
      <c r="E43" s="220"/>
      <c r="F43" s="221"/>
      <c r="G43" s="206" t="s">
        <v>1028</v>
      </c>
      <c r="H43" s="206" t="s">
        <v>1029</v>
      </c>
      <c r="I43" s="206" t="s">
        <v>1030</v>
      </c>
      <c r="J43" s="205"/>
      <c r="K43" s="205">
        <v>0.1</v>
      </c>
      <c r="L43" s="206"/>
      <c r="M43" s="240"/>
      <c r="N43" s="1161" t="s">
        <v>1645</v>
      </c>
      <c r="O43" s="1161"/>
      <c r="P43" s="1161"/>
      <c r="Q43" s="1161"/>
      <c r="R43" s="1161"/>
      <c r="S43" s="1161"/>
      <c r="T43" s="1161"/>
    </row>
    <row r="44" spans="1:20" ht="15" customHeight="1" x14ac:dyDescent="0.25">
      <c r="A44" s="218"/>
      <c r="B44" s="219"/>
      <c r="C44" s="220"/>
      <c r="D44" s="220"/>
      <c r="E44" s="220"/>
      <c r="F44" s="221"/>
      <c r="G44" s="206"/>
      <c r="H44" s="206"/>
      <c r="I44" s="206"/>
      <c r="J44" s="205"/>
      <c r="K44" s="205"/>
      <c r="L44" s="206"/>
      <c r="M44" s="240"/>
      <c r="N44" s="724" t="s">
        <v>1733</v>
      </c>
      <c r="O44" s="724" t="s">
        <v>1734</v>
      </c>
      <c r="P44" s="724" t="s">
        <v>1823</v>
      </c>
      <c r="Q44" s="724"/>
      <c r="R44" s="205">
        <v>0.15</v>
      </c>
      <c r="S44" s="727"/>
      <c r="T44" s="241"/>
    </row>
    <row r="45" spans="1:20" ht="15" customHeight="1" x14ac:dyDescent="0.25">
      <c r="A45" s="218"/>
      <c r="B45" s="219"/>
      <c r="C45" s="220"/>
      <c r="D45" s="220"/>
      <c r="E45" s="220"/>
      <c r="F45" s="221"/>
      <c r="G45" s="1161" t="s">
        <v>1287</v>
      </c>
      <c r="H45" s="1161"/>
      <c r="I45" s="1161"/>
      <c r="J45" s="1161"/>
      <c r="K45" s="1161"/>
      <c r="L45" s="1161"/>
      <c r="M45" s="1161"/>
      <c r="N45" s="1053"/>
      <c r="O45" s="1053"/>
      <c r="P45" s="1053"/>
      <c r="Q45" s="1053"/>
      <c r="R45" s="1053"/>
      <c r="S45" s="1053"/>
      <c r="T45" s="1075"/>
    </row>
    <row r="46" spans="1:20" ht="15" customHeight="1" x14ac:dyDescent="0.25">
      <c r="A46" s="218"/>
      <c r="B46" s="219"/>
      <c r="C46" s="220"/>
      <c r="D46" s="220"/>
      <c r="E46" s="220"/>
      <c r="F46" s="221"/>
      <c r="G46" s="206" t="s">
        <v>1025</v>
      </c>
      <c r="H46" s="206" t="s">
        <v>1026</v>
      </c>
      <c r="I46" s="206" t="s">
        <v>1027</v>
      </c>
      <c r="J46" s="205"/>
      <c r="K46" s="205">
        <v>0.04</v>
      </c>
      <c r="L46" s="206"/>
      <c r="M46" s="240"/>
      <c r="N46" s="263"/>
      <c r="O46" s="263"/>
      <c r="P46" s="263"/>
      <c r="Q46" s="263"/>
      <c r="R46" s="240"/>
      <c r="S46" s="263"/>
      <c r="T46" s="241"/>
    </row>
    <row r="47" spans="1:20" ht="15" customHeight="1" x14ac:dyDescent="0.25">
      <c r="A47" s="218"/>
      <c r="B47" s="219"/>
      <c r="C47" s="220"/>
      <c r="D47" s="220"/>
      <c r="E47" s="220"/>
      <c r="F47" s="221"/>
      <c r="G47" s="206" t="s">
        <v>1031</v>
      </c>
      <c r="H47" s="206" t="s">
        <v>1032</v>
      </c>
      <c r="I47" s="206" t="s">
        <v>1033</v>
      </c>
      <c r="J47" s="205"/>
      <c r="K47" s="205">
        <v>0.04</v>
      </c>
      <c r="L47" s="206"/>
      <c r="M47" s="240"/>
      <c r="N47" s="263"/>
      <c r="O47" s="263"/>
      <c r="P47" s="263"/>
      <c r="Q47" s="263"/>
      <c r="R47" s="240"/>
      <c r="S47" s="263"/>
      <c r="T47" s="241"/>
    </row>
    <row r="48" spans="1:20" ht="15" customHeight="1" x14ac:dyDescent="0.25">
      <c r="A48" s="218"/>
      <c r="B48" s="219"/>
      <c r="C48" s="220"/>
      <c r="D48" s="220"/>
      <c r="E48" s="220"/>
      <c r="F48" s="221"/>
      <c r="G48" s="206" t="s">
        <v>1034</v>
      </c>
      <c r="H48" s="206" t="s">
        <v>1035</v>
      </c>
      <c r="I48" s="206" t="s">
        <v>1036</v>
      </c>
      <c r="J48" s="205"/>
      <c r="K48" s="205">
        <v>0.04</v>
      </c>
      <c r="L48" s="206"/>
      <c r="M48" s="240"/>
      <c r="N48" s="263"/>
      <c r="O48" s="263"/>
      <c r="P48" s="263"/>
      <c r="Q48" s="263"/>
      <c r="R48" s="240"/>
      <c r="S48" s="263"/>
      <c r="T48" s="241"/>
    </row>
    <row r="49" spans="1:20" ht="15" customHeight="1" x14ac:dyDescent="0.25">
      <c r="A49" s="218"/>
      <c r="B49" s="219"/>
      <c r="C49" s="220"/>
      <c r="D49" s="220"/>
      <c r="E49" s="220"/>
      <c r="F49" s="221"/>
      <c r="G49" s="1161" t="s">
        <v>14978</v>
      </c>
      <c r="H49" s="1161"/>
      <c r="I49" s="1161"/>
      <c r="J49" s="1161"/>
      <c r="K49" s="1161"/>
      <c r="L49" s="1161"/>
      <c r="M49" s="1161"/>
      <c r="N49" s="206"/>
      <c r="O49" s="206"/>
      <c r="P49" s="206"/>
      <c r="Q49" s="206"/>
      <c r="R49" s="205"/>
      <c r="S49" s="206"/>
      <c r="T49" s="241"/>
    </row>
    <row r="50" spans="1:20" ht="15" customHeight="1" x14ac:dyDescent="0.25">
      <c r="A50" s="218"/>
      <c r="B50" s="219"/>
      <c r="C50" s="220"/>
      <c r="D50" s="220"/>
      <c r="E50" s="220"/>
      <c r="F50" s="221"/>
      <c r="G50" s="1157" t="s">
        <v>2262</v>
      </c>
      <c r="H50" s="1157"/>
      <c r="I50" s="1157"/>
      <c r="J50" s="994">
        <f>0.362*0.9*0.6</f>
        <v>0.19547999999999999</v>
      </c>
      <c r="K50" s="995"/>
      <c r="L50" s="727"/>
      <c r="M50" s="519"/>
      <c r="N50" s="206"/>
      <c r="O50" s="206"/>
      <c r="P50" s="206"/>
      <c r="Q50" s="206"/>
      <c r="R50" s="205"/>
      <c r="S50" s="206"/>
      <c r="T50" s="241"/>
    </row>
    <row r="51" spans="1:20" ht="15" customHeight="1" x14ac:dyDescent="0.25">
      <c r="A51" s="218"/>
      <c r="B51" s="219"/>
      <c r="C51" s="220"/>
      <c r="D51" s="220"/>
      <c r="E51" s="220"/>
      <c r="F51" s="221"/>
      <c r="G51" s="263" t="s">
        <v>17643</v>
      </c>
      <c r="H51" s="263" t="s">
        <v>17644</v>
      </c>
      <c r="I51" s="263" t="s">
        <v>17645</v>
      </c>
      <c r="J51" s="240"/>
      <c r="K51" s="240">
        <f>0.1*0.9</f>
        <v>9.0000000000000011E-2</v>
      </c>
      <c r="L51" s="727"/>
      <c r="M51" s="519"/>
      <c r="N51" s="206"/>
      <c r="O51" s="206"/>
      <c r="P51" s="206"/>
      <c r="Q51" s="206"/>
      <c r="R51" s="205"/>
      <c r="S51" s="206"/>
      <c r="T51" s="241"/>
    </row>
    <row r="52" spans="1:20" ht="15" customHeight="1" x14ac:dyDescent="0.25">
      <c r="A52" s="218"/>
      <c r="B52" s="219"/>
      <c r="C52" s="220"/>
      <c r="D52" s="220"/>
      <c r="E52" s="220"/>
      <c r="F52" s="221"/>
      <c r="G52" s="1161" t="s">
        <v>18842</v>
      </c>
      <c r="H52" s="1161"/>
      <c r="I52" s="1161"/>
      <c r="J52" s="1161"/>
      <c r="K52" s="1161"/>
      <c r="L52" s="1161"/>
      <c r="M52" s="1161"/>
      <c r="N52" s="232"/>
      <c r="O52" s="232"/>
      <c r="P52" s="232"/>
      <c r="Q52" s="232"/>
      <c r="R52" s="230"/>
      <c r="S52" s="232"/>
      <c r="T52" s="259"/>
    </row>
    <row r="53" spans="1:20" ht="15" customHeight="1" x14ac:dyDescent="0.25">
      <c r="A53" s="218"/>
      <c r="B53" s="219"/>
      <c r="C53" s="220"/>
      <c r="D53" s="220"/>
      <c r="E53" s="220"/>
      <c r="F53" s="221"/>
      <c r="G53" s="1157" t="s">
        <v>2262</v>
      </c>
      <c r="H53" s="1157"/>
      <c r="I53" s="1157"/>
      <c r="J53" s="994">
        <f>0.512*0.9*0.6</f>
        <v>0.27648</v>
      </c>
      <c r="K53" s="995"/>
      <c r="L53" s="727"/>
      <c r="M53" s="519"/>
      <c r="N53" s="232"/>
      <c r="O53" s="232"/>
      <c r="P53" s="232"/>
      <c r="Q53" s="232"/>
      <c r="R53" s="230"/>
      <c r="S53" s="232"/>
      <c r="T53" s="259"/>
    </row>
    <row r="54" spans="1:20" ht="15" customHeight="1" thickBot="1" x14ac:dyDescent="0.3">
      <c r="A54" s="242"/>
      <c r="B54" s="243"/>
      <c r="C54" s="244"/>
      <c r="D54" s="244"/>
      <c r="E54" s="244"/>
      <c r="F54" s="245"/>
      <c r="G54" s="1032" t="s">
        <v>1199</v>
      </c>
      <c r="H54" s="1032"/>
      <c r="I54" s="1032"/>
      <c r="J54" s="246"/>
      <c r="K54" s="247">
        <f>SUM(J50:K53)</f>
        <v>0.56196000000000002</v>
      </c>
      <c r="L54" s="248">
        <v>0.92</v>
      </c>
      <c r="M54" s="247">
        <f>K54/L54</f>
        <v>0.61082608695652174</v>
      </c>
      <c r="N54" s="1032" t="s">
        <v>1199</v>
      </c>
      <c r="O54" s="1032"/>
      <c r="P54" s="1032"/>
      <c r="Q54" s="248"/>
      <c r="R54" s="247">
        <f>SUM(R42:R48)</f>
        <v>0.19</v>
      </c>
      <c r="S54" s="248">
        <v>0.92</v>
      </c>
      <c r="T54" s="249">
        <f>R54/S54</f>
        <v>0.20652173913043478</v>
      </c>
    </row>
    <row r="55" spans="1:20" ht="15" customHeight="1" x14ac:dyDescent="0.25">
      <c r="A55" s="211" t="str">
        <f>Итоговая!C398</f>
        <v xml:space="preserve">ПС 35/10 кВ Мошары  </v>
      </c>
      <c r="B55" s="234">
        <f>Итоговая!D398</f>
        <v>1.6</v>
      </c>
      <c r="C55" s="254"/>
      <c r="D55" s="254"/>
      <c r="E55" s="254"/>
      <c r="F55" s="255"/>
      <c r="G55" s="215"/>
      <c r="H55" s="215"/>
      <c r="I55" s="215"/>
      <c r="J55" s="216"/>
      <c r="K55" s="216"/>
      <c r="L55" s="215"/>
      <c r="M55" s="264"/>
      <c r="N55" s="215"/>
      <c r="O55" s="215"/>
      <c r="P55" s="215"/>
      <c r="Q55" s="215"/>
      <c r="R55" s="216"/>
      <c r="S55" s="215"/>
      <c r="T55" s="217"/>
    </row>
    <row r="56" spans="1:20" ht="15" customHeight="1" thickBot="1" x14ac:dyDescent="0.3">
      <c r="A56" s="242"/>
      <c r="B56" s="243"/>
      <c r="C56" s="244"/>
      <c r="D56" s="244"/>
      <c r="E56" s="244"/>
      <c r="F56" s="245"/>
      <c r="G56" s="1032" t="s">
        <v>1199</v>
      </c>
      <c r="H56" s="1032"/>
      <c r="I56" s="1032"/>
      <c r="J56" s="246"/>
      <c r="K56" s="247">
        <f>SUM(K55:K55)</f>
        <v>0</v>
      </c>
      <c r="L56" s="248">
        <v>0.92</v>
      </c>
      <c r="M56" s="247">
        <f>K56/L56</f>
        <v>0</v>
      </c>
      <c r="N56" s="1032" t="s">
        <v>1199</v>
      </c>
      <c r="O56" s="1032"/>
      <c r="P56" s="1032"/>
      <c r="Q56" s="248"/>
      <c r="R56" s="247">
        <f>SUM(R55:R55)</f>
        <v>0</v>
      </c>
      <c r="S56" s="248">
        <v>0.92</v>
      </c>
      <c r="T56" s="249">
        <f>R56/S56</f>
        <v>0</v>
      </c>
    </row>
    <row r="57" spans="1:20" ht="15" customHeight="1" x14ac:dyDescent="0.25">
      <c r="A57" s="211" t="str">
        <f>Итоговая!C399</f>
        <v xml:space="preserve">ПС  35/10 кВ Ворошилово </v>
      </c>
      <c r="B57" s="234">
        <f>Итоговая!D399</f>
        <v>2.5</v>
      </c>
      <c r="C57" s="254"/>
      <c r="D57" s="254"/>
      <c r="E57" s="254"/>
      <c r="F57" s="255"/>
      <c r="G57" s="1161" t="s">
        <v>18842</v>
      </c>
      <c r="H57" s="1161"/>
      <c r="I57" s="1161"/>
      <c r="J57" s="1161"/>
      <c r="K57" s="1161"/>
      <c r="L57" s="1161"/>
      <c r="M57" s="1161"/>
      <c r="N57" s="215"/>
      <c r="O57" s="215"/>
      <c r="P57" s="215"/>
      <c r="Q57" s="215"/>
      <c r="R57" s="216"/>
      <c r="S57" s="215"/>
      <c r="T57" s="217"/>
    </row>
    <row r="58" spans="1:20" ht="15" customHeight="1" x14ac:dyDescent="0.25">
      <c r="A58" s="218"/>
      <c r="B58" s="237"/>
      <c r="C58" s="256"/>
      <c r="D58" s="256"/>
      <c r="E58" s="256"/>
      <c r="F58" s="257"/>
      <c r="G58" s="265" t="s">
        <v>18965</v>
      </c>
      <c r="H58" s="266" t="s">
        <v>18966</v>
      </c>
      <c r="I58" s="265">
        <v>41077179</v>
      </c>
      <c r="J58" s="268">
        <f>0.035*0.75</f>
        <v>2.6250000000000002E-2</v>
      </c>
      <c r="K58" s="268"/>
      <c r="L58" s="261"/>
      <c r="M58" s="261"/>
      <c r="N58" s="250"/>
      <c r="O58" s="250"/>
      <c r="P58" s="250"/>
      <c r="Q58" s="250"/>
      <c r="R58" s="251"/>
      <c r="S58" s="250"/>
      <c r="T58" s="253"/>
    </row>
    <row r="59" spans="1:20" ht="15" customHeight="1" x14ac:dyDescent="0.25">
      <c r="A59" s="218"/>
      <c r="B59" s="258"/>
      <c r="C59" s="256"/>
      <c r="D59" s="256"/>
      <c r="E59" s="256"/>
      <c r="F59" s="257"/>
      <c r="G59" s="1157" t="s">
        <v>2262</v>
      </c>
      <c r="H59" s="1157"/>
      <c r="I59" s="1157"/>
      <c r="J59" s="994">
        <f>0.03*0.9*0.6</f>
        <v>1.6199999999999999E-2</v>
      </c>
      <c r="K59" s="995"/>
      <c r="L59" s="727"/>
      <c r="M59" s="519"/>
      <c r="N59" s="206"/>
      <c r="O59" s="206"/>
      <c r="P59" s="206"/>
      <c r="Q59" s="206"/>
      <c r="R59" s="205"/>
      <c r="S59" s="206"/>
      <c r="T59" s="241"/>
    </row>
    <row r="60" spans="1:20" ht="15" customHeight="1" thickBot="1" x14ac:dyDescent="0.3">
      <c r="A60" s="242"/>
      <c r="B60" s="243"/>
      <c r="C60" s="244"/>
      <c r="D60" s="244"/>
      <c r="E60" s="244"/>
      <c r="F60" s="245"/>
      <c r="G60" s="1032" t="s">
        <v>1199</v>
      </c>
      <c r="H60" s="1032"/>
      <c r="I60" s="1032"/>
      <c r="J60" s="246"/>
      <c r="K60" s="247">
        <f>SUM(J58:K59)</f>
        <v>4.2450000000000002E-2</v>
      </c>
      <c r="L60" s="248">
        <v>0.92</v>
      </c>
      <c r="M60" s="247">
        <f>K60/L60</f>
        <v>4.6141304347826088E-2</v>
      </c>
      <c r="N60" s="1032" t="s">
        <v>1199</v>
      </c>
      <c r="O60" s="1032"/>
      <c r="P60" s="1032"/>
      <c r="Q60" s="248"/>
      <c r="R60" s="247">
        <f>SUM(R57:R59)</f>
        <v>0</v>
      </c>
      <c r="S60" s="248">
        <v>0.92</v>
      </c>
      <c r="T60" s="249">
        <f>R60/S60</f>
        <v>0</v>
      </c>
    </row>
    <row r="61" spans="1:20" ht="15" customHeight="1" x14ac:dyDescent="0.25">
      <c r="A61" s="1116" t="str">
        <f>Итоговая!C400</f>
        <v xml:space="preserve">ПС 35/10 кВ Слаутино   </v>
      </c>
      <c r="B61" s="1245">
        <f>Итоговая!D400</f>
        <v>1.6</v>
      </c>
      <c r="C61" s="1240"/>
      <c r="D61" s="1240"/>
      <c r="E61" s="1240"/>
      <c r="F61" s="1242"/>
      <c r="G61" s="1162" t="s">
        <v>1287</v>
      </c>
      <c r="H61" s="1162"/>
      <c r="I61" s="1162"/>
      <c r="J61" s="1162"/>
      <c r="K61" s="1162"/>
      <c r="L61" s="1162"/>
      <c r="M61" s="1162"/>
      <c r="N61" s="1073"/>
      <c r="O61" s="1073"/>
      <c r="P61" s="1073"/>
      <c r="Q61" s="1073"/>
      <c r="R61" s="1073"/>
      <c r="S61" s="1073"/>
      <c r="T61" s="1074"/>
    </row>
    <row r="62" spans="1:20" ht="15" customHeight="1" x14ac:dyDescent="0.25">
      <c r="A62" s="1117"/>
      <c r="B62" s="1246"/>
      <c r="C62" s="1241"/>
      <c r="D62" s="1241"/>
      <c r="E62" s="1241"/>
      <c r="F62" s="1243"/>
      <c r="G62" s="206" t="s">
        <v>1054</v>
      </c>
      <c r="H62" s="206" t="s">
        <v>1055</v>
      </c>
      <c r="I62" s="206" t="s">
        <v>1056</v>
      </c>
      <c r="J62" s="205"/>
      <c r="K62" s="205">
        <v>0.03</v>
      </c>
      <c r="L62" s="206"/>
      <c r="M62" s="240"/>
      <c r="N62" s="263"/>
      <c r="O62" s="263"/>
      <c r="P62" s="263"/>
      <c r="Q62" s="263"/>
      <c r="R62" s="240"/>
      <c r="S62" s="263"/>
      <c r="T62" s="241"/>
    </row>
    <row r="63" spans="1:20" ht="15" customHeight="1" x14ac:dyDescent="0.25">
      <c r="A63" s="218"/>
      <c r="B63" s="258"/>
      <c r="C63" s="256"/>
      <c r="D63" s="256"/>
      <c r="E63" s="256"/>
      <c r="F63" s="257"/>
      <c r="G63" s="1161" t="s">
        <v>2011</v>
      </c>
      <c r="H63" s="1161"/>
      <c r="I63" s="1161"/>
      <c r="J63" s="1161"/>
      <c r="K63" s="1161"/>
      <c r="L63" s="1161"/>
      <c r="M63" s="1161"/>
      <c r="N63" s="263"/>
      <c r="O63" s="263"/>
      <c r="P63" s="263"/>
      <c r="Q63" s="263"/>
      <c r="R63" s="240"/>
      <c r="S63" s="263"/>
      <c r="T63" s="241"/>
    </row>
    <row r="64" spans="1:20" ht="15" customHeight="1" x14ac:dyDescent="0.25">
      <c r="A64" s="218"/>
      <c r="B64" s="258"/>
      <c r="C64" s="256"/>
      <c r="D64" s="256"/>
      <c r="E64" s="256"/>
      <c r="F64" s="257"/>
      <c r="G64" s="206" t="s">
        <v>2041</v>
      </c>
      <c r="H64" s="206" t="s">
        <v>2042</v>
      </c>
      <c r="I64" s="206" t="s">
        <v>2044</v>
      </c>
      <c r="J64" s="205"/>
      <c r="K64" s="205">
        <f>0.015*0.9</f>
        <v>1.35E-2</v>
      </c>
      <c r="L64" s="206"/>
      <c r="M64" s="240"/>
      <c r="N64" s="263"/>
      <c r="O64" s="263"/>
      <c r="P64" s="263"/>
      <c r="Q64" s="263"/>
      <c r="R64" s="240"/>
      <c r="S64" s="263"/>
      <c r="T64" s="241"/>
    </row>
    <row r="65" spans="1:20" ht="15" customHeight="1" x14ac:dyDescent="0.25">
      <c r="A65" s="218"/>
      <c r="B65" s="258"/>
      <c r="C65" s="256"/>
      <c r="D65" s="256"/>
      <c r="E65" s="256"/>
      <c r="F65" s="257"/>
      <c r="G65" s="1161" t="s">
        <v>14933</v>
      </c>
      <c r="H65" s="1161"/>
      <c r="I65" s="1161"/>
      <c r="J65" s="1161"/>
      <c r="K65" s="1161"/>
      <c r="L65" s="1161"/>
      <c r="M65" s="1161"/>
      <c r="N65" s="263"/>
      <c r="O65" s="263"/>
      <c r="P65" s="263"/>
      <c r="Q65" s="263"/>
      <c r="R65" s="240"/>
      <c r="S65" s="263"/>
      <c r="T65" s="241"/>
    </row>
    <row r="66" spans="1:20" ht="15" customHeight="1" x14ac:dyDescent="0.25">
      <c r="A66" s="218"/>
      <c r="B66" s="258"/>
      <c r="C66" s="256"/>
      <c r="D66" s="256"/>
      <c r="E66" s="256"/>
      <c r="F66" s="257"/>
      <c r="G66" s="1157" t="s">
        <v>2262</v>
      </c>
      <c r="H66" s="1157"/>
      <c r="I66" s="1157"/>
      <c r="J66" s="994">
        <f>0.1508*0.9*0.6</f>
        <v>8.1432000000000004E-2</v>
      </c>
      <c r="K66" s="995"/>
      <c r="L66" s="727"/>
      <c r="M66" s="519"/>
      <c r="N66" s="263"/>
      <c r="O66" s="263"/>
      <c r="P66" s="263"/>
      <c r="Q66" s="263"/>
      <c r="R66" s="240"/>
      <c r="S66" s="263"/>
      <c r="T66" s="241"/>
    </row>
    <row r="67" spans="1:20" ht="15" customHeight="1" x14ac:dyDescent="0.25">
      <c r="A67" s="218"/>
      <c r="B67" s="258"/>
      <c r="C67" s="256"/>
      <c r="D67" s="256"/>
      <c r="E67" s="256"/>
      <c r="F67" s="257"/>
      <c r="G67" s="1161" t="s">
        <v>18842</v>
      </c>
      <c r="H67" s="1161"/>
      <c r="I67" s="1161"/>
      <c r="J67" s="1161"/>
      <c r="K67" s="1161"/>
      <c r="L67" s="1161"/>
      <c r="M67" s="1161"/>
      <c r="N67" s="269"/>
      <c r="O67" s="269"/>
      <c r="P67" s="269"/>
      <c r="Q67" s="269"/>
      <c r="R67" s="260"/>
      <c r="S67" s="269"/>
      <c r="T67" s="259"/>
    </row>
    <row r="68" spans="1:20" ht="15" customHeight="1" x14ac:dyDescent="0.25">
      <c r="A68" s="218"/>
      <c r="B68" s="258"/>
      <c r="C68" s="256"/>
      <c r="D68" s="256"/>
      <c r="E68" s="256"/>
      <c r="F68" s="257"/>
      <c r="G68" s="1157" t="s">
        <v>2262</v>
      </c>
      <c r="H68" s="1157"/>
      <c r="I68" s="1157"/>
      <c r="J68" s="994">
        <f>0.105*0.9*0.6</f>
        <v>5.67E-2</v>
      </c>
      <c r="K68" s="995"/>
      <c r="L68" s="727"/>
      <c r="M68" s="519"/>
      <c r="N68" s="269"/>
      <c r="O68" s="269"/>
      <c r="P68" s="269"/>
      <c r="Q68" s="269"/>
      <c r="R68" s="260"/>
      <c r="S68" s="269"/>
      <c r="T68" s="259"/>
    </row>
    <row r="69" spans="1:20" ht="15" customHeight="1" thickBot="1" x14ac:dyDescent="0.3">
      <c r="A69" s="242"/>
      <c r="B69" s="243"/>
      <c r="C69" s="244"/>
      <c r="D69" s="244"/>
      <c r="E69" s="244"/>
      <c r="F69" s="245"/>
      <c r="G69" s="1032" t="s">
        <v>1199</v>
      </c>
      <c r="H69" s="1032"/>
      <c r="I69" s="1032"/>
      <c r="J69" s="246"/>
      <c r="K69" s="247">
        <f>SUM(J66:K68)</f>
        <v>0.138132</v>
      </c>
      <c r="L69" s="248">
        <v>0.92</v>
      </c>
      <c r="M69" s="247">
        <f>K69/L69</f>
        <v>0.15014347826086957</v>
      </c>
      <c r="N69" s="1032" t="s">
        <v>1199</v>
      </c>
      <c r="O69" s="1032"/>
      <c r="P69" s="1032"/>
      <c r="Q69" s="248"/>
      <c r="R69" s="247">
        <f>SUM(R62:R62)</f>
        <v>0</v>
      </c>
      <c r="S69" s="248">
        <v>0.92</v>
      </c>
      <c r="T69" s="249">
        <f>R69/S69</f>
        <v>0</v>
      </c>
    </row>
    <row r="70" spans="1:20" ht="15" customHeight="1" x14ac:dyDescent="0.25">
      <c r="A70" s="1116" t="str">
        <f>Итоговая!C401</f>
        <v xml:space="preserve">ПС 35/10 кВ Мошки </v>
      </c>
      <c r="B70" s="1113">
        <f>Итоговая!D401</f>
        <v>2.5</v>
      </c>
      <c r="C70" s="1109" t="str">
        <f>Итоговая!E401</f>
        <v>+</v>
      </c>
      <c r="D70" s="1109">
        <f>Итоговая!F401</f>
        <v>1.6</v>
      </c>
      <c r="E70" s="1109"/>
      <c r="F70" s="1118"/>
      <c r="G70" s="1162" t="s">
        <v>1290</v>
      </c>
      <c r="H70" s="1162"/>
      <c r="I70" s="1162"/>
      <c r="J70" s="1162"/>
      <c r="K70" s="1162"/>
      <c r="L70" s="1162"/>
      <c r="M70" s="1162"/>
      <c r="N70" s="1073"/>
      <c r="O70" s="1073"/>
      <c r="P70" s="1073"/>
      <c r="Q70" s="1073"/>
      <c r="R70" s="1073"/>
      <c r="S70" s="1073"/>
      <c r="T70" s="1074"/>
    </row>
    <row r="71" spans="1:20" ht="15" customHeight="1" x14ac:dyDescent="0.25">
      <c r="A71" s="1117"/>
      <c r="B71" s="1114"/>
      <c r="C71" s="1110"/>
      <c r="D71" s="1110"/>
      <c r="E71" s="1110"/>
      <c r="F71" s="1119"/>
      <c r="G71" s="203" t="s">
        <v>577</v>
      </c>
      <c r="H71" s="203" t="s">
        <v>578</v>
      </c>
      <c r="I71" s="206" t="s">
        <v>579</v>
      </c>
      <c r="J71" s="205"/>
      <c r="K71" s="205">
        <v>0.05</v>
      </c>
      <c r="L71" s="206"/>
      <c r="M71" s="240"/>
      <c r="N71" s="203"/>
      <c r="O71" s="203"/>
      <c r="P71" s="263"/>
      <c r="Q71" s="263"/>
      <c r="R71" s="240"/>
      <c r="S71" s="263"/>
      <c r="T71" s="241"/>
    </row>
    <row r="72" spans="1:20" ht="15" customHeight="1" x14ac:dyDescent="0.25">
      <c r="A72" s="1117"/>
      <c r="B72" s="1114"/>
      <c r="C72" s="1110"/>
      <c r="D72" s="1110"/>
      <c r="E72" s="1110"/>
      <c r="F72" s="1119"/>
      <c r="G72" s="1161" t="s">
        <v>1324</v>
      </c>
      <c r="H72" s="1161"/>
      <c r="I72" s="1161"/>
      <c r="J72" s="1161"/>
      <c r="K72" s="1161"/>
      <c r="L72" s="1161"/>
      <c r="M72" s="1161"/>
      <c r="N72" s="203"/>
      <c r="O72" s="203"/>
      <c r="P72" s="263"/>
      <c r="Q72" s="263"/>
      <c r="R72" s="240"/>
      <c r="S72" s="263"/>
      <c r="T72" s="241"/>
    </row>
    <row r="73" spans="1:20" ht="15" customHeight="1" x14ac:dyDescent="0.25">
      <c r="A73" s="1117"/>
      <c r="B73" s="1114"/>
      <c r="C73" s="1110"/>
      <c r="D73" s="1110"/>
      <c r="E73" s="1110"/>
      <c r="F73" s="1119"/>
      <c r="G73" s="206" t="s">
        <v>421</v>
      </c>
      <c r="H73" s="206" t="s">
        <v>580</v>
      </c>
      <c r="I73" s="270">
        <v>40200</v>
      </c>
      <c r="J73" s="205"/>
      <c r="K73" s="205">
        <v>4.2000000000000003E-2</v>
      </c>
      <c r="L73" s="206"/>
      <c r="M73" s="240"/>
      <c r="N73" s="263"/>
      <c r="O73" s="263"/>
      <c r="P73" s="271"/>
      <c r="Q73" s="271"/>
      <c r="R73" s="240"/>
      <c r="S73" s="263"/>
      <c r="T73" s="241"/>
    </row>
    <row r="74" spans="1:20" ht="15" customHeight="1" x14ac:dyDescent="0.25">
      <c r="A74" s="218"/>
      <c r="B74" s="237"/>
      <c r="C74" s="238"/>
      <c r="D74" s="238"/>
      <c r="E74" s="238"/>
      <c r="F74" s="239"/>
      <c r="G74" s="1161" t="s">
        <v>14933</v>
      </c>
      <c r="H74" s="1161"/>
      <c r="I74" s="1161"/>
      <c r="J74" s="1161"/>
      <c r="K74" s="1161"/>
      <c r="L74" s="1161"/>
      <c r="M74" s="1161"/>
      <c r="N74" s="263"/>
      <c r="O74" s="263"/>
      <c r="P74" s="271"/>
      <c r="Q74" s="271"/>
      <c r="R74" s="240"/>
      <c r="S74" s="263"/>
      <c r="T74" s="241"/>
    </row>
    <row r="75" spans="1:20" ht="15" customHeight="1" x14ac:dyDescent="0.25">
      <c r="A75" s="218"/>
      <c r="B75" s="237"/>
      <c r="C75" s="238"/>
      <c r="D75" s="238"/>
      <c r="E75" s="238"/>
      <c r="F75" s="239"/>
      <c r="G75" s="272" t="s">
        <v>13409</v>
      </c>
      <c r="H75" s="272" t="s">
        <v>17397</v>
      </c>
      <c r="I75" s="727" t="s">
        <v>17398</v>
      </c>
      <c r="J75" s="273"/>
      <c r="K75" s="519">
        <f>0.025*0.9</f>
        <v>2.2500000000000003E-2</v>
      </c>
      <c r="L75" s="727"/>
      <c r="M75" s="519"/>
      <c r="N75" s="263"/>
      <c r="O75" s="263"/>
      <c r="P75" s="271"/>
      <c r="Q75" s="271"/>
      <c r="R75" s="240"/>
      <c r="S75" s="263"/>
      <c r="T75" s="241"/>
    </row>
    <row r="76" spans="1:20" ht="15" customHeight="1" x14ac:dyDescent="0.25">
      <c r="A76" s="218"/>
      <c r="B76" s="237"/>
      <c r="C76" s="238"/>
      <c r="D76" s="238"/>
      <c r="E76" s="238"/>
      <c r="F76" s="239"/>
      <c r="G76" s="272" t="s">
        <v>13409</v>
      </c>
      <c r="H76" s="272" t="s">
        <v>17404</v>
      </c>
      <c r="I76" s="727" t="s">
        <v>17405</v>
      </c>
      <c r="J76" s="273"/>
      <c r="K76" s="519">
        <f>0.025*0.9</f>
        <v>2.2500000000000003E-2</v>
      </c>
      <c r="L76" s="727"/>
      <c r="M76" s="519"/>
      <c r="N76" s="263"/>
      <c r="O76" s="263"/>
      <c r="P76" s="271"/>
      <c r="Q76" s="271"/>
      <c r="R76" s="240"/>
      <c r="S76" s="263"/>
      <c r="T76" s="241"/>
    </row>
    <row r="77" spans="1:20" ht="15" customHeight="1" x14ac:dyDescent="0.25">
      <c r="A77" s="218"/>
      <c r="B77" s="237"/>
      <c r="C77" s="238"/>
      <c r="D77" s="238"/>
      <c r="E77" s="238"/>
      <c r="F77" s="239"/>
      <c r="G77" s="1161" t="s">
        <v>18518</v>
      </c>
      <c r="H77" s="1161"/>
      <c r="I77" s="1161"/>
      <c r="J77" s="1161"/>
      <c r="K77" s="1161"/>
      <c r="L77" s="1161"/>
      <c r="M77" s="1161"/>
      <c r="N77" s="269"/>
      <c r="O77" s="269"/>
      <c r="P77" s="274"/>
      <c r="Q77" s="274"/>
      <c r="R77" s="260"/>
      <c r="S77" s="269"/>
      <c r="T77" s="259"/>
    </row>
    <row r="78" spans="1:20" ht="15" customHeight="1" x14ac:dyDescent="0.25">
      <c r="A78" s="218"/>
      <c r="B78" s="237"/>
      <c r="C78" s="238"/>
      <c r="D78" s="238"/>
      <c r="E78" s="238"/>
      <c r="F78" s="239"/>
      <c r="G78" s="275" t="s">
        <v>19264</v>
      </c>
      <c r="H78" s="275" t="s">
        <v>19263</v>
      </c>
      <c r="I78" s="275" t="s">
        <v>19265</v>
      </c>
      <c r="J78" s="252"/>
      <c r="K78" s="252">
        <f>0.065*0.15</f>
        <v>9.75E-3</v>
      </c>
      <c r="L78" s="276"/>
      <c r="M78" s="276"/>
      <c r="N78" s="269"/>
      <c r="O78" s="269"/>
      <c r="P78" s="274"/>
      <c r="Q78" s="274"/>
      <c r="R78" s="260"/>
      <c r="S78" s="269"/>
      <c r="T78" s="259"/>
    </row>
    <row r="79" spans="1:20" ht="15" customHeight="1" x14ac:dyDescent="0.25">
      <c r="A79" s="218"/>
      <c r="B79" s="237"/>
      <c r="C79" s="238"/>
      <c r="D79" s="238"/>
      <c r="E79" s="238"/>
      <c r="F79" s="239"/>
      <c r="G79" s="1157" t="s">
        <v>2262</v>
      </c>
      <c r="H79" s="1157"/>
      <c r="I79" s="1157"/>
      <c r="J79" s="994">
        <f>0.203*0.9*0.6</f>
        <v>0.10962000000000001</v>
      </c>
      <c r="K79" s="995"/>
      <c r="L79" s="269"/>
      <c r="M79" s="260"/>
      <c r="N79" s="269"/>
      <c r="O79" s="269"/>
      <c r="P79" s="274"/>
      <c r="Q79" s="274"/>
      <c r="R79" s="260"/>
      <c r="S79" s="269"/>
      <c r="T79" s="259"/>
    </row>
    <row r="80" spans="1:20" ht="15" customHeight="1" thickBot="1" x14ac:dyDescent="0.3">
      <c r="A80" s="242"/>
      <c r="B80" s="243"/>
      <c r="C80" s="244"/>
      <c r="D80" s="244"/>
      <c r="E80" s="244"/>
      <c r="F80" s="245"/>
      <c r="G80" s="1032" t="s">
        <v>1199</v>
      </c>
      <c r="H80" s="1032"/>
      <c r="I80" s="1032"/>
      <c r="J80" s="246"/>
      <c r="K80" s="247">
        <f>SUM(J75:K79)</f>
        <v>0.16437000000000002</v>
      </c>
      <c r="L80" s="248">
        <v>0.92</v>
      </c>
      <c r="M80" s="247">
        <f>K80/L80</f>
        <v>0.17866304347826087</v>
      </c>
      <c r="N80" s="1032" t="s">
        <v>1199</v>
      </c>
      <c r="O80" s="1032"/>
      <c r="P80" s="1032"/>
      <c r="Q80" s="248"/>
      <c r="R80" s="247">
        <f>SUM(R71:R73)</f>
        <v>0</v>
      </c>
      <c r="S80" s="248">
        <v>0.92</v>
      </c>
      <c r="T80" s="249">
        <f>R80/S80</f>
        <v>0</v>
      </c>
    </row>
    <row r="81" spans="1:20" ht="15" customHeight="1" x14ac:dyDescent="0.25">
      <c r="A81" s="211" t="str">
        <f>Итоговая!C402</f>
        <v xml:space="preserve">ПС 35/10 кВ Высокое  </v>
      </c>
      <c r="B81" s="234">
        <f>Итоговая!D402</f>
        <v>4</v>
      </c>
      <c r="C81" s="235" t="str">
        <f>Итоговая!E402</f>
        <v>+</v>
      </c>
      <c r="D81" s="235">
        <f>Итоговая!F402</f>
        <v>2.5</v>
      </c>
      <c r="E81" s="235"/>
      <c r="F81" s="236"/>
      <c r="G81" s="1162" t="s">
        <v>14933</v>
      </c>
      <c r="H81" s="1162"/>
      <c r="I81" s="1162"/>
      <c r="J81" s="1162"/>
      <c r="K81" s="1162"/>
      <c r="L81" s="1162"/>
      <c r="M81" s="1162"/>
      <c r="N81" s="215"/>
      <c r="O81" s="215"/>
      <c r="P81" s="215"/>
      <c r="Q81" s="215"/>
      <c r="R81" s="216"/>
      <c r="S81" s="215"/>
      <c r="T81" s="217"/>
    </row>
    <row r="82" spans="1:20" ht="15" customHeight="1" x14ac:dyDescent="0.25">
      <c r="A82" s="218"/>
      <c r="B82" s="237"/>
      <c r="C82" s="238"/>
      <c r="D82" s="238"/>
      <c r="E82" s="238"/>
      <c r="F82" s="239"/>
      <c r="G82" s="206" t="s">
        <v>2161</v>
      </c>
      <c r="H82" s="206" t="s">
        <v>14890</v>
      </c>
      <c r="I82" s="263" t="s">
        <v>14944</v>
      </c>
      <c r="J82" s="240"/>
      <c r="K82" s="240">
        <f>0.127*0.9</f>
        <v>0.1143</v>
      </c>
      <c r="L82" s="263"/>
      <c r="M82" s="240"/>
      <c r="N82" s="206"/>
      <c r="O82" s="206"/>
      <c r="P82" s="206"/>
      <c r="Q82" s="206"/>
      <c r="R82" s="205"/>
      <c r="S82" s="206"/>
      <c r="T82" s="241"/>
    </row>
    <row r="83" spans="1:20" ht="15" customHeight="1" x14ac:dyDescent="0.25">
      <c r="A83" s="218"/>
      <c r="B83" s="237"/>
      <c r="C83" s="238"/>
      <c r="D83" s="238"/>
      <c r="E83" s="238"/>
      <c r="F83" s="239"/>
      <c r="G83" s="724" t="s">
        <v>13409</v>
      </c>
      <c r="H83" s="724" t="s">
        <v>17406</v>
      </c>
      <c r="I83" s="727" t="s">
        <v>17407</v>
      </c>
      <c r="J83" s="519"/>
      <c r="K83" s="519">
        <f>0.025*0.9</f>
        <v>2.2500000000000003E-2</v>
      </c>
      <c r="L83" s="727"/>
      <c r="M83" s="519"/>
      <c r="N83" s="206"/>
      <c r="O83" s="206"/>
      <c r="P83" s="206"/>
      <c r="Q83" s="206"/>
      <c r="R83" s="205"/>
      <c r="S83" s="206"/>
      <c r="T83" s="241"/>
    </row>
    <row r="84" spans="1:20" ht="15" customHeight="1" x14ac:dyDescent="0.25">
      <c r="A84" s="218"/>
      <c r="B84" s="237"/>
      <c r="C84" s="238"/>
      <c r="D84" s="238"/>
      <c r="E84" s="238"/>
      <c r="F84" s="239"/>
      <c r="G84" s="1161" t="s">
        <v>18518</v>
      </c>
      <c r="H84" s="1161"/>
      <c r="I84" s="1161"/>
      <c r="J84" s="1161"/>
      <c r="K84" s="1161"/>
      <c r="L84" s="1161"/>
      <c r="M84" s="1161"/>
      <c r="N84" s="232"/>
      <c r="O84" s="232"/>
      <c r="P84" s="232"/>
      <c r="Q84" s="232"/>
      <c r="R84" s="230"/>
      <c r="S84" s="232"/>
      <c r="T84" s="259"/>
    </row>
    <row r="85" spans="1:20" ht="15" customHeight="1" x14ac:dyDescent="0.25">
      <c r="A85" s="218"/>
      <c r="B85" s="237"/>
      <c r="C85" s="238"/>
      <c r="D85" s="238"/>
      <c r="E85" s="238"/>
      <c r="F85" s="239"/>
      <c r="G85" s="1157" t="s">
        <v>2262</v>
      </c>
      <c r="H85" s="1157"/>
      <c r="I85" s="1157"/>
      <c r="J85" s="993">
        <f>0.22*0.9*0.6</f>
        <v>0.1188</v>
      </c>
      <c r="K85" s="993"/>
      <c r="L85" s="727"/>
      <c r="M85" s="519"/>
      <c r="N85" s="232"/>
      <c r="O85" s="232"/>
      <c r="P85" s="232"/>
      <c r="Q85" s="232"/>
      <c r="R85" s="230"/>
      <c r="S85" s="232"/>
      <c r="T85" s="259"/>
    </row>
    <row r="86" spans="1:20" ht="15" customHeight="1" thickBot="1" x14ac:dyDescent="0.3">
      <c r="A86" s="242"/>
      <c r="B86" s="243"/>
      <c r="C86" s="244"/>
      <c r="D86" s="244"/>
      <c r="E86" s="244"/>
      <c r="F86" s="245"/>
      <c r="G86" s="1032" t="s">
        <v>1199</v>
      </c>
      <c r="H86" s="1032"/>
      <c r="I86" s="1032"/>
      <c r="J86" s="246"/>
      <c r="K86" s="247">
        <f>SUM(J82:K85)</f>
        <v>0.25559999999999999</v>
      </c>
      <c r="L86" s="248">
        <v>0.92</v>
      </c>
      <c r="M86" s="247">
        <f>K86/L86</f>
        <v>0.27782608695652172</v>
      </c>
      <c r="N86" s="1032" t="s">
        <v>1199</v>
      </c>
      <c r="O86" s="1032"/>
      <c r="P86" s="1032"/>
      <c r="Q86" s="248"/>
      <c r="R86" s="247">
        <f>SUM(R81:R81)</f>
        <v>0</v>
      </c>
      <c r="S86" s="248">
        <v>0.92</v>
      </c>
      <c r="T86" s="249">
        <f>R86/S86</f>
        <v>0</v>
      </c>
    </row>
    <row r="87" spans="1:20" ht="15" customHeight="1" x14ac:dyDescent="0.25">
      <c r="A87" s="1116" t="str">
        <f>Итоговая!C403</f>
        <v xml:space="preserve">ПС 35/10 кВ Бубеньево  </v>
      </c>
      <c r="B87" s="1113">
        <f>Итоговая!D403</f>
        <v>4</v>
      </c>
      <c r="C87" s="1109" t="str">
        <f>Итоговая!E403</f>
        <v>+</v>
      </c>
      <c r="D87" s="1109">
        <f>Итоговая!F403</f>
        <v>4</v>
      </c>
      <c r="E87" s="1109"/>
      <c r="F87" s="1118"/>
      <c r="G87" s="1162" t="s">
        <v>1288</v>
      </c>
      <c r="H87" s="1162"/>
      <c r="I87" s="1162"/>
      <c r="J87" s="1162"/>
      <c r="K87" s="1162"/>
      <c r="L87" s="1162"/>
      <c r="M87" s="1162"/>
      <c r="N87" s="1162" t="s">
        <v>1324</v>
      </c>
      <c r="O87" s="1162"/>
      <c r="P87" s="1162"/>
      <c r="Q87" s="1162"/>
      <c r="R87" s="1162"/>
      <c r="S87" s="1162"/>
      <c r="T87" s="1167"/>
    </row>
    <row r="88" spans="1:20" ht="15" customHeight="1" x14ac:dyDescent="0.25">
      <c r="A88" s="1117"/>
      <c r="B88" s="1114"/>
      <c r="C88" s="1110"/>
      <c r="D88" s="1110"/>
      <c r="E88" s="1110"/>
      <c r="F88" s="1119"/>
      <c r="G88" s="206" t="s">
        <v>581</v>
      </c>
      <c r="H88" s="206" t="s">
        <v>582</v>
      </c>
      <c r="I88" s="206" t="s">
        <v>583</v>
      </c>
      <c r="J88" s="205"/>
      <c r="K88" s="205">
        <v>1.6E-2</v>
      </c>
      <c r="L88" s="206"/>
      <c r="M88" s="240"/>
      <c r="N88" s="277" t="s">
        <v>587</v>
      </c>
      <c r="O88" s="277" t="s">
        <v>590</v>
      </c>
      <c r="P88" s="278" t="s">
        <v>1656</v>
      </c>
      <c r="Q88" s="278"/>
      <c r="R88" s="279">
        <v>2.1000000000000001E-2</v>
      </c>
      <c r="S88" s="277"/>
      <c r="T88" s="280"/>
    </row>
    <row r="89" spans="1:20" ht="15" customHeight="1" x14ac:dyDescent="0.25">
      <c r="A89" s="218"/>
      <c r="B89" s="237"/>
      <c r="C89" s="238"/>
      <c r="D89" s="238"/>
      <c r="E89" s="238"/>
      <c r="F89" s="239"/>
      <c r="G89" s="1161" t="s">
        <v>1287</v>
      </c>
      <c r="H89" s="1161"/>
      <c r="I89" s="1161"/>
      <c r="J89" s="1161"/>
      <c r="K89" s="1161"/>
      <c r="L89" s="1161"/>
      <c r="M89" s="1161"/>
      <c r="N89" s="281"/>
      <c r="O89" s="281"/>
      <c r="P89" s="281"/>
      <c r="Q89" s="281"/>
      <c r="R89" s="281"/>
      <c r="S89" s="281"/>
      <c r="T89" s="282"/>
    </row>
    <row r="90" spans="1:20" ht="15" customHeight="1" x14ac:dyDescent="0.25">
      <c r="A90" s="218"/>
      <c r="B90" s="237"/>
      <c r="C90" s="238"/>
      <c r="D90" s="238"/>
      <c r="E90" s="238"/>
      <c r="F90" s="239"/>
      <c r="G90" s="206" t="s">
        <v>584</v>
      </c>
      <c r="H90" s="206" t="s">
        <v>585</v>
      </c>
      <c r="I90" s="206" t="s">
        <v>586</v>
      </c>
      <c r="J90" s="205"/>
      <c r="K90" s="205">
        <v>2.1000000000000001E-2</v>
      </c>
      <c r="L90" s="206"/>
      <c r="M90" s="240"/>
      <c r="N90" s="206"/>
      <c r="O90" s="206"/>
      <c r="P90" s="206"/>
      <c r="Q90" s="206"/>
      <c r="R90" s="205"/>
      <c r="S90" s="206"/>
      <c r="T90" s="241"/>
    </row>
    <row r="91" spans="1:20" ht="15" customHeight="1" x14ac:dyDescent="0.25">
      <c r="A91" s="218"/>
      <c r="B91" s="237"/>
      <c r="C91" s="238"/>
      <c r="D91" s="238"/>
      <c r="E91" s="238"/>
      <c r="F91" s="239"/>
      <c r="G91" s="206" t="s">
        <v>587</v>
      </c>
      <c r="H91" s="206" t="s">
        <v>588</v>
      </c>
      <c r="I91" s="206" t="s">
        <v>589</v>
      </c>
      <c r="J91" s="205"/>
      <c r="K91" s="205">
        <v>0.04</v>
      </c>
      <c r="L91" s="206"/>
      <c r="M91" s="240"/>
      <c r="N91" s="283"/>
      <c r="O91" s="283"/>
      <c r="P91" s="283"/>
      <c r="Q91" s="283"/>
      <c r="R91" s="283"/>
      <c r="S91" s="283"/>
      <c r="T91" s="284"/>
    </row>
    <row r="92" spans="1:20" ht="15" customHeight="1" x14ac:dyDescent="0.25">
      <c r="A92" s="218"/>
      <c r="B92" s="237"/>
      <c r="C92" s="238"/>
      <c r="D92" s="238"/>
      <c r="E92" s="238"/>
      <c r="F92" s="239"/>
      <c r="G92" s="1161" t="s">
        <v>1286</v>
      </c>
      <c r="H92" s="1161"/>
      <c r="I92" s="1161"/>
      <c r="J92" s="1161"/>
      <c r="K92" s="1161"/>
      <c r="L92" s="1161"/>
      <c r="M92" s="1161"/>
      <c r="N92" s="283"/>
      <c r="O92" s="283"/>
      <c r="P92" s="283"/>
      <c r="Q92" s="283"/>
      <c r="R92" s="283"/>
      <c r="S92" s="283"/>
      <c r="T92" s="284"/>
    </row>
    <row r="93" spans="1:20" ht="15" customHeight="1" x14ac:dyDescent="0.25">
      <c r="A93" s="218"/>
      <c r="B93" s="237"/>
      <c r="C93" s="238"/>
      <c r="D93" s="238"/>
      <c r="E93" s="238"/>
      <c r="F93" s="239"/>
      <c r="G93" s="285" t="s">
        <v>587</v>
      </c>
      <c r="H93" s="285" t="s">
        <v>945</v>
      </c>
      <c r="I93" s="285" t="s">
        <v>591</v>
      </c>
      <c r="J93" s="286"/>
      <c r="K93" s="205">
        <v>5.8000000000000003E-2</v>
      </c>
      <c r="L93" s="206"/>
      <c r="M93" s="205"/>
      <c r="N93" s="283"/>
      <c r="O93" s="283"/>
      <c r="P93" s="283"/>
      <c r="Q93" s="283"/>
      <c r="R93" s="283"/>
      <c r="S93" s="283"/>
      <c r="T93" s="284"/>
    </row>
    <row r="94" spans="1:20" ht="15" customHeight="1" x14ac:dyDescent="0.25">
      <c r="A94" s="218"/>
      <c r="B94" s="237"/>
      <c r="C94" s="238"/>
      <c r="D94" s="238"/>
      <c r="E94" s="238"/>
      <c r="F94" s="239"/>
      <c r="G94" s="206" t="s">
        <v>587</v>
      </c>
      <c r="H94" s="206" t="s">
        <v>947</v>
      </c>
      <c r="I94" s="285" t="s">
        <v>946</v>
      </c>
      <c r="J94" s="286"/>
      <c r="K94" s="205">
        <v>0.1</v>
      </c>
      <c r="L94" s="206"/>
      <c r="M94" s="240"/>
      <c r="N94" s="283"/>
      <c r="O94" s="283"/>
      <c r="P94" s="283"/>
      <c r="Q94" s="283"/>
      <c r="R94" s="283"/>
      <c r="S94" s="283"/>
      <c r="T94" s="284"/>
    </row>
    <row r="95" spans="1:20" ht="15" customHeight="1" x14ac:dyDescent="0.25">
      <c r="A95" s="218"/>
      <c r="B95" s="237"/>
      <c r="C95" s="238"/>
      <c r="D95" s="238"/>
      <c r="E95" s="238"/>
      <c r="F95" s="239"/>
      <c r="G95" s="1161" t="s">
        <v>1324</v>
      </c>
      <c r="H95" s="1161"/>
      <c r="I95" s="1161"/>
      <c r="J95" s="1161"/>
      <c r="K95" s="1161"/>
      <c r="L95" s="1161"/>
      <c r="M95" s="1161"/>
      <c r="N95" s="283"/>
      <c r="O95" s="283"/>
      <c r="P95" s="283"/>
      <c r="Q95" s="283"/>
      <c r="R95" s="283"/>
      <c r="S95" s="283"/>
      <c r="T95" s="284"/>
    </row>
    <row r="96" spans="1:20" ht="15" customHeight="1" x14ac:dyDescent="0.25">
      <c r="A96" s="218"/>
      <c r="B96" s="237"/>
      <c r="C96" s="238"/>
      <c r="D96" s="238"/>
      <c r="E96" s="238"/>
      <c r="F96" s="239"/>
      <c r="G96" s="206" t="s">
        <v>1428</v>
      </c>
      <c r="H96" s="206" t="s">
        <v>1429</v>
      </c>
      <c r="I96" s="285" t="s">
        <v>1566</v>
      </c>
      <c r="J96" s="286"/>
      <c r="K96" s="205">
        <v>0.15</v>
      </c>
      <c r="L96" s="206"/>
      <c r="M96" s="240"/>
      <c r="N96" s="283"/>
      <c r="O96" s="283"/>
      <c r="P96" s="283"/>
      <c r="Q96" s="283"/>
      <c r="R96" s="283"/>
      <c r="S96" s="283"/>
      <c r="T96" s="284"/>
    </row>
    <row r="97" spans="1:20" ht="15" customHeight="1" x14ac:dyDescent="0.25">
      <c r="A97" s="218"/>
      <c r="B97" s="237"/>
      <c r="C97" s="238"/>
      <c r="D97" s="238"/>
      <c r="E97" s="238"/>
      <c r="F97" s="239"/>
      <c r="G97" s="1161" t="s">
        <v>1645</v>
      </c>
      <c r="H97" s="1161"/>
      <c r="I97" s="1161"/>
      <c r="J97" s="1161"/>
      <c r="K97" s="1161"/>
      <c r="L97" s="1161"/>
      <c r="M97" s="1161"/>
      <c r="N97" s="283"/>
      <c r="O97" s="283"/>
      <c r="P97" s="283"/>
      <c r="Q97" s="283"/>
      <c r="R97" s="283"/>
      <c r="S97" s="283"/>
      <c r="T97" s="284"/>
    </row>
    <row r="98" spans="1:20" ht="15" customHeight="1" x14ac:dyDescent="0.25">
      <c r="A98" s="218"/>
      <c r="B98" s="237"/>
      <c r="C98" s="238"/>
      <c r="D98" s="238"/>
      <c r="E98" s="238"/>
      <c r="F98" s="239"/>
      <c r="G98" s="206" t="s">
        <v>1555</v>
      </c>
      <c r="H98" s="206" t="s">
        <v>1847</v>
      </c>
      <c r="I98" s="285" t="s">
        <v>1895</v>
      </c>
      <c r="J98" s="286"/>
      <c r="K98" s="205">
        <v>0.09</v>
      </c>
      <c r="L98" s="206"/>
      <c r="M98" s="240"/>
      <c r="N98" s="287"/>
      <c r="O98" s="288"/>
      <c r="P98" s="288"/>
      <c r="Q98" s="288"/>
      <c r="R98" s="288"/>
      <c r="S98" s="288"/>
      <c r="T98" s="289"/>
    </row>
    <row r="99" spans="1:20" ht="15" customHeight="1" x14ac:dyDescent="0.25">
      <c r="A99" s="218"/>
      <c r="B99" s="237"/>
      <c r="C99" s="238"/>
      <c r="D99" s="238"/>
      <c r="E99" s="238"/>
      <c r="F99" s="239"/>
      <c r="G99" s="206" t="s">
        <v>1555</v>
      </c>
      <c r="H99" s="206" t="s">
        <v>1848</v>
      </c>
      <c r="I99" s="285" t="s">
        <v>1896</v>
      </c>
      <c r="J99" s="286"/>
      <c r="K99" s="205">
        <v>0.09</v>
      </c>
      <c r="L99" s="206"/>
      <c r="M99" s="240"/>
      <c r="N99" s="263"/>
      <c r="O99" s="263"/>
      <c r="P99" s="203"/>
      <c r="Q99" s="203"/>
      <c r="R99" s="240"/>
      <c r="S99" s="263"/>
      <c r="T99" s="241"/>
    </row>
    <row r="100" spans="1:20" ht="15" customHeight="1" x14ac:dyDescent="0.25">
      <c r="A100" s="218"/>
      <c r="B100" s="237"/>
      <c r="C100" s="238"/>
      <c r="D100" s="238"/>
      <c r="E100" s="238"/>
      <c r="F100" s="239"/>
      <c r="G100" s="1161" t="s">
        <v>2290</v>
      </c>
      <c r="H100" s="1161"/>
      <c r="I100" s="1161"/>
      <c r="J100" s="1161"/>
      <c r="K100" s="1161"/>
      <c r="L100" s="1161"/>
      <c r="M100" s="1161"/>
      <c r="N100" s="263"/>
      <c r="O100" s="263"/>
      <c r="P100" s="203"/>
      <c r="Q100" s="203"/>
      <c r="R100" s="240"/>
      <c r="S100" s="263"/>
      <c r="T100" s="241"/>
    </row>
    <row r="101" spans="1:20" ht="15" customHeight="1" x14ac:dyDescent="0.25">
      <c r="A101" s="218"/>
      <c r="B101" s="237"/>
      <c r="C101" s="238"/>
      <c r="D101" s="238"/>
      <c r="E101" s="238"/>
      <c r="F101" s="239"/>
      <c r="G101" s="263" t="s">
        <v>14876</v>
      </c>
      <c r="H101" s="263" t="s">
        <v>14877</v>
      </c>
      <c r="I101" s="263" t="s">
        <v>14878</v>
      </c>
      <c r="J101" s="240"/>
      <c r="K101" s="240">
        <f>(0.028-0.012)*0.75</f>
        <v>1.2E-2</v>
      </c>
      <c r="L101" s="263"/>
      <c r="M101" s="240"/>
      <c r="N101" s="263"/>
      <c r="O101" s="263"/>
      <c r="P101" s="203"/>
      <c r="Q101" s="203"/>
      <c r="R101" s="240"/>
      <c r="S101" s="263"/>
      <c r="T101" s="241"/>
    </row>
    <row r="102" spans="1:20" ht="15" customHeight="1" x14ac:dyDescent="0.25">
      <c r="A102" s="218"/>
      <c r="B102" s="237"/>
      <c r="C102" s="238"/>
      <c r="D102" s="238"/>
      <c r="E102" s="238"/>
      <c r="F102" s="239"/>
      <c r="G102" s="1161" t="s">
        <v>14933</v>
      </c>
      <c r="H102" s="1161"/>
      <c r="I102" s="1161"/>
      <c r="J102" s="1161"/>
      <c r="K102" s="1161"/>
      <c r="L102" s="1161"/>
      <c r="M102" s="1161"/>
      <c r="N102" s="263"/>
      <c r="O102" s="263"/>
      <c r="P102" s="203"/>
      <c r="Q102" s="203"/>
      <c r="R102" s="240"/>
      <c r="S102" s="263"/>
      <c r="T102" s="241"/>
    </row>
    <row r="103" spans="1:20" ht="15" customHeight="1" x14ac:dyDescent="0.25">
      <c r="A103" s="218"/>
      <c r="B103" s="237"/>
      <c r="C103" s="238"/>
      <c r="D103" s="238"/>
      <c r="E103" s="238"/>
      <c r="F103" s="239"/>
      <c r="G103" s="263" t="s">
        <v>2161</v>
      </c>
      <c r="H103" s="263" t="s">
        <v>14943</v>
      </c>
      <c r="I103" s="263" t="s">
        <v>14942</v>
      </c>
      <c r="J103" s="240"/>
      <c r="K103" s="240">
        <f>0.1015*0.9</f>
        <v>9.1350000000000015E-2</v>
      </c>
      <c r="L103" s="263"/>
      <c r="M103" s="240"/>
      <c r="N103" s="263"/>
      <c r="O103" s="263"/>
      <c r="P103" s="203"/>
      <c r="Q103" s="203"/>
      <c r="R103" s="240"/>
      <c r="S103" s="263"/>
      <c r="T103" s="241"/>
    </row>
    <row r="104" spans="1:20" ht="15" customHeight="1" x14ac:dyDescent="0.25">
      <c r="A104" s="218"/>
      <c r="B104" s="237"/>
      <c r="C104" s="238"/>
      <c r="D104" s="238"/>
      <c r="E104" s="238"/>
      <c r="F104" s="239"/>
      <c r="G104" s="263" t="s">
        <v>17414</v>
      </c>
      <c r="H104" s="263" t="s">
        <v>17415</v>
      </c>
      <c r="I104" s="263" t="s">
        <v>19707</v>
      </c>
      <c r="J104" s="240"/>
      <c r="K104" s="240">
        <f>0.25*0.9</f>
        <v>0.22500000000000001</v>
      </c>
      <c r="L104" s="263"/>
      <c r="M104" s="240"/>
      <c r="N104" s="263"/>
      <c r="O104" s="263"/>
      <c r="P104" s="203"/>
      <c r="Q104" s="203"/>
      <c r="R104" s="240"/>
      <c r="S104" s="263"/>
      <c r="T104" s="241"/>
    </row>
    <row r="105" spans="1:20" ht="15" customHeight="1" x14ac:dyDescent="0.25">
      <c r="A105" s="218"/>
      <c r="B105" s="237"/>
      <c r="C105" s="238"/>
      <c r="D105" s="238"/>
      <c r="E105" s="238"/>
      <c r="F105" s="239"/>
      <c r="G105" s="1157" t="s">
        <v>2262</v>
      </c>
      <c r="H105" s="1157"/>
      <c r="I105" s="1157"/>
      <c r="J105" s="994">
        <f>0.133*0.9</f>
        <v>0.11970000000000001</v>
      </c>
      <c r="K105" s="995"/>
      <c r="L105" s="727"/>
      <c r="M105" s="519"/>
      <c r="N105" s="263"/>
      <c r="O105" s="263"/>
      <c r="P105" s="203"/>
      <c r="Q105" s="203"/>
      <c r="R105" s="240"/>
      <c r="S105" s="263"/>
      <c r="T105" s="241"/>
    </row>
    <row r="106" spans="1:20" ht="15" customHeight="1" x14ac:dyDescent="0.25">
      <c r="A106" s="218"/>
      <c r="B106" s="237"/>
      <c r="C106" s="238"/>
      <c r="D106" s="238"/>
      <c r="E106" s="238"/>
      <c r="F106" s="239"/>
      <c r="G106" s="1161" t="s">
        <v>18518</v>
      </c>
      <c r="H106" s="1161"/>
      <c r="I106" s="1161"/>
      <c r="J106" s="1161"/>
      <c r="K106" s="1161"/>
      <c r="L106" s="1161"/>
      <c r="M106" s="1161"/>
      <c r="N106" s="269"/>
      <c r="O106" s="269"/>
      <c r="P106" s="290"/>
      <c r="Q106" s="290"/>
      <c r="R106" s="260"/>
      <c r="S106" s="269"/>
      <c r="T106" s="259"/>
    </row>
    <row r="107" spans="1:20" ht="15" customHeight="1" x14ac:dyDescent="0.25">
      <c r="A107" s="218"/>
      <c r="B107" s="237"/>
      <c r="C107" s="238"/>
      <c r="D107" s="238"/>
      <c r="E107" s="238"/>
      <c r="F107" s="239"/>
      <c r="G107" s="1157" t="s">
        <v>2262</v>
      </c>
      <c r="H107" s="1157"/>
      <c r="I107" s="1157"/>
      <c r="J107" s="994">
        <f>0.421*0.9*0.6</f>
        <v>0.22733999999999999</v>
      </c>
      <c r="K107" s="995"/>
      <c r="L107" s="728"/>
      <c r="M107" s="718"/>
      <c r="N107" s="269"/>
      <c r="O107" s="269"/>
      <c r="P107" s="290"/>
      <c r="Q107" s="290"/>
      <c r="R107" s="260"/>
      <c r="S107" s="269"/>
      <c r="T107" s="259"/>
    </row>
    <row r="108" spans="1:20" ht="15" customHeight="1" x14ac:dyDescent="0.25">
      <c r="A108" s="782"/>
      <c r="B108" s="778"/>
      <c r="C108" s="779"/>
      <c r="D108" s="779"/>
      <c r="E108" s="779"/>
      <c r="F108" s="783"/>
      <c r="G108" s="1161" t="s">
        <v>19719</v>
      </c>
      <c r="H108" s="1161"/>
      <c r="I108" s="1161"/>
      <c r="J108" s="1161"/>
      <c r="K108" s="1161"/>
      <c r="L108" s="1161"/>
      <c r="M108" s="1161"/>
      <c r="N108" s="775"/>
      <c r="O108" s="775"/>
      <c r="P108" s="290"/>
      <c r="Q108" s="290"/>
      <c r="R108" s="774"/>
      <c r="S108" s="775"/>
      <c r="T108" s="259"/>
    </row>
    <row r="109" spans="1:20" ht="15" customHeight="1" x14ac:dyDescent="0.25">
      <c r="A109" s="782"/>
      <c r="B109" s="778"/>
      <c r="C109" s="779"/>
      <c r="D109" s="779"/>
      <c r="E109" s="779"/>
      <c r="F109" s="783"/>
      <c r="G109" s="770" t="s">
        <v>19767</v>
      </c>
      <c r="H109" s="770" t="s">
        <v>19768</v>
      </c>
      <c r="I109" s="770" t="s">
        <v>19769</v>
      </c>
      <c r="J109" s="519">
        <f>0.1*0.9</f>
        <v>9.0000000000000011E-2</v>
      </c>
      <c r="K109" s="519"/>
      <c r="L109" s="775"/>
      <c r="M109" s="774"/>
      <c r="N109" s="775"/>
      <c r="O109" s="775"/>
      <c r="P109" s="290"/>
      <c r="Q109" s="290"/>
      <c r="R109" s="774"/>
      <c r="S109" s="775"/>
      <c r="T109" s="259"/>
    </row>
    <row r="110" spans="1:20" ht="15" customHeight="1" thickBot="1" x14ac:dyDescent="0.3">
      <c r="A110" s="242"/>
      <c r="B110" s="243"/>
      <c r="C110" s="244"/>
      <c r="D110" s="244"/>
      <c r="E110" s="244"/>
      <c r="F110" s="245"/>
      <c r="G110" s="1032" t="s">
        <v>1199</v>
      </c>
      <c r="H110" s="1032"/>
      <c r="I110" s="1032"/>
      <c r="J110" s="246"/>
      <c r="K110" s="247">
        <f>SUM(J102:K109)</f>
        <v>0.75339</v>
      </c>
      <c r="L110" s="248">
        <v>0.92</v>
      </c>
      <c r="M110" s="247">
        <f>K110/L110</f>
        <v>0.81890217391304343</v>
      </c>
      <c r="N110" s="1032" t="s">
        <v>1199</v>
      </c>
      <c r="O110" s="1032"/>
      <c r="P110" s="1032"/>
      <c r="Q110" s="248"/>
      <c r="R110" s="247">
        <f>SUM(R90:R96)</f>
        <v>0</v>
      </c>
      <c r="S110" s="248">
        <v>0.92</v>
      </c>
      <c r="T110" s="249">
        <f>R110/S110</f>
        <v>0</v>
      </c>
    </row>
    <row r="111" spans="1:20" ht="15" customHeight="1" x14ac:dyDescent="0.25">
      <c r="A111" s="211" t="str">
        <f>Итоговая!C404</f>
        <v xml:space="preserve">ПС 35/10 кВ Б.Вишенье </v>
      </c>
      <c r="B111" s="234">
        <f>Итоговая!D404</f>
        <v>2.5</v>
      </c>
      <c r="C111" s="235" t="str">
        <f>Итоговая!E404</f>
        <v>+</v>
      </c>
      <c r="D111" s="235">
        <f>Итоговая!F404</f>
        <v>2.5</v>
      </c>
      <c r="E111" s="235"/>
      <c r="F111" s="236"/>
      <c r="G111" s="1162" t="s">
        <v>14933</v>
      </c>
      <c r="H111" s="1162"/>
      <c r="I111" s="1162"/>
      <c r="J111" s="1162"/>
      <c r="K111" s="1162"/>
      <c r="L111" s="1162"/>
      <c r="M111" s="1162"/>
      <c r="N111" s="215"/>
      <c r="O111" s="215"/>
      <c r="P111" s="215"/>
      <c r="Q111" s="215"/>
      <c r="R111" s="216"/>
      <c r="S111" s="215"/>
      <c r="T111" s="217"/>
    </row>
    <row r="112" spans="1:20" ht="15" customHeight="1" x14ac:dyDescent="0.25">
      <c r="A112" s="218"/>
      <c r="B112" s="237"/>
      <c r="C112" s="238"/>
      <c r="D112" s="238"/>
      <c r="E112" s="238"/>
      <c r="F112" s="239"/>
      <c r="G112" s="272" t="s">
        <v>17293</v>
      </c>
      <c r="H112" s="272" t="s">
        <v>17294</v>
      </c>
      <c r="I112" s="263" t="s">
        <v>17295</v>
      </c>
      <c r="J112" s="240"/>
      <c r="K112" s="240">
        <f>(0.045-0.015)*0.9</f>
        <v>2.7E-2</v>
      </c>
      <c r="L112" s="263"/>
      <c r="M112" s="240"/>
      <c r="N112" s="206"/>
      <c r="O112" s="206"/>
      <c r="P112" s="206"/>
      <c r="Q112" s="206"/>
      <c r="R112" s="205"/>
      <c r="S112" s="206"/>
      <c r="T112" s="241"/>
    </row>
    <row r="113" spans="1:20" ht="15" customHeight="1" x14ac:dyDescent="0.25">
      <c r="A113" s="218"/>
      <c r="B113" s="237"/>
      <c r="C113" s="238"/>
      <c r="D113" s="238"/>
      <c r="E113" s="238"/>
      <c r="F113" s="239"/>
      <c r="G113" s="1161" t="s">
        <v>18518</v>
      </c>
      <c r="H113" s="1161"/>
      <c r="I113" s="1161"/>
      <c r="J113" s="1161"/>
      <c r="K113" s="1161"/>
      <c r="L113" s="1161"/>
      <c r="M113" s="1161"/>
      <c r="N113" s="232"/>
      <c r="O113" s="232"/>
      <c r="P113" s="232"/>
      <c r="Q113" s="232"/>
      <c r="R113" s="230"/>
      <c r="S113" s="232"/>
      <c r="T113" s="259"/>
    </row>
    <row r="114" spans="1:20" ht="15" customHeight="1" x14ac:dyDescent="0.25">
      <c r="A114" s="218"/>
      <c r="B114" s="237"/>
      <c r="C114" s="238"/>
      <c r="D114" s="238"/>
      <c r="E114" s="238"/>
      <c r="F114" s="239"/>
      <c r="G114" s="1157" t="s">
        <v>2262</v>
      </c>
      <c r="H114" s="1157"/>
      <c r="I114" s="1157"/>
      <c r="J114" s="994">
        <f>0.306*0.9*0.6</f>
        <v>0.16523999999999997</v>
      </c>
      <c r="K114" s="995"/>
      <c r="L114" s="728"/>
      <c r="M114" s="718"/>
      <c r="N114" s="232"/>
      <c r="O114" s="232"/>
      <c r="P114" s="232"/>
      <c r="Q114" s="232"/>
      <c r="R114" s="230"/>
      <c r="S114" s="232"/>
      <c r="T114" s="259"/>
    </row>
    <row r="115" spans="1:20" ht="15" customHeight="1" thickBot="1" x14ac:dyDescent="0.3">
      <c r="A115" s="242"/>
      <c r="B115" s="243"/>
      <c r="C115" s="244"/>
      <c r="D115" s="244"/>
      <c r="E115" s="244"/>
      <c r="F115" s="245"/>
      <c r="G115" s="1032" t="s">
        <v>1199</v>
      </c>
      <c r="H115" s="1032"/>
      <c r="I115" s="1032"/>
      <c r="J115" s="246"/>
      <c r="K115" s="247">
        <f>SUM(J112:K114)</f>
        <v>0.19223999999999997</v>
      </c>
      <c r="L115" s="248">
        <v>0.92</v>
      </c>
      <c r="M115" s="247">
        <f>K115/L115</f>
        <v>0.2089565217391304</v>
      </c>
      <c r="N115" s="1032" t="s">
        <v>1199</v>
      </c>
      <c r="O115" s="1032"/>
      <c r="P115" s="1032"/>
      <c r="Q115" s="248"/>
      <c r="R115" s="247">
        <f>SUM(R111:R111)</f>
        <v>0</v>
      </c>
      <c r="S115" s="248">
        <v>0.92</v>
      </c>
      <c r="T115" s="249">
        <f>R115/S115</f>
        <v>0</v>
      </c>
    </row>
    <row r="116" spans="1:20" ht="15" customHeight="1" x14ac:dyDescent="0.25">
      <c r="A116" s="211" t="str">
        <f>Итоговая!C405</f>
        <v xml:space="preserve">ПС 35/10 кВ Будово </v>
      </c>
      <c r="B116" s="234">
        <f>Итоговая!D405</f>
        <v>6.3</v>
      </c>
      <c r="C116" s="235" t="str">
        <f>Итоговая!E405</f>
        <v>+</v>
      </c>
      <c r="D116" s="235">
        <f>Итоговая!F405</f>
        <v>6.3</v>
      </c>
      <c r="E116" s="235"/>
      <c r="F116" s="236"/>
      <c r="G116" s="1162" t="s">
        <v>1324</v>
      </c>
      <c r="H116" s="1162"/>
      <c r="I116" s="1162"/>
      <c r="J116" s="1162"/>
      <c r="K116" s="1162"/>
      <c r="L116" s="1162"/>
      <c r="M116" s="1162"/>
      <c r="N116" s="1162" t="s">
        <v>2290</v>
      </c>
      <c r="O116" s="1162"/>
      <c r="P116" s="1162"/>
      <c r="Q116" s="1162"/>
      <c r="R116" s="1162"/>
      <c r="S116" s="1162"/>
      <c r="T116" s="1167"/>
    </row>
    <row r="117" spans="1:20" ht="15" customHeight="1" x14ac:dyDescent="0.25">
      <c r="A117" s="218"/>
      <c r="B117" s="237"/>
      <c r="C117" s="238"/>
      <c r="D117" s="238"/>
      <c r="E117" s="238"/>
      <c r="F117" s="239"/>
      <c r="G117" s="206" t="s">
        <v>1400</v>
      </c>
      <c r="H117" s="206" t="s">
        <v>1401</v>
      </c>
      <c r="I117" s="206" t="s">
        <v>1621</v>
      </c>
      <c r="J117" s="205"/>
      <c r="K117" s="205">
        <v>0.15</v>
      </c>
      <c r="L117" s="206"/>
      <c r="M117" s="240"/>
      <c r="N117" s="206" t="s">
        <v>2246</v>
      </c>
      <c r="O117" s="283" t="s">
        <v>17205</v>
      </c>
      <c r="P117" s="283" t="s">
        <v>17206</v>
      </c>
      <c r="Q117" s="283"/>
      <c r="R117" s="205">
        <v>0.70984999999999998</v>
      </c>
      <c r="S117" s="206"/>
      <c r="T117" s="241"/>
    </row>
    <row r="118" spans="1:20" ht="15" customHeight="1" x14ac:dyDescent="0.25">
      <c r="A118" s="218"/>
      <c r="B118" s="237"/>
      <c r="C118" s="238"/>
      <c r="D118" s="238"/>
      <c r="E118" s="238"/>
      <c r="F118" s="239"/>
      <c r="G118" s="1161" t="s">
        <v>1645</v>
      </c>
      <c r="H118" s="1161"/>
      <c r="I118" s="1161"/>
      <c r="J118" s="1161"/>
      <c r="K118" s="1161"/>
      <c r="L118" s="1161"/>
      <c r="M118" s="1161"/>
      <c r="N118" s="206"/>
      <c r="O118" s="1033"/>
      <c r="P118" s="1033"/>
      <c r="Q118" s="206"/>
      <c r="R118" s="205"/>
      <c r="S118" s="206"/>
      <c r="T118" s="241"/>
    </row>
    <row r="119" spans="1:20" ht="15" customHeight="1" x14ac:dyDescent="0.25">
      <c r="A119" s="218"/>
      <c r="B119" s="237"/>
      <c r="C119" s="238"/>
      <c r="D119" s="238"/>
      <c r="E119" s="238"/>
      <c r="F119" s="239"/>
      <c r="G119" s="206" t="s">
        <v>1878</v>
      </c>
      <c r="H119" s="206" t="s">
        <v>1879</v>
      </c>
      <c r="I119" s="206" t="s">
        <v>1901</v>
      </c>
      <c r="J119" s="205"/>
      <c r="K119" s="205">
        <v>0.1</v>
      </c>
      <c r="L119" s="206"/>
      <c r="M119" s="240"/>
      <c r="N119" s="272"/>
      <c r="O119" s="272"/>
      <c r="P119" s="272"/>
      <c r="Q119" s="272"/>
      <c r="R119" s="272"/>
      <c r="S119" s="272"/>
      <c r="T119" s="291"/>
    </row>
    <row r="120" spans="1:20" ht="15" customHeight="1" x14ac:dyDescent="0.25">
      <c r="A120" s="218"/>
      <c r="B120" s="237"/>
      <c r="C120" s="238"/>
      <c r="D120" s="238"/>
      <c r="E120" s="238"/>
      <c r="F120" s="239"/>
      <c r="G120" s="1161">
        <v>2012</v>
      </c>
      <c r="H120" s="1161"/>
      <c r="I120" s="1161"/>
      <c r="J120" s="1161"/>
      <c r="K120" s="1161"/>
      <c r="L120" s="1161"/>
      <c r="M120" s="1161"/>
      <c r="N120" s="272"/>
      <c r="O120" s="272"/>
      <c r="P120" s="272"/>
      <c r="Q120" s="272"/>
      <c r="R120" s="272"/>
      <c r="S120" s="272"/>
      <c r="T120" s="291"/>
    </row>
    <row r="121" spans="1:20" ht="15" customHeight="1" x14ac:dyDescent="0.25">
      <c r="A121" s="218"/>
      <c r="B121" s="237"/>
      <c r="C121" s="238"/>
      <c r="D121" s="238"/>
      <c r="E121" s="238"/>
      <c r="F121" s="239"/>
      <c r="G121" s="206" t="s">
        <v>2029</v>
      </c>
      <c r="H121" s="206" t="s">
        <v>2030</v>
      </c>
      <c r="I121" s="206" t="s">
        <v>2046</v>
      </c>
      <c r="J121" s="205"/>
      <c r="K121" s="205">
        <f>0.4*0.9</f>
        <v>0.36000000000000004</v>
      </c>
      <c r="L121" s="206"/>
      <c r="M121" s="240"/>
      <c r="N121" s="272"/>
      <c r="O121" s="272"/>
      <c r="P121" s="272"/>
      <c r="Q121" s="272"/>
      <c r="R121" s="272"/>
      <c r="S121" s="272"/>
      <c r="T121" s="291"/>
    </row>
    <row r="122" spans="1:20" ht="15" customHeight="1" x14ac:dyDescent="0.25">
      <c r="A122" s="218"/>
      <c r="B122" s="237"/>
      <c r="C122" s="238"/>
      <c r="D122" s="238"/>
      <c r="E122" s="238"/>
      <c r="F122" s="239"/>
      <c r="G122" s="206" t="s">
        <v>2177</v>
      </c>
      <c r="H122" s="206" t="s">
        <v>2216</v>
      </c>
      <c r="I122" s="206" t="s">
        <v>2259</v>
      </c>
      <c r="J122" s="205"/>
      <c r="K122" s="205">
        <f>0.099</f>
        <v>9.9000000000000005E-2</v>
      </c>
      <c r="L122" s="206"/>
      <c r="M122" s="240"/>
      <c r="N122" s="272"/>
      <c r="O122" s="272"/>
      <c r="P122" s="272"/>
      <c r="Q122" s="272"/>
      <c r="R122" s="272"/>
      <c r="S122" s="272"/>
      <c r="T122" s="291"/>
    </row>
    <row r="123" spans="1:20" ht="15" customHeight="1" x14ac:dyDescent="0.25">
      <c r="A123" s="218"/>
      <c r="B123" s="237"/>
      <c r="C123" s="238"/>
      <c r="D123" s="238"/>
      <c r="E123" s="238"/>
      <c r="F123" s="239"/>
      <c r="G123" s="1161" t="s">
        <v>14933</v>
      </c>
      <c r="H123" s="1161"/>
      <c r="I123" s="1161"/>
      <c r="J123" s="1161"/>
      <c r="K123" s="1161"/>
      <c r="L123" s="1161"/>
      <c r="M123" s="1161"/>
      <c r="N123" s="272"/>
      <c r="O123" s="272"/>
      <c r="P123" s="272"/>
      <c r="Q123" s="272"/>
      <c r="R123" s="272"/>
      <c r="S123" s="272"/>
      <c r="T123" s="291"/>
    </row>
    <row r="124" spans="1:20" ht="15" customHeight="1" x14ac:dyDescent="0.25">
      <c r="A124" s="218"/>
      <c r="B124" s="237"/>
      <c r="C124" s="238"/>
      <c r="D124" s="238"/>
      <c r="E124" s="238"/>
      <c r="F124" s="239"/>
      <c r="G124" s="206" t="s">
        <v>17337</v>
      </c>
      <c r="H124" s="206" t="s">
        <v>17338</v>
      </c>
      <c r="I124" s="206" t="s">
        <v>17339</v>
      </c>
      <c r="J124" s="205"/>
      <c r="K124" s="205">
        <f>0.08*0.15</f>
        <v>1.2E-2</v>
      </c>
      <c r="L124" s="263"/>
      <c r="M124" s="240"/>
      <c r="N124" s="272"/>
      <c r="O124" s="272"/>
      <c r="P124" s="272"/>
      <c r="Q124" s="272"/>
      <c r="R124" s="272"/>
      <c r="S124" s="272"/>
      <c r="T124" s="291"/>
    </row>
    <row r="125" spans="1:20" ht="15" customHeight="1" x14ac:dyDescent="0.25">
      <c r="A125" s="218"/>
      <c r="B125" s="237"/>
      <c r="C125" s="238"/>
      <c r="D125" s="238"/>
      <c r="E125" s="238"/>
      <c r="F125" s="239"/>
      <c r="G125" s="1157" t="s">
        <v>2264</v>
      </c>
      <c r="H125" s="1157"/>
      <c r="I125" s="1157"/>
      <c r="J125" s="222"/>
      <c r="K125" s="222">
        <f>0.30075*0.9</f>
        <v>0.270675</v>
      </c>
      <c r="L125" s="263"/>
      <c r="M125" s="240"/>
      <c r="N125" s="272"/>
      <c r="O125" s="272"/>
      <c r="P125" s="272"/>
      <c r="Q125" s="272"/>
      <c r="R125" s="272"/>
      <c r="S125" s="272"/>
      <c r="T125" s="291"/>
    </row>
    <row r="126" spans="1:20" ht="15" customHeight="1" x14ac:dyDescent="0.25">
      <c r="A126" s="218"/>
      <c r="B126" s="237"/>
      <c r="C126" s="238"/>
      <c r="D126" s="238"/>
      <c r="E126" s="238"/>
      <c r="F126" s="239"/>
      <c r="G126" s="206" t="s">
        <v>17399</v>
      </c>
      <c r="H126" s="206" t="s">
        <v>17402</v>
      </c>
      <c r="I126" s="206" t="s">
        <v>17403</v>
      </c>
      <c r="J126" s="205"/>
      <c r="K126" s="205">
        <f>0.025*0.9</f>
        <v>2.2500000000000003E-2</v>
      </c>
      <c r="L126" s="206"/>
      <c r="M126" s="240"/>
      <c r="N126" s="272"/>
      <c r="O126" s="272"/>
      <c r="P126" s="272"/>
      <c r="Q126" s="272"/>
      <c r="R126" s="272"/>
      <c r="S126" s="272"/>
      <c r="T126" s="291"/>
    </row>
    <row r="127" spans="1:20" ht="15" customHeight="1" x14ac:dyDescent="0.25">
      <c r="A127" s="218"/>
      <c r="B127" s="237"/>
      <c r="C127" s="238"/>
      <c r="D127" s="238"/>
      <c r="E127" s="238"/>
      <c r="F127" s="239"/>
      <c r="G127" s="1161" t="s">
        <v>18518</v>
      </c>
      <c r="H127" s="1161"/>
      <c r="I127" s="1161"/>
      <c r="J127" s="1161"/>
      <c r="K127" s="1161"/>
      <c r="L127" s="1161"/>
      <c r="M127" s="1161"/>
      <c r="N127" s="292"/>
      <c r="O127" s="292"/>
      <c r="P127" s="292"/>
      <c r="Q127" s="292"/>
      <c r="R127" s="292"/>
      <c r="S127" s="292"/>
      <c r="T127" s="293"/>
    </row>
    <row r="128" spans="1:20" ht="15" customHeight="1" x14ac:dyDescent="0.25">
      <c r="A128" s="218"/>
      <c r="B128" s="237"/>
      <c r="C128" s="238"/>
      <c r="D128" s="238"/>
      <c r="E128" s="238"/>
      <c r="F128" s="239"/>
      <c r="G128" s="716" t="s">
        <v>18899</v>
      </c>
      <c r="H128" s="232" t="s">
        <v>18900</v>
      </c>
      <c r="I128" s="232" t="s">
        <v>19645</v>
      </c>
      <c r="J128" s="230">
        <f>0.01*0.9</f>
        <v>9.0000000000000011E-3</v>
      </c>
      <c r="K128" s="230"/>
      <c r="L128" s="232"/>
      <c r="M128" s="260"/>
      <c r="N128" s="292"/>
      <c r="O128" s="292"/>
      <c r="P128" s="292"/>
      <c r="Q128" s="292"/>
      <c r="R128" s="292"/>
      <c r="S128" s="292"/>
      <c r="T128" s="293"/>
    </row>
    <row r="129" spans="1:20" ht="15" customHeight="1" x14ac:dyDescent="0.25">
      <c r="A129" s="218"/>
      <c r="B129" s="237"/>
      <c r="C129" s="238"/>
      <c r="D129" s="238"/>
      <c r="E129" s="238"/>
      <c r="F129" s="239"/>
      <c r="G129" s="266" t="s">
        <v>18953</v>
      </c>
      <c r="H129" s="266" t="s">
        <v>18954</v>
      </c>
      <c r="I129" s="266" t="s">
        <v>19646</v>
      </c>
      <c r="J129" s="267">
        <f>0.208255*1</f>
        <v>0.208255</v>
      </c>
      <c r="K129" s="268">
        <f>0.208255*1</f>
        <v>0.208255</v>
      </c>
      <c r="L129" s="232"/>
      <c r="M129" s="260"/>
      <c r="N129" s="292"/>
      <c r="O129" s="292"/>
      <c r="P129" s="292"/>
      <c r="Q129" s="292"/>
      <c r="R129" s="292"/>
      <c r="S129" s="292"/>
      <c r="T129" s="293"/>
    </row>
    <row r="130" spans="1:20" ht="15" customHeight="1" x14ac:dyDescent="0.25">
      <c r="A130" s="218"/>
      <c r="B130" s="237"/>
      <c r="C130" s="238"/>
      <c r="D130" s="238"/>
      <c r="E130" s="238"/>
      <c r="F130" s="239"/>
      <c r="G130" s="266" t="s">
        <v>19262</v>
      </c>
      <c r="H130" s="266" t="s">
        <v>19263</v>
      </c>
      <c r="I130" s="266" t="s">
        <v>19647</v>
      </c>
      <c r="J130" s="267">
        <f>0.07*0.15</f>
        <v>1.0500000000000001E-2</v>
      </c>
      <c r="K130" s="268"/>
      <c r="L130" s="232"/>
      <c r="M130" s="260"/>
      <c r="N130" s="292"/>
      <c r="O130" s="292"/>
      <c r="P130" s="292"/>
      <c r="Q130" s="292"/>
      <c r="R130" s="292"/>
      <c r="S130" s="292"/>
      <c r="T130" s="293"/>
    </row>
    <row r="131" spans="1:20" ht="15" customHeight="1" x14ac:dyDescent="0.25">
      <c r="A131" s="218"/>
      <c r="B131" s="237"/>
      <c r="C131" s="238"/>
      <c r="D131" s="238"/>
      <c r="E131" s="238"/>
      <c r="F131" s="239"/>
      <c r="G131" s="266" t="s">
        <v>19533</v>
      </c>
      <c r="H131" s="266" t="s">
        <v>19550</v>
      </c>
      <c r="I131" s="266" t="s">
        <v>19648</v>
      </c>
      <c r="J131" s="267"/>
      <c r="K131" s="268">
        <f>0.03*1</f>
        <v>0.03</v>
      </c>
      <c r="L131" s="232"/>
      <c r="M131" s="260"/>
      <c r="N131" s="292"/>
      <c r="O131" s="292"/>
      <c r="P131" s="292"/>
      <c r="Q131" s="292"/>
      <c r="R131" s="292"/>
      <c r="S131" s="292"/>
      <c r="T131" s="293"/>
    </row>
    <row r="132" spans="1:20" ht="15" customHeight="1" x14ac:dyDescent="0.25">
      <c r="A132" s="218"/>
      <c r="B132" s="237"/>
      <c r="C132" s="238"/>
      <c r="D132" s="238"/>
      <c r="E132" s="238"/>
      <c r="F132" s="239"/>
      <c r="G132" s="266" t="s">
        <v>19533</v>
      </c>
      <c r="H132" s="266" t="s">
        <v>19551</v>
      </c>
      <c r="I132" s="266" t="s">
        <v>19649</v>
      </c>
      <c r="J132" s="267"/>
      <c r="K132" s="268">
        <f>0.033*1</f>
        <v>3.3000000000000002E-2</v>
      </c>
      <c r="L132" s="232"/>
      <c r="M132" s="260"/>
      <c r="N132" s="292"/>
      <c r="O132" s="292"/>
      <c r="P132" s="292"/>
      <c r="Q132" s="292"/>
      <c r="R132" s="292"/>
      <c r="S132" s="292"/>
      <c r="T132" s="293"/>
    </row>
    <row r="133" spans="1:20" ht="15" customHeight="1" x14ac:dyDescent="0.25">
      <c r="A133" s="218"/>
      <c r="B133" s="237"/>
      <c r="C133" s="238"/>
      <c r="D133" s="238"/>
      <c r="E133" s="238"/>
      <c r="F133" s="239"/>
      <c r="G133" s="266" t="s">
        <v>19533</v>
      </c>
      <c r="H133" s="266" t="s">
        <v>19552</v>
      </c>
      <c r="I133" s="266" t="s">
        <v>19650</v>
      </c>
      <c r="J133" s="267"/>
      <c r="K133" s="268">
        <f>0.021*1</f>
        <v>2.1000000000000001E-2</v>
      </c>
      <c r="L133" s="716"/>
      <c r="M133" s="718"/>
      <c r="N133" s="292"/>
      <c r="O133" s="292"/>
      <c r="P133" s="292"/>
      <c r="Q133" s="292"/>
      <c r="R133" s="292"/>
      <c r="S133" s="292"/>
      <c r="T133" s="293"/>
    </row>
    <row r="134" spans="1:20" ht="15" customHeight="1" x14ac:dyDescent="0.25">
      <c r="A134" s="218"/>
      <c r="B134" s="237"/>
      <c r="C134" s="238"/>
      <c r="D134" s="238"/>
      <c r="E134" s="238"/>
      <c r="F134" s="239"/>
      <c r="G134" s="1233" t="s">
        <v>2262</v>
      </c>
      <c r="H134" s="1234"/>
      <c r="I134" s="1235"/>
      <c r="J134" s="719"/>
      <c r="K134" s="719">
        <f>0.563*0.9*0.6</f>
        <v>0.30401999999999996</v>
      </c>
      <c r="L134" s="728"/>
      <c r="M134" s="718"/>
      <c r="N134" s="292"/>
      <c r="O134" s="292"/>
      <c r="P134" s="292"/>
      <c r="Q134" s="292"/>
      <c r="R134" s="292"/>
      <c r="S134" s="292"/>
      <c r="T134" s="293"/>
    </row>
    <row r="135" spans="1:20" ht="15" customHeight="1" thickBot="1" x14ac:dyDescent="0.3">
      <c r="A135" s="242"/>
      <c r="B135" s="243"/>
      <c r="C135" s="244"/>
      <c r="D135" s="244"/>
      <c r="E135" s="244"/>
      <c r="F135" s="245"/>
      <c r="G135" s="1236" t="s">
        <v>1199</v>
      </c>
      <c r="H135" s="1237"/>
      <c r="I135" s="1054"/>
      <c r="J135" s="726"/>
      <c r="K135" s="247">
        <f>SUM(J124:K134)</f>
        <v>1.129205</v>
      </c>
      <c r="L135" s="723">
        <v>0.93</v>
      </c>
      <c r="M135" s="247">
        <f>K135/L135</f>
        <v>1.2141989247311828</v>
      </c>
      <c r="N135" s="1032" t="s">
        <v>1199</v>
      </c>
      <c r="O135" s="1032"/>
      <c r="P135" s="1032"/>
      <c r="Q135" s="248"/>
      <c r="R135" s="247">
        <f>SUM(R116:R125)</f>
        <v>0.70984999999999998</v>
      </c>
      <c r="S135" s="248">
        <v>0.92</v>
      </c>
      <c r="T135" s="249">
        <f>R135/S135</f>
        <v>0.77157608695652169</v>
      </c>
    </row>
    <row r="136" spans="1:20" ht="15" customHeight="1" x14ac:dyDescent="0.25">
      <c r="A136" s="211" t="str">
        <f>Итоговая!C406</f>
        <v xml:space="preserve">ПС 35/10 кВ Ельцы  </v>
      </c>
      <c r="B136" s="234">
        <f>Итоговая!D406</f>
        <v>4</v>
      </c>
      <c r="C136" s="235" t="str">
        <f>Итоговая!E406</f>
        <v>+</v>
      </c>
      <c r="D136" s="235">
        <f>Итоговая!F406</f>
        <v>4</v>
      </c>
      <c r="E136" s="235"/>
      <c r="F136" s="236"/>
      <c r="G136" s="1173" t="s">
        <v>18518</v>
      </c>
      <c r="H136" s="1174"/>
      <c r="I136" s="1174"/>
      <c r="J136" s="1174"/>
      <c r="K136" s="1174"/>
      <c r="L136" s="1174"/>
      <c r="M136" s="1175"/>
      <c r="N136" s="215"/>
      <c r="O136" s="215"/>
      <c r="P136" s="215"/>
      <c r="Q136" s="215"/>
      <c r="R136" s="216"/>
      <c r="S136" s="215"/>
      <c r="T136" s="217"/>
    </row>
    <row r="137" spans="1:20" ht="15" customHeight="1" x14ac:dyDescent="0.25">
      <c r="A137" s="218"/>
      <c r="B137" s="237"/>
      <c r="C137" s="238"/>
      <c r="D137" s="238"/>
      <c r="E137" s="238"/>
      <c r="F137" s="239"/>
      <c r="G137" s="1233" t="s">
        <v>2262</v>
      </c>
      <c r="H137" s="1234"/>
      <c r="I137" s="1235"/>
      <c r="J137" s="994">
        <f>0.16*0.9*0.6</f>
        <v>8.6400000000000005E-2</v>
      </c>
      <c r="K137" s="995"/>
      <c r="L137" s="728"/>
      <c r="M137" s="718"/>
      <c r="N137" s="223"/>
      <c r="O137" s="223"/>
      <c r="P137" s="223"/>
      <c r="Q137" s="223"/>
      <c r="R137" s="224"/>
      <c r="S137" s="223"/>
      <c r="T137" s="225"/>
    </row>
    <row r="138" spans="1:20" ht="15" customHeight="1" thickBot="1" x14ac:dyDescent="0.3">
      <c r="A138" s="242"/>
      <c r="B138" s="243"/>
      <c r="C138" s="244"/>
      <c r="D138" s="244"/>
      <c r="E138" s="244"/>
      <c r="F138" s="245"/>
      <c r="G138" s="1032" t="s">
        <v>1199</v>
      </c>
      <c r="H138" s="1032"/>
      <c r="I138" s="1032"/>
      <c r="J138" s="246"/>
      <c r="K138" s="247">
        <f>SUM(J137)</f>
        <v>8.6400000000000005E-2</v>
      </c>
      <c r="L138" s="248">
        <v>0.92</v>
      </c>
      <c r="M138" s="247">
        <f>K138/L138</f>
        <v>9.3913043478260877E-2</v>
      </c>
      <c r="N138" s="1032" t="s">
        <v>1199</v>
      </c>
      <c r="O138" s="1032"/>
      <c r="P138" s="1032"/>
      <c r="Q138" s="248"/>
      <c r="R138" s="247">
        <f>SUM(R136:R136)</f>
        <v>0</v>
      </c>
      <c r="S138" s="248">
        <v>0.92</v>
      </c>
      <c r="T138" s="249">
        <f>R138/S138</f>
        <v>0</v>
      </c>
    </row>
    <row r="139" spans="1:20" ht="15" customHeight="1" x14ac:dyDescent="0.25">
      <c r="A139" s="1116" t="str">
        <f>Итоговая!C407</f>
        <v xml:space="preserve">ПС 35/10 кВ Селище </v>
      </c>
      <c r="B139" s="1113">
        <f>Итоговая!D407</f>
        <v>4</v>
      </c>
      <c r="C139" s="1109" t="str">
        <f>Итоговая!E407</f>
        <v>+</v>
      </c>
      <c r="D139" s="1109">
        <f>Итоговая!F407</f>
        <v>4</v>
      </c>
      <c r="E139" s="235"/>
      <c r="F139" s="236"/>
      <c r="G139" s="1162" t="s">
        <v>1288</v>
      </c>
      <c r="H139" s="1162"/>
      <c r="I139" s="1162"/>
      <c r="J139" s="1162"/>
      <c r="K139" s="1162"/>
      <c r="L139" s="1162"/>
      <c r="M139" s="1162"/>
      <c r="N139" s="1161" t="s">
        <v>1287</v>
      </c>
      <c r="O139" s="1161"/>
      <c r="P139" s="1161"/>
      <c r="Q139" s="1161"/>
      <c r="R139" s="1161"/>
      <c r="S139" s="1161"/>
      <c r="T139" s="1161"/>
    </row>
    <row r="140" spans="1:20" ht="15" customHeight="1" x14ac:dyDescent="0.25">
      <c r="A140" s="1117"/>
      <c r="B140" s="1114"/>
      <c r="C140" s="1110"/>
      <c r="D140" s="1110"/>
      <c r="E140" s="238"/>
      <c r="F140" s="239"/>
      <c r="G140" s="206" t="s">
        <v>1011</v>
      </c>
      <c r="H140" s="206" t="s">
        <v>1012</v>
      </c>
      <c r="I140" s="206" t="s">
        <v>603</v>
      </c>
      <c r="J140" s="205"/>
      <c r="K140" s="205">
        <v>0.378</v>
      </c>
      <c r="L140" s="206"/>
      <c r="M140" s="240"/>
      <c r="N140" s="724" t="s">
        <v>1013</v>
      </c>
      <c r="O140" s="724" t="s">
        <v>1014</v>
      </c>
      <c r="P140" s="724" t="s">
        <v>1015</v>
      </c>
      <c r="Q140" s="205"/>
      <c r="R140" s="205">
        <v>0.04</v>
      </c>
      <c r="S140" s="724"/>
      <c r="T140" s="519"/>
    </row>
    <row r="141" spans="1:20" ht="15" customHeight="1" x14ac:dyDescent="0.25">
      <c r="A141" s="218"/>
      <c r="B141" s="237"/>
      <c r="C141" s="238"/>
      <c r="D141" s="238"/>
      <c r="E141" s="238"/>
      <c r="F141" s="239"/>
      <c r="G141" s="1161"/>
      <c r="H141" s="1161"/>
      <c r="I141" s="1161"/>
      <c r="J141" s="1161"/>
      <c r="K141" s="1161"/>
      <c r="L141" s="1161"/>
      <c r="M141" s="1161"/>
      <c r="N141" s="1161" t="s">
        <v>1324</v>
      </c>
      <c r="O141" s="1161"/>
      <c r="P141" s="1161"/>
      <c r="Q141" s="1161"/>
      <c r="R141" s="1161"/>
      <c r="S141" s="1161"/>
      <c r="T141" s="1161"/>
    </row>
    <row r="142" spans="1:20" ht="15" customHeight="1" x14ac:dyDescent="0.25">
      <c r="A142" s="218"/>
      <c r="B142" s="237"/>
      <c r="C142" s="238"/>
      <c r="D142" s="238"/>
      <c r="E142" s="238"/>
      <c r="F142" s="239"/>
      <c r="G142" s="206"/>
      <c r="H142" s="206"/>
      <c r="I142" s="206"/>
      <c r="J142" s="205"/>
      <c r="K142" s="205"/>
      <c r="L142" s="206"/>
      <c r="M142" s="240"/>
      <c r="N142" s="277" t="s">
        <v>1009</v>
      </c>
      <c r="O142" s="277" t="s">
        <v>1010</v>
      </c>
      <c r="P142" s="277" t="s">
        <v>1654</v>
      </c>
      <c r="Q142" s="277"/>
      <c r="R142" s="279">
        <v>0.74</v>
      </c>
      <c r="S142" s="278"/>
      <c r="T142" s="280"/>
    </row>
    <row r="143" spans="1:20" ht="15" customHeight="1" x14ac:dyDescent="0.25">
      <c r="A143" s="218"/>
      <c r="B143" s="237"/>
      <c r="C143" s="238"/>
      <c r="D143" s="238"/>
      <c r="E143" s="238"/>
      <c r="F143" s="239"/>
      <c r="G143" s="1161" t="s">
        <v>1286</v>
      </c>
      <c r="H143" s="1161"/>
      <c r="I143" s="1161"/>
      <c r="J143" s="1161"/>
      <c r="K143" s="1161"/>
      <c r="L143" s="1161"/>
      <c r="M143" s="1161"/>
      <c r="N143" s="740" t="s">
        <v>14933</v>
      </c>
      <c r="O143" s="740"/>
      <c r="P143" s="740"/>
      <c r="Q143" s="740"/>
      <c r="R143" s="740"/>
      <c r="S143" s="740"/>
      <c r="T143" s="747"/>
    </row>
    <row r="144" spans="1:20" ht="15" customHeight="1" x14ac:dyDescent="0.25">
      <c r="A144" s="218"/>
      <c r="B144" s="237"/>
      <c r="C144" s="238"/>
      <c r="D144" s="238"/>
      <c r="E144" s="238"/>
      <c r="F144" s="239"/>
      <c r="G144" s="206" t="s">
        <v>1016</v>
      </c>
      <c r="H144" s="206" t="s">
        <v>1017</v>
      </c>
      <c r="I144" s="206" t="s">
        <v>1018</v>
      </c>
      <c r="J144" s="205"/>
      <c r="K144" s="205">
        <v>9.2999999999999999E-2</v>
      </c>
      <c r="L144" s="206"/>
      <c r="M144" s="240"/>
      <c r="N144" s="294" t="s">
        <v>18169</v>
      </c>
      <c r="O144" s="724" t="s">
        <v>2143</v>
      </c>
      <c r="P144" s="724" t="s">
        <v>18171</v>
      </c>
      <c r="Q144" s="724"/>
      <c r="R144" s="205">
        <v>0.25</v>
      </c>
      <c r="S144" s="724"/>
      <c r="T144" s="295"/>
    </row>
    <row r="145" spans="1:20" ht="15" customHeight="1" x14ac:dyDescent="0.25">
      <c r="A145" s="218"/>
      <c r="B145" s="237"/>
      <c r="C145" s="238"/>
      <c r="D145" s="238"/>
      <c r="E145" s="238"/>
      <c r="F145" s="239"/>
      <c r="G145" s="1161" t="s">
        <v>2290</v>
      </c>
      <c r="H145" s="1161"/>
      <c r="I145" s="1161"/>
      <c r="J145" s="1161"/>
      <c r="K145" s="1161"/>
      <c r="L145" s="1161"/>
      <c r="M145" s="1161"/>
      <c r="N145" s="294" t="s">
        <v>18170</v>
      </c>
      <c r="O145" s="724" t="s">
        <v>2143</v>
      </c>
      <c r="P145" s="724" t="s">
        <v>18171</v>
      </c>
      <c r="Q145" s="724"/>
      <c r="R145" s="205">
        <v>0.4</v>
      </c>
      <c r="S145" s="724"/>
      <c r="T145" s="295"/>
    </row>
    <row r="146" spans="1:20" ht="15" customHeight="1" x14ac:dyDescent="0.25">
      <c r="A146" s="218"/>
      <c r="B146" s="237"/>
      <c r="C146" s="238"/>
      <c r="D146" s="238"/>
      <c r="E146" s="238"/>
      <c r="F146" s="239"/>
      <c r="G146" s="206" t="s">
        <v>13435</v>
      </c>
      <c r="H146" s="206" t="s">
        <v>13436</v>
      </c>
      <c r="I146" s="206" t="s">
        <v>14706</v>
      </c>
      <c r="J146" s="205"/>
      <c r="K146" s="205">
        <f>0.043*0.9</f>
        <v>3.8699999999999998E-2</v>
      </c>
      <c r="L146" s="206"/>
      <c r="M146" s="240"/>
      <c r="N146" s="294" t="s">
        <v>18170</v>
      </c>
      <c r="O146" s="724" t="s">
        <v>2143</v>
      </c>
      <c r="P146" s="724" t="s">
        <v>18171</v>
      </c>
      <c r="Q146" s="724"/>
      <c r="R146" s="205">
        <v>0.4</v>
      </c>
      <c r="S146" s="724"/>
      <c r="T146" s="295"/>
    </row>
    <row r="147" spans="1:20" ht="15" customHeight="1" x14ac:dyDescent="0.25">
      <c r="A147" s="218"/>
      <c r="B147" s="237"/>
      <c r="C147" s="238"/>
      <c r="D147" s="238"/>
      <c r="E147" s="238"/>
      <c r="F147" s="239"/>
      <c r="G147" s="1161" t="s">
        <v>14933</v>
      </c>
      <c r="H147" s="1161"/>
      <c r="I147" s="1161"/>
      <c r="J147" s="1161"/>
      <c r="K147" s="1161"/>
      <c r="L147" s="1161"/>
      <c r="M147" s="1161"/>
      <c r="N147" s="294" t="s">
        <v>18170</v>
      </c>
      <c r="O147" s="724" t="s">
        <v>2143</v>
      </c>
      <c r="P147" s="724" t="s">
        <v>18171</v>
      </c>
      <c r="Q147" s="724"/>
      <c r="R147" s="205">
        <v>0.25</v>
      </c>
      <c r="S147" s="724"/>
      <c r="T147" s="295"/>
    </row>
    <row r="148" spans="1:20" ht="15" customHeight="1" x14ac:dyDescent="0.25">
      <c r="A148" s="218"/>
      <c r="B148" s="237"/>
      <c r="C148" s="238"/>
      <c r="D148" s="238"/>
      <c r="E148" s="238"/>
      <c r="F148" s="239"/>
      <c r="G148" s="1157" t="s">
        <v>2264</v>
      </c>
      <c r="H148" s="1157"/>
      <c r="I148" s="1157"/>
      <c r="J148" s="994">
        <f>0.173*0.9</f>
        <v>0.15570000000000001</v>
      </c>
      <c r="K148" s="995"/>
      <c r="L148" s="272"/>
      <c r="M148" s="273"/>
      <c r="N148" s="283"/>
      <c r="O148" s="283"/>
      <c r="P148" s="283"/>
      <c r="Q148" s="283"/>
      <c r="R148" s="296"/>
      <c r="S148" s="283"/>
      <c r="T148" s="297"/>
    </row>
    <row r="149" spans="1:20" ht="15" customHeight="1" x14ac:dyDescent="0.25">
      <c r="A149" s="218"/>
      <c r="B149" s="237"/>
      <c r="C149" s="238"/>
      <c r="D149" s="238"/>
      <c r="E149" s="238"/>
      <c r="F149" s="239"/>
      <c r="G149" s="263" t="s">
        <v>18488</v>
      </c>
      <c r="H149" s="263" t="s">
        <v>18489</v>
      </c>
      <c r="I149" s="263" t="s">
        <v>18490</v>
      </c>
      <c r="J149" s="240"/>
      <c r="K149" s="240">
        <f>0.06*0.9</f>
        <v>5.3999999999999999E-2</v>
      </c>
      <c r="L149" s="272"/>
      <c r="M149" s="273"/>
      <c r="N149" s="283"/>
      <c r="O149" s="283"/>
      <c r="P149" s="283"/>
      <c r="Q149" s="283"/>
      <c r="R149" s="296"/>
      <c r="S149" s="283"/>
      <c r="T149" s="297"/>
    </row>
    <row r="150" spans="1:20" ht="15" customHeight="1" x14ac:dyDescent="0.25">
      <c r="A150" s="218"/>
      <c r="B150" s="237"/>
      <c r="C150" s="238"/>
      <c r="D150" s="238"/>
      <c r="E150" s="238"/>
      <c r="F150" s="239"/>
      <c r="G150" s="1161" t="s">
        <v>18518</v>
      </c>
      <c r="H150" s="1161"/>
      <c r="I150" s="1161"/>
      <c r="J150" s="1161"/>
      <c r="K150" s="1161"/>
      <c r="L150" s="1161"/>
      <c r="M150" s="1161"/>
      <c r="N150" s="298"/>
      <c r="O150" s="298"/>
      <c r="P150" s="298"/>
      <c r="Q150" s="298"/>
      <c r="R150" s="299"/>
      <c r="S150" s="298"/>
      <c r="T150" s="300"/>
    </row>
    <row r="151" spans="1:20" ht="15" customHeight="1" x14ac:dyDescent="0.25">
      <c r="A151" s="218"/>
      <c r="B151" s="237"/>
      <c r="C151" s="238"/>
      <c r="D151" s="238"/>
      <c r="E151" s="238"/>
      <c r="F151" s="239"/>
      <c r="G151" s="1157" t="s">
        <v>2262</v>
      </c>
      <c r="H151" s="1157"/>
      <c r="I151" s="1157"/>
      <c r="J151" s="994">
        <f>0.222*0.9*0.6</f>
        <v>0.11988</v>
      </c>
      <c r="K151" s="995"/>
      <c r="L151" s="728"/>
      <c r="M151" s="718"/>
      <c r="N151" s="298"/>
      <c r="O151" s="298"/>
      <c r="P151" s="298"/>
      <c r="Q151" s="298"/>
      <c r="R151" s="299"/>
      <c r="S151" s="298"/>
      <c r="T151" s="300"/>
    </row>
    <row r="152" spans="1:20" ht="15" customHeight="1" thickBot="1" x14ac:dyDescent="0.3">
      <c r="A152" s="242"/>
      <c r="B152" s="243"/>
      <c r="C152" s="244"/>
      <c r="D152" s="244"/>
      <c r="E152" s="244"/>
      <c r="F152" s="245"/>
      <c r="G152" s="1032" t="s">
        <v>1199</v>
      </c>
      <c r="H152" s="1032"/>
      <c r="I152" s="1032"/>
      <c r="J152" s="246"/>
      <c r="K152" s="247">
        <f>SUM(J148:K151)</f>
        <v>0.32957999999999998</v>
      </c>
      <c r="L152" s="248">
        <v>0.92</v>
      </c>
      <c r="M152" s="247">
        <f>K152/L152</f>
        <v>0.35823913043478256</v>
      </c>
      <c r="N152" s="1032" t="s">
        <v>1199</v>
      </c>
      <c r="O152" s="1032"/>
      <c r="P152" s="1032"/>
      <c r="Q152" s="248"/>
      <c r="R152" s="247">
        <f>SUM(R140:R145)</f>
        <v>1.4300000000000002</v>
      </c>
      <c r="S152" s="248">
        <v>0.92</v>
      </c>
      <c r="T152" s="249">
        <f>R152/S152</f>
        <v>1.5543478260869565</v>
      </c>
    </row>
    <row r="153" spans="1:20" ht="15" customHeight="1" x14ac:dyDescent="0.25">
      <c r="A153" s="1116" t="str">
        <f>Итоговая!C408</f>
        <v xml:space="preserve">ПС 35/10 кВ Святое </v>
      </c>
      <c r="B153" s="1113">
        <f>Итоговая!D408</f>
        <v>2.5</v>
      </c>
      <c r="C153" s="1109" t="str">
        <f>Итоговая!E408</f>
        <v>+</v>
      </c>
      <c r="D153" s="1109">
        <f>Итоговая!F408</f>
        <v>1.6</v>
      </c>
      <c r="E153" s="1109"/>
      <c r="F153" s="1118"/>
      <c r="G153" s="1162" t="s">
        <v>1288</v>
      </c>
      <c r="H153" s="1162"/>
      <c r="I153" s="1162"/>
      <c r="J153" s="1162"/>
      <c r="K153" s="1162"/>
      <c r="L153" s="1162"/>
      <c r="M153" s="1162"/>
      <c r="N153" s="1073"/>
      <c r="O153" s="1073"/>
      <c r="P153" s="1073"/>
      <c r="Q153" s="1073"/>
      <c r="R153" s="1073"/>
      <c r="S153" s="1073"/>
      <c r="T153" s="1074"/>
    </row>
    <row r="154" spans="1:20" ht="15" customHeight="1" x14ac:dyDescent="0.25">
      <c r="A154" s="1117"/>
      <c r="B154" s="1114"/>
      <c r="C154" s="1110"/>
      <c r="D154" s="1110"/>
      <c r="E154" s="1110"/>
      <c r="F154" s="1119"/>
      <c r="G154" s="206" t="s">
        <v>421</v>
      </c>
      <c r="H154" s="206" t="s">
        <v>1045</v>
      </c>
      <c r="I154" s="206" t="s">
        <v>1046</v>
      </c>
      <c r="J154" s="205"/>
      <c r="K154" s="205">
        <v>0.121</v>
      </c>
      <c r="L154" s="206"/>
      <c r="M154" s="240"/>
      <c r="N154" s="263"/>
      <c r="O154" s="263"/>
      <c r="P154" s="263"/>
      <c r="Q154" s="263"/>
      <c r="R154" s="240"/>
      <c r="S154" s="263"/>
      <c r="T154" s="241"/>
    </row>
    <row r="155" spans="1:20" ht="15" customHeight="1" x14ac:dyDescent="0.25">
      <c r="A155" s="218"/>
      <c r="B155" s="237"/>
      <c r="C155" s="238"/>
      <c r="D155" s="238"/>
      <c r="E155" s="238"/>
      <c r="F155" s="239"/>
      <c r="G155" s="1161" t="s">
        <v>1287</v>
      </c>
      <c r="H155" s="1161"/>
      <c r="I155" s="1161"/>
      <c r="J155" s="1161"/>
      <c r="K155" s="1161"/>
      <c r="L155" s="1161"/>
      <c r="M155" s="1161"/>
      <c r="N155" s="1053"/>
      <c r="O155" s="1053"/>
      <c r="P155" s="1053"/>
      <c r="Q155" s="1053"/>
      <c r="R155" s="1053"/>
      <c r="S155" s="1053"/>
      <c r="T155" s="1075"/>
    </row>
    <row r="156" spans="1:20" ht="15" customHeight="1" x14ac:dyDescent="0.25">
      <c r="A156" s="218"/>
      <c r="B156" s="237"/>
      <c r="C156" s="238"/>
      <c r="D156" s="238"/>
      <c r="E156" s="238"/>
      <c r="F156" s="239"/>
      <c r="G156" s="206" t="s">
        <v>944</v>
      </c>
      <c r="H156" s="206" t="s">
        <v>1047</v>
      </c>
      <c r="I156" s="206" t="s">
        <v>1048</v>
      </c>
      <c r="J156" s="205"/>
      <c r="K156" s="205">
        <v>0.1</v>
      </c>
      <c r="L156" s="206"/>
      <c r="M156" s="240"/>
      <c r="N156" s="263"/>
      <c r="O156" s="263"/>
      <c r="P156" s="263"/>
      <c r="Q156" s="263"/>
      <c r="R156" s="240"/>
      <c r="S156" s="263"/>
      <c r="T156" s="241"/>
    </row>
    <row r="157" spans="1:20" ht="15" customHeight="1" x14ac:dyDescent="0.25">
      <c r="A157" s="218"/>
      <c r="B157" s="237"/>
      <c r="C157" s="238"/>
      <c r="D157" s="238"/>
      <c r="E157" s="238"/>
      <c r="F157" s="239"/>
      <c r="G157" s="1161" t="s">
        <v>1324</v>
      </c>
      <c r="H157" s="1161"/>
      <c r="I157" s="1161"/>
      <c r="J157" s="1161"/>
      <c r="K157" s="1161"/>
      <c r="L157" s="1161"/>
      <c r="M157" s="1161"/>
      <c r="N157" s="263"/>
      <c r="O157" s="263"/>
      <c r="P157" s="263"/>
      <c r="Q157" s="263"/>
      <c r="R157" s="240"/>
      <c r="S157" s="263"/>
      <c r="T157" s="241"/>
    </row>
    <row r="158" spans="1:20" ht="15" customHeight="1" x14ac:dyDescent="0.25">
      <c r="A158" s="218"/>
      <c r="B158" s="237"/>
      <c r="C158" s="238"/>
      <c r="D158" s="238"/>
      <c r="E158" s="238"/>
      <c r="F158" s="239"/>
      <c r="G158" s="206" t="s">
        <v>5</v>
      </c>
      <c r="H158" s="206" t="s">
        <v>6</v>
      </c>
      <c r="I158" s="206" t="s">
        <v>1504</v>
      </c>
      <c r="J158" s="205"/>
      <c r="K158" s="205">
        <v>7.4999999999999997E-2</v>
      </c>
      <c r="L158" s="206"/>
      <c r="M158" s="240"/>
      <c r="N158" s="263"/>
      <c r="O158" s="263"/>
      <c r="P158" s="263"/>
      <c r="Q158" s="263"/>
      <c r="R158" s="240"/>
      <c r="S158" s="263"/>
      <c r="T158" s="241"/>
    </row>
    <row r="159" spans="1:20" ht="15" customHeight="1" x14ac:dyDescent="0.25">
      <c r="A159" s="218"/>
      <c r="B159" s="237"/>
      <c r="C159" s="238"/>
      <c r="D159" s="238"/>
      <c r="E159" s="238"/>
      <c r="F159" s="239"/>
      <c r="G159" s="1161" t="s">
        <v>18518</v>
      </c>
      <c r="H159" s="1161"/>
      <c r="I159" s="1161"/>
      <c r="J159" s="1161"/>
      <c r="K159" s="1161"/>
      <c r="L159" s="1161"/>
      <c r="M159" s="1161"/>
      <c r="N159" s="269"/>
      <c r="O159" s="269"/>
      <c r="P159" s="269"/>
      <c r="Q159" s="269"/>
      <c r="R159" s="260"/>
      <c r="S159" s="269"/>
      <c r="T159" s="259"/>
    </row>
    <row r="160" spans="1:20" ht="15" customHeight="1" x14ac:dyDescent="0.25">
      <c r="A160" s="218"/>
      <c r="B160" s="237"/>
      <c r="C160" s="238"/>
      <c r="D160" s="238"/>
      <c r="E160" s="238"/>
      <c r="F160" s="239"/>
      <c r="G160" s="263" t="s">
        <v>19248</v>
      </c>
      <c r="H160" s="263" t="s">
        <v>19249</v>
      </c>
      <c r="I160" s="263" t="s">
        <v>19250</v>
      </c>
      <c r="J160" s="240">
        <f>0.4*0.9</f>
        <v>0.36000000000000004</v>
      </c>
      <c r="K160" s="240"/>
      <c r="L160" s="269"/>
      <c r="M160" s="269"/>
      <c r="N160" s="269"/>
      <c r="O160" s="269"/>
      <c r="P160" s="269"/>
      <c r="Q160" s="269"/>
      <c r="R160" s="260"/>
      <c r="S160" s="269"/>
      <c r="T160" s="259"/>
    </row>
    <row r="161" spans="1:20" ht="15" customHeight="1" x14ac:dyDescent="0.25">
      <c r="A161" s="218"/>
      <c r="B161" s="237"/>
      <c r="C161" s="238"/>
      <c r="D161" s="238"/>
      <c r="E161" s="238"/>
      <c r="F161" s="239"/>
      <c r="G161" s="1157" t="s">
        <v>2262</v>
      </c>
      <c r="H161" s="1157"/>
      <c r="I161" s="1157"/>
      <c r="J161" s="994">
        <f>0.237*0.9*0.6</f>
        <v>0.12797999999999998</v>
      </c>
      <c r="K161" s="995"/>
      <c r="L161" s="728"/>
      <c r="M161" s="718"/>
      <c r="N161" s="269"/>
      <c r="O161" s="269"/>
      <c r="P161" s="269"/>
      <c r="Q161" s="269"/>
      <c r="R161" s="260"/>
      <c r="S161" s="269"/>
      <c r="T161" s="259"/>
    </row>
    <row r="162" spans="1:20" ht="15" customHeight="1" x14ac:dyDescent="0.25">
      <c r="A162" s="782"/>
      <c r="B162" s="778"/>
      <c r="C162" s="779"/>
      <c r="D162" s="779"/>
      <c r="E162" s="779"/>
      <c r="F162" s="783"/>
      <c r="G162" s="1161" t="s">
        <v>19719</v>
      </c>
      <c r="H162" s="1161"/>
      <c r="I162" s="1161"/>
      <c r="J162" s="1161"/>
      <c r="K162" s="1161"/>
      <c r="L162" s="1161"/>
      <c r="M162" s="1161"/>
      <c r="N162" s="775"/>
      <c r="O162" s="775"/>
      <c r="P162" s="775"/>
      <c r="Q162" s="775"/>
      <c r="R162" s="774"/>
      <c r="S162" s="775"/>
      <c r="T162" s="259"/>
    </row>
    <row r="163" spans="1:20" ht="15" customHeight="1" x14ac:dyDescent="0.25">
      <c r="A163" s="782"/>
      <c r="B163" s="778"/>
      <c r="C163" s="779"/>
      <c r="D163" s="779"/>
      <c r="E163" s="779"/>
      <c r="F163" s="783"/>
      <c r="G163" s="770" t="s">
        <v>19764</v>
      </c>
      <c r="H163" s="770" t="s">
        <v>19765</v>
      </c>
      <c r="I163" s="770" t="s">
        <v>19766</v>
      </c>
      <c r="J163" s="519"/>
      <c r="K163" s="519">
        <f>0.04*0.75</f>
        <v>0.03</v>
      </c>
      <c r="L163" s="775"/>
      <c r="M163" s="774"/>
      <c r="N163" s="775"/>
      <c r="O163" s="775"/>
      <c r="P163" s="775"/>
      <c r="Q163" s="775"/>
      <c r="R163" s="774"/>
      <c r="S163" s="775"/>
      <c r="T163" s="259"/>
    </row>
    <row r="164" spans="1:20" ht="15" customHeight="1" thickBot="1" x14ac:dyDescent="0.3">
      <c r="A164" s="242"/>
      <c r="B164" s="243"/>
      <c r="C164" s="244"/>
      <c r="D164" s="244"/>
      <c r="E164" s="244"/>
      <c r="F164" s="245"/>
      <c r="G164" s="1032" t="s">
        <v>1199</v>
      </c>
      <c r="H164" s="1032"/>
      <c r="I164" s="1032"/>
      <c r="J164" s="246"/>
      <c r="K164" s="247">
        <f>SUM(J160:K161)</f>
        <v>0.48798000000000002</v>
      </c>
      <c r="L164" s="248">
        <v>0.92</v>
      </c>
      <c r="M164" s="247">
        <f>K164/L164</f>
        <v>0.5304130434782609</v>
      </c>
      <c r="N164" s="1032" t="s">
        <v>1199</v>
      </c>
      <c r="O164" s="1032"/>
      <c r="P164" s="1032"/>
      <c r="Q164" s="248"/>
      <c r="R164" s="247">
        <f>SUM(R156:R158)</f>
        <v>0</v>
      </c>
      <c r="S164" s="248">
        <v>0.92</v>
      </c>
      <c r="T164" s="249">
        <f>R164/S164</f>
        <v>0</v>
      </c>
    </row>
    <row r="165" spans="1:20" ht="15" customHeight="1" x14ac:dyDescent="0.25">
      <c r="A165" s="211" t="str">
        <f>Итоговая!C409</f>
        <v xml:space="preserve">ПС 35/10 кВ Крапивня  </v>
      </c>
      <c r="B165" s="234">
        <f>Итоговая!D409</f>
        <v>2.5</v>
      </c>
      <c r="C165" s="235" t="str">
        <f>Итоговая!E409</f>
        <v>+</v>
      </c>
      <c r="D165" s="235">
        <f>Итоговая!F409</f>
        <v>2.5</v>
      </c>
      <c r="E165" s="235"/>
      <c r="F165" s="236"/>
      <c r="G165" s="1162" t="s">
        <v>14933</v>
      </c>
      <c r="H165" s="1162"/>
      <c r="I165" s="1162"/>
      <c r="J165" s="1162"/>
      <c r="K165" s="1162"/>
      <c r="L165" s="1162"/>
      <c r="M165" s="1162"/>
      <c r="N165" s="215"/>
      <c r="O165" s="215"/>
      <c r="P165" s="215"/>
      <c r="Q165" s="215"/>
      <c r="R165" s="216"/>
      <c r="S165" s="215"/>
      <c r="T165" s="217"/>
    </row>
    <row r="166" spans="1:20" ht="15" customHeight="1" x14ac:dyDescent="0.25">
      <c r="A166" s="218"/>
      <c r="B166" s="237"/>
      <c r="C166" s="238"/>
      <c r="D166" s="238"/>
      <c r="E166" s="238"/>
      <c r="F166" s="239"/>
      <c r="G166" s="272" t="s">
        <v>17634</v>
      </c>
      <c r="H166" s="272" t="s">
        <v>17635</v>
      </c>
      <c r="I166" s="272" t="s">
        <v>17636</v>
      </c>
      <c r="J166" s="273"/>
      <c r="K166" s="240">
        <f>(0.085-0.015)*0.9</f>
        <v>6.3000000000000014E-2</v>
      </c>
      <c r="L166" s="263"/>
      <c r="M166" s="240"/>
      <c r="N166" s="206"/>
      <c r="O166" s="206"/>
      <c r="P166" s="206"/>
      <c r="Q166" s="206"/>
      <c r="R166" s="205"/>
      <c r="S166" s="206"/>
      <c r="T166" s="241"/>
    </row>
    <row r="167" spans="1:20" ht="15" customHeight="1" x14ac:dyDescent="0.25">
      <c r="A167" s="218"/>
      <c r="B167" s="237"/>
      <c r="C167" s="238"/>
      <c r="D167" s="238"/>
      <c r="E167" s="238"/>
      <c r="F167" s="239"/>
      <c r="G167" s="1157" t="s">
        <v>2264</v>
      </c>
      <c r="H167" s="1157"/>
      <c r="I167" s="1157"/>
      <c r="J167" s="994">
        <f>0.118*0.9</f>
        <v>0.1062</v>
      </c>
      <c r="K167" s="995"/>
      <c r="L167" s="263"/>
      <c r="M167" s="240"/>
      <c r="N167" s="206"/>
      <c r="O167" s="206"/>
      <c r="P167" s="206"/>
      <c r="Q167" s="206"/>
      <c r="R167" s="205"/>
      <c r="S167" s="206"/>
      <c r="T167" s="241"/>
    </row>
    <row r="168" spans="1:20" ht="15" customHeight="1" x14ac:dyDescent="0.25">
      <c r="A168" s="218"/>
      <c r="B168" s="237"/>
      <c r="C168" s="238"/>
      <c r="D168" s="238"/>
      <c r="E168" s="238"/>
      <c r="F168" s="239"/>
      <c r="G168" s="1161" t="s">
        <v>18518</v>
      </c>
      <c r="H168" s="1161"/>
      <c r="I168" s="1161"/>
      <c r="J168" s="1161"/>
      <c r="K168" s="1161"/>
      <c r="L168" s="1161"/>
      <c r="M168" s="1161"/>
      <c r="N168" s="232"/>
      <c r="O168" s="232"/>
      <c r="P168" s="232"/>
      <c r="Q168" s="232"/>
      <c r="R168" s="230"/>
      <c r="S168" s="232"/>
      <c r="T168" s="259"/>
    </row>
    <row r="169" spans="1:20" ht="15" customHeight="1" x14ac:dyDescent="0.25">
      <c r="A169" s="218"/>
      <c r="B169" s="237"/>
      <c r="C169" s="238"/>
      <c r="D169" s="238"/>
      <c r="E169" s="238"/>
      <c r="F169" s="239"/>
      <c r="G169" s="263" t="s">
        <v>19023</v>
      </c>
      <c r="H169" s="263" t="s">
        <v>19024</v>
      </c>
      <c r="I169" s="263">
        <v>41126821</v>
      </c>
      <c r="J169" s="240">
        <f>0.1*0.9</f>
        <v>9.0000000000000011E-2</v>
      </c>
      <c r="K169" s="240"/>
      <c r="L169" s="269"/>
      <c r="M169" s="269"/>
      <c r="N169" s="232"/>
      <c r="O169" s="232"/>
      <c r="P169" s="232"/>
      <c r="Q169" s="232"/>
      <c r="R169" s="230"/>
      <c r="S169" s="232"/>
      <c r="T169" s="259"/>
    </row>
    <row r="170" spans="1:20" ht="15" customHeight="1" x14ac:dyDescent="0.25">
      <c r="A170" s="218"/>
      <c r="B170" s="237"/>
      <c r="C170" s="238"/>
      <c r="D170" s="238"/>
      <c r="E170" s="238"/>
      <c r="F170" s="239"/>
      <c r="G170" s="1157" t="s">
        <v>2262</v>
      </c>
      <c r="H170" s="1157"/>
      <c r="I170" s="1157"/>
      <c r="J170" s="994">
        <f>0.027*0.9*0.6</f>
        <v>1.4579999999999999E-2</v>
      </c>
      <c r="K170" s="995"/>
      <c r="L170" s="728"/>
      <c r="M170" s="718"/>
      <c r="N170" s="232"/>
      <c r="O170" s="232"/>
      <c r="P170" s="232"/>
      <c r="Q170" s="232"/>
      <c r="R170" s="230"/>
      <c r="S170" s="232"/>
      <c r="T170" s="259"/>
    </row>
    <row r="171" spans="1:20" ht="15" customHeight="1" x14ac:dyDescent="0.25">
      <c r="A171" s="798"/>
      <c r="B171" s="797"/>
      <c r="C171" s="796"/>
      <c r="D171" s="796"/>
      <c r="E171" s="796"/>
      <c r="F171" s="799"/>
      <c r="G171" s="1161" t="s">
        <v>19719</v>
      </c>
      <c r="H171" s="1161"/>
      <c r="I171" s="1161"/>
      <c r="J171" s="1161"/>
      <c r="K171" s="1161"/>
      <c r="L171" s="1161"/>
      <c r="M171" s="1161"/>
      <c r="N171" s="787"/>
      <c r="O171" s="787"/>
      <c r="P171" s="787"/>
      <c r="Q171" s="787"/>
      <c r="R171" s="788"/>
      <c r="S171" s="787"/>
      <c r="T171" s="259"/>
    </row>
    <row r="172" spans="1:20" ht="15" customHeight="1" x14ac:dyDescent="0.25">
      <c r="A172" s="798"/>
      <c r="B172" s="797"/>
      <c r="C172" s="796"/>
      <c r="D172" s="796"/>
      <c r="E172" s="796"/>
      <c r="F172" s="799"/>
      <c r="G172" s="793" t="s">
        <v>19786</v>
      </c>
      <c r="H172" s="793" t="s">
        <v>19787</v>
      </c>
      <c r="I172" s="793" t="s">
        <v>19788</v>
      </c>
      <c r="J172" s="519">
        <f>0.056*0.85</f>
        <v>4.7599999999999996E-2</v>
      </c>
      <c r="K172" s="519"/>
      <c r="L172" s="794"/>
      <c r="M172" s="789"/>
      <c r="N172" s="787"/>
      <c r="O172" s="787"/>
      <c r="P172" s="787"/>
      <c r="Q172" s="787"/>
      <c r="R172" s="788"/>
      <c r="S172" s="787"/>
      <c r="T172" s="259"/>
    </row>
    <row r="173" spans="1:20" ht="15" customHeight="1" thickBot="1" x14ac:dyDescent="0.3">
      <c r="A173" s="242"/>
      <c r="B173" s="243"/>
      <c r="C173" s="244"/>
      <c r="D173" s="244"/>
      <c r="E173" s="244"/>
      <c r="F173" s="245"/>
      <c r="G173" s="1032" t="s">
        <v>1199</v>
      </c>
      <c r="H173" s="1032"/>
      <c r="I173" s="1032"/>
      <c r="J173" s="246"/>
      <c r="K173" s="247">
        <f>SUM(J166:K172)</f>
        <v>0.32138</v>
      </c>
      <c r="L173" s="248">
        <v>0.92</v>
      </c>
      <c r="M173" s="247">
        <f>K173/L173</f>
        <v>0.34932608695652173</v>
      </c>
      <c r="N173" s="1032" t="s">
        <v>1199</v>
      </c>
      <c r="O173" s="1032"/>
      <c r="P173" s="1032"/>
      <c r="Q173" s="248"/>
      <c r="R173" s="247">
        <f>SUM(R165)</f>
        <v>0</v>
      </c>
      <c r="S173" s="248">
        <v>0.92</v>
      </c>
      <c r="T173" s="249">
        <f>R173/S173</f>
        <v>0</v>
      </c>
    </row>
    <row r="174" spans="1:20" ht="15" customHeight="1" x14ac:dyDescent="0.25">
      <c r="A174" s="211" t="str">
        <f>Итоговая!C410</f>
        <v xml:space="preserve">ПС 35/10 кВ Светлица  </v>
      </c>
      <c r="B174" s="234">
        <f>Итоговая!D410</f>
        <v>2.5</v>
      </c>
      <c r="C174" s="235" t="str">
        <f>Итоговая!E410</f>
        <v>+</v>
      </c>
      <c r="D174" s="235">
        <f>Итоговая!F410</f>
        <v>2.5</v>
      </c>
      <c r="E174" s="235"/>
      <c r="F174" s="236"/>
      <c r="G174" s="1162" t="s">
        <v>1288</v>
      </c>
      <c r="H174" s="1162"/>
      <c r="I174" s="1162"/>
      <c r="J174" s="1162"/>
      <c r="K174" s="1162"/>
      <c r="L174" s="1162"/>
      <c r="M174" s="1162"/>
      <c r="N174" s="1162" t="s">
        <v>1288</v>
      </c>
      <c r="O174" s="1162"/>
      <c r="P174" s="1162"/>
      <c r="Q174" s="1162"/>
      <c r="R174" s="1162"/>
      <c r="S174" s="1162"/>
      <c r="T174" s="1167"/>
    </row>
    <row r="175" spans="1:20" ht="15" customHeight="1" x14ac:dyDescent="0.25">
      <c r="A175" s="218"/>
      <c r="B175" s="237"/>
      <c r="C175" s="238"/>
      <c r="D175" s="238"/>
      <c r="E175" s="238"/>
      <c r="F175" s="239"/>
      <c r="G175" s="206" t="s">
        <v>1051</v>
      </c>
      <c r="H175" s="206" t="s">
        <v>1052</v>
      </c>
      <c r="I175" s="206" t="s">
        <v>1053</v>
      </c>
      <c r="J175" s="205"/>
      <c r="K175" s="205">
        <v>0.05</v>
      </c>
      <c r="L175" s="206"/>
      <c r="M175" s="240"/>
      <c r="N175" s="277" t="s">
        <v>1049</v>
      </c>
      <c r="O175" s="277" t="s">
        <v>1050</v>
      </c>
      <c r="P175" s="277" t="s">
        <v>1658</v>
      </c>
      <c r="Q175" s="277"/>
      <c r="R175" s="279">
        <v>0.2</v>
      </c>
      <c r="S175" s="277"/>
      <c r="T175" s="280"/>
    </row>
    <row r="176" spans="1:20" ht="15" customHeight="1" x14ac:dyDescent="0.25">
      <c r="A176" s="218"/>
      <c r="B176" s="237"/>
      <c r="C176" s="238"/>
      <c r="D176" s="238"/>
      <c r="E176" s="238"/>
      <c r="F176" s="239"/>
      <c r="G176" s="1161" t="s">
        <v>2011</v>
      </c>
      <c r="H176" s="1161"/>
      <c r="I176" s="1161"/>
      <c r="J176" s="1161"/>
      <c r="K176" s="1161"/>
      <c r="L176" s="1161"/>
      <c r="M176" s="1161"/>
      <c r="N176" s="206"/>
      <c r="O176" s="206"/>
      <c r="P176" s="206"/>
      <c r="Q176" s="206"/>
      <c r="R176" s="205"/>
      <c r="S176" s="206"/>
      <c r="T176" s="241"/>
    </row>
    <row r="177" spans="1:20" ht="15" customHeight="1" x14ac:dyDescent="0.25">
      <c r="A177" s="218"/>
      <c r="B177" s="237"/>
      <c r="C177" s="238"/>
      <c r="D177" s="238"/>
      <c r="E177" s="238"/>
      <c r="F177" s="239"/>
      <c r="G177" s="206" t="s">
        <v>2122</v>
      </c>
      <c r="H177" s="206" t="s">
        <v>2123</v>
      </c>
      <c r="I177" s="206" t="s">
        <v>2150</v>
      </c>
      <c r="J177" s="205"/>
      <c r="K177" s="205">
        <f>0.045*0.75</f>
        <v>3.3750000000000002E-2</v>
      </c>
      <c r="L177" s="206"/>
      <c r="M177" s="240"/>
      <c r="N177" s="206"/>
      <c r="O177" s="206"/>
      <c r="P177" s="206"/>
      <c r="Q177" s="206"/>
      <c r="R177" s="205"/>
      <c r="S177" s="206"/>
      <c r="T177" s="241"/>
    </row>
    <row r="178" spans="1:20" ht="15" customHeight="1" x14ac:dyDescent="0.25">
      <c r="A178" s="218"/>
      <c r="B178" s="237"/>
      <c r="C178" s="238"/>
      <c r="D178" s="238"/>
      <c r="E178" s="238"/>
      <c r="F178" s="239"/>
      <c r="G178" s="1161" t="s">
        <v>14933</v>
      </c>
      <c r="H178" s="1161"/>
      <c r="I178" s="1161"/>
      <c r="J178" s="1161"/>
      <c r="K178" s="1161"/>
      <c r="L178" s="1161"/>
      <c r="M178" s="1161"/>
      <c r="N178" s="206"/>
      <c r="O178" s="206"/>
      <c r="P178" s="206"/>
      <c r="Q178" s="206"/>
      <c r="R178" s="205"/>
      <c r="S178" s="206"/>
      <c r="T178" s="241"/>
    </row>
    <row r="179" spans="1:20" ht="15" customHeight="1" x14ac:dyDescent="0.25">
      <c r="A179" s="218"/>
      <c r="B179" s="237"/>
      <c r="C179" s="238"/>
      <c r="D179" s="238"/>
      <c r="E179" s="238"/>
      <c r="F179" s="239"/>
      <c r="G179" s="272" t="s">
        <v>17346</v>
      </c>
      <c r="H179" s="272" t="s">
        <v>17347</v>
      </c>
      <c r="I179" s="272" t="s">
        <v>17348</v>
      </c>
      <c r="J179" s="273"/>
      <c r="K179" s="240">
        <f>0.7*0.15</f>
        <v>0.105</v>
      </c>
      <c r="L179" s="263"/>
      <c r="M179" s="240"/>
      <c r="N179" s="206"/>
      <c r="O179" s="206"/>
      <c r="P179" s="206"/>
      <c r="Q179" s="206"/>
      <c r="R179" s="205"/>
      <c r="S179" s="206"/>
      <c r="T179" s="241"/>
    </row>
    <row r="180" spans="1:20" ht="15" customHeight="1" x14ac:dyDescent="0.25">
      <c r="A180" s="218"/>
      <c r="B180" s="237"/>
      <c r="C180" s="238"/>
      <c r="D180" s="238"/>
      <c r="E180" s="238"/>
      <c r="F180" s="239"/>
      <c r="G180" s="1157" t="s">
        <v>2264</v>
      </c>
      <c r="H180" s="1157"/>
      <c r="I180" s="1157"/>
      <c r="J180" s="994">
        <f>0.219*0.9*0.6</f>
        <v>0.11825999999999999</v>
      </c>
      <c r="K180" s="995"/>
      <c r="L180" s="263"/>
      <c r="M180" s="240"/>
      <c r="N180" s="206"/>
      <c r="O180" s="206"/>
      <c r="P180" s="206"/>
      <c r="Q180" s="206"/>
      <c r="R180" s="205"/>
      <c r="S180" s="206"/>
      <c r="T180" s="241"/>
    </row>
    <row r="181" spans="1:20" ht="15" customHeight="1" x14ac:dyDescent="0.25">
      <c r="A181" s="218"/>
      <c r="B181" s="237"/>
      <c r="C181" s="238"/>
      <c r="D181" s="238"/>
      <c r="E181" s="238"/>
      <c r="F181" s="239"/>
      <c r="G181" s="1161" t="s">
        <v>18518</v>
      </c>
      <c r="H181" s="1161"/>
      <c r="I181" s="1161"/>
      <c r="J181" s="1161"/>
      <c r="K181" s="1161"/>
      <c r="L181" s="1161"/>
      <c r="M181" s="1161"/>
      <c r="N181" s="232"/>
      <c r="O181" s="232"/>
      <c r="P181" s="232"/>
      <c r="Q181" s="232"/>
      <c r="R181" s="230"/>
      <c r="S181" s="232"/>
      <c r="T181" s="259"/>
    </row>
    <row r="182" spans="1:20" ht="15" customHeight="1" x14ac:dyDescent="0.25">
      <c r="A182" s="218"/>
      <c r="B182" s="237"/>
      <c r="C182" s="238"/>
      <c r="D182" s="238"/>
      <c r="E182" s="238"/>
      <c r="F182" s="239"/>
      <c r="G182" s="1157" t="s">
        <v>2262</v>
      </c>
      <c r="H182" s="1157"/>
      <c r="I182" s="1157"/>
      <c r="J182" s="994">
        <f>0.217*0.9*0.6</f>
        <v>0.11717999999999999</v>
      </c>
      <c r="K182" s="995"/>
      <c r="L182" s="728"/>
      <c r="M182" s="718"/>
      <c r="N182" s="232"/>
      <c r="O182" s="232"/>
      <c r="P182" s="232"/>
      <c r="Q182" s="232"/>
      <c r="R182" s="230"/>
      <c r="S182" s="232"/>
      <c r="T182" s="259"/>
    </row>
    <row r="183" spans="1:20" ht="15" customHeight="1" thickBot="1" x14ac:dyDescent="0.3">
      <c r="A183" s="242"/>
      <c r="B183" s="243"/>
      <c r="C183" s="244"/>
      <c r="D183" s="244"/>
      <c r="E183" s="244"/>
      <c r="F183" s="245"/>
      <c r="G183" s="1032" t="s">
        <v>1199</v>
      </c>
      <c r="H183" s="1032"/>
      <c r="I183" s="1032"/>
      <c r="J183" s="246"/>
      <c r="K183" s="247">
        <f>SUM(J179:K182)</f>
        <v>0.34043999999999996</v>
      </c>
      <c r="L183" s="248">
        <v>0.92</v>
      </c>
      <c r="M183" s="247">
        <f>K183/L183</f>
        <v>0.37004347826086953</v>
      </c>
      <c r="N183" s="1032" t="s">
        <v>1199</v>
      </c>
      <c r="O183" s="1032"/>
      <c r="P183" s="1032"/>
      <c r="Q183" s="248"/>
      <c r="R183" s="247">
        <f>SUM(R175:R177)</f>
        <v>0.2</v>
      </c>
      <c r="S183" s="248">
        <v>0.92</v>
      </c>
      <c r="T183" s="249">
        <f>R183/S183</f>
        <v>0.21739130434782608</v>
      </c>
    </row>
    <row r="184" spans="1:20" ht="15" customHeight="1" x14ac:dyDescent="0.25">
      <c r="A184" s="211" t="str">
        <f>Итоговая!C411</f>
        <v xml:space="preserve">ПС  110/6 кВ КС-20  </v>
      </c>
      <c r="B184" s="234">
        <f>Итоговая!D411</f>
        <v>63</v>
      </c>
      <c r="C184" s="235" t="str">
        <f>Итоговая!E411</f>
        <v>+</v>
      </c>
      <c r="D184" s="235">
        <f>Итоговая!F411</f>
        <v>63</v>
      </c>
      <c r="E184" s="235"/>
      <c r="F184" s="236"/>
      <c r="G184" s="215"/>
      <c r="H184" s="215"/>
      <c r="I184" s="215"/>
      <c r="J184" s="216"/>
      <c r="K184" s="216"/>
      <c r="L184" s="215"/>
      <c r="M184" s="264"/>
      <c r="N184" s="215"/>
      <c r="O184" s="215"/>
      <c r="P184" s="215"/>
      <c r="Q184" s="215"/>
      <c r="R184" s="216"/>
      <c r="S184" s="215"/>
      <c r="T184" s="217"/>
    </row>
    <row r="185" spans="1:20" ht="15" customHeight="1" thickBot="1" x14ac:dyDescent="0.3">
      <c r="A185" s="242"/>
      <c r="B185" s="243"/>
      <c r="C185" s="244"/>
      <c r="D185" s="244"/>
      <c r="E185" s="244"/>
      <c r="F185" s="245"/>
      <c r="G185" s="1032" t="s">
        <v>1199</v>
      </c>
      <c r="H185" s="1032"/>
      <c r="I185" s="1032"/>
      <c r="J185" s="246"/>
      <c r="K185" s="247">
        <f>SUM(K184:K184)</f>
        <v>0</v>
      </c>
      <c r="L185" s="248">
        <v>0.92</v>
      </c>
      <c r="M185" s="247">
        <f>K185/L185</f>
        <v>0</v>
      </c>
      <c r="N185" s="1032" t="s">
        <v>1199</v>
      </c>
      <c r="O185" s="1032"/>
      <c r="P185" s="1032"/>
      <c r="Q185" s="248"/>
      <c r="R185" s="247">
        <f>SUM(R184:R184)</f>
        <v>0</v>
      </c>
      <c r="S185" s="248">
        <v>0.92</v>
      </c>
      <c r="T185" s="249">
        <f>R185/S185</f>
        <v>0</v>
      </c>
    </row>
    <row r="186" spans="1:20" ht="15" customHeight="1" x14ac:dyDescent="0.25">
      <c r="A186" s="1116" t="str">
        <f>Итоговая!C412</f>
        <v xml:space="preserve">ПС 110/10 кВ  Полиграфкраски </v>
      </c>
      <c r="B186" s="234">
        <f>Итоговая!D412</f>
        <v>10</v>
      </c>
      <c r="C186" s="235" t="str">
        <f>Итоговая!E412</f>
        <v>+</v>
      </c>
      <c r="D186" s="235">
        <f>Итоговая!F412</f>
        <v>10</v>
      </c>
      <c r="E186" s="235"/>
      <c r="F186" s="236"/>
      <c r="G186" s="1162" t="s">
        <v>1740</v>
      </c>
      <c r="H186" s="1162"/>
      <c r="I186" s="1162"/>
      <c r="J186" s="1162"/>
      <c r="K186" s="1162"/>
      <c r="L186" s="1162"/>
      <c r="M186" s="1162"/>
      <c r="N186" s="1161" t="s">
        <v>2290</v>
      </c>
      <c r="O186" s="1161"/>
      <c r="P186" s="1161"/>
      <c r="Q186" s="1161"/>
      <c r="R186" s="1161"/>
      <c r="S186" s="1161"/>
      <c r="T186" s="1161"/>
    </row>
    <row r="187" spans="1:20" ht="15" customHeight="1" x14ac:dyDescent="0.25">
      <c r="A187" s="1117"/>
      <c r="B187" s="237"/>
      <c r="C187" s="238"/>
      <c r="D187" s="238"/>
      <c r="E187" s="238"/>
      <c r="F187" s="239"/>
      <c r="G187" s="206" t="s">
        <v>1886</v>
      </c>
      <c r="H187" s="206" t="s">
        <v>1887</v>
      </c>
      <c r="I187" s="206" t="s">
        <v>1894</v>
      </c>
      <c r="J187" s="205"/>
      <c r="K187" s="205">
        <v>0.4</v>
      </c>
      <c r="L187" s="206"/>
      <c r="M187" s="240"/>
      <c r="N187" s="724" t="s">
        <v>13407</v>
      </c>
      <c r="O187" s="724" t="s">
        <v>13408</v>
      </c>
      <c r="P187" s="724" t="s">
        <v>14882</v>
      </c>
      <c r="Q187" s="205"/>
      <c r="R187" s="205">
        <f>0.835*0.9</f>
        <v>0.75149999999999995</v>
      </c>
      <c r="S187" s="724"/>
      <c r="T187" s="519"/>
    </row>
    <row r="188" spans="1:20" ht="15" customHeight="1" x14ac:dyDescent="0.25">
      <c r="A188" s="218"/>
      <c r="B188" s="237"/>
      <c r="C188" s="238"/>
      <c r="D188" s="238"/>
      <c r="E188" s="238"/>
      <c r="F188" s="239"/>
      <c r="G188" s="1161" t="s">
        <v>2011</v>
      </c>
      <c r="H188" s="1161"/>
      <c r="I188" s="1161"/>
      <c r="J188" s="1161"/>
      <c r="K188" s="1161"/>
      <c r="L188" s="1161"/>
      <c r="M188" s="1161"/>
      <c r="N188" s="1161" t="s">
        <v>14933</v>
      </c>
      <c r="O188" s="1161"/>
      <c r="P188" s="1161"/>
      <c r="Q188" s="1161"/>
      <c r="R188" s="1161"/>
      <c r="S188" s="1161"/>
      <c r="T188" s="1161"/>
    </row>
    <row r="189" spans="1:20" ht="15" customHeight="1" x14ac:dyDescent="0.25">
      <c r="A189" s="218"/>
      <c r="B189" s="237"/>
      <c r="C189" s="238"/>
      <c r="D189" s="238"/>
      <c r="E189" s="238"/>
      <c r="F189" s="239"/>
      <c r="G189" s="206" t="s">
        <v>2228</v>
      </c>
      <c r="H189" s="206" t="s">
        <v>2229</v>
      </c>
      <c r="I189" s="206" t="s">
        <v>2238</v>
      </c>
      <c r="J189" s="205"/>
      <c r="K189" s="205">
        <v>1.4999999999999999E-2</v>
      </c>
      <c r="L189" s="206"/>
      <c r="M189" s="240"/>
      <c r="N189" s="724" t="s">
        <v>17361</v>
      </c>
      <c r="O189" s="724" t="s">
        <v>18188</v>
      </c>
      <c r="P189" s="724" t="s">
        <v>18189</v>
      </c>
      <c r="Q189" s="724"/>
      <c r="R189" s="205">
        <v>0.13220000000000001</v>
      </c>
      <c r="S189" s="724"/>
      <c r="T189" s="241"/>
    </row>
    <row r="190" spans="1:20" ht="15" customHeight="1" x14ac:dyDescent="0.25">
      <c r="A190" s="218"/>
      <c r="B190" s="237"/>
      <c r="C190" s="238"/>
      <c r="D190" s="238"/>
      <c r="E190" s="238"/>
      <c r="F190" s="239"/>
      <c r="G190" s="206" t="s">
        <v>2128</v>
      </c>
      <c r="H190" s="206" t="s">
        <v>2286</v>
      </c>
      <c r="I190" s="206" t="s">
        <v>13379</v>
      </c>
      <c r="J190" s="205"/>
      <c r="K190" s="205">
        <v>0.11</v>
      </c>
      <c r="L190" s="206"/>
      <c r="M190" s="240"/>
      <c r="N190" s="206"/>
      <c r="O190" s="206"/>
      <c r="P190" s="206"/>
      <c r="Q190" s="206"/>
      <c r="R190" s="205"/>
      <c r="S190" s="206"/>
      <c r="T190" s="241"/>
    </row>
    <row r="191" spans="1:20" ht="15" customHeight="1" x14ac:dyDescent="0.25">
      <c r="A191" s="218"/>
      <c r="B191" s="237"/>
      <c r="C191" s="238"/>
      <c r="D191" s="238"/>
      <c r="E191" s="238"/>
      <c r="F191" s="239"/>
      <c r="G191" s="1161" t="s">
        <v>2290</v>
      </c>
      <c r="H191" s="1161"/>
      <c r="I191" s="1161"/>
      <c r="J191" s="1161"/>
      <c r="K191" s="1161"/>
      <c r="L191" s="1161"/>
      <c r="M191" s="1161"/>
      <c r="N191" s="206"/>
      <c r="O191" s="206"/>
      <c r="P191" s="206"/>
      <c r="Q191" s="206"/>
      <c r="R191" s="205"/>
      <c r="S191" s="206"/>
      <c r="T191" s="241"/>
    </row>
    <row r="192" spans="1:20" ht="15" customHeight="1" x14ac:dyDescent="0.25">
      <c r="A192" s="218"/>
      <c r="B192" s="237"/>
      <c r="C192" s="238"/>
      <c r="D192" s="238"/>
      <c r="E192" s="238"/>
      <c r="F192" s="239"/>
      <c r="G192" s="206" t="s">
        <v>2230</v>
      </c>
      <c r="H192" s="206" t="s">
        <v>2231</v>
      </c>
      <c r="I192" s="206" t="s">
        <v>2294</v>
      </c>
      <c r="J192" s="205"/>
      <c r="K192" s="205">
        <f>0.028*0.15</f>
        <v>4.1999999999999997E-3</v>
      </c>
      <c r="L192" s="206"/>
      <c r="M192" s="240"/>
      <c r="N192" s="206"/>
      <c r="O192" s="206"/>
      <c r="P192" s="206"/>
      <c r="Q192" s="206"/>
      <c r="R192" s="205"/>
      <c r="S192" s="206"/>
      <c r="T192" s="241"/>
    </row>
    <row r="193" spans="1:20" ht="15" customHeight="1" x14ac:dyDescent="0.25">
      <c r="A193" s="218"/>
      <c r="B193" s="237"/>
      <c r="C193" s="238"/>
      <c r="D193" s="238"/>
      <c r="E193" s="238"/>
      <c r="F193" s="239"/>
      <c r="G193" s="206" t="s">
        <v>2340</v>
      </c>
      <c r="H193" s="206" t="s">
        <v>2341</v>
      </c>
      <c r="I193" s="206" t="s">
        <v>2410</v>
      </c>
      <c r="J193" s="205"/>
      <c r="K193" s="205">
        <f>0.05*0.15</f>
        <v>7.4999999999999997E-3</v>
      </c>
      <c r="L193" s="206"/>
      <c r="M193" s="240"/>
      <c r="N193" s="206"/>
      <c r="O193" s="206"/>
      <c r="P193" s="206"/>
      <c r="Q193" s="206"/>
      <c r="R193" s="205"/>
      <c r="S193" s="206"/>
      <c r="T193" s="241"/>
    </row>
    <row r="194" spans="1:20" ht="15" customHeight="1" x14ac:dyDescent="0.25">
      <c r="A194" s="218"/>
      <c r="B194" s="237"/>
      <c r="C194" s="238"/>
      <c r="D194" s="238"/>
      <c r="E194" s="238"/>
      <c r="F194" s="239"/>
      <c r="G194" s="1161" t="s">
        <v>14933</v>
      </c>
      <c r="H194" s="1161"/>
      <c r="I194" s="1161"/>
      <c r="J194" s="1161"/>
      <c r="K194" s="1161"/>
      <c r="L194" s="1161"/>
      <c r="M194" s="1161"/>
      <c r="N194" s="206"/>
      <c r="O194" s="206"/>
      <c r="P194" s="206"/>
      <c r="Q194" s="206"/>
      <c r="R194" s="205"/>
      <c r="S194" s="206"/>
      <c r="T194" s="241"/>
    </row>
    <row r="195" spans="1:20" ht="15" customHeight="1" x14ac:dyDescent="0.25">
      <c r="A195" s="218"/>
      <c r="B195" s="237"/>
      <c r="C195" s="238"/>
      <c r="D195" s="238"/>
      <c r="E195" s="238"/>
      <c r="F195" s="239"/>
      <c r="G195" s="206" t="s">
        <v>14921</v>
      </c>
      <c r="H195" s="206" t="s">
        <v>14922</v>
      </c>
      <c r="I195" s="206" t="s">
        <v>14983</v>
      </c>
      <c r="J195" s="205"/>
      <c r="K195" s="205">
        <f>0.03*0.9</f>
        <v>2.7E-2</v>
      </c>
      <c r="L195" s="206"/>
      <c r="M195" s="240"/>
      <c r="N195" s="206"/>
      <c r="O195" s="206"/>
      <c r="P195" s="206"/>
      <c r="Q195" s="206"/>
      <c r="R195" s="205"/>
      <c r="S195" s="206"/>
      <c r="T195" s="241"/>
    </row>
    <row r="196" spans="1:20" ht="15" customHeight="1" x14ac:dyDescent="0.25">
      <c r="A196" s="218"/>
      <c r="B196" s="237"/>
      <c r="C196" s="238"/>
      <c r="D196" s="238"/>
      <c r="E196" s="238"/>
      <c r="F196" s="239"/>
      <c r="G196" s="206" t="s">
        <v>13409</v>
      </c>
      <c r="H196" s="206" t="s">
        <v>17408</v>
      </c>
      <c r="I196" s="206" t="s">
        <v>17409</v>
      </c>
      <c r="J196" s="205"/>
      <c r="K196" s="205">
        <f>0.025*0.9</f>
        <v>2.2500000000000003E-2</v>
      </c>
      <c r="L196" s="206"/>
      <c r="M196" s="240"/>
      <c r="N196" s="206"/>
      <c r="O196" s="206"/>
      <c r="P196" s="206"/>
      <c r="Q196" s="206"/>
      <c r="R196" s="205"/>
      <c r="S196" s="206"/>
      <c r="T196" s="241"/>
    </row>
    <row r="197" spans="1:20" ht="15" customHeight="1" x14ac:dyDescent="0.25">
      <c r="A197" s="218"/>
      <c r="B197" s="237"/>
      <c r="C197" s="238"/>
      <c r="D197" s="238"/>
      <c r="E197" s="238"/>
      <c r="F197" s="239"/>
      <c r="G197" s="1157" t="s">
        <v>2264</v>
      </c>
      <c r="H197" s="1157"/>
      <c r="I197" s="1157"/>
      <c r="J197" s="994">
        <f>0.107*0.9</f>
        <v>9.6299999999999997E-2</v>
      </c>
      <c r="K197" s="995"/>
      <c r="L197" s="206"/>
      <c r="M197" s="240"/>
      <c r="N197" s="206"/>
      <c r="O197" s="206"/>
      <c r="P197" s="206"/>
      <c r="Q197" s="206"/>
      <c r="R197" s="205"/>
      <c r="S197" s="206"/>
      <c r="T197" s="241"/>
    </row>
    <row r="198" spans="1:20" ht="15" customHeight="1" x14ac:dyDescent="0.25">
      <c r="A198" s="218"/>
      <c r="B198" s="237"/>
      <c r="C198" s="238"/>
      <c r="D198" s="238"/>
      <c r="E198" s="238"/>
      <c r="F198" s="239"/>
      <c r="G198" s="263" t="s">
        <v>17494</v>
      </c>
      <c r="H198" s="263" t="s">
        <v>17495</v>
      </c>
      <c r="I198" s="263" t="s">
        <v>17496</v>
      </c>
      <c r="J198" s="240"/>
      <c r="K198" s="240">
        <f>(0.055-0.015)*0.15</f>
        <v>6.0000000000000001E-3</v>
      </c>
      <c r="L198" s="263"/>
      <c r="M198" s="240"/>
      <c r="N198" s="206"/>
      <c r="O198" s="206"/>
      <c r="P198" s="206"/>
      <c r="Q198" s="206"/>
      <c r="R198" s="205"/>
      <c r="S198" s="206"/>
      <c r="T198" s="241"/>
    </row>
    <row r="199" spans="1:20" ht="15" customHeight="1" x14ac:dyDescent="0.25">
      <c r="A199" s="218"/>
      <c r="B199" s="237"/>
      <c r="C199" s="238"/>
      <c r="D199" s="238"/>
      <c r="E199" s="238"/>
      <c r="F199" s="239"/>
      <c r="G199" s="1161" t="s">
        <v>18518</v>
      </c>
      <c r="H199" s="1161"/>
      <c r="I199" s="1161"/>
      <c r="J199" s="1161"/>
      <c r="K199" s="1161"/>
      <c r="L199" s="1161"/>
      <c r="M199" s="1161"/>
      <c r="N199" s="232"/>
      <c r="O199" s="232"/>
      <c r="P199" s="232"/>
      <c r="Q199" s="232"/>
      <c r="R199" s="230"/>
      <c r="S199" s="232"/>
      <c r="T199" s="259"/>
    </row>
    <row r="200" spans="1:20" ht="15" customHeight="1" x14ac:dyDescent="0.25">
      <c r="A200" s="218"/>
      <c r="B200" s="237"/>
      <c r="C200" s="238"/>
      <c r="D200" s="238"/>
      <c r="E200" s="238"/>
      <c r="F200" s="239"/>
      <c r="G200" s="263" t="s">
        <v>19251</v>
      </c>
      <c r="H200" s="263" t="s">
        <v>19252</v>
      </c>
      <c r="I200" s="263" t="s">
        <v>19253</v>
      </c>
      <c r="J200" s="240">
        <f>0.025*0.9</f>
        <v>2.2500000000000003E-2</v>
      </c>
      <c r="K200" s="240"/>
      <c r="L200" s="269"/>
      <c r="M200" s="269"/>
      <c r="N200" s="232"/>
      <c r="O200" s="232"/>
      <c r="P200" s="232"/>
      <c r="Q200" s="232"/>
      <c r="R200" s="230"/>
      <c r="S200" s="232"/>
      <c r="T200" s="259"/>
    </row>
    <row r="201" spans="1:20" ht="15" customHeight="1" x14ac:dyDescent="0.25">
      <c r="A201" s="218"/>
      <c r="B201" s="237"/>
      <c r="C201" s="238"/>
      <c r="D201" s="238"/>
      <c r="E201" s="238"/>
      <c r="F201" s="239"/>
      <c r="G201" s="1157" t="s">
        <v>2262</v>
      </c>
      <c r="H201" s="1157"/>
      <c r="I201" s="1157"/>
      <c r="J201" s="994">
        <f>0.195*0.9*0.6</f>
        <v>0.1053</v>
      </c>
      <c r="K201" s="995"/>
      <c r="L201" s="728"/>
      <c r="M201" s="718"/>
      <c r="N201" s="232"/>
      <c r="O201" s="232"/>
      <c r="P201" s="232"/>
      <c r="Q201" s="232"/>
      <c r="R201" s="230"/>
      <c r="S201" s="232"/>
      <c r="T201" s="259"/>
    </row>
    <row r="202" spans="1:20" ht="15" customHeight="1" thickBot="1" x14ac:dyDescent="0.3">
      <c r="A202" s="242"/>
      <c r="B202" s="243"/>
      <c r="C202" s="244"/>
      <c r="D202" s="244"/>
      <c r="E202" s="244"/>
      <c r="F202" s="245"/>
      <c r="G202" s="1032" t="s">
        <v>1199</v>
      </c>
      <c r="H202" s="1032"/>
      <c r="I202" s="1032"/>
      <c r="J202" s="246"/>
      <c r="K202" s="247">
        <f>SUM(J195:K201)</f>
        <v>0.27959999999999996</v>
      </c>
      <c r="L202" s="248">
        <v>0.92</v>
      </c>
      <c r="M202" s="247">
        <f>K202/L202</f>
        <v>0.30391304347826081</v>
      </c>
      <c r="N202" s="1032" t="s">
        <v>1199</v>
      </c>
      <c r="O202" s="1032"/>
      <c r="P202" s="1032"/>
      <c r="Q202" s="248"/>
      <c r="R202" s="247">
        <f>SUM(R186:R198)</f>
        <v>0.88369999999999993</v>
      </c>
      <c r="S202" s="248">
        <v>0.92</v>
      </c>
      <c r="T202" s="249">
        <f>R202/S202</f>
        <v>0.9605434782608695</v>
      </c>
    </row>
    <row r="203" spans="1:20" s="301" customFormat="1" ht="15" customHeight="1" x14ac:dyDescent="0.25">
      <c r="A203" s="211" t="str">
        <f>Итоговая!C413</f>
        <v xml:space="preserve">ПС 110/10 кВ НПС Торжок </v>
      </c>
      <c r="B203" s="234">
        <f>Итоговая!D413</f>
        <v>25</v>
      </c>
      <c r="C203" s="235" t="str">
        <f>Итоговая!E413</f>
        <v>+</v>
      </c>
      <c r="D203" s="235">
        <f>Итоговая!F413</f>
        <v>25</v>
      </c>
      <c r="E203" s="235"/>
      <c r="F203" s="236"/>
      <c r="G203" s="215"/>
      <c r="H203" s="215"/>
      <c r="I203" s="215"/>
      <c r="J203" s="216"/>
      <c r="K203" s="216"/>
      <c r="L203" s="215"/>
      <c r="M203" s="264"/>
      <c r="N203" s="215"/>
      <c r="O203" s="215"/>
      <c r="P203" s="215"/>
      <c r="Q203" s="215"/>
      <c r="R203" s="216"/>
      <c r="S203" s="215"/>
      <c r="T203" s="217"/>
    </row>
    <row r="204" spans="1:20" ht="15" customHeight="1" thickBot="1" x14ac:dyDescent="0.3">
      <c r="A204" s="242"/>
      <c r="B204" s="243"/>
      <c r="C204" s="244"/>
      <c r="D204" s="244"/>
      <c r="E204" s="244"/>
      <c r="F204" s="245"/>
      <c r="G204" s="1032" t="s">
        <v>1199</v>
      </c>
      <c r="H204" s="1032"/>
      <c r="I204" s="1032"/>
      <c r="J204" s="246"/>
      <c r="K204" s="247">
        <f>SUM(K203:K203)</f>
        <v>0</v>
      </c>
      <c r="L204" s="248">
        <v>0.92</v>
      </c>
      <c r="M204" s="247">
        <f>K204/L204</f>
        <v>0</v>
      </c>
      <c r="N204" s="1032" t="s">
        <v>1199</v>
      </c>
      <c r="O204" s="1032"/>
      <c r="P204" s="1032"/>
      <c r="Q204" s="248"/>
      <c r="R204" s="247">
        <f>SUM(R203:R203)</f>
        <v>0</v>
      </c>
      <c r="S204" s="248">
        <v>0.92</v>
      </c>
      <c r="T204" s="249">
        <f>R204/S204</f>
        <v>0</v>
      </c>
    </row>
    <row r="205" spans="1:20" ht="15" customHeight="1" x14ac:dyDescent="0.25">
      <c r="A205" s="211" t="str">
        <f>Итоговая!C414</f>
        <v xml:space="preserve">ПС 110/10 кВ Селихово </v>
      </c>
      <c r="B205" s="234">
        <f>Итоговая!D414</f>
        <v>2.5</v>
      </c>
      <c r="C205" s="235" t="str">
        <f>Итоговая!E414</f>
        <v>+</v>
      </c>
      <c r="D205" s="235">
        <f>Итоговая!F414</f>
        <v>2.5</v>
      </c>
      <c r="E205" s="235"/>
      <c r="F205" s="236"/>
      <c r="G205" s="1168" t="s">
        <v>14933</v>
      </c>
      <c r="H205" s="1168"/>
      <c r="I205" s="1168"/>
      <c r="J205" s="1168"/>
      <c r="K205" s="1168"/>
      <c r="L205" s="1168"/>
      <c r="M205" s="1168"/>
      <c r="N205" s="215"/>
      <c r="O205" s="215"/>
      <c r="P205" s="215"/>
      <c r="Q205" s="215"/>
      <c r="R205" s="216"/>
      <c r="S205" s="215"/>
      <c r="T205" s="217"/>
    </row>
    <row r="206" spans="1:20" ht="15" customHeight="1" x14ac:dyDescent="0.25">
      <c r="A206" s="218"/>
      <c r="B206" s="237"/>
      <c r="C206" s="238"/>
      <c r="D206" s="238"/>
      <c r="E206" s="238"/>
      <c r="F206" s="239"/>
      <c r="G206" s="1157" t="s">
        <v>2264</v>
      </c>
      <c r="H206" s="1157"/>
      <c r="I206" s="1157"/>
      <c r="J206" s="994">
        <f>0.212*0.9</f>
        <v>0.1908</v>
      </c>
      <c r="K206" s="995"/>
      <c r="L206" s="263"/>
      <c r="M206" s="240"/>
      <c r="N206" s="206"/>
      <c r="O206" s="206"/>
      <c r="P206" s="206"/>
      <c r="Q206" s="206"/>
      <c r="R206" s="205"/>
      <c r="S206" s="206"/>
      <c r="T206" s="241"/>
    </row>
    <row r="207" spans="1:20" ht="15" customHeight="1" x14ac:dyDescent="0.25">
      <c r="A207" s="218"/>
      <c r="B207" s="237"/>
      <c r="C207" s="238"/>
      <c r="D207" s="238"/>
      <c r="E207" s="238"/>
      <c r="F207" s="239"/>
      <c r="G207" s="1161" t="s">
        <v>18518</v>
      </c>
      <c r="H207" s="1161"/>
      <c r="I207" s="1161"/>
      <c r="J207" s="1161"/>
      <c r="K207" s="1161"/>
      <c r="L207" s="1161"/>
      <c r="M207" s="1161"/>
      <c r="N207" s="232"/>
      <c r="O207" s="232"/>
      <c r="P207" s="232"/>
      <c r="Q207" s="232"/>
      <c r="R207" s="230"/>
      <c r="S207" s="232"/>
      <c r="T207" s="259"/>
    </row>
    <row r="208" spans="1:20" ht="15" customHeight="1" x14ac:dyDescent="0.25">
      <c r="A208" s="218"/>
      <c r="B208" s="237"/>
      <c r="C208" s="238"/>
      <c r="D208" s="238"/>
      <c r="E208" s="238"/>
      <c r="F208" s="239"/>
      <c r="G208" s="1157" t="s">
        <v>2262</v>
      </c>
      <c r="H208" s="1157"/>
      <c r="I208" s="1157"/>
      <c r="J208" s="994">
        <f>0.1525*0.9</f>
        <v>0.13725000000000001</v>
      </c>
      <c r="K208" s="995"/>
      <c r="L208" s="728"/>
      <c r="M208" s="718"/>
      <c r="N208" s="232"/>
      <c r="O208" s="232"/>
      <c r="P208" s="232"/>
      <c r="Q208" s="232"/>
      <c r="R208" s="230"/>
      <c r="S208" s="232"/>
      <c r="T208" s="259"/>
    </row>
    <row r="209" spans="1:20" ht="15" customHeight="1" thickBot="1" x14ac:dyDescent="0.3">
      <c r="A209" s="242"/>
      <c r="B209" s="243"/>
      <c r="C209" s="244"/>
      <c r="D209" s="244"/>
      <c r="E209" s="244"/>
      <c r="F209" s="245"/>
      <c r="G209" s="1032" t="s">
        <v>1199</v>
      </c>
      <c r="H209" s="1032"/>
      <c r="I209" s="1032"/>
      <c r="J209" s="246"/>
      <c r="K209" s="247">
        <f>SUM(J206:K208)</f>
        <v>0.32805000000000001</v>
      </c>
      <c r="L209" s="248">
        <v>0.92</v>
      </c>
      <c r="M209" s="247">
        <f>K209/L209</f>
        <v>0.35657608695652171</v>
      </c>
      <c r="N209" s="1032" t="s">
        <v>1199</v>
      </c>
      <c r="O209" s="1032"/>
      <c r="P209" s="1032"/>
      <c r="Q209" s="248"/>
      <c r="R209" s="247">
        <f>SUM(R205:R205)</f>
        <v>0</v>
      </c>
      <c r="S209" s="248">
        <v>0.92</v>
      </c>
      <c r="T209" s="249">
        <f>R209/S209</f>
        <v>0</v>
      </c>
    </row>
    <row r="210" spans="1:20" ht="15" customHeight="1" x14ac:dyDescent="0.25">
      <c r="A210" s="1116" t="str">
        <f>Итоговая!C415</f>
        <v xml:space="preserve">ПС 110/10 кВ Пено </v>
      </c>
      <c r="B210" s="1113">
        <f>Итоговая!D415</f>
        <v>6.3</v>
      </c>
      <c r="C210" s="1109" t="str">
        <f>Итоговая!E415</f>
        <v>+</v>
      </c>
      <c r="D210" s="1109">
        <f>Итоговая!F415</f>
        <v>6.3</v>
      </c>
      <c r="E210" s="235"/>
      <c r="F210" s="236"/>
      <c r="G210" s="1162" t="s">
        <v>1288</v>
      </c>
      <c r="H210" s="1162"/>
      <c r="I210" s="1162"/>
      <c r="J210" s="1162"/>
      <c r="K210" s="1162"/>
      <c r="L210" s="1162"/>
      <c r="M210" s="1162"/>
      <c r="N210" s="1162" t="s">
        <v>14933</v>
      </c>
      <c r="O210" s="1162"/>
      <c r="P210" s="1162"/>
      <c r="Q210" s="1162"/>
      <c r="R210" s="1162"/>
      <c r="S210" s="1162"/>
      <c r="T210" s="1167"/>
    </row>
    <row r="211" spans="1:20" ht="15" customHeight="1" x14ac:dyDescent="0.25">
      <c r="A211" s="1117"/>
      <c r="B211" s="1114"/>
      <c r="C211" s="1110"/>
      <c r="D211" s="1110"/>
      <c r="E211" s="238"/>
      <c r="F211" s="239"/>
      <c r="G211" s="285" t="s">
        <v>1057</v>
      </c>
      <c r="H211" s="285" t="s">
        <v>1058</v>
      </c>
      <c r="I211" s="285" t="s">
        <v>1059</v>
      </c>
      <c r="J211" s="286"/>
      <c r="K211" s="286">
        <v>0.02</v>
      </c>
      <c r="L211" s="285"/>
      <c r="M211" s="302"/>
      <c r="N211" s="206" t="s">
        <v>1063</v>
      </c>
      <c r="O211" s="206" t="s">
        <v>1064</v>
      </c>
      <c r="P211" s="206" t="s">
        <v>18174</v>
      </c>
      <c r="Q211" s="206"/>
      <c r="R211" s="205">
        <v>0.02</v>
      </c>
      <c r="S211" s="203"/>
      <c r="T211" s="303"/>
    </row>
    <row r="212" spans="1:20" ht="15" customHeight="1" x14ac:dyDescent="0.25">
      <c r="A212" s="218"/>
      <c r="B212" s="237"/>
      <c r="C212" s="238"/>
      <c r="D212" s="238"/>
      <c r="E212" s="238"/>
      <c r="F212" s="239"/>
      <c r="G212" s="285" t="s">
        <v>1060</v>
      </c>
      <c r="H212" s="285" t="s">
        <v>1061</v>
      </c>
      <c r="I212" s="285" t="s">
        <v>1062</v>
      </c>
      <c r="J212" s="286"/>
      <c r="K212" s="286">
        <v>0.08</v>
      </c>
      <c r="L212" s="285"/>
      <c r="M212" s="302"/>
      <c r="N212" s="203"/>
      <c r="O212" s="203"/>
      <c r="P212" s="203"/>
      <c r="Q212" s="203"/>
      <c r="R212" s="302"/>
      <c r="S212" s="203"/>
      <c r="T212" s="303"/>
    </row>
    <row r="213" spans="1:20" ht="15" customHeight="1" x14ac:dyDescent="0.25">
      <c r="A213" s="218"/>
      <c r="B213" s="237"/>
      <c r="C213" s="238"/>
      <c r="D213" s="238"/>
      <c r="E213" s="238"/>
      <c r="F213" s="239"/>
      <c r="G213" s="1163" t="s">
        <v>1286</v>
      </c>
      <c r="H213" s="1163"/>
      <c r="I213" s="1163"/>
      <c r="J213" s="1163"/>
      <c r="K213" s="1163"/>
      <c r="L213" s="1163"/>
      <c r="M213" s="1163"/>
      <c r="N213" s="1185"/>
      <c r="O213" s="1185"/>
      <c r="P213" s="1185"/>
      <c r="Q213" s="1185"/>
      <c r="R213" s="1185"/>
      <c r="S213" s="1185"/>
      <c r="T213" s="1186"/>
    </row>
    <row r="214" spans="1:20" ht="15" customHeight="1" x14ac:dyDescent="0.25">
      <c r="A214" s="218"/>
      <c r="B214" s="237"/>
      <c r="C214" s="238"/>
      <c r="D214" s="238"/>
      <c r="E214" s="238"/>
      <c r="F214" s="239"/>
      <c r="G214" s="206"/>
      <c r="H214" s="206"/>
      <c r="I214" s="206"/>
      <c r="J214" s="205"/>
      <c r="K214" s="205"/>
      <c r="L214" s="285"/>
      <c r="M214" s="302"/>
      <c r="N214" s="263"/>
      <c r="O214" s="263"/>
      <c r="P214" s="278"/>
      <c r="Q214" s="278"/>
      <c r="R214" s="240"/>
      <c r="S214" s="203"/>
      <c r="T214" s="303"/>
    </row>
    <row r="215" spans="1:20" ht="15" customHeight="1" x14ac:dyDescent="0.25">
      <c r="A215" s="218"/>
      <c r="B215" s="237"/>
      <c r="C215" s="238"/>
      <c r="D215" s="238"/>
      <c r="E215" s="238"/>
      <c r="F215" s="239"/>
      <c r="G215" s="1163" t="s">
        <v>1645</v>
      </c>
      <c r="H215" s="1163"/>
      <c r="I215" s="1163"/>
      <c r="J215" s="1163"/>
      <c r="K215" s="1163"/>
      <c r="L215" s="1163"/>
      <c r="M215" s="1163"/>
      <c r="N215" s="263"/>
      <c r="O215" s="263"/>
      <c r="P215" s="278"/>
      <c r="Q215" s="278"/>
      <c r="R215" s="240"/>
      <c r="S215" s="203"/>
      <c r="T215" s="303"/>
    </row>
    <row r="216" spans="1:20" ht="15" customHeight="1" x14ac:dyDescent="0.25">
      <c r="A216" s="218"/>
      <c r="B216" s="237"/>
      <c r="C216" s="238"/>
      <c r="D216" s="238"/>
      <c r="E216" s="238"/>
      <c r="F216" s="239"/>
      <c r="G216" s="206" t="s">
        <v>1824</v>
      </c>
      <c r="H216" s="206" t="s">
        <v>1825</v>
      </c>
      <c r="I216" s="206" t="s">
        <v>1864</v>
      </c>
      <c r="J216" s="205"/>
      <c r="K216" s="205">
        <f>0.083-0.023</f>
        <v>6.0000000000000005E-2</v>
      </c>
      <c r="L216" s="285"/>
      <c r="M216" s="302"/>
      <c r="N216" s="263"/>
      <c r="O216" s="263"/>
      <c r="P216" s="278"/>
      <c r="Q216" s="278"/>
      <c r="R216" s="240"/>
      <c r="S216" s="203"/>
      <c r="T216" s="303"/>
    </row>
    <row r="217" spans="1:20" ht="15" customHeight="1" x14ac:dyDescent="0.25">
      <c r="A217" s="218"/>
      <c r="B217" s="237"/>
      <c r="C217" s="238"/>
      <c r="D217" s="238"/>
      <c r="E217" s="238"/>
      <c r="F217" s="239"/>
      <c r="G217" s="206" t="s">
        <v>1835</v>
      </c>
      <c r="H217" s="206" t="s">
        <v>1836</v>
      </c>
      <c r="I217" s="206" t="s">
        <v>1872</v>
      </c>
      <c r="J217" s="205"/>
      <c r="K217" s="205">
        <v>0.1</v>
      </c>
      <c r="L217" s="285"/>
      <c r="M217" s="302"/>
      <c r="N217" s="263"/>
      <c r="O217" s="263"/>
      <c r="P217" s="278"/>
      <c r="Q217" s="278"/>
      <c r="R217" s="240"/>
      <c r="S217" s="203"/>
      <c r="T217" s="303"/>
    </row>
    <row r="218" spans="1:20" ht="15" customHeight="1" x14ac:dyDescent="0.25">
      <c r="A218" s="218"/>
      <c r="B218" s="237"/>
      <c r="C218" s="238"/>
      <c r="D218" s="238"/>
      <c r="E218" s="238"/>
      <c r="F218" s="239"/>
      <c r="G218" s="1033" t="s">
        <v>2015</v>
      </c>
      <c r="H218" s="1033"/>
      <c r="I218" s="1033"/>
      <c r="J218" s="205"/>
      <c r="K218" s="296">
        <v>0.1898</v>
      </c>
      <c r="L218" s="285"/>
      <c r="M218" s="302"/>
      <c r="N218" s="263"/>
      <c r="O218" s="263"/>
      <c r="P218" s="278"/>
      <c r="Q218" s="278"/>
      <c r="R218" s="240"/>
      <c r="S218" s="203"/>
      <c r="T218" s="303"/>
    </row>
    <row r="219" spans="1:20" ht="15" customHeight="1" x14ac:dyDescent="0.25">
      <c r="A219" s="218"/>
      <c r="B219" s="237"/>
      <c r="C219" s="238"/>
      <c r="D219" s="238"/>
      <c r="E219" s="238"/>
      <c r="F219" s="239"/>
      <c r="G219" s="1163" t="s">
        <v>2011</v>
      </c>
      <c r="H219" s="1163"/>
      <c r="I219" s="1163"/>
      <c r="J219" s="1163"/>
      <c r="K219" s="1163"/>
      <c r="L219" s="1163"/>
      <c r="M219" s="1163"/>
      <c r="N219" s="263"/>
      <c r="O219" s="263"/>
      <c r="P219" s="278"/>
      <c r="Q219" s="278"/>
      <c r="R219" s="240"/>
      <c r="S219" s="203"/>
      <c r="T219" s="303"/>
    </row>
    <row r="220" spans="1:20" ht="15" customHeight="1" x14ac:dyDescent="0.25">
      <c r="A220" s="218"/>
      <c r="B220" s="237"/>
      <c r="C220" s="238"/>
      <c r="D220" s="238"/>
      <c r="E220" s="238"/>
      <c r="F220" s="239"/>
      <c r="G220" s="206" t="s">
        <v>2037</v>
      </c>
      <c r="H220" s="206" t="s">
        <v>2038</v>
      </c>
      <c r="I220" s="206" t="s">
        <v>2045</v>
      </c>
      <c r="J220" s="205"/>
      <c r="K220" s="205">
        <f>0.1*0.75</f>
        <v>7.5000000000000011E-2</v>
      </c>
      <c r="L220" s="285"/>
      <c r="M220" s="302"/>
      <c r="N220" s="263"/>
      <c r="O220" s="263"/>
      <c r="P220" s="278"/>
      <c r="Q220" s="278"/>
      <c r="R220" s="240"/>
      <c r="S220" s="203"/>
      <c r="T220" s="303"/>
    </row>
    <row r="221" spans="1:20" ht="15" customHeight="1" x14ac:dyDescent="0.25">
      <c r="A221" s="218"/>
      <c r="B221" s="237"/>
      <c r="C221" s="238"/>
      <c r="D221" s="238"/>
      <c r="E221" s="238"/>
      <c r="F221" s="239"/>
      <c r="G221" s="1163" t="s">
        <v>2290</v>
      </c>
      <c r="H221" s="1163"/>
      <c r="I221" s="1163"/>
      <c r="J221" s="1163"/>
      <c r="K221" s="1163"/>
      <c r="L221" s="1163"/>
      <c r="M221" s="1163"/>
      <c r="N221" s="263"/>
      <c r="O221" s="263"/>
      <c r="P221" s="278"/>
      <c r="Q221" s="278"/>
      <c r="R221" s="240"/>
      <c r="S221" s="203"/>
      <c r="T221" s="303"/>
    </row>
    <row r="222" spans="1:20" ht="15" customHeight="1" x14ac:dyDescent="0.25">
      <c r="A222" s="218"/>
      <c r="B222" s="237"/>
      <c r="C222" s="238"/>
      <c r="D222" s="238"/>
      <c r="E222" s="238"/>
      <c r="F222" s="239"/>
      <c r="G222" s="206" t="s">
        <v>13410</v>
      </c>
      <c r="H222" s="206" t="s">
        <v>13411</v>
      </c>
      <c r="I222" s="263" t="s">
        <v>14849</v>
      </c>
      <c r="J222" s="240"/>
      <c r="K222" s="240">
        <f>0.1*0.75</f>
        <v>7.5000000000000011E-2</v>
      </c>
      <c r="L222" s="203"/>
      <c r="M222" s="302"/>
      <c r="N222" s="263"/>
      <c r="O222" s="263"/>
      <c r="P222" s="278"/>
      <c r="Q222" s="278"/>
      <c r="R222" s="240"/>
      <c r="S222" s="203"/>
      <c r="T222" s="303"/>
    </row>
    <row r="223" spans="1:20" ht="15" customHeight="1" x14ac:dyDescent="0.25">
      <c r="A223" s="218"/>
      <c r="B223" s="237"/>
      <c r="C223" s="238"/>
      <c r="D223" s="238"/>
      <c r="E223" s="238"/>
      <c r="F223" s="239"/>
      <c r="G223" s="1163" t="s">
        <v>14933</v>
      </c>
      <c r="H223" s="1163"/>
      <c r="I223" s="1163"/>
      <c r="J223" s="1163"/>
      <c r="K223" s="1163"/>
      <c r="L223" s="1163"/>
      <c r="M223" s="1163"/>
      <c r="N223" s="263"/>
      <c r="O223" s="263"/>
      <c r="P223" s="278"/>
      <c r="Q223" s="278"/>
      <c r="R223" s="240"/>
      <c r="S223" s="203"/>
      <c r="T223" s="303"/>
    </row>
    <row r="224" spans="1:20" ht="15" customHeight="1" x14ac:dyDescent="0.25">
      <c r="A224" s="218"/>
      <c r="B224" s="237"/>
      <c r="C224" s="238"/>
      <c r="D224" s="238"/>
      <c r="E224" s="238"/>
      <c r="F224" s="239"/>
      <c r="G224" s="206" t="s">
        <v>17361</v>
      </c>
      <c r="H224" s="206" t="s">
        <v>17362</v>
      </c>
      <c r="I224" s="206" t="s">
        <v>17363</v>
      </c>
      <c r="J224" s="205"/>
      <c r="K224" s="205">
        <f>0.1322*0.9</f>
        <v>0.11898000000000002</v>
      </c>
      <c r="L224" s="203"/>
      <c r="M224" s="302"/>
      <c r="N224" s="263"/>
      <c r="O224" s="263"/>
      <c r="P224" s="278"/>
      <c r="Q224" s="278"/>
      <c r="R224" s="240"/>
      <c r="S224" s="203"/>
      <c r="T224" s="303"/>
    </row>
    <row r="225" spans="1:20" ht="15" customHeight="1" x14ac:dyDescent="0.25">
      <c r="A225" s="218"/>
      <c r="B225" s="237"/>
      <c r="C225" s="238"/>
      <c r="D225" s="238"/>
      <c r="E225" s="238"/>
      <c r="F225" s="239"/>
      <c r="G225" s="1157" t="s">
        <v>2262</v>
      </c>
      <c r="H225" s="1157"/>
      <c r="I225" s="1157"/>
      <c r="J225" s="994">
        <f>0.4614*0.9*0.6</f>
        <v>0.24915599999999996</v>
      </c>
      <c r="K225" s="995"/>
      <c r="L225" s="203"/>
      <c r="M225" s="302"/>
      <c r="N225" s="263"/>
      <c r="O225" s="263"/>
      <c r="P225" s="278"/>
      <c r="Q225" s="278"/>
      <c r="R225" s="240"/>
      <c r="S225" s="203"/>
      <c r="T225" s="303"/>
    </row>
    <row r="226" spans="1:20" ht="15" customHeight="1" x14ac:dyDescent="0.25">
      <c r="A226" s="218"/>
      <c r="B226" s="237"/>
      <c r="C226" s="238"/>
      <c r="D226" s="238"/>
      <c r="E226" s="238"/>
      <c r="F226" s="239"/>
      <c r="G226" s="263" t="s">
        <v>18485</v>
      </c>
      <c r="H226" s="263" t="s">
        <v>18486</v>
      </c>
      <c r="I226" s="263" t="s">
        <v>18487</v>
      </c>
      <c r="J226" s="240"/>
      <c r="K226" s="240">
        <f>(1.304-0.752)*0.75</f>
        <v>0.41400000000000003</v>
      </c>
      <c r="L226" s="203"/>
      <c r="M226" s="302"/>
      <c r="N226" s="263"/>
      <c r="O226" s="263"/>
      <c r="P226" s="278"/>
      <c r="Q226" s="278"/>
      <c r="R226" s="240"/>
      <c r="S226" s="203"/>
      <c r="T226" s="303"/>
    </row>
    <row r="227" spans="1:20" ht="15" customHeight="1" x14ac:dyDescent="0.25">
      <c r="A227" s="218"/>
      <c r="B227" s="237"/>
      <c r="C227" s="238"/>
      <c r="D227" s="238"/>
      <c r="E227" s="238"/>
      <c r="F227" s="239"/>
      <c r="G227" s="1163" t="s">
        <v>18518</v>
      </c>
      <c r="H227" s="1163"/>
      <c r="I227" s="1163"/>
      <c r="J227" s="1163"/>
      <c r="K227" s="1163"/>
      <c r="L227" s="1163"/>
      <c r="M227" s="1163"/>
      <c r="N227" s="269"/>
      <c r="O227" s="269"/>
      <c r="P227" s="304"/>
      <c r="Q227" s="304"/>
      <c r="R227" s="260"/>
      <c r="S227" s="290"/>
      <c r="T227" s="305"/>
    </row>
    <row r="228" spans="1:20" ht="15" customHeight="1" x14ac:dyDescent="0.25">
      <c r="A228" s="218"/>
      <c r="B228" s="237"/>
      <c r="C228" s="238"/>
      <c r="D228" s="238"/>
      <c r="E228" s="238"/>
      <c r="F228" s="239"/>
      <c r="G228" s="269" t="s">
        <v>18485</v>
      </c>
      <c r="H228" s="269" t="s">
        <v>18885</v>
      </c>
      <c r="I228" s="306" t="s">
        <v>18886</v>
      </c>
      <c r="J228" s="260"/>
      <c r="K228" s="260">
        <f>0.552*0.85</f>
        <v>0.46920000000000001</v>
      </c>
      <c r="L228" s="290"/>
      <c r="M228" s="307"/>
      <c r="N228" s="269"/>
      <c r="O228" s="269"/>
      <c r="P228" s="304"/>
      <c r="Q228" s="304"/>
      <c r="R228" s="260"/>
      <c r="S228" s="290"/>
      <c r="T228" s="305"/>
    </row>
    <row r="229" spans="1:20" ht="15" customHeight="1" x14ac:dyDescent="0.25">
      <c r="A229" s="218"/>
      <c r="B229" s="237"/>
      <c r="C229" s="238"/>
      <c r="D229" s="238"/>
      <c r="E229" s="238"/>
      <c r="F229" s="239"/>
      <c r="G229" s="266" t="s">
        <v>18981</v>
      </c>
      <c r="H229" s="266" t="s">
        <v>18982</v>
      </c>
      <c r="I229" s="266" t="s">
        <v>19631</v>
      </c>
      <c r="J229" s="268"/>
      <c r="K229" s="268">
        <f>0.1*0.9</f>
        <v>9.0000000000000011E-2</v>
      </c>
      <c r="L229" s="290"/>
      <c r="M229" s="307"/>
      <c r="N229" s="269"/>
      <c r="O229" s="269"/>
      <c r="P229" s="304"/>
      <c r="Q229" s="304"/>
      <c r="R229" s="260"/>
      <c r="S229" s="290"/>
      <c r="T229" s="305"/>
    </row>
    <row r="230" spans="1:20" ht="15" customHeight="1" x14ac:dyDescent="0.25">
      <c r="A230" s="218"/>
      <c r="B230" s="237"/>
      <c r="C230" s="238"/>
      <c r="D230" s="238"/>
      <c r="E230" s="238"/>
      <c r="F230" s="239"/>
      <c r="G230" s="266" t="s">
        <v>19260</v>
      </c>
      <c r="H230" s="266" t="s">
        <v>19261</v>
      </c>
      <c r="I230" s="266" t="s">
        <v>19632</v>
      </c>
      <c r="J230" s="267"/>
      <c r="K230" s="268">
        <f>0.1064*0.9</f>
        <v>9.5759999999999998E-2</v>
      </c>
      <c r="L230" s="290"/>
      <c r="M230" s="307"/>
      <c r="N230" s="269"/>
      <c r="O230" s="269"/>
      <c r="P230" s="304"/>
      <c r="Q230" s="304"/>
      <c r="R230" s="260"/>
      <c r="S230" s="290"/>
      <c r="T230" s="305"/>
    </row>
    <row r="231" spans="1:20" ht="15" customHeight="1" x14ac:dyDescent="0.25">
      <c r="A231" s="218"/>
      <c r="B231" s="237"/>
      <c r="C231" s="238"/>
      <c r="D231" s="238"/>
      <c r="E231" s="238"/>
      <c r="F231" s="239"/>
      <c r="G231" s="266" t="s">
        <v>19529</v>
      </c>
      <c r="H231" s="266" t="s">
        <v>19530</v>
      </c>
      <c r="I231" s="266" t="s">
        <v>19633</v>
      </c>
      <c r="J231" s="267"/>
      <c r="K231" s="268">
        <f>0.06*0.9</f>
        <v>5.3999999999999999E-2</v>
      </c>
      <c r="L231" s="290"/>
      <c r="M231" s="307"/>
      <c r="N231" s="269"/>
      <c r="O231" s="269"/>
      <c r="P231" s="304"/>
      <c r="Q231" s="304"/>
      <c r="R231" s="260"/>
      <c r="S231" s="290"/>
      <c r="T231" s="305"/>
    </row>
    <row r="232" spans="1:20" ht="15" customHeight="1" x14ac:dyDescent="0.25">
      <c r="A232" s="218"/>
      <c r="B232" s="237"/>
      <c r="C232" s="238"/>
      <c r="D232" s="238"/>
      <c r="E232" s="238"/>
      <c r="F232" s="239"/>
      <c r="G232" s="266" t="s">
        <v>19531</v>
      </c>
      <c r="H232" s="266" t="s">
        <v>19532</v>
      </c>
      <c r="I232" s="266" t="s">
        <v>19634</v>
      </c>
      <c r="J232" s="267"/>
      <c r="K232" s="268">
        <f>0.03*0.9</f>
        <v>2.7E-2</v>
      </c>
      <c r="L232" s="290"/>
      <c r="M232" s="307"/>
      <c r="N232" s="269"/>
      <c r="O232" s="269"/>
      <c r="P232" s="304"/>
      <c r="Q232" s="304"/>
      <c r="R232" s="260"/>
      <c r="S232" s="290"/>
      <c r="T232" s="305"/>
    </row>
    <row r="233" spans="1:20" ht="15" customHeight="1" x14ac:dyDescent="0.25">
      <c r="A233" s="218"/>
      <c r="B233" s="237"/>
      <c r="C233" s="238"/>
      <c r="D233" s="238"/>
      <c r="E233" s="238"/>
      <c r="F233" s="239"/>
      <c r="G233" s="1157" t="s">
        <v>2262</v>
      </c>
      <c r="H233" s="1157"/>
      <c r="I233" s="1157"/>
      <c r="J233" s="994">
        <f>0.531*0.9*0.6</f>
        <v>0.28673999999999999</v>
      </c>
      <c r="K233" s="995"/>
      <c r="L233" s="203"/>
      <c r="M233" s="302"/>
      <c r="N233" s="269"/>
      <c r="O233" s="269"/>
      <c r="P233" s="304"/>
      <c r="Q233" s="304"/>
      <c r="R233" s="260"/>
      <c r="S233" s="290"/>
      <c r="T233" s="305"/>
    </row>
    <row r="234" spans="1:20" ht="15" customHeight="1" thickBot="1" x14ac:dyDescent="0.3">
      <c r="A234" s="226"/>
      <c r="B234" s="227"/>
      <c r="C234" s="228"/>
      <c r="D234" s="228"/>
      <c r="E234" s="228"/>
      <c r="F234" s="229"/>
      <c r="G234" s="1007" t="s">
        <v>1199</v>
      </c>
      <c r="H234" s="1007"/>
      <c r="I234" s="1007"/>
      <c r="J234" s="230"/>
      <c r="K234" s="231">
        <f>SUM(J224:K233)</f>
        <v>1.8048360000000001</v>
      </c>
      <c r="L234" s="232">
        <v>0.92</v>
      </c>
      <c r="M234" s="231">
        <f>K234/L234</f>
        <v>1.9617782608695653</v>
      </c>
      <c r="N234" s="1007" t="s">
        <v>1199</v>
      </c>
      <c r="O234" s="1007"/>
      <c r="P234" s="1007"/>
      <c r="Q234" s="232"/>
      <c r="R234" s="231">
        <f>SUM(R211:R225)</f>
        <v>0.02</v>
      </c>
      <c r="S234" s="232">
        <v>0.92</v>
      </c>
      <c r="T234" s="233">
        <f>R234/S234</f>
        <v>2.1739130434782608E-2</v>
      </c>
    </row>
    <row r="235" spans="1:20" ht="15" customHeight="1" x14ac:dyDescent="0.25">
      <c r="A235" s="1116" t="str">
        <f>Итоговая!C416</f>
        <v xml:space="preserve">ПС 110/35/10 кВ Торжок  </v>
      </c>
      <c r="B235" s="1113">
        <f>Итоговая!D416</f>
        <v>40</v>
      </c>
      <c r="C235" s="1109" t="str">
        <f>Итоговая!E416</f>
        <v>+</v>
      </c>
      <c r="D235" s="1109">
        <f>Итоговая!F416</f>
        <v>40</v>
      </c>
      <c r="E235" s="1109"/>
      <c r="F235" s="1118"/>
      <c r="G235" s="1162" t="s">
        <v>1287</v>
      </c>
      <c r="H235" s="1162"/>
      <c r="I235" s="1162"/>
      <c r="J235" s="1162"/>
      <c r="K235" s="1162"/>
      <c r="L235" s="1162"/>
      <c r="M235" s="1162"/>
      <c r="N235" s="1162" t="s">
        <v>1324</v>
      </c>
      <c r="O235" s="1162"/>
      <c r="P235" s="1162"/>
      <c r="Q235" s="1162"/>
      <c r="R235" s="1162"/>
      <c r="S235" s="1162"/>
      <c r="T235" s="1167"/>
    </row>
    <row r="236" spans="1:20" ht="15" customHeight="1" x14ac:dyDescent="0.25">
      <c r="A236" s="1117"/>
      <c r="B236" s="1114"/>
      <c r="C236" s="1110"/>
      <c r="D236" s="1110"/>
      <c r="E236" s="1110"/>
      <c r="F236" s="1119"/>
      <c r="G236" s="206" t="s">
        <v>572</v>
      </c>
      <c r="H236" s="206" t="s">
        <v>573</v>
      </c>
      <c r="I236" s="206" t="s">
        <v>574</v>
      </c>
      <c r="J236" s="205"/>
      <c r="K236" s="205">
        <v>4.6500000000000004</v>
      </c>
      <c r="L236" s="206"/>
      <c r="M236" s="240"/>
      <c r="N236" s="277" t="s">
        <v>575</v>
      </c>
      <c r="O236" s="277" t="s">
        <v>576</v>
      </c>
      <c r="P236" s="277" t="s">
        <v>1650</v>
      </c>
      <c r="Q236" s="277"/>
      <c r="R236" s="279">
        <v>4.2000000000000003E-2</v>
      </c>
      <c r="S236" s="277"/>
      <c r="T236" s="280"/>
    </row>
    <row r="237" spans="1:20" ht="15" customHeight="1" x14ac:dyDescent="0.25">
      <c r="A237" s="218"/>
      <c r="B237" s="237"/>
      <c r="C237" s="238"/>
      <c r="D237" s="238"/>
      <c r="E237" s="238"/>
      <c r="F237" s="239"/>
      <c r="G237" s="1161" t="s">
        <v>2011</v>
      </c>
      <c r="H237" s="1161"/>
      <c r="I237" s="1161"/>
      <c r="J237" s="1161"/>
      <c r="K237" s="1161"/>
      <c r="L237" s="1161"/>
      <c r="M237" s="1161"/>
      <c r="N237" s="277"/>
      <c r="O237" s="277"/>
      <c r="P237" s="277"/>
      <c r="Q237" s="277"/>
      <c r="R237" s="279"/>
      <c r="S237" s="277"/>
      <c r="T237" s="280"/>
    </row>
    <row r="238" spans="1:20" ht="15" customHeight="1" x14ac:dyDescent="0.25">
      <c r="A238" s="218"/>
      <c r="B238" s="237"/>
      <c r="C238" s="238"/>
      <c r="D238" s="238"/>
      <c r="E238" s="238"/>
      <c r="F238" s="239"/>
      <c r="G238" s="206" t="s">
        <v>2001</v>
      </c>
      <c r="H238" s="206" t="s">
        <v>2040</v>
      </c>
      <c r="I238" s="206" t="s">
        <v>2093</v>
      </c>
      <c r="J238" s="205"/>
      <c r="K238" s="205">
        <f>0.095*0.9</f>
        <v>8.5500000000000007E-2</v>
      </c>
      <c r="L238" s="206"/>
      <c r="M238" s="240"/>
      <c r="N238" s="206"/>
      <c r="O238" s="206"/>
      <c r="P238" s="206"/>
      <c r="Q238" s="206"/>
      <c r="R238" s="205"/>
      <c r="S238" s="206"/>
      <c r="T238" s="241"/>
    </row>
    <row r="239" spans="1:20" ht="15" customHeight="1" x14ac:dyDescent="0.25">
      <c r="A239" s="218"/>
      <c r="B239" s="237"/>
      <c r="C239" s="238"/>
      <c r="D239" s="238"/>
      <c r="E239" s="238"/>
      <c r="F239" s="239"/>
      <c r="G239" s="1161" t="s">
        <v>2290</v>
      </c>
      <c r="H239" s="1161"/>
      <c r="I239" s="1161"/>
      <c r="J239" s="1161"/>
      <c r="K239" s="1161"/>
      <c r="L239" s="1161"/>
      <c r="M239" s="1161"/>
      <c r="N239" s="206"/>
      <c r="O239" s="206"/>
      <c r="P239" s="206"/>
      <c r="Q239" s="206"/>
      <c r="R239" s="205"/>
      <c r="S239" s="206"/>
      <c r="T239" s="241"/>
    </row>
    <row r="240" spans="1:20" ht="15" customHeight="1" x14ac:dyDescent="0.25">
      <c r="A240" s="218"/>
      <c r="B240" s="237"/>
      <c r="C240" s="238"/>
      <c r="D240" s="238"/>
      <c r="E240" s="238"/>
      <c r="F240" s="239"/>
      <c r="G240" s="206" t="s">
        <v>1935</v>
      </c>
      <c r="H240" s="206" t="s">
        <v>2254</v>
      </c>
      <c r="I240" s="206" t="s">
        <v>2323</v>
      </c>
      <c r="J240" s="205"/>
      <c r="K240" s="205">
        <v>6.5000000000000002E-2</v>
      </c>
      <c r="L240" s="206"/>
      <c r="M240" s="240"/>
      <c r="N240" s="206"/>
      <c r="O240" s="206"/>
      <c r="P240" s="206"/>
      <c r="Q240" s="206"/>
      <c r="R240" s="205"/>
      <c r="S240" s="206"/>
      <c r="T240" s="241"/>
    </row>
    <row r="241" spans="1:20" ht="15" customHeight="1" x14ac:dyDescent="0.25">
      <c r="A241" s="218"/>
      <c r="B241" s="237"/>
      <c r="C241" s="238"/>
      <c r="D241" s="238"/>
      <c r="E241" s="238"/>
      <c r="F241" s="239"/>
      <c r="G241" s="1161" t="s">
        <v>14933</v>
      </c>
      <c r="H241" s="1161"/>
      <c r="I241" s="1161"/>
      <c r="J241" s="1161"/>
      <c r="K241" s="1161"/>
      <c r="L241" s="1161"/>
      <c r="M241" s="1161"/>
      <c r="N241" s="206"/>
      <c r="O241" s="206"/>
      <c r="P241" s="206"/>
      <c r="Q241" s="206"/>
      <c r="R241" s="205"/>
      <c r="S241" s="206"/>
      <c r="T241" s="241"/>
    </row>
    <row r="242" spans="1:20" ht="15" customHeight="1" x14ac:dyDescent="0.25">
      <c r="A242" s="218"/>
      <c r="B242" s="237"/>
      <c r="C242" s="238"/>
      <c r="D242" s="238"/>
      <c r="E242" s="238"/>
      <c r="F242" s="239"/>
      <c r="G242" s="263" t="s">
        <v>17280</v>
      </c>
      <c r="H242" s="263" t="s">
        <v>17281</v>
      </c>
      <c r="I242" s="263" t="s">
        <v>17282</v>
      </c>
      <c r="J242" s="240"/>
      <c r="K242" s="240">
        <f>0.05*0.75</f>
        <v>3.7500000000000006E-2</v>
      </c>
      <c r="L242" s="263"/>
      <c r="M242" s="240"/>
      <c r="N242" s="206"/>
      <c r="O242" s="206"/>
      <c r="P242" s="206"/>
      <c r="Q242" s="206"/>
      <c r="R242" s="205"/>
      <c r="S242" s="206"/>
      <c r="T242" s="241"/>
    </row>
    <row r="243" spans="1:20" ht="15" customHeight="1" x14ac:dyDescent="0.25">
      <c r="A243" s="218"/>
      <c r="B243" s="237"/>
      <c r="C243" s="238"/>
      <c r="D243" s="238"/>
      <c r="E243" s="238"/>
      <c r="F243" s="239"/>
      <c r="G243" s="206" t="s">
        <v>17361</v>
      </c>
      <c r="H243" s="206" t="s">
        <v>17362</v>
      </c>
      <c r="I243" s="206" t="s">
        <v>17363</v>
      </c>
      <c r="J243" s="205"/>
      <c r="K243" s="205">
        <f>0.1322*0.9</f>
        <v>0.11898000000000002</v>
      </c>
      <c r="L243" s="206"/>
      <c r="M243" s="240"/>
      <c r="N243" s="206"/>
      <c r="O243" s="206"/>
      <c r="P243" s="206"/>
      <c r="Q243" s="206"/>
      <c r="R243" s="205"/>
      <c r="S243" s="206"/>
      <c r="T243" s="241"/>
    </row>
    <row r="244" spans="1:20" ht="15" customHeight="1" x14ac:dyDescent="0.25">
      <c r="A244" s="218"/>
      <c r="B244" s="237"/>
      <c r="C244" s="238"/>
      <c r="D244" s="238"/>
      <c r="E244" s="238"/>
      <c r="F244" s="239"/>
      <c r="G244" s="206" t="s">
        <v>17399</v>
      </c>
      <c r="H244" s="206" t="s">
        <v>17400</v>
      </c>
      <c r="I244" s="206" t="s">
        <v>17401</v>
      </c>
      <c r="J244" s="205"/>
      <c r="K244" s="205">
        <f>0.0398*0.9</f>
        <v>3.5820000000000005E-2</v>
      </c>
      <c r="L244" s="206"/>
      <c r="M244" s="240"/>
      <c r="N244" s="206"/>
      <c r="O244" s="206"/>
      <c r="P244" s="206"/>
      <c r="Q244" s="206"/>
      <c r="R244" s="205"/>
      <c r="S244" s="206"/>
      <c r="T244" s="241"/>
    </row>
    <row r="245" spans="1:20" ht="15" customHeight="1" x14ac:dyDescent="0.25">
      <c r="A245" s="218"/>
      <c r="B245" s="237"/>
      <c r="C245" s="238"/>
      <c r="D245" s="238"/>
      <c r="E245" s="238"/>
      <c r="F245" s="239"/>
      <c r="G245" s="206" t="s">
        <v>17457</v>
      </c>
      <c r="H245" s="206" t="s">
        <v>17458</v>
      </c>
      <c r="I245" s="206" t="s">
        <v>17459</v>
      </c>
      <c r="J245" s="205"/>
      <c r="K245" s="205">
        <f>0.35*0.75</f>
        <v>0.26249999999999996</v>
      </c>
      <c r="L245" s="206"/>
      <c r="M245" s="240"/>
      <c r="N245" s="206"/>
      <c r="O245" s="206"/>
      <c r="P245" s="206"/>
      <c r="Q245" s="206"/>
      <c r="R245" s="205"/>
      <c r="S245" s="206"/>
      <c r="T245" s="241"/>
    </row>
    <row r="246" spans="1:20" ht="15" customHeight="1" x14ac:dyDescent="0.25">
      <c r="A246" s="218"/>
      <c r="B246" s="237"/>
      <c r="C246" s="238"/>
      <c r="D246" s="238"/>
      <c r="E246" s="238"/>
      <c r="F246" s="239"/>
      <c r="G246" s="1157" t="s">
        <v>2262</v>
      </c>
      <c r="H246" s="1157"/>
      <c r="I246" s="1157"/>
      <c r="J246" s="994">
        <f>0.121*0.9</f>
        <v>0.1089</v>
      </c>
      <c r="K246" s="995"/>
      <c r="L246" s="206"/>
      <c r="M246" s="240"/>
      <c r="N246" s="206"/>
      <c r="O246" s="206"/>
      <c r="P246" s="206"/>
      <c r="Q246" s="206"/>
      <c r="R246" s="205"/>
      <c r="S246" s="206"/>
      <c r="T246" s="241"/>
    </row>
    <row r="247" spans="1:20" ht="15" customHeight="1" x14ac:dyDescent="0.25">
      <c r="A247" s="218"/>
      <c r="B247" s="237"/>
      <c r="C247" s="238"/>
      <c r="D247" s="238"/>
      <c r="E247" s="238"/>
      <c r="F247" s="239"/>
      <c r="G247" s="1161" t="s">
        <v>18842</v>
      </c>
      <c r="H247" s="1161"/>
      <c r="I247" s="1161"/>
      <c r="J247" s="1161"/>
      <c r="K247" s="1161"/>
      <c r="L247" s="1161"/>
      <c r="M247" s="1161"/>
      <c r="N247" s="232"/>
      <c r="O247" s="232"/>
      <c r="P247" s="232"/>
      <c r="Q247" s="232"/>
      <c r="R247" s="230"/>
      <c r="S247" s="232"/>
      <c r="T247" s="259"/>
    </row>
    <row r="248" spans="1:20" ht="15" customHeight="1" x14ac:dyDescent="0.25">
      <c r="A248" s="218"/>
      <c r="B248" s="237"/>
      <c r="C248" s="238"/>
      <c r="D248" s="238"/>
      <c r="E248" s="238"/>
      <c r="F248" s="239"/>
      <c r="G248" s="263" t="s">
        <v>18999</v>
      </c>
      <c r="H248" s="263" t="s">
        <v>19000</v>
      </c>
      <c r="I248" s="263" t="s">
        <v>19639</v>
      </c>
      <c r="J248" s="240">
        <f>0.01*0.9</f>
        <v>9.0000000000000011E-3</v>
      </c>
      <c r="K248" s="240"/>
      <c r="L248" s="263"/>
      <c r="M248" s="263"/>
      <c r="N248" s="232"/>
      <c r="O248" s="232"/>
      <c r="P248" s="232"/>
      <c r="Q248" s="232"/>
      <c r="R248" s="230"/>
      <c r="S248" s="232"/>
      <c r="T248" s="259"/>
    </row>
    <row r="249" spans="1:20" ht="15" customHeight="1" x14ac:dyDescent="0.25">
      <c r="A249" s="218"/>
      <c r="B249" s="237"/>
      <c r="C249" s="238"/>
      <c r="D249" s="238"/>
      <c r="E249" s="238"/>
      <c r="F249" s="239"/>
      <c r="G249" s="263" t="s">
        <v>19533</v>
      </c>
      <c r="H249" s="263"/>
      <c r="I249" s="263" t="s">
        <v>19640</v>
      </c>
      <c r="J249" s="240">
        <f>0.03*1</f>
        <v>0.03</v>
      </c>
      <c r="K249" s="240"/>
      <c r="L249" s="263"/>
      <c r="M249" s="263"/>
      <c r="N249" s="232"/>
      <c r="O249" s="232"/>
      <c r="P249" s="232"/>
      <c r="Q249" s="232"/>
      <c r="R249" s="230"/>
      <c r="S249" s="232"/>
      <c r="T249" s="259"/>
    </row>
    <row r="250" spans="1:20" ht="15" customHeight="1" x14ac:dyDescent="0.25">
      <c r="A250" s="218"/>
      <c r="B250" s="237"/>
      <c r="C250" s="238"/>
      <c r="D250" s="238"/>
      <c r="E250" s="238"/>
      <c r="F250" s="239"/>
      <c r="G250" s="263" t="s">
        <v>19533</v>
      </c>
      <c r="H250" s="263" t="s">
        <v>19540</v>
      </c>
      <c r="I250" s="263" t="s">
        <v>19641</v>
      </c>
      <c r="J250" s="240">
        <f>0.038*1</f>
        <v>3.7999999999999999E-2</v>
      </c>
      <c r="K250" s="240"/>
      <c r="L250" s="263"/>
      <c r="M250" s="263"/>
      <c r="N250" s="232"/>
      <c r="O250" s="232"/>
      <c r="P250" s="232"/>
      <c r="Q250" s="232"/>
      <c r="R250" s="230"/>
      <c r="S250" s="232"/>
      <c r="T250" s="259"/>
    </row>
    <row r="251" spans="1:20" ht="15" customHeight="1" x14ac:dyDescent="0.25">
      <c r="A251" s="218"/>
      <c r="B251" s="237"/>
      <c r="C251" s="238"/>
      <c r="D251" s="238"/>
      <c r="E251" s="238"/>
      <c r="F251" s="239"/>
      <c r="G251" s="263" t="s">
        <v>18953</v>
      </c>
      <c r="H251" s="263" t="s">
        <v>19541</v>
      </c>
      <c r="I251" s="263" t="s">
        <v>19642</v>
      </c>
      <c r="J251" s="240">
        <f>0.57378*1</f>
        <v>0.57377999999999996</v>
      </c>
      <c r="K251" s="240">
        <f>0.57378*1</f>
        <v>0.57377999999999996</v>
      </c>
      <c r="L251" s="263"/>
      <c r="M251" s="263"/>
      <c r="N251" s="232"/>
      <c r="O251" s="232"/>
      <c r="P251" s="232"/>
      <c r="Q251" s="232"/>
      <c r="R251" s="230"/>
      <c r="S251" s="232"/>
      <c r="T251" s="259"/>
    </row>
    <row r="252" spans="1:20" ht="15" customHeight="1" x14ac:dyDescent="0.25">
      <c r="A252" s="218"/>
      <c r="B252" s="237"/>
      <c r="C252" s="238"/>
      <c r="D252" s="238"/>
      <c r="E252" s="238"/>
      <c r="F252" s="239"/>
      <c r="G252" s="1157" t="s">
        <v>2262</v>
      </c>
      <c r="H252" s="1157"/>
      <c r="I252" s="1157"/>
      <c r="J252" s="994">
        <f>0.194*0.9*0.6</f>
        <v>0.10476000000000001</v>
      </c>
      <c r="K252" s="995"/>
      <c r="L252" s="206"/>
      <c r="M252" s="240"/>
      <c r="N252" s="232"/>
      <c r="O252" s="232"/>
      <c r="P252" s="232"/>
      <c r="Q252" s="232"/>
      <c r="R252" s="230"/>
      <c r="S252" s="232"/>
      <c r="T252" s="259"/>
    </row>
    <row r="253" spans="1:20" ht="15" customHeight="1" thickBot="1" x14ac:dyDescent="0.3">
      <c r="A253" s="242"/>
      <c r="B253" s="243"/>
      <c r="C253" s="244"/>
      <c r="D253" s="244"/>
      <c r="E253" s="244"/>
      <c r="F253" s="245"/>
      <c r="G253" s="1032" t="s">
        <v>1199</v>
      </c>
      <c r="H253" s="1032"/>
      <c r="I253" s="1032"/>
      <c r="J253" s="246"/>
      <c r="K253" s="247">
        <f>SUM(J242:K252)</f>
        <v>1.8930199999999999</v>
      </c>
      <c r="L253" s="248">
        <v>0.92</v>
      </c>
      <c r="M253" s="247">
        <f>K253/L253</f>
        <v>2.0576304347826087</v>
      </c>
      <c r="N253" s="1032" t="s">
        <v>1199</v>
      </c>
      <c r="O253" s="1032"/>
      <c r="P253" s="1032"/>
      <c r="Q253" s="248"/>
      <c r="R253" s="247">
        <f>SUM(R236:R238)</f>
        <v>4.2000000000000003E-2</v>
      </c>
      <c r="S253" s="248">
        <v>0.92</v>
      </c>
      <c r="T253" s="249">
        <f>R253/S253</f>
        <v>4.5652173913043478E-2</v>
      </c>
    </row>
    <row r="254" spans="1:20" ht="15" customHeight="1" x14ac:dyDescent="0.25">
      <c r="A254" s="1116" t="str">
        <f>Итоговая!C419</f>
        <v xml:space="preserve">ПС 110/35/10 кВ Стройиндустрия </v>
      </c>
      <c r="B254" s="234">
        <f>Итоговая!D419</f>
        <v>25</v>
      </c>
      <c r="C254" s="235" t="str">
        <f>Итоговая!E419</f>
        <v>+</v>
      </c>
      <c r="D254" s="235">
        <f>Итоговая!F419</f>
        <v>25</v>
      </c>
      <c r="E254" s="235"/>
      <c r="F254" s="236"/>
      <c r="G254" s="1162" t="s">
        <v>1324</v>
      </c>
      <c r="H254" s="1162"/>
      <c r="I254" s="1162"/>
      <c r="J254" s="1162"/>
      <c r="K254" s="1162"/>
      <c r="L254" s="1162"/>
      <c r="M254" s="1162"/>
      <c r="N254" s="1162" t="s">
        <v>2290</v>
      </c>
      <c r="O254" s="1162"/>
      <c r="P254" s="1162"/>
      <c r="Q254" s="1162"/>
      <c r="R254" s="1162"/>
      <c r="S254" s="1162"/>
      <c r="T254" s="1167"/>
    </row>
    <row r="255" spans="1:20" ht="15" customHeight="1" x14ac:dyDescent="0.25">
      <c r="A255" s="1117"/>
      <c r="B255" s="237"/>
      <c r="C255" s="238"/>
      <c r="D255" s="238"/>
      <c r="E255" s="238"/>
      <c r="F255" s="239"/>
      <c r="G255" s="206" t="s">
        <v>1426</v>
      </c>
      <c r="H255" s="206" t="s">
        <v>1427</v>
      </c>
      <c r="I255" s="206" t="s">
        <v>1562</v>
      </c>
      <c r="J255" s="205"/>
      <c r="K255" s="205">
        <v>0.1</v>
      </c>
      <c r="L255" s="206"/>
      <c r="M255" s="240"/>
      <c r="N255" s="206" t="s">
        <v>2005</v>
      </c>
      <c r="O255" s="206" t="s">
        <v>2163</v>
      </c>
      <c r="P255" s="206" t="s">
        <v>14776</v>
      </c>
      <c r="Q255" s="206"/>
      <c r="R255" s="205">
        <v>3.7999999999999999E-2</v>
      </c>
      <c r="S255" s="206"/>
      <c r="T255" s="241"/>
    </row>
    <row r="256" spans="1:20" ht="15" customHeight="1" x14ac:dyDescent="0.25">
      <c r="A256" s="218"/>
      <c r="B256" s="237"/>
      <c r="C256" s="238"/>
      <c r="D256" s="238"/>
      <c r="E256" s="238"/>
      <c r="F256" s="239"/>
      <c r="G256" s="1161" t="s">
        <v>2011</v>
      </c>
      <c r="H256" s="1161"/>
      <c r="I256" s="1161"/>
      <c r="J256" s="1161"/>
      <c r="K256" s="1161"/>
      <c r="L256" s="1161"/>
      <c r="M256" s="1161"/>
      <c r="N256" s="1161" t="s">
        <v>14933</v>
      </c>
      <c r="O256" s="1161"/>
      <c r="P256" s="1161"/>
      <c r="Q256" s="1161"/>
      <c r="R256" s="1161"/>
      <c r="S256" s="1161"/>
      <c r="T256" s="1238"/>
    </row>
    <row r="257" spans="1:20" ht="15" customHeight="1" x14ac:dyDescent="0.25">
      <c r="A257" s="218"/>
      <c r="B257" s="237"/>
      <c r="C257" s="238"/>
      <c r="D257" s="238"/>
      <c r="E257" s="238"/>
      <c r="F257" s="239"/>
      <c r="G257" s="206" t="s">
        <v>1679</v>
      </c>
      <c r="H257" s="206" t="s">
        <v>1680</v>
      </c>
      <c r="I257" s="206" t="s">
        <v>2054</v>
      </c>
      <c r="J257" s="205"/>
      <c r="K257" s="205">
        <f>0.044-0.01748</f>
        <v>2.6519999999999998E-2</v>
      </c>
      <c r="L257" s="206"/>
      <c r="M257" s="240"/>
      <c r="N257" s="206" t="s">
        <v>1780</v>
      </c>
      <c r="O257" s="206" t="s">
        <v>1913</v>
      </c>
      <c r="P257" s="206" t="s">
        <v>18165</v>
      </c>
      <c r="Q257" s="206"/>
      <c r="R257" s="205">
        <v>0.04</v>
      </c>
      <c r="S257" s="206"/>
      <c r="T257" s="241"/>
    </row>
    <row r="258" spans="1:20" ht="15" customHeight="1" x14ac:dyDescent="0.25">
      <c r="A258" s="218"/>
      <c r="B258" s="237"/>
      <c r="C258" s="238"/>
      <c r="D258" s="238"/>
      <c r="E258" s="238"/>
      <c r="F258" s="239"/>
      <c r="G258" s="1161" t="s">
        <v>2290</v>
      </c>
      <c r="H258" s="1161"/>
      <c r="I258" s="1161"/>
      <c r="J258" s="1161"/>
      <c r="K258" s="1161"/>
      <c r="L258" s="1161"/>
      <c r="M258" s="1161"/>
      <c r="N258" s="272"/>
      <c r="O258" s="272"/>
      <c r="P258" s="272"/>
      <c r="Q258" s="272"/>
      <c r="R258" s="272"/>
      <c r="S258" s="272"/>
      <c r="T258" s="291"/>
    </row>
    <row r="259" spans="1:20" ht="15" customHeight="1" x14ac:dyDescent="0.25">
      <c r="A259" s="218"/>
      <c r="B259" s="237"/>
      <c r="C259" s="238"/>
      <c r="D259" s="238"/>
      <c r="E259" s="238"/>
      <c r="F259" s="239"/>
      <c r="G259" s="206" t="s">
        <v>2115</v>
      </c>
      <c r="H259" s="206" t="s">
        <v>2116</v>
      </c>
      <c r="I259" s="206" t="s">
        <v>2377</v>
      </c>
      <c r="J259" s="205"/>
      <c r="K259" s="240">
        <f>0.5*0.9</f>
        <v>0.45</v>
      </c>
      <c r="L259" s="263"/>
      <c r="M259" s="240"/>
      <c r="N259" s="272"/>
      <c r="O259" s="272"/>
      <c r="P259" s="272"/>
      <c r="Q259" s="272"/>
      <c r="R259" s="272"/>
      <c r="S259" s="272"/>
      <c r="T259" s="291"/>
    </row>
    <row r="260" spans="1:20" ht="15" customHeight="1" x14ac:dyDescent="0.25">
      <c r="A260" s="218"/>
      <c r="B260" s="237"/>
      <c r="C260" s="238"/>
      <c r="D260" s="238"/>
      <c r="E260" s="238"/>
      <c r="F260" s="239"/>
      <c r="G260" s="206" t="s">
        <v>13400</v>
      </c>
      <c r="H260" s="206" t="s">
        <v>13401</v>
      </c>
      <c r="I260" s="206" t="s">
        <v>14713</v>
      </c>
      <c r="J260" s="205"/>
      <c r="K260" s="240">
        <f>0.085*0.75</f>
        <v>6.3750000000000001E-2</v>
      </c>
      <c r="L260" s="263"/>
      <c r="M260" s="240"/>
      <c r="N260" s="272"/>
      <c r="O260" s="272"/>
      <c r="P260" s="272"/>
      <c r="Q260" s="272"/>
      <c r="R260" s="272"/>
      <c r="S260" s="272"/>
      <c r="T260" s="291"/>
    </row>
    <row r="261" spans="1:20" ht="15" customHeight="1" x14ac:dyDescent="0.25">
      <c r="A261" s="218"/>
      <c r="B261" s="237"/>
      <c r="C261" s="238"/>
      <c r="D261" s="238"/>
      <c r="E261" s="238"/>
      <c r="F261" s="239"/>
      <c r="G261" s="263" t="s">
        <v>2005</v>
      </c>
      <c r="H261" s="263" t="s">
        <v>13399</v>
      </c>
      <c r="I261" s="263" t="s">
        <v>14763</v>
      </c>
      <c r="J261" s="240"/>
      <c r="K261" s="240">
        <f>0.0837*0.9</f>
        <v>7.5329999999999994E-2</v>
      </c>
      <c r="L261" s="263"/>
      <c r="M261" s="240"/>
      <c r="N261" s="272"/>
      <c r="O261" s="272"/>
      <c r="P261" s="272"/>
      <c r="Q261" s="272"/>
      <c r="R261" s="272"/>
      <c r="S261" s="272"/>
      <c r="T261" s="291"/>
    </row>
    <row r="262" spans="1:20" ht="15" customHeight="1" x14ac:dyDescent="0.25">
      <c r="A262" s="218"/>
      <c r="B262" s="237"/>
      <c r="C262" s="238"/>
      <c r="D262" s="238"/>
      <c r="E262" s="238"/>
      <c r="F262" s="239"/>
      <c r="G262" s="1161" t="s">
        <v>18518</v>
      </c>
      <c r="H262" s="1161"/>
      <c r="I262" s="1161"/>
      <c r="J262" s="1161"/>
      <c r="K262" s="1161"/>
      <c r="L262" s="1161"/>
      <c r="M262" s="1161"/>
      <c r="N262" s="292"/>
      <c r="O262" s="292"/>
      <c r="P262" s="292"/>
      <c r="Q262" s="292"/>
      <c r="R262" s="292"/>
      <c r="S262" s="292"/>
      <c r="T262" s="293"/>
    </row>
    <row r="263" spans="1:20" ht="15" customHeight="1" x14ac:dyDescent="0.25">
      <c r="A263" s="218"/>
      <c r="B263" s="237"/>
      <c r="C263" s="238"/>
      <c r="D263" s="238"/>
      <c r="E263" s="238"/>
      <c r="F263" s="239"/>
      <c r="G263" s="265" t="s">
        <v>18974</v>
      </c>
      <c r="H263" s="266" t="s">
        <v>18975</v>
      </c>
      <c r="I263" s="265">
        <v>41086541</v>
      </c>
      <c r="J263" s="267"/>
      <c r="K263" s="268">
        <f>0.95*0.75</f>
        <v>0.71249999999999991</v>
      </c>
      <c r="L263" s="269"/>
      <c r="M263" s="269"/>
      <c r="N263" s="292"/>
      <c r="O263" s="292"/>
      <c r="P263" s="292"/>
      <c r="Q263" s="292"/>
      <c r="R263" s="292"/>
      <c r="S263" s="292"/>
      <c r="T263" s="293"/>
    </row>
    <row r="264" spans="1:20" ht="15" customHeight="1" x14ac:dyDescent="0.25">
      <c r="A264" s="218"/>
      <c r="B264" s="237"/>
      <c r="C264" s="238"/>
      <c r="D264" s="238"/>
      <c r="E264" s="238"/>
      <c r="F264" s="239"/>
      <c r="G264" s="1157" t="s">
        <v>2262</v>
      </c>
      <c r="H264" s="1157"/>
      <c r="I264" s="1157"/>
      <c r="J264" s="994">
        <f>0.03825*0.9</f>
        <v>3.4424999999999997E-2</v>
      </c>
      <c r="K264" s="995"/>
      <c r="L264" s="269"/>
      <c r="M264" s="260"/>
      <c r="N264" s="292"/>
      <c r="O264" s="292"/>
      <c r="P264" s="292"/>
      <c r="Q264" s="292"/>
      <c r="R264" s="292"/>
      <c r="S264" s="292"/>
      <c r="T264" s="293"/>
    </row>
    <row r="265" spans="1:20" ht="15" customHeight="1" thickBot="1" x14ac:dyDescent="0.3">
      <c r="A265" s="242"/>
      <c r="B265" s="243"/>
      <c r="C265" s="244"/>
      <c r="D265" s="244"/>
      <c r="E265" s="244"/>
      <c r="F265" s="245"/>
      <c r="G265" s="1032" t="s">
        <v>1199</v>
      </c>
      <c r="H265" s="1032"/>
      <c r="I265" s="1032"/>
      <c r="J265" s="246"/>
      <c r="K265" s="247">
        <f>SUM(J263:K264)</f>
        <v>0.74692499999999995</v>
      </c>
      <c r="L265" s="248">
        <v>0.92</v>
      </c>
      <c r="M265" s="247">
        <f>K265/L265</f>
        <v>0.8118749999999999</v>
      </c>
      <c r="N265" s="1032" t="s">
        <v>1199</v>
      </c>
      <c r="O265" s="1032"/>
      <c r="P265" s="1032"/>
      <c r="Q265" s="248"/>
      <c r="R265" s="247">
        <f>SUM(R254:R261)</f>
        <v>7.8E-2</v>
      </c>
      <c r="S265" s="248">
        <v>0.92</v>
      </c>
      <c r="T265" s="249">
        <f>R265/S265</f>
        <v>8.478260869565217E-2</v>
      </c>
    </row>
    <row r="266" spans="1:20" ht="15" customHeight="1" x14ac:dyDescent="0.25">
      <c r="A266" s="1116" t="str">
        <f>Итоговая!C422</f>
        <v xml:space="preserve">ПС 110/35/10 кВ Кувшиново  </v>
      </c>
      <c r="B266" s="1113">
        <f>Итоговая!D422</f>
        <v>40</v>
      </c>
      <c r="C266" s="1109" t="str">
        <f>Итоговая!E422</f>
        <v>+</v>
      </c>
      <c r="D266" s="1109">
        <f>Итоговая!F422</f>
        <v>25</v>
      </c>
      <c r="E266" s="1109"/>
      <c r="F266" s="1118"/>
      <c r="G266" s="1162" t="s">
        <v>1288</v>
      </c>
      <c r="H266" s="1162"/>
      <c r="I266" s="1162"/>
      <c r="J266" s="1162"/>
      <c r="K266" s="1162"/>
      <c r="L266" s="1162"/>
      <c r="M266" s="1162"/>
      <c r="N266" s="1073"/>
      <c r="O266" s="1073"/>
      <c r="P266" s="1073"/>
      <c r="Q266" s="1073"/>
      <c r="R266" s="1073"/>
      <c r="S266" s="1073"/>
      <c r="T266" s="1074"/>
    </row>
    <row r="267" spans="1:20" ht="15" customHeight="1" x14ac:dyDescent="0.25">
      <c r="A267" s="1117"/>
      <c r="B267" s="1114"/>
      <c r="C267" s="1110"/>
      <c r="D267" s="1110"/>
      <c r="E267" s="1110"/>
      <c r="F267" s="1119"/>
      <c r="G267" s="206" t="s">
        <v>592</v>
      </c>
      <c r="H267" s="206" t="s">
        <v>593</v>
      </c>
      <c r="I267" s="206" t="s">
        <v>594</v>
      </c>
      <c r="J267" s="205"/>
      <c r="K267" s="205">
        <v>4.8000000000000001E-2</v>
      </c>
      <c r="L267" s="206"/>
      <c r="M267" s="240"/>
      <c r="N267" s="263"/>
      <c r="O267" s="263"/>
      <c r="P267" s="263"/>
      <c r="Q267" s="263"/>
      <c r="R267" s="240"/>
      <c r="S267" s="263"/>
      <c r="T267" s="241"/>
    </row>
    <row r="268" spans="1:20" ht="15" customHeight="1" x14ac:dyDescent="0.25">
      <c r="A268" s="218"/>
      <c r="B268" s="237"/>
      <c r="C268" s="238"/>
      <c r="D268" s="238"/>
      <c r="E268" s="238"/>
      <c r="F268" s="239"/>
      <c r="G268" s="1161" t="s">
        <v>1645</v>
      </c>
      <c r="H268" s="1161"/>
      <c r="I268" s="1161"/>
      <c r="J268" s="1161"/>
      <c r="K268" s="1161"/>
      <c r="L268" s="1161"/>
      <c r="M268" s="1161"/>
      <c r="N268" s="263"/>
      <c r="O268" s="263"/>
      <c r="P268" s="263"/>
      <c r="Q268" s="263"/>
      <c r="R268" s="240"/>
      <c r="S268" s="263"/>
      <c r="T268" s="241"/>
    </row>
    <row r="269" spans="1:20" ht="15" customHeight="1" x14ac:dyDescent="0.25">
      <c r="A269" s="218"/>
      <c r="B269" s="237"/>
      <c r="C269" s="238"/>
      <c r="D269" s="238"/>
      <c r="E269" s="238"/>
      <c r="F269" s="239"/>
      <c r="G269" s="206" t="s">
        <v>1858</v>
      </c>
      <c r="H269" s="206" t="s">
        <v>1859</v>
      </c>
      <c r="I269" s="206" t="s">
        <v>1860</v>
      </c>
      <c r="J269" s="205"/>
      <c r="K269" s="205">
        <f>9*0.75</f>
        <v>6.75</v>
      </c>
      <c r="L269" s="206"/>
      <c r="M269" s="240"/>
      <c r="N269" s="263"/>
      <c r="O269" s="263"/>
      <c r="P269" s="263"/>
      <c r="Q269" s="263"/>
      <c r="R269" s="240"/>
      <c r="S269" s="263"/>
      <c r="T269" s="241"/>
    </row>
    <row r="270" spans="1:20" ht="15" customHeight="1" x14ac:dyDescent="0.25">
      <c r="A270" s="218"/>
      <c r="B270" s="237"/>
      <c r="C270" s="238"/>
      <c r="D270" s="238"/>
      <c r="E270" s="238"/>
      <c r="F270" s="239"/>
      <c r="G270" s="206" t="s">
        <v>1858</v>
      </c>
      <c r="H270" s="206" t="s">
        <v>1861</v>
      </c>
      <c r="I270" s="206" t="s">
        <v>1862</v>
      </c>
      <c r="J270" s="205"/>
      <c r="K270" s="205">
        <f>9*0.75</f>
        <v>6.75</v>
      </c>
      <c r="L270" s="206"/>
      <c r="M270" s="240"/>
      <c r="N270" s="263"/>
      <c r="O270" s="263"/>
      <c r="P270" s="263"/>
      <c r="Q270" s="263"/>
      <c r="R270" s="240"/>
      <c r="S270" s="263"/>
      <c r="T270" s="241"/>
    </row>
    <row r="271" spans="1:20" ht="15" customHeight="1" x14ac:dyDescent="0.25">
      <c r="A271" s="218"/>
      <c r="B271" s="237"/>
      <c r="C271" s="238"/>
      <c r="D271" s="238"/>
      <c r="E271" s="238"/>
      <c r="F271" s="239"/>
      <c r="G271" s="1161" t="s">
        <v>18518</v>
      </c>
      <c r="H271" s="1161"/>
      <c r="I271" s="1161"/>
      <c r="J271" s="1161"/>
      <c r="K271" s="1161"/>
      <c r="L271" s="1161"/>
      <c r="M271" s="1161"/>
      <c r="N271" s="263"/>
      <c r="O271" s="263"/>
      <c r="P271" s="263"/>
      <c r="Q271" s="263"/>
      <c r="R271" s="240"/>
      <c r="S271" s="263"/>
      <c r="T271" s="241"/>
    </row>
    <row r="272" spans="1:20" ht="15" customHeight="1" x14ac:dyDescent="0.25">
      <c r="A272" s="218"/>
      <c r="B272" s="237"/>
      <c r="C272" s="238"/>
      <c r="D272" s="238"/>
      <c r="E272" s="238"/>
      <c r="F272" s="239"/>
      <c r="G272" s="206" t="s">
        <v>18897</v>
      </c>
      <c r="H272" s="206" t="s">
        <v>18898</v>
      </c>
      <c r="I272" s="206" t="s">
        <v>19635</v>
      </c>
      <c r="J272" s="205">
        <f>0.475*0.9</f>
        <v>0.42749999999999999</v>
      </c>
      <c r="K272" s="205">
        <f>0.475*0.9</f>
        <v>0.42749999999999999</v>
      </c>
      <c r="L272" s="206"/>
      <c r="M272" s="240"/>
      <c r="N272" s="263"/>
      <c r="O272" s="263"/>
      <c r="P272" s="263"/>
      <c r="Q272" s="263"/>
      <c r="R272" s="240"/>
      <c r="S272" s="263"/>
      <c r="T272" s="241"/>
    </row>
    <row r="273" spans="1:20" ht="15" customHeight="1" x14ac:dyDescent="0.25">
      <c r="A273" s="218"/>
      <c r="B273" s="237"/>
      <c r="C273" s="238"/>
      <c r="D273" s="238"/>
      <c r="E273" s="238"/>
      <c r="F273" s="239"/>
      <c r="G273" s="1157" t="s">
        <v>2262</v>
      </c>
      <c r="H273" s="1157"/>
      <c r="I273" s="1157"/>
      <c r="J273" s="994">
        <f>0.095*0.9*0.6</f>
        <v>5.1300000000000005E-2</v>
      </c>
      <c r="K273" s="995"/>
      <c r="L273" s="206"/>
      <c r="M273" s="240"/>
      <c r="N273" s="269"/>
      <c r="O273" s="269"/>
      <c r="P273" s="269"/>
      <c r="Q273" s="269"/>
      <c r="R273" s="260"/>
      <c r="S273" s="269"/>
      <c r="T273" s="259"/>
    </row>
    <row r="274" spans="1:20" ht="15" customHeight="1" thickBot="1" x14ac:dyDescent="0.3">
      <c r="A274" s="242"/>
      <c r="B274" s="243"/>
      <c r="C274" s="244"/>
      <c r="D274" s="244"/>
      <c r="E274" s="244"/>
      <c r="F274" s="245"/>
      <c r="G274" s="1032" t="s">
        <v>1199</v>
      </c>
      <c r="H274" s="1032"/>
      <c r="I274" s="1032"/>
      <c r="J274" s="246"/>
      <c r="K274" s="247">
        <f>SUM(J272:K273)</f>
        <v>0.90629999999999999</v>
      </c>
      <c r="L274" s="248">
        <v>0.92</v>
      </c>
      <c r="M274" s="247">
        <f>K274/L274</f>
        <v>0.98510869565217385</v>
      </c>
      <c r="N274" s="1032" t="s">
        <v>1199</v>
      </c>
      <c r="O274" s="1032"/>
      <c r="P274" s="1032"/>
      <c r="Q274" s="248"/>
      <c r="R274" s="247">
        <v>0</v>
      </c>
      <c r="S274" s="248">
        <v>0.92</v>
      </c>
      <c r="T274" s="249">
        <f>R274/S274</f>
        <v>0</v>
      </c>
    </row>
    <row r="275" spans="1:20" ht="15" customHeight="1" x14ac:dyDescent="0.25">
      <c r="A275" s="1116" t="str">
        <f>Итоговая!C425</f>
        <v xml:space="preserve">ПС 110/35/10 кВ Селижарово  </v>
      </c>
      <c r="B275" s="1113">
        <f>Итоговая!D425</f>
        <v>16</v>
      </c>
      <c r="C275" s="1109" t="str">
        <f>Итоговая!E425</f>
        <v>+</v>
      </c>
      <c r="D275" s="1109">
        <f>Итоговая!F425</f>
        <v>10</v>
      </c>
      <c r="E275" s="1109"/>
      <c r="F275" s="1118"/>
      <c r="G275" s="1162" t="s">
        <v>1288</v>
      </c>
      <c r="H275" s="1162"/>
      <c r="I275" s="1162"/>
      <c r="J275" s="1162"/>
      <c r="K275" s="1162"/>
      <c r="L275" s="1162"/>
      <c r="M275" s="1162"/>
      <c r="N275" s="1073"/>
      <c r="O275" s="1073"/>
      <c r="P275" s="1073"/>
      <c r="Q275" s="1073"/>
      <c r="R275" s="1073"/>
      <c r="S275" s="1073"/>
      <c r="T275" s="1074"/>
    </row>
    <row r="276" spans="1:20" ht="15" customHeight="1" x14ac:dyDescent="0.25">
      <c r="A276" s="1117"/>
      <c r="B276" s="1114"/>
      <c r="C276" s="1110"/>
      <c r="D276" s="1110"/>
      <c r="E276" s="1110"/>
      <c r="F276" s="1119"/>
      <c r="G276" s="285" t="s">
        <v>601</v>
      </c>
      <c r="H276" s="285" t="s">
        <v>602</v>
      </c>
      <c r="I276" s="206" t="s">
        <v>603</v>
      </c>
      <c r="J276" s="205"/>
      <c r="K276" s="205">
        <v>0.378</v>
      </c>
      <c r="L276" s="206"/>
      <c r="M276" s="240"/>
      <c r="N276" s="203"/>
      <c r="O276" s="203"/>
      <c r="P276" s="263"/>
      <c r="Q276" s="263"/>
      <c r="R276" s="240"/>
      <c r="S276" s="263"/>
      <c r="T276" s="241"/>
    </row>
    <row r="277" spans="1:20" ht="15" customHeight="1" x14ac:dyDescent="0.25">
      <c r="A277" s="218"/>
      <c r="B277" s="237"/>
      <c r="C277" s="238"/>
      <c r="D277" s="238"/>
      <c r="E277" s="238"/>
      <c r="F277" s="239"/>
      <c r="G277" s="1161" t="s">
        <v>1287</v>
      </c>
      <c r="H277" s="1161"/>
      <c r="I277" s="1161"/>
      <c r="J277" s="1161"/>
      <c r="K277" s="1161"/>
      <c r="L277" s="1161"/>
      <c r="M277" s="1161"/>
      <c r="N277" s="1053"/>
      <c r="O277" s="1053"/>
      <c r="P277" s="1053"/>
      <c r="Q277" s="1053"/>
      <c r="R277" s="1053"/>
      <c r="S277" s="1053"/>
      <c r="T277" s="1075"/>
    </row>
    <row r="278" spans="1:20" ht="15" customHeight="1" x14ac:dyDescent="0.25">
      <c r="A278" s="218"/>
      <c r="B278" s="237"/>
      <c r="C278" s="238"/>
      <c r="D278" s="238"/>
      <c r="E278" s="238"/>
      <c r="F278" s="239"/>
      <c r="G278" s="206" t="s">
        <v>598</v>
      </c>
      <c r="H278" s="206" t="s">
        <v>599</v>
      </c>
      <c r="I278" s="206" t="s">
        <v>600</v>
      </c>
      <c r="J278" s="205"/>
      <c r="K278" s="205">
        <v>0.1</v>
      </c>
      <c r="L278" s="206"/>
      <c r="M278" s="240"/>
      <c r="N278" s="263"/>
      <c r="O278" s="263"/>
      <c r="P278" s="263"/>
      <c r="Q278" s="263"/>
      <c r="R278" s="240"/>
      <c r="S278" s="263"/>
      <c r="T278" s="241"/>
    </row>
    <row r="279" spans="1:20" ht="15" customHeight="1" x14ac:dyDescent="0.25">
      <c r="A279" s="226"/>
      <c r="B279" s="308"/>
      <c r="C279" s="309"/>
      <c r="D279" s="309"/>
      <c r="E279" s="309"/>
      <c r="F279" s="310"/>
      <c r="G279" s="206" t="s">
        <v>595</v>
      </c>
      <c r="H279" s="206" t="s">
        <v>596</v>
      </c>
      <c r="I279" s="206" t="s">
        <v>597</v>
      </c>
      <c r="J279" s="205"/>
      <c r="K279" s="205">
        <v>0.2</v>
      </c>
      <c r="L279" s="206"/>
      <c r="M279" s="240"/>
      <c r="N279" s="263"/>
      <c r="O279" s="263"/>
      <c r="P279" s="263"/>
      <c r="Q279" s="263"/>
      <c r="R279" s="240"/>
      <c r="S279" s="263"/>
      <c r="T279" s="241"/>
    </row>
    <row r="280" spans="1:20" ht="15" customHeight="1" x14ac:dyDescent="0.25">
      <c r="A280" s="218"/>
      <c r="B280" s="237"/>
      <c r="C280" s="238"/>
      <c r="D280" s="238"/>
      <c r="E280" s="238"/>
      <c r="F280" s="239"/>
      <c r="G280" s="206" t="s">
        <v>604</v>
      </c>
      <c r="H280" s="206" t="s">
        <v>1714</v>
      </c>
      <c r="I280" s="206" t="s">
        <v>1715</v>
      </c>
      <c r="J280" s="205"/>
      <c r="K280" s="205">
        <v>1.1000000000000001</v>
      </c>
      <c r="L280" s="206"/>
      <c r="M280" s="240"/>
      <c r="N280" s="263"/>
      <c r="O280" s="263"/>
      <c r="P280" s="263"/>
      <c r="Q280" s="263"/>
      <c r="R280" s="240"/>
      <c r="S280" s="263"/>
      <c r="T280" s="241"/>
    </row>
    <row r="281" spans="1:20" ht="15" customHeight="1" x14ac:dyDescent="0.25">
      <c r="A281" s="218"/>
      <c r="B281" s="237"/>
      <c r="C281" s="238"/>
      <c r="D281" s="238"/>
      <c r="E281" s="238"/>
      <c r="F281" s="239"/>
      <c r="G281" s="1161" t="s">
        <v>14978</v>
      </c>
      <c r="H281" s="1161"/>
      <c r="I281" s="1161"/>
      <c r="J281" s="1161"/>
      <c r="K281" s="1161"/>
      <c r="L281" s="1161"/>
      <c r="M281" s="1161"/>
      <c r="N281" s="263"/>
      <c r="O281" s="263"/>
      <c r="P281" s="263"/>
      <c r="Q281" s="263"/>
      <c r="R281" s="240"/>
      <c r="S281" s="263"/>
      <c r="T281" s="241"/>
    </row>
    <row r="282" spans="1:20" ht="15" customHeight="1" x14ac:dyDescent="0.25">
      <c r="A282" s="218"/>
      <c r="B282" s="237"/>
      <c r="C282" s="238"/>
      <c r="D282" s="238"/>
      <c r="E282" s="238"/>
      <c r="F282" s="239"/>
      <c r="G282" s="272" t="s">
        <v>17655</v>
      </c>
      <c r="H282" s="272" t="s">
        <v>17656</v>
      </c>
      <c r="I282" s="272" t="s">
        <v>17657</v>
      </c>
      <c r="J282" s="273"/>
      <c r="K282" s="240">
        <f>(0.05-0.015)*0.75</f>
        <v>2.6250000000000002E-2</v>
      </c>
      <c r="L282" s="263"/>
      <c r="M282" s="240"/>
      <c r="N282" s="263"/>
      <c r="O282" s="263"/>
      <c r="P282" s="263"/>
      <c r="Q282" s="263"/>
      <c r="R282" s="240"/>
      <c r="S282" s="263"/>
      <c r="T282" s="241"/>
    </row>
    <row r="283" spans="1:20" ht="15" customHeight="1" x14ac:dyDescent="0.25">
      <c r="A283" s="218"/>
      <c r="B283" s="237"/>
      <c r="C283" s="238"/>
      <c r="D283" s="238"/>
      <c r="E283" s="238"/>
      <c r="F283" s="239"/>
      <c r="G283" s="1161" t="s">
        <v>18842</v>
      </c>
      <c r="H283" s="1161"/>
      <c r="I283" s="1161"/>
      <c r="J283" s="1161"/>
      <c r="K283" s="1161"/>
      <c r="L283" s="1161"/>
      <c r="M283" s="1161"/>
      <c r="N283" s="269"/>
      <c r="O283" s="269"/>
      <c r="P283" s="269"/>
      <c r="Q283" s="269"/>
      <c r="R283" s="260"/>
      <c r="S283" s="269"/>
      <c r="T283" s="259"/>
    </row>
    <row r="284" spans="1:20" ht="15" customHeight="1" x14ac:dyDescent="0.25">
      <c r="A284" s="218"/>
      <c r="B284" s="237"/>
      <c r="C284" s="238"/>
      <c r="D284" s="238"/>
      <c r="E284" s="238"/>
      <c r="F284" s="239"/>
      <c r="G284" s="1157" t="s">
        <v>2262</v>
      </c>
      <c r="H284" s="1157"/>
      <c r="I284" s="1157"/>
      <c r="J284" s="994">
        <f>0.108*0.9*0.6</f>
        <v>5.8319999999999997E-2</v>
      </c>
      <c r="K284" s="995"/>
      <c r="L284" s="269"/>
      <c r="M284" s="260"/>
      <c r="N284" s="269"/>
      <c r="O284" s="269"/>
      <c r="P284" s="269"/>
      <c r="Q284" s="269"/>
      <c r="R284" s="260"/>
      <c r="S284" s="269"/>
      <c r="T284" s="259"/>
    </row>
    <row r="285" spans="1:20" ht="15" customHeight="1" thickBot="1" x14ac:dyDescent="0.3">
      <c r="A285" s="242"/>
      <c r="B285" s="243"/>
      <c r="C285" s="244"/>
      <c r="D285" s="244"/>
      <c r="E285" s="244"/>
      <c r="F285" s="245"/>
      <c r="G285" s="1032" t="s">
        <v>1199</v>
      </c>
      <c r="H285" s="1032"/>
      <c r="I285" s="1032"/>
      <c r="J285" s="246"/>
      <c r="K285" s="247">
        <f>SUM(J282:K284)</f>
        <v>8.4570000000000006E-2</v>
      </c>
      <c r="L285" s="248">
        <v>0.92</v>
      </c>
      <c r="M285" s="247">
        <f>K285/L285</f>
        <v>9.1923913043478259E-2</v>
      </c>
      <c r="N285" s="1032" t="s">
        <v>1199</v>
      </c>
      <c r="O285" s="1032"/>
      <c r="P285" s="1032"/>
      <c r="Q285" s="248"/>
      <c r="R285" s="247">
        <f>SUM(R278:R280)</f>
        <v>0</v>
      </c>
      <c r="S285" s="248">
        <v>0.92</v>
      </c>
      <c r="T285" s="249">
        <f>R285/S285</f>
        <v>0</v>
      </c>
    </row>
    <row r="286" spans="1:20" ht="15" customHeight="1" x14ac:dyDescent="0.25">
      <c r="A286" s="211" t="str">
        <f>Итоговая!C428</f>
        <v xml:space="preserve">ПС 110/35/10 кВ НПС Борисово </v>
      </c>
      <c r="B286" s="234">
        <f>Итоговая!D428</f>
        <v>25</v>
      </c>
      <c r="C286" s="235" t="str">
        <f>Итоговая!E428</f>
        <v>+</v>
      </c>
      <c r="D286" s="235">
        <f>Итоговая!F428</f>
        <v>25</v>
      </c>
      <c r="E286" s="235"/>
      <c r="F286" s="236"/>
      <c r="G286" s="215"/>
      <c r="H286" s="215"/>
      <c r="I286" s="215"/>
      <c r="J286" s="216"/>
      <c r="K286" s="216"/>
      <c r="L286" s="215"/>
      <c r="M286" s="264"/>
      <c r="N286" s="215"/>
      <c r="O286" s="215"/>
      <c r="P286" s="215"/>
      <c r="Q286" s="215"/>
      <c r="R286" s="216"/>
      <c r="S286" s="215"/>
      <c r="T286" s="217"/>
    </row>
    <row r="287" spans="1:20" ht="15" customHeight="1" thickBot="1" x14ac:dyDescent="0.3">
      <c r="A287" s="242"/>
      <c r="B287" s="243"/>
      <c r="C287" s="244"/>
      <c r="D287" s="244"/>
      <c r="E287" s="244"/>
      <c r="F287" s="245"/>
      <c r="G287" s="1032" t="s">
        <v>1199</v>
      </c>
      <c r="H287" s="1032"/>
      <c r="I287" s="1032"/>
      <c r="J287" s="246"/>
      <c r="K287" s="247">
        <f>SUM(K286:K286)</f>
        <v>0</v>
      </c>
      <c r="L287" s="248">
        <v>0.92</v>
      </c>
      <c r="M287" s="247">
        <f>K287/L287</f>
        <v>0</v>
      </c>
      <c r="N287" s="1032" t="s">
        <v>1199</v>
      </c>
      <c r="O287" s="1032"/>
      <c r="P287" s="1032"/>
      <c r="Q287" s="248"/>
      <c r="R287" s="247">
        <f>SUM(R286:R286)</f>
        <v>0</v>
      </c>
      <c r="S287" s="248">
        <v>0.92</v>
      </c>
      <c r="T287" s="249">
        <f>R287/S287</f>
        <v>0</v>
      </c>
    </row>
    <row r="288" spans="1:20" ht="15" customHeight="1" x14ac:dyDescent="0.25">
      <c r="A288" s="1116" t="str">
        <f>Итоговая!C431</f>
        <v xml:space="preserve">ПС 110/35/10 кВ Осташков  </v>
      </c>
      <c r="B288" s="1113">
        <f>Итоговая!D431</f>
        <v>25</v>
      </c>
      <c r="C288" s="1109" t="str">
        <f>Итоговая!E431</f>
        <v>+</v>
      </c>
      <c r="D288" s="1109">
        <f>Итоговая!F431</f>
        <v>25</v>
      </c>
      <c r="E288" s="1109"/>
      <c r="F288" s="1118"/>
      <c r="G288" s="1162" t="s">
        <v>1288</v>
      </c>
      <c r="H288" s="1162"/>
      <c r="I288" s="1162"/>
      <c r="J288" s="1162"/>
      <c r="K288" s="1162"/>
      <c r="L288" s="1162"/>
      <c r="M288" s="1162"/>
      <c r="N288" s="1073"/>
      <c r="O288" s="1073"/>
      <c r="P288" s="1073"/>
      <c r="Q288" s="1073"/>
      <c r="R288" s="1073"/>
      <c r="S288" s="1073"/>
      <c r="T288" s="1074"/>
    </row>
    <row r="289" spans="1:20" ht="15" customHeight="1" x14ac:dyDescent="0.25">
      <c r="A289" s="1117"/>
      <c r="B289" s="1114"/>
      <c r="C289" s="1110"/>
      <c r="D289" s="1110"/>
      <c r="E289" s="1110"/>
      <c r="F289" s="1119"/>
      <c r="G289" s="206" t="s">
        <v>1040</v>
      </c>
      <c r="H289" s="206" t="s">
        <v>1041</v>
      </c>
      <c r="I289" s="206" t="s">
        <v>1042</v>
      </c>
      <c r="J289" s="205"/>
      <c r="K289" s="205">
        <v>0.157</v>
      </c>
      <c r="L289" s="263"/>
      <c r="M289" s="240"/>
      <c r="N289" s="206" t="s">
        <v>1709</v>
      </c>
      <c r="O289" s="206" t="s">
        <v>1710</v>
      </c>
      <c r="P289" s="206" t="s">
        <v>14771</v>
      </c>
      <c r="Q289" s="206"/>
      <c r="R289" s="205">
        <v>0.03</v>
      </c>
      <c r="S289" s="263"/>
      <c r="T289" s="241"/>
    </row>
    <row r="290" spans="1:20" ht="15" customHeight="1" x14ac:dyDescent="0.25">
      <c r="A290" s="218"/>
      <c r="B290" s="237"/>
      <c r="C290" s="238"/>
      <c r="D290" s="238"/>
      <c r="E290" s="238"/>
      <c r="F290" s="239"/>
      <c r="G290" s="1161" t="s">
        <v>1287</v>
      </c>
      <c r="H290" s="1161"/>
      <c r="I290" s="1161"/>
      <c r="J290" s="1161"/>
      <c r="K290" s="1161"/>
      <c r="L290" s="1161"/>
      <c r="M290" s="1161"/>
      <c r="N290" s="1053"/>
      <c r="O290" s="1053"/>
      <c r="P290" s="1053"/>
      <c r="Q290" s="1053"/>
      <c r="R290" s="1053"/>
      <c r="S290" s="1053"/>
      <c r="T290" s="1075"/>
    </row>
    <row r="291" spans="1:20" ht="15" customHeight="1" x14ac:dyDescent="0.25">
      <c r="A291" s="218"/>
      <c r="B291" s="237"/>
      <c r="C291" s="238"/>
      <c r="D291" s="238"/>
      <c r="E291" s="238"/>
      <c r="F291" s="239"/>
      <c r="G291" s="206" t="s">
        <v>1037</v>
      </c>
      <c r="H291" s="206" t="s">
        <v>1038</v>
      </c>
      <c r="I291" s="206" t="s">
        <v>1039</v>
      </c>
      <c r="J291" s="205"/>
      <c r="K291" s="205">
        <v>0.1</v>
      </c>
      <c r="L291" s="206"/>
      <c r="M291" s="240"/>
      <c r="N291" s="263"/>
      <c r="O291" s="263"/>
      <c r="P291" s="263"/>
      <c r="Q291" s="263"/>
      <c r="R291" s="240"/>
      <c r="S291" s="263"/>
      <c r="T291" s="241"/>
    </row>
    <row r="292" spans="1:20" ht="15" customHeight="1" x14ac:dyDescent="0.25">
      <c r="A292" s="218"/>
      <c r="B292" s="237"/>
      <c r="C292" s="238"/>
      <c r="D292" s="238"/>
      <c r="E292" s="238"/>
      <c r="F292" s="239"/>
      <c r="G292" s="1161" t="s">
        <v>2266</v>
      </c>
      <c r="H292" s="1161"/>
      <c r="I292" s="1161"/>
      <c r="J292" s="1161"/>
      <c r="K292" s="1161"/>
      <c r="L292" s="1161"/>
      <c r="M292" s="1161"/>
      <c r="N292" s="263"/>
      <c r="O292" s="263"/>
      <c r="P292" s="263"/>
      <c r="Q292" s="263"/>
      <c r="R292" s="240"/>
      <c r="S292" s="263"/>
      <c r="T292" s="241"/>
    </row>
    <row r="293" spans="1:20" s="315" customFormat="1" ht="15" customHeight="1" x14ac:dyDescent="0.25">
      <c r="A293" s="311"/>
      <c r="B293" s="312"/>
      <c r="C293" s="313"/>
      <c r="D293" s="313"/>
      <c r="E293" s="313"/>
      <c r="F293" s="314"/>
      <c r="G293" s="206" t="s">
        <v>14725</v>
      </c>
      <c r="H293" s="206" t="s">
        <v>14726</v>
      </c>
      <c r="I293" s="263" t="s">
        <v>14839</v>
      </c>
      <c r="J293" s="240"/>
      <c r="K293" s="240">
        <f>0.3*0.9</f>
        <v>0.27</v>
      </c>
      <c r="L293" s="263"/>
      <c r="M293" s="240"/>
      <c r="N293" s="263"/>
      <c r="O293" s="263"/>
      <c r="P293" s="263"/>
      <c r="Q293" s="263"/>
      <c r="R293" s="240"/>
      <c r="S293" s="263"/>
      <c r="T293" s="241"/>
    </row>
    <row r="294" spans="1:20" s="315" customFormat="1" ht="15" customHeight="1" x14ac:dyDescent="0.25">
      <c r="A294" s="311"/>
      <c r="B294" s="312"/>
      <c r="C294" s="313"/>
      <c r="D294" s="313"/>
      <c r="E294" s="313"/>
      <c r="F294" s="314"/>
      <c r="G294" s="1161" t="s">
        <v>14978</v>
      </c>
      <c r="H294" s="1161"/>
      <c r="I294" s="1161"/>
      <c r="J294" s="1161"/>
      <c r="K294" s="1161"/>
      <c r="L294" s="1161"/>
      <c r="M294" s="1161"/>
      <c r="N294" s="263"/>
      <c r="O294" s="263"/>
      <c r="P294" s="263"/>
      <c r="Q294" s="263"/>
      <c r="R294" s="240"/>
      <c r="S294" s="263"/>
      <c r="T294" s="241"/>
    </row>
    <row r="295" spans="1:20" s="315" customFormat="1" ht="15" customHeight="1" x14ac:dyDescent="0.25">
      <c r="A295" s="311"/>
      <c r="B295" s="312"/>
      <c r="C295" s="313"/>
      <c r="D295" s="313"/>
      <c r="E295" s="313"/>
      <c r="F295" s="314"/>
      <c r="G295" s="206" t="s">
        <v>14908</v>
      </c>
      <c r="H295" s="206" t="s">
        <v>14909</v>
      </c>
      <c r="I295" s="263" t="s">
        <v>14986</v>
      </c>
      <c r="J295" s="240"/>
      <c r="K295" s="240">
        <f>0.06*0.15</f>
        <v>8.9999999999999993E-3</v>
      </c>
      <c r="L295" s="263"/>
      <c r="M295" s="240"/>
      <c r="N295" s="263"/>
      <c r="O295" s="263"/>
      <c r="P295" s="263"/>
      <c r="Q295" s="263"/>
      <c r="R295" s="240"/>
      <c r="S295" s="263"/>
      <c r="T295" s="241"/>
    </row>
    <row r="296" spans="1:20" s="315" customFormat="1" ht="15" customHeight="1" x14ac:dyDescent="0.25">
      <c r="A296" s="311"/>
      <c r="B296" s="312"/>
      <c r="C296" s="313"/>
      <c r="D296" s="313"/>
      <c r="E296" s="313"/>
      <c r="F296" s="314"/>
      <c r="G296" s="1157" t="s">
        <v>2262</v>
      </c>
      <c r="H296" s="1157"/>
      <c r="I296" s="1157"/>
      <c r="J296" s="994">
        <f>0.234*0.9*0.6</f>
        <v>0.12636</v>
      </c>
      <c r="K296" s="995"/>
      <c r="L296" s="263"/>
      <c r="M296" s="240"/>
      <c r="N296" s="263"/>
      <c r="O296" s="263"/>
      <c r="P296" s="263"/>
      <c r="Q296" s="263"/>
      <c r="R296" s="240"/>
      <c r="S296" s="263"/>
      <c r="T296" s="241"/>
    </row>
    <row r="297" spans="1:20" s="315" customFormat="1" ht="15" customHeight="1" x14ac:dyDescent="0.25">
      <c r="A297" s="311"/>
      <c r="B297" s="312"/>
      <c r="C297" s="313"/>
      <c r="D297" s="313"/>
      <c r="E297" s="313"/>
      <c r="F297" s="314"/>
      <c r="G297" s="1161" t="s">
        <v>18842</v>
      </c>
      <c r="H297" s="1161"/>
      <c r="I297" s="1161"/>
      <c r="J297" s="1161"/>
      <c r="K297" s="1161"/>
      <c r="L297" s="1161"/>
      <c r="M297" s="1161"/>
      <c r="N297" s="269"/>
      <c r="O297" s="269"/>
      <c r="P297" s="269"/>
      <c r="Q297" s="269"/>
      <c r="R297" s="260"/>
      <c r="S297" s="269"/>
      <c r="T297" s="259"/>
    </row>
    <row r="298" spans="1:20" s="315" customFormat="1" ht="15" customHeight="1" x14ac:dyDescent="0.25">
      <c r="A298" s="311"/>
      <c r="B298" s="312"/>
      <c r="C298" s="313"/>
      <c r="D298" s="313"/>
      <c r="E298" s="313"/>
      <c r="F298" s="314"/>
      <c r="G298" s="269" t="s">
        <v>19636</v>
      </c>
      <c r="H298" s="269" t="s">
        <v>19637</v>
      </c>
      <c r="I298" s="269" t="s">
        <v>19638</v>
      </c>
      <c r="J298" s="260"/>
      <c r="K298" s="260">
        <f>0.025*0.9</f>
        <v>2.2500000000000003E-2</v>
      </c>
      <c r="L298" s="269"/>
      <c r="M298" s="260"/>
      <c r="N298" s="269"/>
      <c r="O298" s="269"/>
      <c r="P298" s="269"/>
      <c r="Q298" s="269"/>
      <c r="R298" s="260"/>
      <c r="S298" s="269"/>
      <c r="T298" s="259"/>
    </row>
    <row r="299" spans="1:20" s="315" customFormat="1" ht="15" customHeight="1" x14ac:dyDescent="0.25">
      <c r="A299" s="311"/>
      <c r="B299" s="312"/>
      <c r="C299" s="313"/>
      <c r="D299" s="313"/>
      <c r="E299" s="313"/>
      <c r="F299" s="314"/>
      <c r="G299" s="1157" t="s">
        <v>2262</v>
      </c>
      <c r="H299" s="1157"/>
      <c r="I299" s="1157"/>
      <c r="J299" s="994">
        <f>0.737*0.9*0.6</f>
        <v>0.39798</v>
      </c>
      <c r="K299" s="995"/>
      <c r="L299" s="263"/>
      <c r="M299" s="240"/>
      <c r="N299" s="269"/>
      <c r="O299" s="269"/>
      <c r="P299" s="269"/>
      <c r="Q299" s="269"/>
      <c r="R299" s="260"/>
      <c r="S299" s="269"/>
      <c r="T299" s="259"/>
    </row>
    <row r="300" spans="1:20" s="315" customFormat="1" ht="15" customHeight="1" x14ac:dyDescent="0.25">
      <c r="A300" s="311"/>
      <c r="B300" s="312"/>
      <c r="C300" s="800"/>
      <c r="D300" s="800"/>
      <c r="E300" s="800"/>
      <c r="F300" s="314"/>
      <c r="G300" s="1161" t="s">
        <v>19748</v>
      </c>
      <c r="H300" s="1161"/>
      <c r="I300" s="1161"/>
      <c r="J300" s="1161"/>
      <c r="K300" s="1161"/>
      <c r="L300" s="1161"/>
      <c r="M300" s="1161"/>
      <c r="N300" s="794"/>
      <c r="O300" s="794"/>
      <c r="P300" s="794"/>
      <c r="Q300" s="794"/>
      <c r="R300" s="789"/>
      <c r="S300" s="794"/>
      <c r="T300" s="259"/>
    </row>
    <row r="301" spans="1:20" s="315" customFormat="1" ht="15" customHeight="1" x14ac:dyDescent="0.25">
      <c r="A301" s="311"/>
      <c r="B301" s="312"/>
      <c r="C301" s="800"/>
      <c r="D301" s="800"/>
      <c r="E301" s="800"/>
      <c r="F301" s="314"/>
      <c r="G301" s="793" t="s">
        <v>19789</v>
      </c>
      <c r="H301" s="793" t="s">
        <v>19790</v>
      </c>
      <c r="I301" s="793" t="s">
        <v>19791</v>
      </c>
      <c r="J301" s="519"/>
      <c r="K301" s="519">
        <f>0.069*0.9</f>
        <v>6.2100000000000009E-2</v>
      </c>
      <c r="L301" s="794"/>
      <c r="M301" s="789"/>
      <c r="N301" s="794"/>
      <c r="O301" s="794"/>
      <c r="P301" s="794"/>
      <c r="Q301" s="794"/>
      <c r="R301" s="789"/>
      <c r="S301" s="794"/>
      <c r="T301" s="259"/>
    </row>
    <row r="302" spans="1:20" ht="15" customHeight="1" thickBot="1" x14ac:dyDescent="0.3">
      <c r="A302" s="226"/>
      <c r="B302" s="227"/>
      <c r="C302" s="228"/>
      <c r="D302" s="228"/>
      <c r="E302" s="228"/>
      <c r="F302" s="229"/>
      <c r="G302" s="1007" t="s">
        <v>1199</v>
      </c>
      <c r="H302" s="1007"/>
      <c r="I302" s="1007"/>
      <c r="J302" s="230"/>
      <c r="K302" s="231">
        <f>SUM(J295:K301)</f>
        <v>0.61794000000000004</v>
      </c>
      <c r="L302" s="232">
        <v>0.92</v>
      </c>
      <c r="M302" s="231">
        <f>K302/L302</f>
        <v>0.67167391304347823</v>
      </c>
      <c r="N302" s="1007" t="s">
        <v>1199</v>
      </c>
      <c r="O302" s="1007"/>
      <c r="P302" s="1007"/>
      <c r="Q302" s="232"/>
      <c r="R302" s="231">
        <f>SUM(R289:R292)</f>
        <v>0.03</v>
      </c>
      <c r="S302" s="232">
        <v>0.92</v>
      </c>
      <c r="T302" s="233">
        <f>R302/S302</f>
        <v>3.2608695652173912E-2</v>
      </c>
    </row>
    <row r="303" spans="1:20" ht="15" customHeight="1" x14ac:dyDescent="0.25">
      <c r="A303" s="316"/>
      <c r="B303" s="317"/>
      <c r="C303" s="318"/>
      <c r="D303" s="318"/>
      <c r="E303" s="318"/>
      <c r="F303" s="319"/>
      <c r="G303" s="1162" t="s">
        <v>1287</v>
      </c>
      <c r="H303" s="1162"/>
      <c r="I303" s="1162"/>
      <c r="J303" s="1162"/>
      <c r="K303" s="1162"/>
      <c r="L303" s="1162"/>
      <c r="M303" s="1162"/>
      <c r="N303" s="1162" t="s">
        <v>14933</v>
      </c>
      <c r="O303" s="1162"/>
      <c r="P303" s="1162"/>
      <c r="Q303" s="1162"/>
      <c r="R303" s="1162"/>
      <c r="S303" s="1162"/>
      <c r="T303" s="1167"/>
    </row>
    <row r="304" spans="1:20" ht="15" customHeight="1" x14ac:dyDescent="0.25">
      <c r="A304" s="218" t="str">
        <f>Итоговая!C434</f>
        <v xml:space="preserve">ПС  110/35/10 кВ Н. Рожок </v>
      </c>
      <c r="B304" s="237">
        <f>Итоговая!D434</f>
        <v>10</v>
      </c>
      <c r="C304" s="238" t="str">
        <f>Итоговая!E434</f>
        <v>+</v>
      </c>
      <c r="D304" s="238">
        <f>Итоговая!F434</f>
        <v>10</v>
      </c>
      <c r="E304" s="238"/>
      <c r="F304" s="239"/>
      <c r="G304" s="206"/>
      <c r="H304" s="206"/>
      <c r="I304" s="206"/>
      <c r="J304" s="205"/>
      <c r="K304" s="205"/>
      <c r="L304" s="206"/>
      <c r="M304" s="240"/>
      <c r="N304" s="206" t="s">
        <v>1043</v>
      </c>
      <c r="O304" s="206" t="s">
        <v>1044</v>
      </c>
      <c r="P304" s="206" t="s">
        <v>17433</v>
      </c>
      <c r="Q304" s="206"/>
      <c r="R304" s="205">
        <v>0.1024</v>
      </c>
      <c r="S304" s="263"/>
      <c r="T304" s="241"/>
    </row>
    <row r="305" spans="1:20" ht="15" customHeight="1" x14ac:dyDescent="0.25">
      <c r="A305" s="218"/>
      <c r="B305" s="237"/>
      <c r="C305" s="238"/>
      <c r="D305" s="238"/>
      <c r="E305" s="238"/>
      <c r="F305" s="239"/>
      <c r="G305" s="1161" t="s">
        <v>2266</v>
      </c>
      <c r="H305" s="1161"/>
      <c r="I305" s="1161"/>
      <c r="J305" s="1161"/>
      <c r="K305" s="1161"/>
      <c r="L305" s="1161"/>
      <c r="M305" s="1161"/>
      <c r="N305" s="272"/>
      <c r="O305" s="272"/>
      <c r="P305" s="272"/>
      <c r="Q305" s="272"/>
      <c r="R305" s="272"/>
      <c r="S305" s="272"/>
      <c r="T305" s="291"/>
    </row>
    <row r="306" spans="1:20" ht="15" customHeight="1" x14ac:dyDescent="0.25">
      <c r="A306" s="218"/>
      <c r="B306" s="237"/>
      <c r="C306" s="238"/>
      <c r="D306" s="238"/>
      <c r="E306" s="238"/>
      <c r="F306" s="239"/>
      <c r="G306" s="263" t="s">
        <v>14780</v>
      </c>
      <c r="H306" s="206" t="s">
        <v>14781</v>
      </c>
      <c r="I306" s="206" t="s">
        <v>14861</v>
      </c>
      <c r="J306" s="205"/>
      <c r="K306" s="205">
        <f>0.04*0.15</f>
        <v>6.0000000000000001E-3</v>
      </c>
      <c r="L306" s="206"/>
      <c r="M306" s="240"/>
      <c r="N306" s="272"/>
      <c r="O306" s="272"/>
      <c r="P306" s="272"/>
      <c r="Q306" s="272"/>
      <c r="R306" s="272"/>
      <c r="S306" s="272"/>
      <c r="T306" s="291"/>
    </row>
    <row r="307" spans="1:20" ht="15" customHeight="1" x14ac:dyDescent="0.25">
      <c r="A307" s="218"/>
      <c r="B307" s="237"/>
      <c r="C307" s="238"/>
      <c r="D307" s="238"/>
      <c r="E307" s="238"/>
      <c r="F307" s="239"/>
      <c r="G307" s="1161" t="s">
        <v>14978</v>
      </c>
      <c r="H307" s="1161"/>
      <c r="I307" s="1161"/>
      <c r="J307" s="1161"/>
      <c r="K307" s="1161"/>
      <c r="L307" s="1161"/>
      <c r="M307" s="1161"/>
      <c r="N307" s="272"/>
      <c r="O307" s="272"/>
      <c r="P307" s="272"/>
      <c r="Q307" s="272"/>
      <c r="R307" s="272"/>
      <c r="S307" s="272"/>
      <c r="T307" s="291"/>
    </row>
    <row r="308" spans="1:20" ht="15" customHeight="1" x14ac:dyDescent="0.25">
      <c r="A308" s="218"/>
      <c r="B308" s="237"/>
      <c r="C308" s="238"/>
      <c r="D308" s="238"/>
      <c r="E308" s="238"/>
      <c r="F308" s="239"/>
      <c r="G308" s="1157" t="s">
        <v>2262</v>
      </c>
      <c r="H308" s="1157"/>
      <c r="I308" s="1157"/>
      <c r="J308" s="994">
        <f>0.179*0.9</f>
        <v>0.16109999999999999</v>
      </c>
      <c r="K308" s="995"/>
      <c r="L308" s="206"/>
      <c r="M308" s="240"/>
      <c r="N308" s="272"/>
      <c r="O308" s="272"/>
      <c r="P308" s="272"/>
      <c r="Q308" s="272"/>
      <c r="R308" s="272"/>
      <c r="S308" s="272"/>
      <c r="T308" s="291"/>
    </row>
    <row r="309" spans="1:20" ht="15" customHeight="1" x14ac:dyDescent="0.25">
      <c r="A309" s="218"/>
      <c r="B309" s="237"/>
      <c r="C309" s="238"/>
      <c r="D309" s="238"/>
      <c r="E309" s="238"/>
      <c r="F309" s="239"/>
      <c r="G309" s="1161" t="s">
        <v>18842</v>
      </c>
      <c r="H309" s="1161"/>
      <c r="I309" s="1161"/>
      <c r="J309" s="1161"/>
      <c r="K309" s="1161"/>
      <c r="L309" s="1161"/>
      <c r="M309" s="1161"/>
      <c r="N309" s="292"/>
      <c r="O309" s="292"/>
      <c r="P309" s="292"/>
      <c r="Q309" s="292"/>
      <c r="R309" s="292"/>
      <c r="S309" s="292"/>
      <c r="T309" s="293"/>
    </row>
    <row r="310" spans="1:20" ht="15" customHeight="1" x14ac:dyDescent="0.25">
      <c r="A310" s="218"/>
      <c r="B310" s="237"/>
      <c r="C310" s="238"/>
      <c r="D310" s="238"/>
      <c r="E310" s="238"/>
      <c r="F310" s="239"/>
      <c r="G310" s="1157" t="s">
        <v>2262</v>
      </c>
      <c r="H310" s="1157"/>
      <c r="I310" s="1157"/>
      <c r="J310" s="994">
        <f>0.53*0.9*0.6</f>
        <v>0.28620000000000001</v>
      </c>
      <c r="K310" s="995"/>
      <c r="L310" s="206"/>
      <c r="M310" s="240"/>
      <c r="N310" s="292"/>
      <c r="O310" s="292"/>
      <c r="P310" s="292"/>
      <c r="Q310" s="292"/>
      <c r="R310" s="292"/>
      <c r="S310" s="292"/>
      <c r="T310" s="293"/>
    </row>
    <row r="311" spans="1:20" ht="15" customHeight="1" thickBot="1" x14ac:dyDescent="0.3">
      <c r="A311" s="242"/>
      <c r="B311" s="243"/>
      <c r="C311" s="244"/>
      <c r="D311" s="244"/>
      <c r="E311" s="244"/>
      <c r="F311" s="245"/>
      <c r="G311" s="1032" t="s">
        <v>1199</v>
      </c>
      <c r="H311" s="1032"/>
      <c r="I311" s="1032"/>
      <c r="J311" s="246"/>
      <c r="K311" s="247">
        <f>SUM(J308:K310)</f>
        <v>0.44730000000000003</v>
      </c>
      <c r="L311" s="248">
        <v>0.92</v>
      </c>
      <c r="M311" s="247">
        <f>K311/L311</f>
        <v>0.48619565217391303</v>
      </c>
      <c r="N311" s="1032" t="s">
        <v>1199</v>
      </c>
      <c r="O311" s="1032"/>
      <c r="P311" s="1032"/>
      <c r="Q311" s="248"/>
      <c r="R311" s="247">
        <f>SUM(0)</f>
        <v>0</v>
      </c>
      <c r="S311" s="248">
        <v>0.92</v>
      </c>
      <c r="T311" s="249">
        <f>R311/S311</f>
        <v>0</v>
      </c>
    </row>
    <row r="312" spans="1:20" ht="15" customHeight="1" thickBot="1" x14ac:dyDescent="0.3">
      <c r="A312" s="320" t="s">
        <v>1289</v>
      </c>
      <c r="B312" s="321"/>
      <c r="C312" s="321"/>
      <c r="D312" s="321"/>
      <c r="E312" s="321"/>
      <c r="F312" s="321"/>
      <c r="G312" s="322"/>
      <c r="H312" s="323"/>
      <c r="I312" s="323"/>
      <c r="J312" s="324"/>
      <c r="K312" s="324">
        <f>K18+K20+K26+K31+K34+K37+K40+K54+K56+K60+K69+K80+K86+K110+K115+K135+K138+K152+K164+K173+K183+K185+K202+K204+K209+K234+K253+K265+K274+K285+K287+K311</f>
        <v>11.996687999999999</v>
      </c>
      <c r="L312" s="323"/>
      <c r="M312" s="324">
        <f>M18+M20+M26+M31+M34+M37+M40+M54+M56+M60+M69+M80+M86+M110+M115+M135+M138+M152+M164+M173+M183+M185+M202+M204+M209+M234+M253+M265+M274+M285+M287+M311</f>
        <v>13.026680446470314</v>
      </c>
      <c r="N312" s="325"/>
      <c r="O312" s="326"/>
      <c r="P312" s="326"/>
      <c r="Q312" s="326"/>
      <c r="R312" s="327"/>
      <c r="S312" s="326"/>
      <c r="T312" s="328"/>
    </row>
    <row r="313" spans="1:20" ht="15" customHeight="1" x14ac:dyDescent="0.25">
      <c r="A313" s="329"/>
      <c r="B313" s="330"/>
      <c r="C313" s="330"/>
      <c r="D313" s="330"/>
      <c r="E313" s="330"/>
      <c r="F313" s="330"/>
      <c r="G313" s="330"/>
      <c r="H313" s="330"/>
      <c r="I313" s="330"/>
      <c r="J313" s="331"/>
      <c r="K313" s="331"/>
      <c r="L313" s="330"/>
      <c r="M313" s="332"/>
      <c r="N313" s="333"/>
    </row>
    <row r="314" spans="1:20" ht="15" customHeight="1" x14ac:dyDescent="0.25">
      <c r="A314" s="329"/>
      <c r="B314" s="330"/>
      <c r="C314" s="330"/>
      <c r="D314" s="330"/>
      <c r="E314" s="330"/>
      <c r="F314" s="330"/>
      <c r="G314" s="330"/>
      <c r="H314" s="330"/>
      <c r="I314" s="330"/>
      <c r="J314" s="331"/>
      <c r="K314" s="331"/>
      <c r="L314" s="330"/>
      <c r="M314" s="332"/>
      <c r="N314" s="333"/>
    </row>
    <row r="315" spans="1:20" ht="15" customHeight="1" x14ac:dyDescent="0.25">
      <c r="A315" s="329"/>
      <c r="B315" s="330"/>
      <c r="C315" s="330"/>
      <c r="D315" s="330"/>
      <c r="E315" s="330"/>
      <c r="F315" s="330"/>
      <c r="G315" s="330"/>
      <c r="H315" s="330"/>
      <c r="I315" s="330"/>
      <c r="J315" s="331"/>
      <c r="K315" s="331"/>
      <c r="L315" s="330"/>
      <c r="M315" s="332"/>
      <c r="N315" s="333"/>
    </row>
    <row r="316" spans="1:20" ht="15" customHeight="1" x14ac:dyDescent="0.25">
      <c r="A316" s="329"/>
      <c r="B316" s="330"/>
      <c r="C316" s="330"/>
      <c r="D316" s="330"/>
      <c r="E316" s="330"/>
      <c r="F316" s="330"/>
      <c r="G316" s="330"/>
      <c r="H316" s="330"/>
      <c r="I316" s="330"/>
      <c r="J316" s="331"/>
      <c r="K316" s="331"/>
      <c r="L316" s="330"/>
      <c r="M316" s="332"/>
      <c r="N316" s="333"/>
    </row>
    <row r="317" spans="1:20" ht="15" customHeight="1" x14ac:dyDescent="0.25">
      <c r="A317" s="329"/>
      <c r="B317" s="330"/>
      <c r="C317" s="330"/>
      <c r="D317" s="330"/>
      <c r="E317" s="330"/>
      <c r="F317" s="330"/>
      <c r="G317" s="330"/>
      <c r="H317" s="330"/>
      <c r="I317" s="330"/>
      <c r="J317" s="331"/>
      <c r="K317" s="331"/>
      <c r="L317" s="330"/>
      <c r="M317" s="332"/>
      <c r="N317" s="333"/>
    </row>
    <row r="318" spans="1:20" ht="15" customHeight="1" x14ac:dyDescent="0.25">
      <c r="A318" s="329"/>
      <c r="B318" s="330"/>
      <c r="C318" s="330"/>
      <c r="D318" s="330"/>
      <c r="E318" s="330"/>
      <c r="F318" s="330"/>
      <c r="G318" s="330"/>
      <c r="H318" s="330"/>
      <c r="I318" s="330"/>
      <c r="J318" s="331"/>
      <c r="K318" s="331"/>
      <c r="L318" s="330"/>
      <c r="M318" s="332"/>
      <c r="N318" s="333"/>
    </row>
    <row r="319" spans="1:20" ht="15" customHeight="1" x14ac:dyDescent="0.25">
      <c r="A319" s="329"/>
      <c r="B319" s="330"/>
      <c r="C319" s="330"/>
      <c r="D319" s="330"/>
      <c r="E319" s="330"/>
      <c r="F319" s="330"/>
      <c r="G319" s="330"/>
      <c r="H319" s="330"/>
      <c r="I319" s="330"/>
      <c r="J319" s="331"/>
      <c r="K319" s="331"/>
      <c r="L319" s="330"/>
      <c r="M319" s="332"/>
      <c r="N319" s="333"/>
    </row>
    <row r="320" spans="1:20" x14ac:dyDescent="0.25">
      <c r="A320" s="329"/>
      <c r="B320" s="330"/>
      <c r="C320" s="330"/>
      <c r="D320" s="330"/>
      <c r="E320" s="330"/>
      <c r="F320" s="330"/>
      <c r="G320" s="330"/>
      <c r="H320" s="330"/>
      <c r="I320" s="330"/>
      <c r="J320" s="331"/>
      <c r="K320" s="331"/>
      <c r="L320" s="330"/>
      <c r="M320" s="332"/>
      <c r="N320" s="333"/>
    </row>
    <row r="321" spans="1:14" x14ac:dyDescent="0.25">
      <c r="A321" s="329"/>
      <c r="B321" s="330"/>
      <c r="C321" s="330"/>
      <c r="D321" s="330"/>
      <c r="E321" s="330"/>
      <c r="F321" s="330"/>
      <c r="G321" s="330"/>
      <c r="H321" s="330"/>
      <c r="I321" s="330"/>
      <c r="J321" s="331"/>
      <c r="K321" s="331"/>
      <c r="L321" s="330"/>
      <c r="M321" s="332"/>
      <c r="N321" s="333"/>
    </row>
    <row r="322" spans="1:14" x14ac:dyDescent="0.25">
      <c r="A322" s="329"/>
      <c r="B322" s="330"/>
      <c r="C322" s="330"/>
      <c r="D322" s="330"/>
      <c r="E322" s="330"/>
      <c r="F322" s="330"/>
      <c r="G322" s="330"/>
      <c r="H322" s="330"/>
      <c r="I322" s="330"/>
      <c r="J322" s="331"/>
      <c r="K322" s="331"/>
      <c r="L322" s="330"/>
      <c r="M322" s="332"/>
      <c r="N322" s="333"/>
    </row>
    <row r="323" spans="1:14" x14ac:dyDescent="0.25">
      <c r="A323" s="329"/>
      <c r="B323" s="330"/>
      <c r="C323" s="330"/>
      <c r="D323" s="330"/>
      <c r="E323" s="330"/>
      <c r="F323" s="330"/>
      <c r="G323" s="330"/>
      <c r="H323" s="330"/>
      <c r="I323" s="330"/>
      <c r="J323" s="331"/>
      <c r="K323" s="331"/>
      <c r="L323" s="330"/>
      <c r="M323" s="332"/>
      <c r="N323" s="333"/>
    </row>
    <row r="324" spans="1:14" x14ac:dyDescent="0.25">
      <c r="A324" s="329"/>
      <c r="B324" s="330"/>
      <c r="C324" s="330"/>
      <c r="D324" s="330"/>
      <c r="E324" s="330"/>
      <c r="F324" s="330"/>
      <c r="G324" s="330"/>
      <c r="H324" s="330"/>
      <c r="I324" s="330"/>
      <c r="J324" s="331"/>
      <c r="K324" s="331"/>
      <c r="L324" s="330"/>
      <c r="M324" s="332"/>
      <c r="N324" s="333"/>
    </row>
    <row r="325" spans="1:14" x14ac:dyDescent="0.25">
      <c r="A325" s="329"/>
      <c r="B325" s="330"/>
      <c r="C325" s="330"/>
      <c r="D325" s="330"/>
      <c r="E325" s="330"/>
      <c r="F325" s="330"/>
      <c r="G325" s="330"/>
      <c r="H325" s="330"/>
      <c r="I325" s="330"/>
      <c r="J325" s="331"/>
      <c r="K325" s="331"/>
      <c r="L325" s="330"/>
      <c r="M325" s="332"/>
      <c r="N325" s="333"/>
    </row>
    <row r="326" spans="1:14" x14ac:dyDescent="0.25">
      <c r="A326" s="329"/>
      <c r="B326" s="330"/>
      <c r="C326" s="330"/>
      <c r="D326" s="330"/>
      <c r="E326" s="330"/>
      <c r="F326" s="330"/>
      <c r="G326" s="330"/>
      <c r="H326" s="330"/>
      <c r="I326" s="330"/>
      <c r="J326" s="331"/>
      <c r="K326" s="331"/>
      <c r="L326" s="330"/>
      <c r="M326" s="332"/>
      <c r="N326" s="333"/>
    </row>
    <row r="327" spans="1:14" x14ac:dyDescent="0.25">
      <c r="A327" s="329"/>
      <c r="B327" s="330"/>
      <c r="C327" s="330"/>
      <c r="D327" s="330"/>
      <c r="E327" s="330"/>
      <c r="F327" s="330"/>
      <c r="G327" s="330"/>
      <c r="H327" s="330"/>
      <c r="I327" s="330"/>
      <c r="J327" s="331"/>
      <c r="K327" s="331"/>
      <c r="L327" s="330"/>
      <c r="M327" s="332"/>
      <c r="N327" s="333"/>
    </row>
    <row r="328" spans="1:14" x14ac:dyDescent="0.25">
      <c r="A328" s="329"/>
      <c r="B328" s="330"/>
      <c r="C328" s="330"/>
      <c r="D328" s="330"/>
      <c r="E328" s="330"/>
      <c r="F328" s="330"/>
      <c r="G328" s="330"/>
      <c r="H328" s="330"/>
      <c r="I328" s="330"/>
      <c r="J328" s="331"/>
      <c r="K328" s="331"/>
      <c r="L328" s="330"/>
      <c r="M328" s="332"/>
      <c r="N328" s="333"/>
    </row>
    <row r="329" spans="1:14" x14ac:dyDescent="0.25">
      <c r="A329" s="329"/>
      <c r="B329" s="330"/>
      <c r="C329" s="330"/>
      <c r="D329" s="330"/>
      <c r="E329" s="330"/>
      <c r="F329" s="330"/>
      <c r="G329" s="330"/>
      <c r="H329" s="330"/>
      <c r="I329" s="330"/>
      <c r="J329" s="331"/>
      <c r="K329" s="331"/>
      <c r="L329" s="330"/>
      <c r="M329" s="332"/>
      <c r="N329" s="333"/>
    </row>
    <row r="330" spans="1:14" x14ac:dyDescent="0.25">
      <c r="A330" s="329"/>
      <c r="B330" s="330"/>
      <c r="C330" s="330"/>
      <c r="D330" s="330"/>
      <c r="E330" s="330"/>
      <c r="F330" s="330"/>
      <c r="G330" s="330"/>
      <c r="H330" s="330"/>
      <c r="I330" s="330"/>
      <c r="J330" s="331"/>
      <c r="K330" s="331"/>
      <c r="L330" s="330"/>
      <c r="M330" s="332"/>
      <c r="N330" s="333"/>
    </row>
    <row r="331" spans="1:14" x14ac:dyDescent="0.25">
      <c r="A331" s="329"/>
      <c r="B331" s="330"/>
      <c r="C331" s="330"/>
      <c r="D331" s="330"/>
      <c r="E331" s="330"/>
      <c r="F331" s="330"/>
      <c r="G331" s="330"/>
      <c r="H331" s="330"/>
      <c r="I331" s="330"/>
      <c r="J331" s="331"/>
      <c r="K331" s="331"/>
      <c r="L331" s="330"/>
      <c r="M331" s="332"/>
      <c r="N331" s="333"/>
    </row>
    <row r="332" spans="1:14" x14ac:dyDescent="0.25">
      <c r="A332" s="329"/>
      <c r="B332" s="330"/>
      <c r="C332" s="330"/>
      <c r="D332" s="330"/>
      <c r="E332" s="330"/>
      <c r="F332" s="330"/>
      <c r="G332" s="330"/>
      <c r="H332" s="330"/>
      <c r="I332" s="330"/>
      <c r="J332" s="331"/>
      <c r="K332" s="331"/>
      <c r="L332" s="330"/>
      <c r="M332" s="332"/>
      <c r="N332" s="333"/>
    </row>
    <row r="333" spans="1:14" x14ac:dyDescent="0.25">
      <c r="A333" s="329"/>
      <c r="B333" s="330"/>
      <c r="C333" s="330"/>
      <c r="D333" s="330"/>
      <c r="E333" s="330"/>
      <c r="F333" s="330"/>
      <c r="G333" s="330"/>
      <c r="H333" s="330"/>
      <c r="I333" s="330"/>
      <c r="J333" s="331"/>
      <c r="K333" s="331"/>
      <c r="L333" s="330"/>
      <c r="M333" s="332"/>
      <c r="N333" s="333"/>
    </row>
    <row r="334" spans="1:14" x14ac:dyDescent="0.25">
      <c r="A334" s="329"/>
      <c r="B334" s="330"/>
      <c r="C334" s="330"/>
      <c r="D334" s="330"/>
      <c r="E334" s="330"/>
      <c r="F334" s="330"/>
      <c r="G334" s="330"/>
      <c r="H334" s="330"/>
      <c r="I334" s="330"/>
      <c r="J334" s="331"/>
      <c r="K334" s="331"/>
      <c r="L334" s="330"/>
      <c r="M334" s="332"/>
      <c r="N334" s="333"/>
    </row>
    <row r="335" spans="1:14" x14ac:dyDescent="0.25">
      <c r="A335" s="329"/>
      <c r="B335" s="330"/>
      <c r="C335" s="330"/>
      <c r="D335" s="330"/>
      <c r="E335" s="330"/>
      <c r="F335" s="330"/>
      <c r="G335" s="330"/>
      <c r="H335" s="330"/>
      <c r="I335" s="330"/>
      <c r="J335" s="331"/>
      <c r="K335" s="331"/>
      <c r="L335" s="330"/>
      <c r="M335" s="332"/>
      <c r="N335" s="333"/>
    </row>
    <row r="336" spans="1:14" x14ac:dyDescent="0.25">
      <c r="A336" s="329"/>
      <c r="B336" s="330"/>
      <c r="C336" s="330"/>
      <c r="D336" s="330"/>
      <c r="E336" s="330"/>
      <c r="F336" s="330"/>
      <c r="G336" s="330"/>
      <c r="H336" s="330"/>
      <c r="I336" s="330"/>
      <c r="J336" s="331"/>
      <c r="K336" s="331"/>
      <c r="L336" s="330"/>
      <c r="M336" s="332"/>
      <c r="N336" s="333"/>
    </row>
    <row r="337" spans="1:17" x14ac:dyDescent="0.25">
      <c r="A337" s="329"/>
      <c r="B337" s="330"/>
      <c r="C337" s="330"/>
      <c r="D337" s="330"/>
      <c r="E337" s="330"/>
      <c r="F337" s="330"/>
      <c r="G337" s="330"/>
      <c r="H337" s="330"/>
      <c r="I337" s="330"/>
      <c r="J337" s="331"/>
      <c r="K337" s="331"/>
      <c r="L337" s="330"/>
      <c r="M337" s="332"/>
      <c r="N337" s="333"/>
    </row>
    <row r="338" spans="1:17" x14ac:dyDescent="0.25">
      <c r="A338" s="329"/>
      <c r="B338" s="330"/>
      <c r="C338" s="330"/>
      <c r="D338" s="330"/>
      <c r="E338" s="330"/>
      <c r="F338" s="330"/>
      <c r="G338" s="330"/>
      <c r="H338" s="330"/>
      <c r="I338" s="330"/>
      <c r="J338" s="331"/>
      <c r="K338" s="331"/>
      <c r="L338" s="330"/>
      <c r="M338" s="332"/>
      <c r="N338" s="333"/>
    </row>
    <row r="339" spans="1:17" x14ac:dyDescent="0.25">
      <c r="A339" s="329"/>
      <c r="B339" s="330"/>
      <c r="C339" s="330"/>
      <c r="D339" s="330"/>
      <c r="E339" s="330"/>
      <c r="F339" s="330"/>
      <c r="G339" s="330"/>
      <c r="H339" s="330"/>
      <c r="I339" s="330"/>
      <c r="J339" s="331"/>
      <c r="K339" s="331"/>
      <c r="L339" s="330"/>
      <c r="M339" s="332"/>
      <c r="N339" s="333"/>
    </row>
    <row r="340" spans="1:17" x14ac:dyDescent="0.25">
      <c r="A340" s="329"/>
      <c r="B340" s="330"/>
      <c r="C340" s="330"/>
      <c r="D340" s="330"/>
      <c r="E340" s="330"/>
      <c r="F340" s="330"/>
      <c r="G340" s="330"/>
      <c r="H340" s="330"/>
      <c r="I340" s="330"/>
      <c r="J340" s="331"/>
      <c r="K340" s="331"/>
      <c r="L340" s="330"/>
      <c r="M340" s="332"/>
      <c r="N340" s="333"/>
    </row>
    <row r="341" spans="1:17" x14ac:dyDescent="0.25">
      <c r="A341" s="329"/>
      <c r="B341" s="330"/>
      <c r="C341" s="330"/>
      <c r="D341" s="330"/>
      <c r="E341" s="330"/>
      <c r="F341" s="330"/>
      <c r="G341" s="330"/>
      <c r="H341" s="330"/>
      <c r="I341" s="330"/>
      <c r="J341" s="331"/>
      <c r="K341" s="331"/>
      <c r="L341" s="330"/>
      <c r="M341" s="332"/>
      <c r="N341" s="333"/>
    </row>
    <row r="342" spans="1:17" x14ac:dyDescent="0.25">
      <c r="A342" s="329"/>
      <c r="B342" s="330"/>
      <c r="C342" s="330"/>
      <c r="D342" s="330"/>
      <c r="E342" s="330"/>
      <c r="F342" s="330"/>
      <c r="G342" s="330"/>
      <c r="H342" s="330"/>
      <c r="I342" s="330"/>
      <c r="J342" s="331"/>
      <c r="K342" s="331"/>
      <c r="L342" s="330"/>
      <c r="M342" s="332"/>
      <c r="N342" s="333"/>
    </row>
    <row r="343" spans="1:17" x14ac:dyDescent="0.25">
      <c r="A343" s="329"/>
      <c r="B343" s="330"/>
      <c r="C343" s="330"/>
      <c r="D343" s="330"/>
      <c r="E343" s="330"/>
      <c r="F343" s="330"/>
      <c r="G343" s="330"/>
      <c r="H343" s="330"/>
      <c r="I343" s="330"/>
      <c r="J343" s="331"/>
      <c r="K343" s="331"/>
      <c r="L343" s="330"/>
      <c r="M343" s="332"/>
      <c r="N343" s="333"/>
    </row>
    <row r="344" spans="1:17" x14ac:dyDescent="0.25">
      <c r="A344" s="329"/>
      <c r="B344" s="330"/>
      <c r="C344" s="330"/>
      <c r="D344" s="330"/>
      <c r="E344" s="330"/>
      <c r="F344" s="330"/>
      <c r="G344" s="330"/>
      <c r="H344" s="330"/>
      <c r="I344" s="330"/>
      <c r="J344" s="331"/>
      <c r="K344" s="331"/>
      <c r="L344" s="330"/>
      <c r="M344" s="332"/>
      <c r="N344" s="333"/>
    </row>
    <row r="345" spans="1:17" x14ac:dyDescent="0.25">
      <c r="A345" s="329"/>
      <c r="B345" s="330"/>
      <c r="C345" s="330"/>
      <c r="D345" s="330"/>
      <c r="E345" s="330"/>
      <c r="F345" s="330"/>
      <c r="G345" s="330"/>
      <c r="H345" s="330"/>
      <c r="I345" s="330"/>
      <c r="J345" s="331"/>
      <c r="K345" s="331"/>
      <c r="L345" s="330"/>
      <c r="M345" s="331"/>
      <c r="N345" s="333"/>
    </row>
    <row r="346" spans="1:17" x14ac:dyDescent="0.25">
      <c r="A346" s="329"/>
      <c r="B346" s="330"/>
      <c r="C346" s="330"/>
      <c r="D346" s="330"/>
      <c r="E346" s="330"/>
      <c r="F346" s="330"/>
      <c r="G346" s="330"/>
      <c r="H346" s="330"/>
      <c r="I346" s="330"/>
      <c r="J346" s="331"/>
      <c r="K346" s="331"/>
      <c r="L346" s="330"/>
      <c r="M346" s="331"/>
      <c r="N346" s="333"/>
    </row>
    <row r="347" spans="1:17" x14ac:dyDescent="0.25">
      <c r="A347" s="329"/>
      <c r="B347" s="330"/>
      <c r="C347" s="330"/>
      <c r="D347" s="330"/>
      <c r="E347" s="330"/>
      <c r="F347" s="330"/>
      <c r="G347" s="330"/>
      <c r="H347" s="330"/>
      <c r="I347" s="330"/>
      <c r="J347" s="331"/>
      <c r="K347" s="331"/>
      <c r="L347" s="330"/>
      <c r="M347" s="331"/>
      <c r="N347" s="333"/>
    </row>
    <row r="348" spans="1:17" x14ac:dyDescent="0.25">
      <c r="A348" s="329"/>
      <c r="B348" s="330"/>
      <c r="C348" s="330"/>
      <c r="D348" s="330"/>
      <c r="E348" s="330"/>
      <c r="F348" s="330"/>
      <c r="G348" s="330"/>
      <c r="H348" s="330"/>
      <c r="I348" s="330"/>
      <c r="J348" s="331"/>
      <c r="K348" s="331"/>
      <c r="L348" s="330"/>
      <c r="M348" s="331"/>
      <c r="N348" s="333"/>
      <c r="P348" s="315"/>
      <c r="Q348" s="315"/>
    </row>
    <row r="349" spans="1:17" x14ac:dyDescent="0.25">
      <c r="A349" s="329"/>
      <c r="B349" s="330"/>
      <c r="C349" s="330"/>
      <c r="D349" s="330"/>
      <c r="E349" s="330"/>
      <c r="F349" s="330"/>
      <c r="G349" s="330"/>
      <c r="H349" s="330"/>
      <c r="I349" s="330"/>
      <c r="J349" s="331"/>
      <c r="K349" s="331"/>
      <c r="L349" s="330"/>
      <c r="M349" s="331"/>
      <c r="N349" s="333"/>
    </row>
    <row r="350" spans="1:17" x14ac:dyDescent="0.25">
      <c r="A350" s="329"/>
      <c r="B350" s="330"/>
      <c r="C350" s="330"/>
      <c r="D350" s="330"/>
      <c r="E350" s="330"/>
      <c r="F350" s="330"/>
      <c r="G350" s="330"/>
      <c r="H350" s="330"/>
      <c r="I350" s="330"/>
      <c r="J350" s="331"/>
      <c r="K350" s="331"/>
      <c r="L350" s="330"/>
      <c r="M350" s="331"/>
      <c r="N350" s="333"/>
    </row>
    <row r="351" spans="1:17" x14ac:dyDescent="0.25">
      <c r="A351" s="1039"/>
      <c r="B351" s="1039"/>
      <c r="C351" s="1039"/>
      <c r="D351" s="1039"/>
      <c r="E351" s="1039"/>
      <c r="F351" s="1039"/>
      <c r="G351" s="1039"/>
      <c r="H351" s="1039"/>
      <c r="I351" s="1039"/>
      <c r="J351" s="1039"/>
      <c r="K351" s="1039"/>
      <c r="L351" s="1039"/>
      <c r="M351" s="1039"/>
      <c r="N351" s="333"/>
    </row>
    <row r="352" spans="1:17" x14ac:dyDescent="0.25">
      <c r="A352" s="329"/>
      <c r="B352" s="330"/>
      <c r="C352" s="330"/>
      <c r="D352" s="330"/>
      <c r="E352" s="330"/>
      <c r="F352" s="330"/>
      <c r="G352" s="330"/>
      <c r="H352" s="330"/>
      <c r="I352" s="330"/>
      <c r="J352" s="331"/>
      <c r="K352" s="331"/>
      <c r="L352" s="330"/>
      <c r="M352" s="331"/>
      <c r="N352" s="333"/>
    </row>
    <row r="353" spans="1:14" x14ac:dyDescent="0.25">
      <c r="A353" s="329"/>
      <c r="B353" s="330"/>
      <c r="C353" s="330"/>
      <c r="D353" s="330"/>
      <c r="E353" s="330"/>
      <c r="F353" s="330"/>
      <c r="G353" s="330"/>
      <c r="H353" s="330"/>
      <c r="I353" s="330"/>
      <c r="J353" s="331"/>
      <c r="K353" s="331"/>
      <c r="L353" s="330"/>
      <c r="M353" s="331"/>
      <c r="N353" s="333"/>
    </row>
    <row r="354" spans="1:14" x14ac:dyDescent="0.25">
      <c r="A354" s="329"/>
      <c r="B354" s="330"/>
      <c r="C354" s="330"/>
      <c r="D354" s="330"/>
      <c r="E354" s="330"/>
      <c r="F354" s="330"/>
      <c r="G354" s="330"/>
      <c r="H354" s="330"/>
      <c r="I354" s="330"/>
      <c r="J354" s="331"/>
      <c r="K354" s="331"/>
      <c r="L354" s="330"/>
      <c r="M354" s="331"/>
      <c r="N354" s="333"/>
    </row>
    <row r="355" spans="1:14" x14ac:dyDescent="0.25">
      <c r="A355" s="329"/>
      <c r="B355" s="330"/>
      <c r="C355" s="330"/>
      <c r="D355" s="330"/>
      <c r="E355" s="330"/>
      <c r="F355" s="330"/>
      <c r="G355" s="330"/>
      <c r="H355" s="330"/>
      <c r="I355" s="330"/>
      <c r="J355" s="331"/>
      <c r="K355" s="331"/>
      <c r="L355" s="330"/>
      <c r="M355" s="331"/>
      <c r="N355" s="333"/>
    </row>
    <row r="356" spans="1:14" x14ac:dyDescent="0.25">
      <c r="A356" s="329"/>
      <c r="B356" s="330"/>
      <c r="C356" s="330"/>
      <c r="D356" s="330"/>
      <c r="E356" s="330"/>
      <c r="F356" s="330"/>
      <c r="G356" s="330"/>
      <c r="H356" s="330"/>
      <c r="I356" s="330"/>
      <c r="J356" s="331"/>
      <c r="K356" s="331"/>
      <c r="L356" s="330"/>
      <c r="M356" s="331"/>
      <c r="N356" s="333"/>
    </row>
    <row r="357" spans="1:14" x14ac:dyDescent="0.25">
      <c r="A357" s="329"/>
      <c r="B357" s="330"/>
      <c r="C357" s="330"/>
      <c r="D357" s="330"/>
      <c r="E357" s="330"/>
      <c r="F357" s="330"/>
      <c r="G357" s="330"/>
      <c r="H357" s="330"/>
      <c r="I357" s="330"/>
      <c r="J357" s="331"/>
      <c r="K357" s="331"/>
      <c r="L357" s="330"/>
      <c r="M357" s="331"/>
      <c r="N357" s="333"/>
    </row>
    <row r="358" spans="1:14" ht="15.75" customHeight="1" x14ac:dyDescent="0.25">
      <c r="A358" s="329"/>
      <c r="B358" s="330"/>
      <c r="C358" s="330"/>
      <c r="D358" s="330"/>
      <c r="E358" s="330"/>
      <c r="F358" s="330"/>
      <c r="G358" s="330"/>
      <c r="H358" s="330"/>
      <c r="I358" s="330"/>
      <c r="J358" s="331"/>
      <c r="K358" s="331"/>
      <c r="L358" s="330"/>
      <c r="M358" s="331"/>
      <c r="N358" s="333"/>
    </row>
    <row r="359" spans="1:14" x14ac:dyDescent="0.25">
      <c r="A359" s="329"/>
      <c r="B359" s="330"/>
      <c r="C359" s="330"/>
      <c r="D359" s="330"/>
      <c r="E359" s="330"/>
      <c r="F359" s="330"/>
      <c r="G359" s="330"/>
      <c r="H359" s="330"/>
      <c r="I359" s="330"/>
      <c r="J359" s="331"/>
      <c r="K359" s="331"/>
      <c r="L359" s="330"/>
      <c r="M359" s="331"/>
      <c r="N359" s="333"/>
    </row>
    <row r="360" spans="1:14" x14ac:dyDescent="0.25">
      <c r="A360" s="329"/>
      <c r="B360" s="330"/>
      <c r="C360" s="330"/>
      <c r="D360" s="330"/>
      <c r="E360" s="330"/>
      <c r="F360" s="330"/>
      <c r="G360" s="330"/>
      <c r="H360" s="330"/>
      <c r="I360" s="330"/>
      <c r="J360" s="331"/>
      <c r="K360" s="331"/>
      <c r="L360" s="330"/>
      <c r="M360" s="331"/>
      <c r="N360" s="333"/>
    </row>
    <row r="361" spans="1:14" ht="15.75" customHeight="1" x14ac:dyDescent="0.25">
      <c r="A361" s="329"/>
      <c r="B361" s="330"/>
      <c r="C361" s="330"/>
      <c r="D361" s="330"/>
      <c r="E361" s="330"/>
      <c r="F361" s="330"/>
      <c r="G361" s="330"/>
      <c r="H361" s="330"/>
      <c r="I361" s="330"/>
      <c r="J361" s="331"/>
      <c r="K361" s="331"/>
      <c r="L361" s="330"/>
      <c r="M361" s="331"/>
      <c r="N361" s="333"/>
    </row>
    <row r="362" spans="1:14" x14ac:dyDescent="0.25">
      <c r="A362" s="329"/>
      <c r="B362" s="330"/>
      <c r="C362" s="330"/>
      <c r="D362" s="330"/>
      <c r="E362" s="330"/>
      <c r="F362" s="330"/>
      <c r="G362" s="330"/>
      <c r="H362" s="330"/>
      <c r="I362" s="330"/>
      <c r="J362" s="331"/>
      <c r="K362" s="331"/>
      <c r="L362" s="330"/>
      <c r="M362" s="331"/>
      <c r="N362" s="333"/>
    </row>
    <row r="363" spans="1:14" x14ac:dyDescent="0.25">
      <c r="A363" s="329"/>
      <c r="B363" s="330"/>
      <c r="C363" s="330"/>
      <c r="D363" s="330"/>
      <c r="E363" s="330"/>
      <c r="F363" s="330"/>
      <c r="G363" s="330"/>
      <c r="H363" s="330"/>
      <c r="I363" s="330"/>
      <c r="J363" s="331"/>
      <c r="K363" s="331"/>
      <c r="L363" s="330"/>
      <c r="M363" s="331"/>
      <c r="N363" s="333"/>
    </row>
    <row r="364" spans="1:14" x14ac:dyDescent="0.25">
      <c r="A364" s="329"/>
      <c r="B364" s="330"/>
      <c r="C364" s="330"/>
      <c r="D364" s="330"/>
      <c r="E364" s="330"/>
      <c r="F364" s="330"/>
      <c r="G364" s="330"/>
      <c r="H364" s="330"/>
      <c r="I364" s="330"/>
      <c r="J364" s="331"/>
      <c r="K364" s="331"/>
      <c r="L364" s="330"/>
      <c r="M364" s="331"/>
      <c r="N364" s="333"/>
    </row>
    <row r="365" spans="1:14" x14ac:dyDescent="0.25">
      <c r="A365" s="329"/>
      <c r="B365" s="330"/>
      <c r="C365" s="330"/>
      <c r="D365" s="330"/>
      <c r="E365" s="330"/>
      <c r="F365" s="330"/>
      <c r="G365" s="330"/>
      <c r="H365" s="330"/>
      <c r="I365" s="330"/>
      <c r="J365" s="331"/>
      <c r="K365" s="331"/>
      <c r="L365" s="330"/>
      <c r="M365" s="331"/>
      <c r="N365" s="333"/>
    </row>
    <row r="366" spans="1:14" ht="15.75" customHeight="1" x14ac:dyDescent="0.25">
      <c r="A366" s="329"/>
      <c r="B366" s="330"/>
      <c r="C366" s="330"/>
      <c r="D366" s="330"/>
      <c r="E366" s="330"/>
      <c r="F366" s="330"/>
      <c r="G366" s="330"/>
      <c r="H366" s="330"/>
      <c r="I366" s="330"/>
      <c r="J366" s="331"/>
      <c r="K366" s="331"/>
      <c r="L366" s="330"/>
      <c r="M366" s="331"/>
      <c r="N366" s="333"/>
    </row>
    <row r="367" spans="1:14" x14ac:dyDescent="0.25">
      <c r="A367" s="329"/>
      <c r="B367" s="330"/>
      <c r="C367" s="330"/>
      <c r="D367" s="330"/>
      <c r="E367" s="330"/>
      <c r="F367" s="330"/>
      <c r="G367" s="330"/>
      <c r="H367" s="330"/>
      <c r="I367" s="330"/>
      <c r="J367" s="331"/>
      <c r="K367" s="331"/>
      <c r="L367" s="330"/>
      <c r="M367" s="331"/>
      <c r="N367" s="333"/>
    </row>
    <row r="368" spans="1:14" x14ac:dyDescent="0.25">
      <c r="A368" s="329"/>
      <c r="B368" s="330"/>
      <c r="C368" s="330"/>
      <c r="D368" s="330"/>
      <c r="E368" s="330"/>
      <c r="F368" s="330"/>
      <c r="G368" s="330"/>
      <c r="H368" s="330"/>
      <c r="I368" s="330"/>
      <c r="J368" s="331"/>
      <c r="K368" s="331"/>
      <c r="L368" s="330"/>
      <c r="M368" s="331"/>
      <c r="N368" s="333"/>
    </row>
    <row r="369" spans="1:14" x14ac:dyDescent="0.25">
      <c r="A369" s="329"/>
      <c r="B369" s="330"/>
      <c r="C369" s="330"/>
      <c r="D369" s="330"/>
      <c r="E369" s="330"/>
      <c r="F369" s="330"/>
      <c r="G369" s="330"/>
      <c r="H369" s="330"/>
      <c r="I369" s="330"/>
      <c r="J369" s="331"/>
      <c r="K369" s="331"/>
      <c r="L369" s="330"/>
      <c r="M369" s="331"/>
      <c r="N369" s="333"/>
    </row>
    <row r="370" spans="1:14" ht="15.75" customHeight="1" x14ac:dyDescent="0.25">
      <c r="A370" s="329"/>
      <c r="B370" s="330"/>
      <c r="C370" s="330"/>
      <c r="D370" s="330"/>
      <c r="E370" s="330"/>
      <c r="F370" s="330"/>
      <c r="G370" s="330"/>
      <c r="H370" s="330"/>
      <c r="I370" s="330"/>
      <c r="J370" s="331"/>
      <c r="K370" s="331"/>
      <c r="L370" s="330"/>
      <c r="M370" s="331"/>
      <c r="N370" s="333"/>
    </row>
    <row r="371" spans="1:14" x14ac:dyDescent="0.25">
      <c r="A371" s="329"/>
      <c r="B371" s="330"/>
      <c r="C371" s="330"/>
      <c r="D371" s="330"/>
      <c r="E371" s="330"/>
      <c r="F371" s="330"/>
      <c r="G371" s="330"/>
      <c r="H371" s="330"/>
      <c r="I371" s="330"/>
      <c r="J371" s="331"/>
      <c r="K371" s="331"/>
      <c r="L371" s="330"/>
      <c r="M371" s="331"/>
      <c r="N371" s="333"/>
    </row>
    <row r="372" spans="1:14" x14ac:dyDescent="0.25">
      <c r="A372" s="329"/>
      <c r="B372" s="330"/>
      <c r="C372" s="330"/>
      <c r="D372" s="330"/>
      <c r="E372" s="330"/>
      <c r="F372" s="330"/>
      <c r="G372" s="330"/>
      <c r="H372" s="330"/>
      <c r="I372" s="330"/>
      <c r="J372" s="331"/>
      <c r="K372" s="331"/>
      <c r="L372" s="330"/>
      <c r="M372" s="331"/>
      <c r="N372" s="333"/>
    </row>
    <row r="373" spans="1:14" ht="15.75" customHeight="1" x14ac:dyDescent="0.25">
      <c r="A373" s="329"/>
      <c r="B373" s="330"/>
      <c r="C373" s="330"/>
      <c r="D373" s="330"/>
      <c r="E373" s="330"/>
      <c r="F373" s="330"/>
      <c r="G373" s="330"/>
      <c r="H373" s="330"/>
      <c r="I373" s="330"/>
      <c r="J373" s="331"/>
      <c r="K373" s="331"/>
      <c r="L373" s="330"/>
      <c r="M373" s="331"/>
      <c r="N373" s="333"/>
    </row>
    <row r="374" spans="1:14" x14ac:dyDescent="0.25">
      <c r="A374" s="329"/>
      <c r="B374" s="330"/>
      <c r="C374" s="330"/>
      <c r="D374" s="330"/>
      <c r="E374" s="330"/>
      <c r="F374" s="330"/>
      <c r="G374" s="330"/>
      <c r="H374" s="330"/>
      <c r="I374" s="330"/>
      <c r="J374" s="331"/>
      <c r="K374" s="331"/>
      <c r="L374" s="330"/>
      <c r="M374" s="331"/>
      <c r="N374" s="333"/>
    </row>
    <row r="375" spans="1:14" x14ac:dyDescent="0.25">
      <c r="A375" s="329"/>
      <c r="B375" s="330"/>
      <c r="C375" s="330"/>
      <c r="D375" s="330"/>
      <c r="E375" s="330"/>
      <c r="F375" s="330"/>
      <c r="G375" s="330"/>
      <c r="H375" s="330"/>
      <c r="I375" s="330"/>
      <c r="J375" s="331"/>
      <c r="K375" s="331"/>
      <c r="L375" s="330"/>
      <c r="M375" s="331"/>
      <c r="N375" s="333"/>
    </row>
    <row r="376" spans="1:14" ht="15.75" customHeight="1" x14ac:dyDescent="0.25">
      <c r="A376" s="329"/>
      <c r="B376" s="330"/>
      <c r="C376" s="330"/>
      <c r="D376" s="330"/>
      <c r="E376" s="330"/>
      <c r="F376" s="330"/>
      <c r="G376" s="330"/>
      <c r="H376" s="330"/>
      <c r="I376" s="330"/>
      <c r="J376" s="331"/>
      <c r="K376" s="331"/>
      <c r="L376" s="330"/>
      <c r="M376" s="331"/>
      <c r="N376" s="333"/>
    </row>
    <row r="377" spans="1:14" x14ac:dyDescent="0.25">
      <c r="A377" s="329"/>
      <c r="B377" s="330"/>
      <c r="C377" s="330"/>
      <c r="D377" s="330"/>
      <c r="E377" s="330"/>
      <c r="F377" s="330"/>
      <c r="G377" s="330"/>
      <c r="H377" s="330"/>
      <c r="I377" s="330"/>
      <c r="J377" s="331"/>
      <c r="K377" s="331"/>
      <c r="L377" s="330"/>
      <c r="M377" s="331"/>
      <c r="N377" s="333"/>
    </row>
    <row r="378" spans="1:14" x14ac:dyDescent="0.25">
      <c r="A378" s="329"/>
      <c r="B378" s="330"/>
      <c r="C378" s="330"/>
      <c r="D378" s="330"/>
      <c r="E378" s="330"/>
      <c r="F378" s="330"/>
      <c r="G378" s="330"/>
      <c r="H378" s="330"/>
      <c r="I378" s="330"/>
      <c r="J378" s="331"/>
      <c r="K378" s="331"/>
      <c r="L378" s="330"/>
      <c r="M378" s="331"/>
      <c r="N378" s="333"/>
    </row>
    <row r="379" spans="1:14" ht="15.75" customHeight="1" x14ac:dyDescent="0.25">
      <c r="A379" s="329"/>
      <c r="B379" s="330"/>
      <c r="C379" s="330"/>
      <c r="D379" s="330"/>
      <c r="E379" s="330"/>
      <c r="F379" s="330"/>
      <c r="G379" s="330"/>
      <c r="H379" s="330"/>
      <c r="I379" s="330"/>
      <c r="J379" s="331"/>
      <c r="K379" s="331"/>
      <c r="L379" s="330"/>
      <c r="M379" s="331"/>
      <c r="N379" s="333"/>
    </row>
    <row r="380" spans="1:14" x14ac:dyDescent="0.25">
      <c r="A380" s="329"/>
      <c r="B380" s="330"/>
      <c r="C380" s="330"/>
      <c r="D380" s="330"/>
      <c r="E380" s="330"/>
      <c r="F380" s="330"/>
      <c r="G380" s="330"/>
      <c r="H380" s="330"/>
      <c r="I380" s="330"/>
      <c r="J380" s="331"/>
      <c r="K380" s="331"/>
      <c r="L380" s="330"/>
      <c r="M380" s="331"/>
      <c r="N380" s="333"/>
    </row>
    <row r="381" spans="1:14" x14ac:dyDescent="0.25">
      <c r="A381" s="329"/>
      <c r="B381" s="330"/>
      <c r="C381" s="330"/>
      <c r="D381" s="330"/>
      <c r="E381" s="330"/>
      <c r="F381" s="330"/>
      <c r="G381" s="330"/>
      <c r="H381" s="330"/>
      <c r="I381" s="330"/>
      <c r="J381" s="331"/>
      <c r="K381" s="331"/>
      <c r="L381" s="330"/>
      <c r="M381" s="331"/>
      <c r="N381" s="333"/>
    </row>
    <row r="382" spans="1:14" ht="15.75" customHeight="1" x14ac:dyDescent="0.25">
      <c r="A382" s="329"/>
      <c r="B382" s="330"/>
      <c r="C382" s="330"/>
      <c r="D382" s="330"/>
      <c r="E382" s="330"/>
      <c r="F382" s="330"/>
      <c r="G382" s="330"/>
      <c r="H382" s="330"/>
      <c r="I382" s="330"/>
      <c r="J382" s="331"/>
      <c r="K382" s="331"/>
      <c r="L382" s="330"/>
      <c r="M382" s="331"/>
      <c r="N382" s="333"/>
    </row>
    <row r="383" spans="1:14" x14ac:dyDescent="0.25">
      <c r="A383" s="329"/>
      <c r="B383" s="330"/>
      <c r="C383" s="330"/>
      <c r="D383" s="330"/>
      <c r="E383" s="330"/>
      <c r="F383" s="330"/>
      <c r="G383" s="330"/>
      <c r="H383" s="330"/>
      <c r="I383" s="330"/>
      <c r="J383" s="331"/>
      <c r="K383" s="331"/>
      <c r="L383" s="330"/>
      <c r="M383" s="331"/>
      <c r="N383" s="333"/>
    </row>
    <row r="384" spans="1:14" x14ac:dyDescent="0.25">
      <c r="A384" s="329"/>
      <c r="B384" s="330"/>
      <c r="C384" s="330"/>
      <c r="D384" s="330"/>
      <c r="E384" s="330"/>
      <c r="F384" s="330"/>
      <c r="G384" s="330"/>
      <c r="H384" s="330"/>
      <c r="I384" s="330"/>
      <c r="J384" s="331"/>
      <c r="K384" s="331"/>
      <c r="L384" s="330"/>
      <c r="M384" s="331"/>
      <c r="N384" s="333"/>
    </row>
    <row r="385" spans="1:14" x14ac:dyDescent="0.25">
      <c r="A385" s="329"/>
      <c r="B385" s="330"/>
      <c r="C385" s="330"/>
      <c r="D385" s="330"/>
      <c r="E385" s="330"/>
      <c r="F385" s="330"/>
      <c r="G385" s="330"/>
      <c r="H385" s="330"/>
      <c r="I385" s="330"/>
      <c r="J385" s="331"/>
      <c r="K385" s="331"/>
      <c r="L385" s="330"/>
      <c r="M385" s="331"/>
      <c r="N385" s="333"/>
    </row>
    <row r="386" spans="1:14" x14ac:dyDescent="0.25">
      <c r="A386" s="329"/>
      <c r="B386" s="330"/>
      <c r="C386" s="330"/>
      <c r="D386" s="330"/>
      <c r="E386" s="330"/>
      <c r="F386" s="330"/>
      <c r="G386" s="330"/>
      <c r="H386" s="330"/>
      <c r="I386" s="330"/>
      <c r="J386" s="331"/>
      <c r="K386" s="331"/>
      <c r="L386" s="330"/>
      <c r="M386" s="331"/>
      <c r="N386" s="333"/>
    </row>
    <row r="387" spans="1:14" x14ac:dyDescent="0.25">
      <c r="A387" s="329"/>
      <c r="B387" s="330"/>
      <c r="C387" s="330"/>
      <c r="D387" s="330"/>
      <c r="E387" s="330"/>
      <c r="F387" s="330"/>
      <c r="G387" s="330"/>
      <c r="H387" s="330"/>
      <c r="I387" s="330"/>
      <c r="J387" s="331"/>
      <c r="K387" s="331"/>
      <c r="L387" s="330"/>
      <c r="M387" s="331"/>
      <c r="N387" s="333"/>
    </row>
    <row r="388" spans="1:14" x14ac:dyDescent="0.25">
      <c r="A388" s="329"/>
      <c r="B388" s="330"/>
      <c r="C388" s="330"/>
      <c r="D388" s="330"/>
      <c r="E388" s="330"/>
      <c r="F388" s="330"/>
      <c r="G388" s="330"/>
      <c r="H388" s="330"/>
      <c r="I388" s="330"/>
      <c r="J388" s="331"/>
      <c r="K388" s="331"/>
      <c r="L388" s="330"/>
      <c r="M388" s="331"/>
      <c r="N388" s="333"/>
    </row>
    <row r="389" spans="1:14" ht="15.75" customHeight="1" x14ac:dyDescent="0.25">
      <c r="A389" s="329"/>
      <c r="B389" s="330"/>
      <c r="C389" s="330"/>
      <c r="D389" s="330"/>
      <c r="E389" s="330"/>
      <c r="F389" s="330"/>
      <c r="G389" s="330"/>
      <c r="H389" s="330"/>
      <c r="I389" s="330"/>
      <c r="J389" s="331"/>
      <c r="K389" s="331"/>
      <c r="L389" s="330"/>
      <c r="M389" s="331"/>
      <c r="N389" s="333"/>
    </row>
    <row r="390" spans="1:14" x14ac:dyDescent="0.25">
      <c r="A390" s="329"/>
      <c r="B390" s="330"/>
      <c r="C390" s="330"/>
      <c r="D390" s="330"/>
      <c r="E390" s="330"/>
      <c r="F390" s="330"/>
      <c r="G390" s="330"/>
      <c r="H390" s="330"/>
      <c r="I390" s="330"/>
      <c r="J390" s="331"/>
      <c r="K390" s="331"/>
      <c r="L390" s="330"/>
      <c r="M390" s="331"/>
      <c r="N390" s="333"/>
    </row>
    <row r="391" spans="1:14" x14ac:dyDescent="0.25">
      <c r="A391" s="329"/>
      <c r="B391" s="330"/>
      <c r="C391" s="330"/>
      <c r="D391" s="330"/>
      <c r="E391" s="330"/>
      <c r="F391" s="330"/>
      <c r="G391" s="330"/>
      <c r="H391" s="330"/>
      <c r="I391" s="330"/>
      <c r="J391" s="331"/>
      <c r="K391" s="331"/>
      <c r="L391" s="330"/>
      <c r="M391" s="331"/>
      <c r="N391" s="333"/>
    </row>
    <row r="392" spans="1:14" ht="15.75" customHeight="1" x14ac:dyDescent="0.25">
      <c r="A392" s="329"/>
      <c r="B392" s="330"/>
      <c r="C392" s="330"/>
      <c r="D392" s="330"/>
      <c r="E392" s="330"/>
      <c r="F392" s="330"/>
      <c r="G392" s="330"/>
      <c r="H392" s="330"/>
      <c r="I392" s="330"/>
      <c r="J392" s="331"/>
      <c r="K392" s="331"/>
      <c r="L392" s="330"/>
      <c r="M392" s="331"/>
      <c r="N392" s="333"/>
    </row>
    <row r="393" spans="1:14" x14ac:dyDescent="0.25">
      <c r="A393" s="329"/>
      <c r="B393" s="330"/>
      <c r="C393" s="330"/>
      <c r="D393" s="330"/>
      <c r="E393" s="330"/>
      <c r="F393" s="330"/>
      <c r="G393" s="330"/>
      <c r="H393" s="330"/>
      <c r="I393" s="330"/>
      <c r="J393" s="331"/>
      <c r="K393" s="331"/>
      <c r="L393" s="330"/>
      <c r="M393" s="331"/>
      <c r="N393" s="1239"/>
    </row>
    <row r="394" spans="1:14" x14ac:dyDescent="0.25">
      <c r="A394" s="329"/>
      <c r="B394" s="330"/>
      <c r="C394" s="330"/>
      <c r="D394" s="330"/>
      <c r="E394" s="330"/>
      <c r="F394" s="330"/>
      <c r="G394" s="330"/>
      <c r="H394" s="330"/>
      <c r="I394" s="330"/>
      <c r="J394" s="331"/>
      <c r="K394" s="331"/>
      <c r="L394" s="330"/>
      <c r="M394" s="331"/>
      <c r="N394" s="1239"/>
    </row>
    <row r="395" spans="1:14" x14ac:dyDescent="0.25">
      <c r="A395" s="329"/>
      <c r="B395" s="330"/>
      <c r="C395" s="330"/>
      <c r="D395" s="330"/>
      <c r="E395" s="330"/>
      <c r="F395" s="330"/>
      <c r="G395" s="330"/>
      <c r="H395" s="330"/>
      <c r="I395" s="330"/>
      <c r="J395" s="331"/>
      <c r="K395" s="331"/>
      <c r="L395" s="330"/>
      <c r="M395" s="331"/>
      <c r="N395" s="1239"/>
    </row>
    <row r="396" spans="1:14" ht="15.75" customHeight="1" x14ac:dyDescent="0.25">
      <c r="A396" s="329"/>
      <c r="B396" s="330"/>
      <c r="C396" s="330"/>
      <c r="D396" s="330"/>
      <c r="E396" s="330"/>
      <c r="F396" s="330"/>
      <c r="G396" s="330"/>
      <c r="H396" s="330"/>
      <c r="I396" s="330"/>
      <c r="J396" s="331"/>
      <c r="K396" s="331"/>
      <c r="L396" s="330"/>
      <c r="M396" s="331"/>
      <c r="N396" s="1239"/>
    </row>
    <row r="397" spans="1:14" x14ac:dyDescent="0.25">
      <c r="A397" s="1244"/>
      <c r="B397" s="1039"/>
      <c r="C397" s="1039"/>
      <c r="D397" s="1039"/>
      <c r="E397" s="1039"/>
      <c r="F397" s="1039"/>
      <c r="G397" s="1039"/>
      <c r="H397" s="1039"/>
      <c r="I397" s="1039"/>
      <c r="J397" s="1039"/>
      <c r="K397" s="1039"/>
      <c r="L397" s="1039"/>
      <c r="M397" s="1039"/>
      <c r="N397" s="333"/>
    </row>
    <row r="398" spans="1:14" x14ac:dyDescent="0.25">
      <c r="A398" s="1244"/>
      <c r="B398" s="1039"/>
      <c r="C398" s="1039"/>
      <c r="D398" s="1039"/>
      <c r="E398" s="1039"/>
      <c r="F398" s="1039"/>
      <c r="G398" s="1039"/>
      <c r="H398" s="1039"/>
      <c r="I398" s="1039"/>
      <c r="J398" s="1039"/>
      <c r="K398" s="1039"/>
      <c r="L398" s="1039"/>
      <c r="M398" s="1039"/>
      <c r="N398" s="333"/>
    </row>
    <row r="399" spans="1:14" x14ac:dyDescent="0.25">
      <c r="A399" s="329"/>
      <c r="B399" s="330"/>
      <c r="C399" s="330"/>
      <c r="D399" s="330"/>
      <c r="E399" s="330"/>
      <c r="F399" s="330"/>
      <c r="G399" s="330"/>
      <c r="H399" s="330"/>
      <c r="I399" s="330"/>
      <c r="J399" s="331"/>
      <c r="K399" s="331"/>
      <c r="L399" s="330"/>
      <c r="M399" s="331"/>
      <c r="N399" s="333"/>
    </row>
    <row r="400" spans="1:14" x14ac:dyDescent="0.25">
      <c r="A400" s="329"/>
      <c r="B400" s="330"/>
      <c r="C400" s="330"/>
      <c r="D400" s="330"/>
      <c r="E400" s="330"/>
      <c r="F400" s="330"/>
      <c r="G400" s="330"/>
      <c r="H400" s="330"/>
      <c r="I400" s="330"/>
      <c r="J400" s="331"/>
      <c r="K400" s="331"/>
      <c r="L400" s="330"/>
      <c r="M400" s="331"/>
      <c r="N400" s="333"/>
    </row>
    <row r="401" spans="1:14" ht="15.75" customHeight="1" x14ac:dyDescent="0.25">
      <c r="A401" s="329"/>
      <c r="B401" s="330"/>
      <c r="C401" s="330"/>
      <c r="D401" s="330"/>
      <c r="E401" s="330"/>
      <c r="F401" s="330"/>
      <c r="G401" s="330"/>
      <c r="H401" s="330"/>
      <c r="I401" s="330"/>
      <c r="J401" s="331"/>
      <c r="K401" s="331"/>
      <c r="L401" s="330"/>
      <c r="M401" s="331"/>
      <c r="N401" s="333"/>
    </row>
    <row r="402" spans="1:14" x14ac:dyDescent="0.25">
      <c r="A402" s="329"/>
      <c r="B402" s="330"/>
      <c r="C402" s="330"/>
      <c r="D402" s="330"/>
      <c r="E402" s="330"/>
      <c r="F402" s="330"/>
      <c r="G402" s="330"/>
      <c r="H402" s="330"/>
      <c r="I402" s="330"/>
      <c r="J402" s="331"/>
      <c r="K402" s="331"/>
      <c r="L402" s="330"/>
      <c r="M402" s="331"/>
      <c r="N402" s="333"/>
    </row>
    <row r="403" spans="1:14" x14ac:dyDescent="0.25">
      <c r="A403" s="329"/>
      <c r="B403" s="330"/>
      <c r="C403" s="330"/>
      <c r="D403" s="330"/>
      <c r="E403" s="330"/>
      <c r="F403" s="330"/>
      <c r="G403" s="330"/>
      <c r="H403" s="330"/>
      <c r="I403" s="330"/>
      <c r="J403" s="331"/>
      <c r="K403" s="331"/>
      <c r="L403" s="330"/>
      <c r="M403" s="331"/>
      <c r="N403" s="333"/>
    </row>
    <row r="404" spans="1:14" ht="15.75" customHeight="1" x14ac:dyDescent="0.25">
      <c r="A404" s="329"/>
      <c r="B404" s="330"/>
      <c r="C404" s="330"/>
      <c r="D404" s="330"/>
      <c r="E404" s="330"/>
      <c r="F404" s="330"/>
      <c r="G404" s="330"/>
      <c r="H404" s="330"/>
      <c r="I404" s="330"/>
      <c r="J404" s="331"/>
      <c r="K404" s="331"/>
      <c r="L404" s="330"/>
      <c r="M404" s="331"/>
      <c r="N404" s="333"/>
    </row>
    <row r="405" spans="1:14" x14ac:dyDescent="0.25">
      <c r="A405" s="329"/>
      <c r="B405" s="330"/>
      <c r="C405" s="330"/>
      <c r="D405" s="330"/>
      <c r="E405" s="330"/>
      <c r="F405" s="330"/>
      <c r="G405" s="330"/>
      <c r="H405" s="330"/>
      <c r="I405" s="330"/>
      <c r="J405" s="331"/>
      <c r="K405" s="331"/>
      <c r="L405" s="330"/>
      <c r="M405" s="331"/>
      <c r="N405" s="333"/>
    </row>
    <row r="406" spans="1:14" x14ac:dyDescent="0.25">
      <c r="A406" s="329"/>
      <c r="B406" s="330"/>
      <c r="C406" s="330"/>
      <c r="D406" s="330"/>
      <c r="E406" s="330"/>
      <c r="F406" s="330"/>
      <c r="G406" s="330"/>
      <c r="H406" s="330"/>
      <c r="I406" s="330"/>
      <c r="J406" s="331"/>
      <c r="K406" s="331"/>
      <c r="L406" s="330"/>
      <c r="M406" s="331"/>
      <c r="N406" s="333"/>
    </row>
    <row r="407" spans="1:14" ht="15.75" customHeight="1" x14ac:dyDescent="0.25">
      <c r="A407" s="329"/>
      <c r="B407" s="330"/>
      <c r="C407" s="330"/>
      <c r="D407" s="330"/>
      <c r="E407" s="330"/>
      <c r="F407" s="330"/>
      <c r="G407" s="330"/>
      <c r="H407" s="330"/>
      <c r="I407" s="330"/>
      <c r="J407" s="331"/>
      <c r="K407" s="331"/>
      <c r="L407" s="330"/>
      <c r="M407" s="331"/>
      <c r="N407" s="333"/>
    </row>
    <row r="408" spans="1:14" x14ac:dyDescent="0.25">
      <c r="A408" s="329"/>
      <c r="B408" s="330"/>
      <c r="C408" s="330"/>
      <c r="D408" s="330"/>
      <c r="E408" s="330"/>
      <c r="F408" s="330"/>
      <c r="G408" s="330"/>
      <c r="H408" s="330"/>
      <c r="I408" s="330"/>
      <c r="J408" s="331"/>
      <c r="K408" s="331"/>
      <c r="L408" s="330"/>
      <c r="M408" s="331"/>
      <c r="N408" s="333"/>
    </row>
    <row r="409" spans="1:14" x14ac:dyDescent="0.25">
      <c r="A409" s="329"/>
      <c r="B409" s="330"/>
      <c r="C409" s="330"/>
      <c r="D409" s="330"/>
      <c r="E409" s="330"/>
      <c r="F409" s="330"/>
      <c r="G409" s="330"/>
      <c r="H409" s="330"/>
      <c r="I409" s="330"/>
      <c r="J409" s="331"/>
      <c r="K409" s="331"/>
      <c r="L409" s="330"/>
      <c r="M409" s="331"/>
      <c r="N409" s="333"/>
    </row>
    <row r="410" spans="1:14" ht="15.75" customHeight="1" x14ac:dyDescent="0.25">
      <c r="A410" s="329"/>
      <c r="B410" s="330"/>
      <c r="C410" s="330"/>
      <c r="D410" s="330"/>
      <c r="E410" s="330"/>
      <c r="F410" s="330"/>
      <c r="G410" s="330"/>
      <c r="H410" s="330"/>
      <c r="I410" s="330"/>
      <c r="J410" s="331"/>
      <c r="K410" s="331"/>
      <c r="L410" s="330"/>
      <c r="M410" s="331"/>
      <c r="N410" s="333"/>
    </row>
    <row r="411" spans="1:14" x14ac:dyDescent="0.25">
      <c r="A411" s="1039"/>
      <c r="B411" s="1039"/>
      <c r="C411" s="1039"/>
      <c r="D411" s="1039"/>
      <c r="E411" s="1039"/>
      <c r="F411" s="1039"/>
      <c r="G411" s="1039"/>
      <c r="H411" s="1039"/>
      <c r="I411" s="1039"/>
      <c r="J411" s="1039"/>
      <c r="K411" s="1039"/>
      <c r="L411" s="1039"/>
      <c r="M411" s="1039"/>
      <c r="N411" s="333"/>
    </row>
    <row r="412" spans="1:14" x14ac:dyDescent="0.25">
      <c r="A412" s="329"/>
      <c r="B412" s="330"/>
      <c r="C412" s="330"/>
      <c r="D412" s="330"/>
      <c r="E412" s="330"/>
      <c r="F412" s="330"/>
      <c r="G412" s="330"/>
      <c r="H412" s="330"/>
      <c r="I412" s="330"/>
      <c r="J412" s="331"/>
      <c r="K412" s="331"/>
      <c r="L412" s="330"/>
      <c r="M412" s="331"/>
      <c r="N412" s="333"/>
    </row>
    <row r="413" spans="1:14" x14ac:dyDescent="0.25">
      <c r="A413" s="329"/>
      <c r="B413" s="330"/>
      <c r="C413" s="330"/>
      <c r="D413" s="330"/>
      <c r="E413" s="330"/>
      <c r="F413" s="330"/>
      <c r="G413" s="330"/>
      <c r="H413" s="330"/>
      <c r="I413" s="330"/>
      <c r="J413" s="331"/>
      <c r="K413" s="331"/>
      <c r="L413" s="330"/>
      <c r="M413" s="331"/>
      <c r="N413" s="333"/>
    </row>
    <row r="414" spans="1:14" ht="15.75" customHeight="1" x14ac:dyDescent="0.25">
      <c r="A414" s="329"/>
      <c r="B414" s="330"/>
      <c r="C414" s="330"/>
      <c r="D414" s="330"/>
      <c r="E414" s="330"/>
      <c r="F414" s="330"/>
      <c r="G414" s="330"/>
      <c r="H414" s="330"/>
      <c r="I414" s="330"/>
      <c r="J414" s="331"/>
      <c r="K414" s="331"/>
      <c r="L414" s="330"/>
      <c r="M414" s="331"/>
      <c r="N414" s="333"/>
    </row>
    <row r="415" spans="1:14" x14ac:dyDescent="0.25">
      <c r="A415" s="1244"/>
      <c r="B415" s="1039"/>
      <c r="C415" s="1039"/>
      <c r="D415" s="1039"/>
      <c r="E415" s="1039"/>
      <c r="F415" s="1039"/>
      <c r="G415" s="1039"/>
      <c r="H415" s="1039"/>
      <c r="I415" s="1039"/>
      <c r="J415" s="1039"/>
      <c r="K415" s="1039"/>
      <c r="L415" s="1039"/>
      <c r="M415" s="1039"/>
      <c r="N415" s="333"/>
    </row>
    <row r="416" spans="1:14" x14ac:dyDescent="0.25">
      <c r="A416" s="1244"/>
      <c r="B416" s="1039"/>
      <c r="C416" s="1039"/>
      <c r="D416" s="1039"/>
      <c r="E416" s="1039"/>
      <c r="F416" s="1039"/>
      <c r="G416" s="1039"/>
      <c r="H416" s="1039"/>
      <c r="I416" s="1039"/>
      <c r="J416" s="1039"/>
      <c r="K416" s="1039"/>
      <c r="L416" s="1039"/>
      <c r="M416" s="1039"/>
      <c r="N416" s="333"/>
    </row>
    <row r="417" spans="1:14" x14ac:dyDescent="0.25">
      <c r="A417" s="329"/>
      <c r="B417" s="330"/>
      <c r="C417" s="330"/>
      <c r="D417" s="330"/>
      <c r="E417" s="330"/>
      <c r="F417" s="330"/>
      <c r="G417" s="330"/>
      <c r="H417" s="330"/>
      <c r="I417" s="330"/>
      <c r="J417" s="331"/>
      <c r="K417" s="331"/>
      <c r="L417" s="330"/>
      <c r="M417" s="331"/>
      <c r="N417" s="333"/>
    </row>
    <row r="418" spans="1:14" x14ac:dyDescent="0.25">
      <c r="A418" s="329"/>
      <c r="B418" s="330"/>
      <c r="C418" s="330"/>
      <c r="D418" s="330"/>
      <c r="E418" s="330"/>
      <c r="F418" s="330"/>
      <c r="G418" s="330"/>
      <c r="H418" s="330"/>
      <c r="I418" s="330"/>
      <c r="J418" s="331"/>
      <c r="K418" s="331"/>
      <c r="L418" s="330"/>
      <c r="M418" s="331"/>
      <c r="N418" s="333"/>
    </row>
    <row r="419" spans="1:14" ht="15.75" customHeight="1" x14ac:dyDescent="0.25">
      <c r="A419" s="329"/>
      <c r="B419" s="330"/>
      <c r="C419" s="330"/>
      <c r="D419" s="330"/>
      <c r="E419" s="330"/>
      <c r="F419" s="330"/>
      <c r="G419" s="330"/>
      <c r="H419" s="330"/>
      <c r="I419" s="330"/>
      <c r="J419" s="331"/>
      <c r="K419" s="331"/>
      <c r="L419" s="330"/>
      <c r="M419" s="331"/>
      <c r="N419" s="333"/>
    </row>
    <row r="420" spans="1:14" x14ac:dyDescent="0.25">
      <c r="A420" s="329"/>
      <c r="B420" s="330"/>
      <c r="C420" s="330"/>
      <c r="D420" s="330"/>
      <c r="E420" s="330"/>
      <c r="F420" s="330"/>
      <c r="G420" s="330"/>
      <c r="H420" s="330"/>
      <c r="I420" s="330"/>
      <c r="J420" s="331"/>
      <c r="K420" s="331"/>
      <c r="L420" s="330"/>
      <c r="M420" s="331"/>
      <c r="N420" s="333"/>
    </row>
    <row r="421" spans="1:14" x14ac:dyDescent="0.25">
      <c r="A421" s="329"/>
      <c r="B421" s="330"/>
      <c r="C421" s="330"/>
      <c r="D421" s="330"/>
      <c r="E421" s="330"/>
      <c r="F421" s="330"/>
      <c r="G421" s="330"/>
      <c r="H421" s="330"/>
      <c r="I421" s="330"/>
      <c r="J421" s="331"/>
      <c r="K421" s="331"/>
      <c r="L421" s="330"/>
      <c r="M421" s="331"/>
      <c r="N421" s="333"/>
    </row>
    <row r="422" spans="1:14" ht="15.75" customHeight="1" x14ac:dyDescent="0.25">
      <c r="A422" s="329"/>
      <c r="B422" s="330"/>
      <c r="C422" s="330"/>
      <c r="D422" s="330"/>
      <c r="E422" s="330"/>
      <c r="F422" s="330"/>
      <c r="G422" s="330"/>
      <c r="H422" s="330"/>
      <c r="I422" s="330"/>
      <c r="J422" s="331"/>
      <c r="K422" s="331"/>
      <c r="L422" s="330"/>
      <c r="M422" s="331"/>
      <c r="N422" s="333"/>
    </row>
    <row r="423" spans="1:14" x14ac:dyDescent="0.25">
      <c r="A423" s="329"/>
      <c r="B423" s="330"/>
      <c r="C423" s="330"/>
      <c r="D423" s="330"/>
      <c r="E423" s="330"/>
      <c r="F423" s="330"/>
      <c r="G423" s="330"/>
      <c r="H423" s="330"/>
      <c r="I423" s="330"/>
      <c r="J423" s="331"/>
      <c r="K423" s="331"/>
      <c r="L423" s="330"/>
      <c r="M423" s="331"/>
      <c r="N423" s="333"/>
    </row>
    <row r="424" spans="1:14" x14ac:dyDescent="0.25">
      <c r="A424" s="329"/>
      <c r="B424" s="330"/>
      <c r="C424" s="330"/>
      <c r="D424" s="330"/>
      <c r="E424" s="330"/>
      <c r="F424" s="330"/>
      <c r="G424" s="330"/>
      <c r="H424" s="330"/>
      <c r="I424" s="330"/>
      <c r="J424" s="331"/>
      <c r="K424" s="331"/>
      <c r="L424" s="330"/>
      <c r="M424" s="331"/>
      <c r="N424" s="333"/>
    </row>
    <row r="425" spans="1:14" ht="15.75" customHeight="1" x14ac:dyDescent="0.25">
      <c r="A425" s="329"/>
      <c r="B425" s="330"/>
      <c r="C425" s="330"/>
      <c r="D425" s="330"/>
      <c r="E425" s="330"/>
      <c r="F425" s="330"/>
      <c r="G425" s="330"/>
      <c r="H425" s="330"/>
      <c r="I425" s="330"/>
      <c r="J425" s="331"/>
      <c r="K425" s="331"/>
      <c r="L425" s="330"/>
      <c r="M425" s="331"/>
      <c r="N425" s="333"/>
    </row>
    <row r="426" spans="1:14" x14ac:dyDescent="0.25">
      <c r="A426" s="1039"/>
      <c r="B426" s="1039"/>
      <c r="C426" s="1039"/>
      <c r="D426" s="1039"/>
      <c r="E426" s="1039"/>
      <c r="F426" s="1039"/>
      <c r="G426" s="1039"/>
      <c r="H426" s="1039"/>
      <c r="I426" s="1039"/>
      <c r="J426" s="1039"/>
      <c r="K426" s="1039"/>
      <c r="L426" s="1039"/>
      <c r="M426" s="1039"/>
      <c r="N426" s="333"/>
    </row>
    <row r="427" spans="1:14" x14ac:dyDescent="0.25">
      <c r="A427" s="329"/>
      <c r="B427" s="330"/>
      <c r="C427" s="330"/>
      <c r="D427" s="330"/>
      <c r="E427" s="330"/>
      <c r="F427" s="330"/>
      <c r="G427" s="330"/>
      <c r="H427" s="330"/>
      <c r="I427" s="330"/>
      <c r="J427" s="331"/>
      <c r="K427" s="331"/>
      <c r="L427" s="330"/>
      <c r="M427" s="331"/>
      <c r="N427" s="333"/>
    </row>
    <row r="428" spans="1:14" x14ac:dyDescent="0.25">
      <c r="A428" s="329"/>
      <c r="B428" s="330"/>
      <c r="C428" s="330"/>
      <c r="D428" s="330"/>
      <c r="E428" s="330"/>
      <c r="F428" s="330"/>
      <c r="G428" s="330"/>
      <c r="H428" s="330"/>
      <c r="I428" s="330"/>
      <c r="J428" s="331"/>
      <c r="K428" s="331"/>
      <c r="L428" s="330"/>
      <c r="M428" s="331"/>
      <c r="N428" s="333"/>
    </row>
    <row r="429" spans="1:14" x14ac:dyDescent="0.25">
      <c r="A429" s="329"/>
      <c r="B429" s="330"/>
      <c r="C429" s="330"/>
      <c r="D429" s="330"/>
      <c r="E429" s="330"/>
      <c r="F429" s="330"/>
      <c r="G429" s="330"/>
      <c r="H429" s="330"/>
      <c r="I429" s="330"/>
      <c r="J429" s="331"/>
      <c r="K429" s="331"/>
      <c r="L429" s="330"/>
      <c r="M429" s="331"/>
      <c r="N429" s="333"/>
    </row>
    <row r="430" spans="1:14" x14ac:dyDescent="0.25">
      <c r="A430" s="329"/>
      <c r="B430" s="330"/>
      <c r="C430" s="330"/>
      <c r="D430" s="330"/>
      <c r="E430" s="330"/>
      <c r="F430" s="330"/>
      <c r="G430" s="330"/>
      <c r="H430" s="330"/>
      <c r="I430" s="330"/>
      <c r="J430" s="331"/>
      <c r="K430" s="331"/>
      <c r="L430" s="330"/>
      <c r="M430" s="331"/>
      <c r="N430" s="333"/>
    </row>
    <row r="431" spans="1:14" x14ac:dyDescent="0.25">
      <c r="A431" s="329"/>
      <c r="B431" s="330"/>
      <c r="C431" s="330"/>
      <c r="D431" s="330"/>
      <c r="E431" s="330"/>
      <c r="F431" s="330"/>
      <c r="G431" s="330"/>
      <c r="H431" s="330"/>
      <c r="I431" s="330"/>
      <c r="J431" s="331"/>
      <c r="K431" s="331"/>
      <c r="L431" s="330"/>
      <c r="M431" s="331"/>
      <c r="N431" s="333"/>
    </row>
    <row r="432" spans="1:14" ht="15.75" customHeight="1" x14ac:dyDescent="0.25">
      <c r="A432" s="329"/>
      <c r="B432" s="330"/>
      <c r="C432" s="330"/>
      <c r="D432" s="330"/>
      <c r="E432" s="330"/>
      <c r="F432" s="330"/>
      <c r="G432" s="330"/>
      <c r="H432" s="330"/>
      <c r="I432" s="330"/>
      <c r="J432" s="331"/>
      <c r="K432" s="331"/>
      <c r="L432" s="330"/>
      <c r="M432" s="331"/>
      <c r="N432" s="333"/>
    </row>
    <row r="433" spans="1:14" x14ac:dyDescent="0.25">
      <c r="A433" s="329"/>
      <c r="B433" s="330"/>
      <c r="C433" s="330"/>
      <c r="D433" s="330"/>
      <c r="E433" s="330"/>
      <c r="F433" s="330"/>
      <c r="G433" s="330"/>
      <c r="H433" s="330"/>
      <c r="I433" s="330"/>
      <c r="J433" s="331"/>
      <c r="K433" s="331"/>
      <c r="L433" s="330"/>
      <c r="M433" s="331"/>
      <c r="N433" s="333"/>
    </row>
    <row r="434" spans="1:14" x14ac:dyDescent="0.25">
      <c r="A434" s="329"/>
      <c r="B434" s="330"/>
      <c r="C434" s="330"/>
      <c r="D434" s="330"/>
      <c r="E434" s="330"/>
      <c r="F434" s="330"/>
      <c r="G434" s="330"/>
      <c r="H434" s="330"/>
      <c r="I434" s="330"/>
      <c r="J434" s="331"/>
      <c r="K434" s="331"/>
      <c r="L434" s="330"/>
      <c r="M434" s="331"/>
      <c r="N434" s="333"/>
    </row>
    <row r="435" spans="1:14" ht="15.75" customHeight="1" x14ac:dyDescent="0.25">
      <c r="A435" s="329"/>
      <c r="B435" s="330"/>
      <c r="C435" s="330"/>
      <c r="D435" s="330"/>
      <c r="E435" s="330"/>
      <c r="F435" s="330"/>
      <c r="G435" s="330"/>
      <c r="H435" s="330"/>
      <c r="I435" s="330"/>
      <c r="J435" s="331"/>
      <c r="K435" s="331"/>
      <c r="L435" s="330"/>
      <c r="M435" s="331"/>
      <c r="N435" s="333"/>
    </row>
    <row r="436" spans="1:14" x14ac:dyDescent="0.25">
      <c r="A436" s="329"/>
      <c r="B436" s="330"/>
      <c r="C436" s="330"/>
      <c r="D436" s="330"/>
      <c r="E436" s="330"/>
      <c r="F436" s="330"/>
      <c r="G436" s="330"/>
      <c r="H436" s="330"/>
      <c r="I436" s="330"/>
      <c r="J436" s="331"/>
      <c r="K436" s="331"/>
      <c r="L436" s="330"/>
      <c r="M436" s="331"/>
      <c r="N436" s="333"/>
    </row>
    <row r="437" spans="1:14" x14ac:dyDescent="0.25">
      <c r="A437" s="329"/>
      <c r="B437" s="330"/>
      <c r="C437" s="330"/>
      <c r="D437" s="330"/>
      <c r="E437" s="330"/>
      <c r="F437" s="330"/>
      <c r="G437" s="330"/>
      <c r="H437" s="330"/>
      <c r="I437" s="330"/>
      <c r="J437" s="331"/>
      <c r="K437" s="331"/>
      <c r="L437" s="330"/>
      <c r="M437" s="331"/>
      <c r="N437" s="333"/>
    </row>
    <row r="438" spans="1:14" x14ac:dyDescent="0.25">
      <c r="A438" s="329"/>
      <c r="B438" s="330"/>
      <c r="C438" s="330"/>
      <c r="D438" s="330"/>
      <c r="E438" s="330"/>
      <c r="F438" s="330"/>
      <c r="G438" s="330"/>
      <c r="H438" s="330"/>
      <c r="I438" s="330"/>
      <c r="J438" s="331"/>
      <c r="K438" s="331"/>
      <c r="L438" s="330"/>
      <c r="M438" s="331"/>
      <c r="N438" s="333"/>
    </row>
    <row r="439" spans="1:14" ht="15.75" customHeight="1" x14ac:dyDescent="0.25">
      <c r="A439" s="329"/>
      <c r="B439" s="330"/>
      <c r="C439" s="330"/>
      <c r="D439" s="330"/>
      <c r="E439" s="330"/>
      <c r="F439" s="330"/>
      <c r="G439" s="330"/>
      <c r="H439" s="330"/>
      <c r="I439" s="330"/>
      <c r="J439" s="331"/>
      <c r="K439" s="331"/>
      <c r="L439" s="330"/>
      <c r="M439" s="331"/>
      <c r="N439" s="333"/>
    </row>
    <row r="440" spans="1:14" x14ac:dyDescent="0.25">
      <c r="A440" s="329"/>
      <c r="B440" s="330"/>
      <c r="C440" s="330"/>
      <c r="D440" s="330"/>
      <c r="E440" s="330"/>
      <c r="F440" s="330"/>
      <c r="G440" s="330"/>
      <c r="H440" s="330"/>
      <c r="I440" s="330"/>
      <c r="J440" s="331"/>
      <c r="K440" s="331"/>
      <c r="L440" s="330"/>
      <c r="M440" s="331"/>
      <c r="N440" s="333"/>
    </row>
    <row r="441" spans="1:14" x14ac:dyDescent="0.25">
      <c r="A441" s="329"/>
      <c r="B441" s="330"/>
      <c r="C441" s="330"/>
      <c r="D441" s="330"/>
      <c r="E441" s="330"/>
      <c r="F441" s="330"/>
      <c r="G441" s="330"/>
      <c r="H441" s="330"/>
      <c r="I441" s="330"/>
      <c r="J441" s="331"/>
      <c r="K441" s="331"/>
      <c r="L441" s="330"/>
      <c r="M441" s="331"/>
      <c r="N441" s="333"/>
    </row>
    <row r="442" spans="1:14" x14ac:dyDescent="0.25">
      <c r="A442" s="329"/>
      <c r="B442" s="330"/>
      <c r="C442" s="330"/>
      <c r="D442" s="330"/>
      <c r="E442" s="330"/>
      <c r="F442" s="330"/>
      <c r="G442" s="330"/>
      <c r="H442" s="330"/>
      <c r="I442" s="330"/>
      <c r="J442" s="331"/>
      <c r="K442" s="331"/>
      <c r="L442" s="330"/>
      <c r="M442" s="331"/>
      <c r="N442" s="333"/>
    </row>
    <row r="443" spans="1:14" x14ac:dyDescent="0.25">
      <c r="A443" s="329"/>
      <c r="B443" s="330"/>
      <c r="C443" s="330"/>
      <c r="D443" s="330"/>
      <c r="E443" s="330"/>
      <c r="F443" s="330"/>
      <c r="G443" s="330"/>
      <c r="H443" s="330"/>
      <c r="I443" s="330"/>
      <c r="J443" s="331"/>
      <c r="K443" s="331"/>
      <c r="L443" s="330"/>
      <c r="M443" s="331"/>
      <c r="N443" s="333"/>
    </row>
    <row r="444" spans="1:14" x14ac:dyDescent="0.25">
      <c r="A444" s="329"/>
      <c r="B444" s="330"/>
      <c r="C444" s="330"/>
      <c r="D444" s="330"/>
      <c r="E444" s="330"/>
      <c r="F444" s="330"/>
      <c r="G444" s="330"/>
      <c r="H444" s="330"/>
      <c r="I444" s="330"/>
      <c r="J444" s="331"/>
      <c r="K444" s="331"/>
      <c r="L444" s="330"/>
      <c r="M444" s="331"/>
      <c r="N444" s="333"/>
    </row>
    <row r="445" spans="1:14" ht="15.75" customHeight="1" x14ac:dyDescent="0.25">
      <c r="A445" s="329"/>
      <c r="B445" s="330"/>
      <c r="C445" s="330"/>
      <c r="D445" s="330"/>
      <c r="E445" s="330"/>
      <c r="F445" s="330"/>
      <c r="G445" s="330"/>
      <c r="H445" s="330"/>
      <c r="I445" s="330"/>
      <c r="J445" s="331"/>
      <c r="K445" s="331"/>
      <c r="L445" s="330"/>
      <c r="M445" s="331"/>
      <c r="N445" s="333"/>
    </row>
    <row r="446" spans="1:14" x14ac:dyDescent="0.25">
      <c r="A446" s="1244"/>
      <c r="B446" s="1039"/>
      <c r="C446" s="1039"/>
      <c r="D446" s="1039"/>
      <c r="E446" s="1039"/>
      <c r="F446" s="1039"/>
      <c r="G446" s="1039"/>
      <c r="H446" s="1039"/>
      <c r="I446" s="1039"/>
      <c r="J446" s="1039"/>
      <c r="K446" s="1039"/>
      <c r="L446" s="1039"/>
      <c r="M446" s="1039"/>
      <c r="N446" s="333"/>
    </row>
    <row r="447" spans="1:14" x14ac:dyDescent="0.25">
      <c r="A447" s="1244"/>
      <c r="B447" s="1039"/>
      <c r="C447" s="1039"/>
      <c r="D447" s="1039"/>
      <c r="E447" s="1039"/>
      <c r="F447" s="1039"/>
      <c r="G447" s="1039"/>
      <c r="H447" s="1039"/>
      <c r="I447" s="1039"/>
      <c r="J447" s="1039"/>
      <c r="K447" s="1039"/>
      <c r="L447" s="1039"/>
      <c r="M447" s="1039"/>
      <c r="N447" s="333"/>
    </row>
    <row r="448" spans="1:14" x14ac:dyDescent="0.25">
      <c r="A448" s="329"/>
      <c r="B448" s="330"/>
      <c r="C448" s="330"/>
      <c r="D448" s="330"/>
      <c r="E448" s="330"/>
      <c r="F448" s="330"/>
      <c r="G448" s="330"/>
      <c r="H448" s="330"/>
      <c r="I448" s="330"/>
      <c r="J448" s="331"/>
      <c r="K448" s="331"/>
      <c r="L448" s="330"/>
      <c r="M448" s="331"/>
      <c r="N448" s="333"/>
    </row>
    <row r="449" spans="1:14" x14ac:dyDescent="0.25">
      <c r="A449" s="329"/>
      <c r="B449" s="330"/>
      <c r="C449" s="330"/>
      <c r="D449" s="330"/>
      <c r="E449" s="330"/>
      <c r="F449" s="330"/>
      <c r="G449" s="330"/>
      <c r="H449" s="330"/>
      <c r="I449" s="330"/>
      <c r="J449" s="331"/>
      <c r="K449" s="331"/>
      <c r="L449" s="330"/>
      <c r="M449" s="331"/>
      <c r="N449" s="333"/>
    </row>
    <row r="450" spans="1:14" x14ac:dyDescent="0.25">
      <c r="A450" s="329"/>
      <c r="B450" s="330"/>
      <c r="C450" s="330"/>
      <c r="D450" s="330"/>
      <c r="E450" s="330"/>
      <c r="F450" s="330"/>
      <c r="G450" s="330"/>
      <c r="H450" s="330"/>
      <c r="I450" s="330"/>
      <c r="J450" s="331"/>
      <c r="K450" s="331"/>
      <c r="L450" s="330"/>
      <c r="M450" s="331"/>
      <c r="N450" s="333"/>
    </row>
    <row r="451" spans="1:14" x14ac:dyDescent="0.25">
      <c r="A451" s="329"/>
      <c r="B451" s="330"/>
      <c r="C451" s="330"/>
      <c r="D451" s="330"/>
      <c r="E451" s="330"/>
      <c r="F451" s="330"/>
      <c r="G451" s="330"/>
      <c r="H451" s="330"/>
      <c r="I451" s="330"/>
      <c r="J451" s="331"/>
      <c r="K451" s="331"/>
      <c r="L451" s="330"/>
      <c r="M451" s="331"/>
      <c r="N451" s="333"/>
    </row>
    <row r="452" spans="1:14" x14ac:dyDescent="0.25">
      <c r="A452" s="329"/>
      <c r="B452" s="330"/>
      <c r="C452" s="330"/>
      <c r="D452" s="330"/>
      <c r="E452" s="330"/>
      <c r="F452" s="330"/>
      <c r="G452" s="330"/>
      <c r="H452" s="330"/>
      <c r="I452" s="330"/>
      <c r="J452" s="331"/>
      <c r="K452" s="331"/>
      <c r="L452" s="330"/>
      <c r="M452" s="331"/>
      <c r="N452" s="333"/>
    </row>
    <row r="453" spans="1:14" x14ac:dyDescent="0.25">
      <c r="A453" s="329"/>
      <c r="B453" s="330"/>
      <c r="C453" s="330"/>
      <c r="D453" s="330"/>
      <c r="E453" s="330"/>
      <c r="F453" s="330"/>
      <c r="G453" s="330"/>
      <c r="H453" s="330"/>
      <c r="I453" s="330"/>
      <c r="J453" s="331"/>
      <c r="K453" s="331"/>
      <c r="L453" s="330"/>
      <c r="M453" s="331"/>
      <c r="N453" s="333"/>
    </row>
    <row r="454" spans="1:14" x14ac:dyDescent="0.25">
      <c r="A454" s="329"/>
      <c r="B454" s="330"/>
      <c r="C454" s="330"/>
      <c r="D454" s="330"/>
      <c r="E454" s="330"/>
      <c r="F454" s="330"/>
      <c r="G454" s="330"/>
      <c r="H454" s="330"/>
      <c r="I454" s="330"/>
      <c r="J454" s="331"/>
      <c r="K454" s="331"/>
      <c r="L454" s="330"/>
      <c r="M454" s="331"/>
      <c r="N454" s="333"/>
    </row>
    <row r="455" spans="1:14" ht="15.75" customHeight="1" x14ac:dyDescent="0.25">
      <c r="A455" s="329"/>
      <c r="B455" s="330"/>
      <c r="C455" s="330"/>
      <c r="D455" s="330"/>
      <c r="E455" s="330"/>
      <c r="F455" s="330"/>
      <c r="G455" s="330"/>
      <c r="H455" s="330"/>
      <c r="I455" s="330"/>
      <c r="J455" s="331"/>
      <c r="K455" s="331"/>
      <c r="L455" s="330"/>
      <c r="M455" s="331"/>
      <c r="N455" s="333"/>
    </row>
    <row r="456" spans="1:14" x14ac:dyDescent="0.25">
      <c r="A456" s="1039"/>
      <c r="B456" s="1039"/>
      <c r="C456" s="1039"/>
      <c r="D456" s="1039"/>
      <c r="E456" s="1039"/>
      <c r="F456" s="1039"/>
      <c r="G456" s="1039"/>
      <c r="H456" s="1039"/>
      <c r="I456" s="1039"/>
      <c r="J456" s="1039"/>
      <c r="K456" s="1039"/>
      <c r="L456" s="1039"/>
      <c r="M456" s="1039"/>
      <c r="N456" s="333"/>
    </row>
    <row r="457" spans="1:14" x14ac:dyDescent="0.25">
      <c r="A457" s="329"/>
      <c r="B457" s="330"/>
      <c r="C457" s="330"/>
      <c r="D457" s="330"/>
      <c r="E457" s="330"/>
      <c r="F457" s="330"/>
      <c r="G457" s="330"/>
      <c r="H457" s="330"/>
      <c r="I457" s="330"/>
      <c r="J457" s="331"/>
      <c r="K457" s="331"/>
      <c r="L457" s="330"/>
      <c r="M457" s="331"/>
      <c r="N457" s="333"/>
    </row>
    <row r="458" spans="1:14" x14ac:dyDescent="0.25">
      <c r="A458" s="329"/>
      <c r="B458" s="330"/>
      <c r="C458" s="330"/>
      <c r="D458" s="330"/>
      <c r="E458" s="330"/>
      <c r="F458" s="330"/>
      <c r="G458" s="330"/>
      <c r="H458" s="330"/>
      <c r="I458" s="330"/>
      <c r="J458" s="331"/>
      <c r="K458" s="331"/>
      <c r="L458" s="330"/>
      <c r="M458" s="331"/>
      <c r="N458" s="333"/>
    </row>
    <row r="459" spans="1:14" x14ac:dyDescent="0.25">
      <c r="A459" s="329"/>
      <c r="B459" s="330"/>
      <c r="C459" s="330"/>
      <c r="D459" s="330"/>
      <c r="E459" s="330"/>
      <c r="F459" s="330"/>
      <c r="G459" s="330"/>
      <c r="H459" s="330"/>
      <c r="I459" s="330"/>
      <c r="J459" s="331"/>
      <c r="K459" s="331"/>
      <c r="L459" s="330"/>
      <c r="M459" s="331"/>
      <c r="N459" s="333"/>
    </row>
    <row r="460" spans="1:14" ht="15.75" customHeight="1" x14ac:dyDescent="0.25">
      <c r="A460" s="329"/>
      <c r="B460" s="330"/>
      <c r="C460" s="330"/>
      <c r="D460" s="330"/>
      <c r="E460" s="330"/>
      <c r="F460" s="330"/>
      <c r="G460" s="330"/>
      <c r="H460" s="330"/>
      <c r="I460" s="330"/>
      <c r="J460" s="331"/>
      <c r="K460" s="331"/>
      <c r="L460" s="330"/>
      <c r="M460" s="331"/>
      <c r="N460" s="333"/>
    </row>
    <row r="461" spans="1:14" x14ac:dyDescent="0.25">
      <c r="A461" s="329"/>
      <c r="B461" s="330"/>
      <c r="C461" s="330"/>
      <c r="D461" s="330"/>
      <c r="E461" s="330"/>
      <c r="F461" s="330"/>
      <c r="G461" s="330"/>
      <c r="H461" s="330"/>
      <c r="I461" s="330"/>
      <c r="J461" s="331"/>
      <c r="K461" s="331"/>
      <c r="L461" s="330"/>
      <c r="M461" s="331"/>
      <c r="N461" s="333"/>
    </row>
    <row r="462" spans="1:14" x14ac:dyDescent="0.25">
      <c r="A462" s="329"/>
      <c r="B462" s="330"/>
      <c r="C462" s="330"/>
      <c r="D462" s="330"/>
      <c r="E462" s="330"/>
      <c r="F462" s="330"/>
      <c r="G462" s="330"/>
      <c r="H462" s="330"/>
      <c r="I462" s="330"/>
      <c r="J462" s="331"/>
      <c r="K462" s="331"/>
      <c r="L462" s="330"/>
      <c r="M462" s="331"/>
      <c r="N462" s="333"/>
    </row>
    <row r="463" spans="1:14" x14ac:dyDescent="0.25">
      <c r="A463" s="329"/>
      <c r="B463" s="330"/>
      <c r="C463" s="330"/>
      <c r="D463" s="330"/>
      <c r="E463" s="330"/>
      <c r="F463" s="330"/>
      <c r="G463" s="330"/>
      <c r="H463" s="330"/>
      <c r="I463" s="330"/>
      <c r="J463" s="331"/>
      <c r="K463" s="331"/>
      <c r="L463" s="330"/>
      <c r="M463" s="331"/>
      <c r="N463" s="333"/>
    </row>
    <row r="464" spans="1:14" ht="15.75" customHeight="1" x14ac:dyDescent="0.25">
      <c r="A464" s="329"/>
      <c r="B464" s="330"/>
      <c r="C464" s="330"/>
      <c r="D464" s="330"/>
      <c r="E464" s="330"/>
      <c r="F464" s="330"/>
      <c r="G464" s="330"/>
      <c r="H464" s="330"/>
      <c r="I464" s="330"/>
      <c r="J464" s="331"/>
      <c r="K464" s="331"/>
      <c r="L464" s="330"/>
      <c r="M464" s="331"/>
      <c r="N464" s="333"/>
    </row>
    <row r="465" spans="1:14" x14ac:dyDescent="0.25">
      <c r="A465" s="329"/>
      <c r="B465" s="330"/>
      <c r="C465" s="330"/>
      <c r="D465" s="330"/>
      <c r="E465" s="330"/>
      <c r="F465" s="330"/>
      <c r="G465" s="330"/>
      <c r="H465" s="330"/>
      <c r="I465" s="330"/>
      <c r="J465" s="331"/>
      <c r="K465" s="331"/>
      <c r="L465" s="330"/>
      <c r="M465" s="331"/>
      <c r="N465" s="333"/>
    </row>
    <row r="466" spans="1:14" x14ac:dyDescent="0.25">
      <c r="A466" s="329"/>
      <c r="B466" s="330"/>
      <c r="C466" s="330"/>
      <c r="D466" s="330"/>
      <c r="E466" s="330"/>
      <c r="F466" s="330"/>
      <c r="G466" s="330"/>
      <c r="H466" s="330"/>
      <c r="I466" s="330"/>
      <c r="J466" s="331"/>
      <c r="K466" s="331"/>
      <c r="L466" s="330"/>
      <c r="M466" s="331"/>
      <c r="N466" s="333"/>
    </row>
    <row r="467" spans="1:14" x14ac:dyDescent="0.25">
      <c r="A467" s="329"/>
      <c r="B467" s="330"/>
      <c r="C467" s="330"/>
      <c r="D467" s="330"/>
      <c r="E467" s="330"/>
      <c r="F467" s="330"/>
      <c r="G467" s="330"/>
      <c r="H467" s="330"/>
      <c r="I467" s="330"/>
      <c r="J467" s="331"/>
      <c r="K467" s="331"/>
      <c r="L467" s="330"/>
      <c r="M467" s="331"/>
      <c r="N467" s="333"/>
    </row>
    <row r="468" spans="1:14" x14ac:dyDescent="0.25">
      <c r="A468" s="329"/>
      <c r="B468" s="330"/>
      <c r="C468" s="330"/>
      <c r="D468" s="330"/>
      <c r="E468" s="330"/>
      <c r="F468" s="330"/>
      <c r="G468" s="330"/>
      <c r="H468" s="330"/>
      <c r="I468" s="330"/>
      <c r="J468" s="331"/>
      <c r="K468" s="331"/>
      <c r="L468" s="330"/>
      <c r="M468" s="331"/>
      <c r="N468" s="333"/>
    </row>
    <row r="469" spans="1:14" ht="15.75" customHeight="1" x14ac:dyDescent="0.25">
      <c r="A469" s="329"/>
      <c r="B469" s="330"/>
      <c r="C469" s="330"/>
      <c r="D469" s="330"/>
      <c r="E469" s="330"/>
      <c r="F469" s="330"/>
      <c r="G469" s="330"/>
      <c r="H469" s="330"/>
      <c r="I469" s="330"/>
      <c r="J469" s="331"/>
      <c r="K469" s="331"/>
      <c r="L469" s="330"/>
      <c r="M469" s="331"/>
      <c r="N469" s="333"/>
    </row>
    <row r="470" spans="1:14" x14ac:dyDescent="0.25">
      <c r="A470" s="329"/>
      <c r="B470" s="330"/>
      <c r="C470" s="330"/>
      <c r="D470" s="330"/>
      <c r="E470" s="330"/>
      <c r="F470" s="330"/>
      <c r="G470" s="330"/>
      <c r="H470" s="330"/>
      <c r="I470" s="330"/>
      <c r="J470" s="331"/>
      <c r="K470" s="331"/>
      <c r="L470" s="330"/>
      <c r="M470" s="331"/>
      <c r="N470" s="333"/>
    </row>
    <row r="471" spans="1:14" x14ac:dyDescent="0.25">
      <c r="A471" s="329"/>
      <c r="B471" s="330"/>
      <c r="C471" s="330"/>
      <c r="D471" s="330"/>
      <c r="E471" s="330"/>
      <c r="F471" s="330"/>
      <c r="G471" s="330"/>
      <c r="H471" s="330"/>
      <c r="I471" s="330"/>
      <c r="J471" s="331"/>
      <c r="K471" s="331"/>
      <c r="L471" s="330"/>
      <c r="M471" s="331"/>
      <c r="N471" s="333"/>
    </row>
    <row r="472" spans="1:14" ht="15.75" customHeight="1" x14ac:dyDescent="0.25">
      <c r="A472" s="329"/>
      <c r="B472" s="330"/>
      <c r="C472" s="330"/>
      <c r="D472" s="330"/>
      <c r="E472" s="330"/>
      <c r="F472" s="330"/>
      <c r="G472" s="330"/>
      <c r="H472" s="330"/>
      <c r="I472" s="330"/>
      <c r="J472" s="331"/>
      <c r="K472" s="331"/>
      <c r="L472" s="330"/>
      <c r="M472" s="331"/>
      <c r="N472" s="333"/>
    </row>
    <row r="473" spans="1:14" x14ac:dyDescent="0.25">
      <c r="A473" s="329"/>
      <c r="B473" s="330"/>
      <c r="C473" s="330"/>
      <c r="D473" s="330"/>
      <c r="E473" s="330"/>
      <c r="F473" s="330"/>
      <c r="G473" s="330"/>
      <c r="H473" s="330"/>
      <c r="I473" s="330"/>
      <c r="J473" s="331"/>
      <c r="K473" s="331"/>
      <c r="L473" s="330"/>
      <c r="M473" s="331"/>
      <c r="N473" s="333"/>
    </row>
    <row r="474" spans="1:14" x14ac:dyDescent="0.25">
      <c r="A474" s="329"/>
      <c r="B474" s="330"/>
      <c r="C474" s="330"/>
      <c r="D474" s="330"/>
      <c r="E474" s="330"/>
      <c r="F474" s="330"/>
      <c r="G474" s="330"/>
      <c r="H474" s="330"/>
      <c r="I474" s="330"/>
      <c r="J474" s="331"/>
      <c r="K474" s="331"/>
      <c r="L474" s="330"/>
      <c r="M474" s="331"/>
      <c r="N474" s="333"/>
    </row>
    <row r="475" spans="1:14" x14ac:dyDescent="0.25">
      <c r="A475" s="329"/>
      <c r="B475" s="330"/>
      <c r="C475" s="330"/>
      <c r="D475" s="330"/>
      <c r="E475" s="330"/>
      <c r="F475" s="330"/>
      <c r="G475" s="330"/>
      <c r="H475" s="330"/>
      <c r="I475" s="330"/>
      <c r="J475" s="331"/>
      <c r="K475" s="331"/>
      <c r="L475" s="330"/>
      <c r="M475" s="331"/>
      <c r="N475" s="333"/>
    </row>
    <row r="476" spans="1:14" x14ac:dyDescent="0.25">
      <c r="A476" s="329"/>
      <c r="B476" s="330"/>
      <c r="C476" s="330"/>
      <c r="D476" s="330"/>
      <c r="E476" s="330"/>
      <c r="F476" s="330"/>
      <c r="G476" s="330"/>
      <c r="H476" s="330"/>
      <c r="I476" s="330"/>
      <c r="J476" s="331"/>
      <c r="K476" s="331"/>
      <c r="L476" s="330"/>
      <c r="M476" s="331"/>
      <c r="N476" s="333"/>
    </row>
    <row r="477" spans="1:14" ht="15.75" customHeight="1" x14ac:dyDescent="0.25">
      <c r="A477" s="329"/>
      <c r="B477" s="330"/>
      <c r="C477" s="330"/>
      <c r="D477" s="330"/>
      <c r="E477" s="330"/>
      <c r="F477" s="330"/>
      <c r="G477" s="330"/>
      <c r="H477" s="330"/>
      <c r="I477" s="330"/>
      <c r="J477" s="331"/>
      <c r="K477" s="331"/>
      <c r="L477" s="330"/>
      <c r="M477" s="331"/>
      <c r="N477" s="333"/>
    </row>
    <row r="478" spans="1:14" x14ac:dyDescent="0.25">
      <c r="A478" s="1244"/>
      <c r="B478" s="1039"/>
      <c r="C478" s="1039"/>
      <c r="D478" s="1039"/>
      <c r="E478" s="1039"/>
      <c r="F478" s="1039"/>
      <c r="G478" s="1039"/>
      <c r="H478" s="1039"/>
      <c r="I478" s="1039"/>
      <c r="J478" s="1039"/>
      <c r="K478" s="1039"/>
      <c r="L478" s="1039"/>
      <c r="M478" s="1039"/>
      <c r="N478" s="333"/>
    </row>
    <row r="479" spans="1:14" x14ac:dyDescent="0.25">
      <c r="A479" s="1244"/>
      <c r="B479" s="1039"/>
      <c r="C479" s="1039"/>
      <c r="D479" s="1039"/>
      <c r="E479" s="1039"/>
      <c r="F479" s="1039"/>
      <c r="G479" s="1039"/>
      <c r="H479" s="1039"/>
      <c r="I479" s="1039"/>
      <c r="J479" s="1039"/>
      <c r="K479" s="1039"/>
      <c r="L479" s="1039"/>
      <c r="M479" s="1039"/>
      <c r="N479" s="333"/>
    </row>
    <row r="480" spans="1:14" x14ac:dyDescent="0.25">
      <c r="A480" s="329"/>
      <c r="B480" s="330"/>
      <c r="C480" s="330"/>
      <c r="D480" s="330"/>
      <c r="E480" s="330"/>
      <c r="F480" s="330"/>
      <c r="G480" s="330"/>
      <c r="H480" s="330"/>
      <c r="I480" s="330"/>
      <c r="J480" s="331"/>
      <c r="K480" s="331"/>
      <c r="L480" s="330"/>
      <c r="M480" s="331"/>
      <c r="N480" s="333"/>
    </row>
    <row r="481" spans="1:14" x14ac:dyDescent="0.25">
      <c r="A481" s="329"/>
      <c r="B481" s="330"/>
      <c r="C481" s="330"/>
      <c r="D481" s="330"/>
      <c r="E481" s="330"/>
      <c r="F481" s="330"/>
      <c r="G481" s="330"/>
      <c r="H481" s="330"/>
      <c r="I481" s="330"/>
      <c r="J481" s="331"/>
      <c r="K481" s="331"/>
      <c r="L481" s="330"/>
      <c r="M481" s="331"/>
      <c r="N481" s="333"/>
    </row>
    <row r="482" spans="1:14" ht="15.75" customHeight="1" x14ac:dyDescent="0.25">
      <c r="A482" s="329"/>
      <c r="B482" s="330"/>
      <c r="C482" s="330"/>
      <c r="D482" s="330"/>
      <c r="E482" s="330"/>
      <c r="F482" s="330"/>
      <c r="G482" s="330"/>
      <c r="H482" s="330"/>
      <c r="I482" s="330"/>
      <c r="J482" s="331"/>
      <c r="K482" s="331"/>
      <c r="L482" s="330"/>
      <c r="M482" s="331"/>
      <c r="N482" s="333"/>
    </row>
    <row r="483" spans="1:14" x14ac:dyDescent="0.25">
      <c r="A483" s="329"/>
      <c r="B483" s="330"/>
      <c r="C483" s="330"/>
      <c r="D483" s="330"/>
      <c r="E483" s="330"/>
      <c r="F483" s="330"/>
      <c r="G483" s="330"/>
      <c r="H483" s="330"/>
      <c r="I483" s="330"/>
      <c r="J483" s="331"/>
      <c r="K483" s="331"/>
      <c r="L483" s="330"/>
      <c r="M483" s="331"/>
      <c r="N483" s="333"/>
    </row>
    <row r="484" spans="1:14" x14ac:dyDescent="0.25">
      <c r="A484" s="329"/>
      <c r="B484" s="330"/>
      <c r="C484" s="330"/>
      <c r="D484" s="330"/>
      <c r="E484" s="330"/>
      <c r="F484" s="330"/>
      <c r="G484" s="330"/>
      <c r="H484" s="330"/>
      <c r="I484" s="330"/>
      <c r="J484" s="331"/>
      <c r="K484" s="331"/>
      <c r="L484" s="330"/>
      <c r="M484" s="331"/>
      <c r="N484" s="333"/>
    </row>
    <row r="485" spans="1:14" ht="15.75" customHeight="1" x14ac:dyDescent="0.25">
      <c r="A485" s="329"/>
      <c r="B485" s="330"/>
      <c r="C485" s="330"/>
      <c r="D485" s="330"/>
      <c r="E485" s="330"/>
      <c r="F485" s="330"/>
      <c r="G485" s="330"/>
      <c r="H485" s="330"/>
      <c r="I485" s="330"/>
      <c r="J485" s="331"/>
      <c r="K485" s="331"/>
      <c r="L485" s="330"/>
      <c r="M485" s="331"/>
      <c r="N485" s="333"/>
    </row>
    <row r="486" spans="1:14" x14ac:dyDescent="0.25">
      <c r="A486" s="329"/>
      <c r="B486" s="330"/>
      <c r="C486" s="330"/>
      <c r="D486" s="330"/>
      <c r="E486" s="330"/>
      <c r="F486" s="330"/>
      <c r="G486" s="330"/>
      <c r="H486" s="330"/>
      <c r="I486" s="330"/>
      <c r="J486" s="331"/>
      <c r="K486" s="331"/>
      <c r="L486" s="330"/>
      <c r="M486" s="331"/>
      <c r="N486" s="333"/>
    </row>
    <row r="487" spans="1:14" x14ac:dyDescent="0.25">
      <c r="A487" s="329"/>
      <c r="B487" s="330"/>
      <c r="C487" s="330"/>
      <c r="D487" s="330"/>
      <c r="E487" s="330"/>
      <c r="F487" s="330"/>
      <c r="G487" s="330"/>
      <c r="H487" s="330"/>
      <c r="I487" s="330"/>
      <c r="J487" s="331"/>
      <c r="K487" s="331"/>
      <c r="L487" s="330"/>
      <c r="M487" s="331"/>
      <c r="N487" s="333"/>
    </row>
    <row r="488" spans="1:14" ht="15.75" customHeight="1" x14ac:dyDescent="0.25">
      <c r="A488" s="329"/>
      <c r="B488" s="330"/>
      <c r="C488" s="330"/>
      <c r="D488" s="330"/>
      <c r="E488" s="330"/>
      <c r="F488" s="330"/>
      <c r="G488" s="330"/>
      <c r="H488" s="330"/>
      <c r="I488" s="330"/>
      <c r="J488" s="331"/>
      <c r="K488" s="331"/>
      <c r="L488" s="330"/>
      <c r="M488" s="331"/>
      <c r="N488" s="333"/>
    </row>
    <row r="489" spans="1:14" x14ac:dyDescent="0.25">
      <c r="A489" s="1039"/>
      <c r="B489" s="1039"/>
      <c r="C489" s="1039"/>
      <c r="D489" s="1039"/>
      <c r="E489" s="1039"/>
      <c r="F489" s="1039"/>
      <c r="G489" s="1039"/>
      <c r="H489" s="1039"/>
      <c r="I489" s="1039"/>
      <c r="J489" s="1039"/>
      <c r="K489" s="1039"/>
      <c r="L489" s="1039"/>
      <c r="M489" s="1039"/>
      <c r="N489" s="333"/>
    </row>
    <row r="490" spans="1:14" x14ac:dyDescent="0.25">
      <c r="A490" s="329"/>
      <c r="B490" s="330"/>
      <c r="C490" s="330"/>
      <c r="D490" s="330"/>
      <c r="E490" s="330"/>
      <c r="F490" s="330"/>
      <c r="G490" s="330"/>
      <c r="H490" s="330"/>
      <c r="I490" s="330"/>
      <c r="J490" s="331"/>
      <c r="K490" s="331"/>
      <c r="L490" s="330"/>
      <c r="M490" s="331"/>
      <c r="N490" s="333"/>
    </row>
    <row r="491" spans="1:14" x14ac:dyDescent="0.25">
      <c r="A491" s="329"/>
      <c r="B491" s="330"/>
      <c r="C491" s="330"/>
      <c r="D491" s="330"/>
      <c r="E491" s="330"/>
      <c r="F491" s="330"/>
      <c r="G491" s="330"/>
      <c r="H491" s="330"/>
      <c r="I491" s="330"/>
      <c r="J491" s="331"/>
      <c r="K491" s="331"/>
      <c r="L491" s="330"/>
      <c r="M491" s="331"/>
      <c r="N491" s="333"/>
    </row>
    <row r="492" spans="1:14" x14ac:dyDescent="0.25">
      <c r="A492" s="329"/>
      <c r="B492" s="330"/>
      <c r="C492" s="330"/>
      <c r="D492" s="330"/>
      <c r="E492" s="330"/>
      <c r="F492" s="330"/>
      <c r="G492" s="330"/>
      <c r="H492" s="330"/>
      <c r="I492" s="330"/>
      <c r="J492" s="331"/>
      <c r="K492" s="331"/>
      <c r="L492" s="330"/>
      <c r="M492" s="331"/>
      <c r="N492" s="333"/>
    </row>
    <row r="493" spans="1:14" x14ac:dyDescent="0.25">
      <c r="A493" s="329"/>
      <c r="B493" s="330"/>
      <c r="C493" s="330"/>
      <c r="D493" s="330"/>
      <c r="E493" s="330"/>
      <c r="F493" s="330"/>
      <c r="G493" s="330"/>
      <c r="H493" s="330"/>
      <c r="I493" s="330"/>
      <c r="J493" s="331"/>
      <c r="K493" s="331"/>
      <c r="L493" s="330"/>
      <c r="M493" s="331"/>
      <c r="N493" s="333"/>
    </row>
    <row r="494" spans="1:14" x14ac:dyDescent="0.25">
      <c r="A494" s="329"/>
      <c r="B494" s="330"/>
      <c r="C494" s="330"/>
      <c r="D494" s="330"/>
      <c r="E494" s="330"/>
      <c r="F494" s="330"/>
      <c r="G494" s="330"/>
      <c r="H494" s="330"/>
      <c r="I494" s="330"/>
      <c r="J494" s="331"/>
      <c r="K494" s="331"/>
      <c r="L494" s="330"/>
      <c r="M494" s="331"/>
      <c r="N494" s="333"/>
    </row>
    <row r="495" spans="1:14" ht="15.75" customHeight="1" x14ac:dyDescent="0.25">
      <c r="M495" s="336"/>
    </row>
  </sheetData>
  <mergeCells count="376">
    <mergeCell ref="G100:M100"/>
    <mergeCell ref="G95:M95"/>
    <mergeCell ref="G97:M97"/>
    <mergeCell ref="A1:T1"/>
    <mergeCell ref="G287:I287"/>
    <mergeCell ref="G254:M254"/>
    <mergeCell ref="G268:M268"/>
    <mergeCell ref="G253:I253"/>
    <mergeCell ref="G235:M235"/>
    <mergeCell ref="G210:M210"/>
    <mergeCell ref="G215:M215"/>
    <mergeCell ref="G218:I218"/>
    <mergeCell ref="G239:M239"/>
    <mergeCell ref="G258:M258"/>
    <mergeCell ref="G209:I209"/>
    <mergeCell ref="G234:I234"/>
    <mergeCell ref="G274:I274"/>
    <mergeCell ref="G281:M281"/>
    <mergeCell ref="G164:I164"/>
    <mergeCell ref="G105:I105"/>
    <mergeCell ref="G69:I69"/>
    <mergeCell ref="G139:M139"/>
    <mergeCell ref="G162:M162"/>
    <mergeCell ref="G108:M108"/>
    <mergeCell ref="A254:A255"/>
    <mergeCell ref="G29:M29"/>
    <mergeCell ref="A41:A42"/>
    <mergeCell ref="A61:A62"/>
    <mergeCell ref="B61:B62"/>
    <mergeCell ref="E235:E236"/>
    <mergeCell ref="G167:I167"/>
    <mergeCell ref="G191:M191"/>
    <mergeCell ref="G148:I148"/>
    <mergeCell ref="G147:M147"/>
    <mergeCell ref="G152:I152"/>
    <mergeCell ref="G181:M181"/>
    <mergeCell ref="G182:I182"/>
    <mergeCell ref="G159:M159"/>
    <mergeCell ref="G161:I161"/>
    <mergeCell ref="G165:M165"/>
    <mergeCell ref="G188:M188"/>
    <mergeCell ref="G168:M168"/>
    <mergeCell ref="G138:I138"/>
    <mergeCell ref="G116:M116"/>
    <mergeCell ref="G127:M127"/>
    <mergeCell ref="G123:M123"/>
    <mergeCell ref="G92:M92"/>
    <mergeCell ref="G115:I115"/>
    <mergeCell ref="A489:M489"/>
    <mergeCell ref="A397:M397"/>
    <mergeCell ref="A426:M426"/>
    <mergeCell ref="A478:M478"/>
    <mergeCell ref="A416:M416"/>
    <mergeCell ref="A479:M479"/>
    <mergeCell ref="A456:M456"/>
    <mergeCell ref="A447:M447"/>
    <mergeCell ref="A415:M415"/>
    <mergeCell ref="A446:M446"/>
    <mergeCell ref="A398:M398"/>
    <mergeCell ref="A411:M411"/>
    <mergeCell ref="A266:A267"/>
    <mergeCell ref="B266:B267"/>
    <mergeCell ref="D61:D62"/>
    <mergeCell ref="E61:E62"/>
    <mergeCell ref="F61:F62"/>
    <mergeCell ref="D153:D154"/>
    <mergeCell ref="E153:E154"/>
    <mergeCell ref="F153:F154"/>
    <mergeCell ref="C70:C73"/>
    <mergeCell ref="D70:D73"/>
    <mergeCell ref="E70:E73"/>
    <mergeCell ref="F70:F73"/>
    <mergeCell ref="C61:C62"/>
    <mergeCell ref="A210:A211"/>
    <mergeCell ref="B210:B211"/>
    <mergeCell ref="A235:A236"/>
    <mergeCell ref="B235:B236"/>
    <mergeCell ref="A186:A187"/>
    <mergeCell ref="F235:F236"/>
    <mergeCell ref="C139:C140"/>
    <mergeCell ref="A70:A73"/>
    <mergeCell ref="B70:B73"/>
    <mergeCell ref="A87:A88"/>
    <mergeCell ref="B87:B88"/>
    <mergeCell ref="N393:N396"/>
    <mergeCell ref="A351:M351"/>
    <mergeCell ref="G266:M266"/>
    <mergeCell ref="G56:I56"/>
    <mergeCell ref="A2:A6"/>
    <mergeCell ref="G2:M2"/>
    <mergeCell ref="G311:I311"/>
    <mergeCell ref="G23:I23"/>
    <mergeCell ref="G303:M303"/>
    <mergeCell ref="G302:I302"/>
    <mergeCell ref="G288:M288"/>
    <mergeCell ref="G290:M290"/>
    <mergeCell ref="G275:M275"/>
    <mergeCell ref="G277:M277"/>
    <mergeCell ref="A139:A140"/>
    <mergeCell ref="B139:B140"/>
    <mergeCell ref="A153:A154"/>
    <mergeCell ref="B153:B154"/>
    <mergeCell ref="A275:A276"/>
    <mergeCell ref="B275:B276"/>
    <mergeCell ref="G85:I85"/>
    <mergeCell ref="G65:M65"/>
    <mergeCell ref="G66:I66"/>
    <mergeCell ref="G84:M84"/>
    <mergeCell ref="A288:A289"/>
    <mergeCell ref="B288:B289"/>
    <mergeCell ref="G292:M292"/>
    <mergeCell ref="G11:M11"/>
    <mergeCell ref="B41:B42"/>
    <mergeCell ref="G20:I20"/>
    <mergeCell ref="G37:I37"/>
    <mergeCell ref="B2:F6"/>
    <mergeCell ref="B7:F7"/>
    <mergeCell ref="G18:I18"/>
    <mergeCell ref="G34:I34"/>
    <mergeCell ref="G3:M4"/>
    <mergeCell ref="G31:I31"/>
    <mergeCell ref="G10:I10"/>
    <mergeCell ref="G26:I26"/>
    <mergeCell ref="C41:C42"/>
    <mergeCell ref="D41:D42"/>
    <mergeCell ref="E41:E42"/>
    <mergeCell ref="F41:F42"/>
    <mergeCell ref="G27:M27"/>
    <mergeCell ref="G40:I40"/>
    <mergeCell ref="G14:M14"/>
    <mergeCell ref="G32:M32"/>
    <mergeCell ref="G33:I33"/>
    <mergeCell ref="N54:P54"/>
    <mergeCell ref="C87:C88"/>
    <mergeCell ref="D87:D88"/>
    <mergeCell ref="E87:E88"/>
    <mergeCell ref="F87:F88"/>
    <mergeCell ref="G45:M45"/>
    <mergeCell ref="G61:M61"/>
    <mergeCell ref="G49:M49"/>
    <mergeCell ref="G54:I54"/>
    <mergeCell ref="G63:M63"/>
    <mergeCell ref="G70:M70"/>
    <mergeCell ref="G60:I60"/>
    <mergeCell ref="N56:P56"/>
    <mergeCell ref="N60:P60"/>
    <mergeCell ref="N61:T61"/>
    <mergeCell ref="G81:M81"/>
    <mergeCell ref="N69:P69"/>
    <mergeCell ref="N70:T70"/>
    <mergeCell ref="N80:P80"/>
    <mergeCell ref="G72:M72"/>
    <mergeCell ref="G87:M87"/>
    <mergeCell ref="N45:T45"/>
    <mergeCell ref="G50:I50"/>
    <mergeCell ref="G74:M74"/>
    <mergeCell ref="N2:T2"/>
    <mergeCell ref="N3:T4"/>
    <mergeCell ref="N10:P10"/>
    <mergeCell ref="N18:P18"/>
    <mergeCell ref="N20:P20"/>
    <mergeCell ref="N23:P23"/>
    <mergeCell ref="N26:P26"/>
    <mergeCell ref="N31:P31"/>
    <mergeCell ref="G41:M41"/>
    <mergeCell ref="N34:P34"/>
    <mergeCell ref="N37:P37"/>
    <mergeCell ref="N40:P40"/>
    <mergeCell ref="N41:T41"/>
    <mergeCell ref="G21:M21"/>
    <mergeCell ref="G22:I22"/>
    <mergeCell ref="G8:M8"/>
    <mergeCell ref="G9:I9"/>
    <mergeCell ref="G38:M38"/>
    <mergeCell ref="G39:I39"/>
    <mergeCell ref="G24:M24"/>
    <mergeCell ref="G25:I25"/>
    <mergeCell ref="G35:M35"/>
    <mergeCell ref="G36:I36"/>
    <mergeCell ref="G5:G6"/>
    <mergeCell ref="N209:P209"/>
    <mergeCell ref="N188:T188"/>
    <mergeCell ref="N235:T235"/>
    <mergeCell ref="N135:P135"/>
    <mergeCell ref="N138:P138"/>
    <mergeCell ref="N139:T139"/>
    <mergeCell ref="N141:T141"/>
    <mergeCell ref="N152:P152"/>
    <mergeCell ref="N86:P86"/>
    <mergeCell ref="N87:T87"/>
    <mergeCell ref="N110:P110"/>
    <mergeCell ref="N115:P115"/>
    <mergeCell ref="O118:P118"/>
    <mergeCell ref="N116:T116"/>
    <mergeCell ref="N265:P265"/>
    <mergeCell ref="N311:P311"/>
    <mergeCell ref="N302:P302"/>
    <mergeCell ref="N303:T303"/>
    <mergeCell ref="N287:P287"/>
    <mergeCell ref="N288:T288"/>
    <mergeCell ref="N290:T290"/>
    <mergeCell ref="N285:P285"/>
    <mergeCell ref="N153:T153"/>
    <mergeCell ref="N155:T155"/>
    <mergeCell ref="N164:P164"/>
    <mergeCell ref="N173:P173"/>
    <mergeCell ref="N174:T174"/>
    <mergeCell ref="N183:P183"/>
    <mergeCell ref="N254:T254"/>
    <mergeCell ref="N256:T256"/>
    <mergeCell ref="N186:T186"/>
    <mergeCell ref="N210:T210"/>
    <mergeCell ref="N213:T213"/>
    <mergeCell ref="N234:P234"/>
    <mergeCell ref="N253:P253"/>
    <mergeCell ref="N185:P185"/>
    <mergeCell ref="N202:P202"/>
    <mergeCell ref="N204:P204"/>
    <mergeCell ref="G283:M283"/>
    <mergeCell ref="G285:I285"/>
    <mergeCell ref="G297:M297"/>
    <mergeCell ref="G273:I273"/>
    <mergeCell ref="N266:T266"/>
    <mergeCell ref="N274:P274"/>
    <mergeCell ref="N275:T275"/>
    <mergeCell ref="N277:T277"/>
    <mergeCell ref="G300:M300"/>
    <mergeCell ref="C210:C211"/>
    <mergeCell ref="D210:D211"/>
    <mergeCell ref="C235:C236"/>
    <mergeCell ref="D235:D236"/>
    <mergeCell ref="G294:M294"/>
    <mergeCell ref="G309:M309"/>
    <mergeCell ref="G310:I310"/>
    <mergeCell ref="G299:I299"/>
    <mergeCell ref="G219:M219"/>
    <mergeCell ref="G213:M213"/>
    <mergeCell ref="G256:M256"/>
    <mergeCell ref="G246:I246"/>
    <mergeCell ref="G223:M223"/>
    <mergeCell ref="G225:I225"/>
    <mergeCell ref="G265:I265"/>
    <mergeCell ref="G264:I264"/>
    <mergeCell ref="G237:M237"/>
    <mergeCell ref="G241:M241"/>
    <mergeCell ref="G284:I284"/>
    <mergeCell ref="G308:I308"/>
    <mergeCell ref="G307:M307"/>
    <mergeCell ref="G296:I296"/>
    <mergeCell ref="G271:M271"/>
    <mergeCell ref="G305:M305"/>
    <mergeCell ref="J107:K107"/>
    <mergeCell ref="J114:K114"/>
    <mergeCell ref="C288:C289"/>
    <mergeCell ref="D288:D289"/>
    <mergeCell ref="E288:E289"/>
    <mergeCell ref="F288:F289"/>
    <mergeCell ref="D266:D267"/>
    <mergeCell ref="E266:E267"/>
    <mergeCell ref="F266:F267"/>
    <mergeCell ref="D139:D140"/>
    <mergeCell ref="G233:I233"/>
    <mergeCell ref="G199:M199"/>
    <mergeCell ref="G201:I201"/>
    <mergeCell ref="G157:M157"/>
    <mergeCell ref="G153:M153"/>
    <mergeCell ref="C153:C154"/>
    <mergeCell ref="G252:I252"/>
    <mergeCell ref="C275:C276"/>
    <mergeCell ref="D275:D276"/>
    <mergeCell ref="C266:C267"/>
    <mergeCell ref="J151:K151"/>
    <mergeCell ref="J148:K148"/>
    <mergeCell ref="E275:E276"/>
    <mergeCell ref="F275:F276"/>
    <mergeCell ref="J161:K161"/>
    <mergeCell ref="G150:M150"/>
    <mergeCell ref="G151:I151"/>
    <mergeCell ref="G155:M155"/>
    <mergeCell ref="G136:M136"/>
    <mergeCell ref="G137:I137"/>
    <mergeCell ref="G141:M141"/>
    <mergeCell ref="G143:M143"/>
    <mergeCell ref="G145:M145"/>
    <mergeCell ref="G185:I185"/>
    <mergeCell ref="G174:M174"/>
    <mergeCell ref="G176:M176"/>
    <mergeCell ref="G186:M186"/>
    <mergeCell ref="G207:M207"/>
    <mergeCell ref="G262:M262"/>
    <mergeCell ref="G170:I170"/>
    <mergeCell ref="J170:K170"/>
    <mergeCell ref="J167:K167"/>
    <mergeCell ref="G247:M247"/>
    <mergeCell ref="G180:I180"/>
    <mergeCell ref="G183:I183"/>
    <mergeCell ref="G173:I173"/>
    <mergeCell ref="G194:M194"/>
    <mergeCell ref="G178:M178"/>
    <mergeCell ref="G227:M227"/>
    <mergeCell ref="G221:M221"/>
    <mergeCell ref="G197:I197"/>
    <mergeCell ref="G205:M205"/>
    <mergeCell ref="G206:I206"/>
    <mergeCell ref="H5:H6"/>
    <mergeCell ref="I5:I6"/>
    <mergeCell ref="L5:L6"/>
    <mergeCell ref="M5:M6"/>
    <mergeCell ref="N5:N6"/>
    <mergeCell ref="O5:O6"/>
    <mergeCell ref="P5:P6"/>
    <mergeCell ref="S5:S6"/>
    <mergeCell ref="G110:I110"/>
    <mergeCell ref="G17:I17"/>
    <mergeCell ref="J17:K17"/>
    <mergeCell ref="J39:K39"/>
    <mergeCell ref="J50:K50"/>
    <mergeCell ref="J53:K53"/>
    <mergeCell ref="J59:K59"/>
    <mergeCell ref="J66:K66"/>
    <mergeCell ref="J68:K68"/>
    <mergeCell ref="J79:K79"/>
    <mergeCell ref="N43:T43"/>
    <mergeCell ref="J9:K9"/>
    <mergeCell ref="J22:K22"/>
    <mergeCell ref="J25:K25"/>
    <mergeCell ref="G86:I86"/>
    <mergeCell ref="J105:K105"/>
    <mergeCell ref="T5:T6"/>
    <mergeCell ref="J85:K85"/>
    <mergeCell ref="J137:K137"/>
    <mergeCell ref="G118:M118"/>
    <mergeCell ref="G52:M52"/>
    <mergeCell ref="G53:I53"/>
    <mergeCell ref="G67:M67"/>
    <mergeCell ref="G68:I68"/>
    <mergeCell ref="G134:I134"/>
    <mergeCell ref="G57:M57"/>
    <mergeCell ref="G59:I59"/>
    <mergeCell ref="G111:M111"/>
    <mergeCell ref="G89:M89"/>
    <mergeCell ref="G80:I80"/>
    <mergeCell ref="G120:M120"/>
    <mergeCell ref="G77:M77"/>
    <mergeCell ref="G79:I79"/>
    <mergeCell ref="G102:M102"/>
    <mergeCell ref="G135:I135"/>
    <mergeCell ref="G125:I125"/>
    <mergeCell ref="G106:M106"/>
    <mergeCell ref="G107:I107"/>
    <mergeCell ref="G113:M113"/>
    <mergeCell ref="G114:I114"/>
    <mergeCell ref="G16:M16"/>
    <mergeCell ref="J33:K33"/>
    <mergeCell ref="J36:K36"/>
    <mergeCell ref="J310:K310"/>
    <mergeCell ref="J308:K308"/>
    <mergeCell ref="J299:K299"/>
    <mergeCell ref="J296:K296"/>
    <mergeCell ref="J284:K284"/>
    <mergeCell ref="J273:K273"/>
    <mergeCell ref="J264:K264"/>
    <mergeCell ref="J206:K206"/>
    <mergeCell ref="J208:K208"/>
    <mergeCell ref="J197:K197"/>
    <mergeCell ref="J225:K225"/>
    <mergeCell ref="J233:K233"/>
    <mergeCell ref="J246:K246"/>
    <mergeCell ref="J252:K252"/>
    <mergeCell ref="J201:K201"/>
    <mergeCell ref="G208:I208"/>
    <mergeCell ref="G171:M171"/>
    <mergeCell ref="G202:I202"/>
    <mergeCell ref="G204:I204"/>
    <mergeCell ref="J180:K180"/>
    <mergeCell ref="J182:K182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T323"/>
  <sheetViews>
    <sheetView tabSelected="1" zoomScale="60" zoomScaleNormal="60" workbookViewId="0">
      <selection activeCell="A5" sqref="A1:A1048576"/>
    </sheetView>
  </sheetViews>
  <sheetFormatPr defaultRowHeight="15" x14ac:dyDescent="0.25"/>
  <cols>
    <col min="1" max="1" width="26.85546875" style="1247" customWidth="1"/>
    <col min="2" max="2" width="9.7109375" style="195" customWidth="1"/>
    <col min="3" max="3" width="10" style="195" customWidth="1"/>
    <col min="4" max="4" width="10.28515625" style="195" customWidth="1"/>
    <col min="5" max="5" width="11.42578125" style="195" customWidth="1"/>
    <col min="6" max="6" width="9" style="195" customWidth="1"/>
    <col min="7" max="7" width="10" style="195" customWidth="1"/>
    <col min="8" max="8" width="8.140625" style="195" customWidth="1"/>
    <col min="9" max="9" width="7.42578125" style="195" customWidth="1"/>
    <col min="10" max="11" width="10.28515625" style="195" customWidth="1"/>
    <col min="12" max="12" width="11.85546875" style="195" customWidth="1"/>
    <col min="13" max="13" width="11.7109375" style="195" customWidth="1"/>
    <col min="14" max="20" width="9.140625" style="195" hidden="1" customWidth="1"/>
    <col min="21" max="16384" width="9.140625" style="195"/>
  </cols>
  <sheetData>
    <row r="1" spans="1:20" x14ac:dyDescent="0.25">
      <c r="A1" s="980"/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</row>
    <row r="2" spans="1:20" x14ac:dyDescent="0.25">
      <c r="A2" s="980"/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</row>
    <row r="3" spans="1:20" x14ac:dyDescent="0.25">
      <c r="A3" s="980"/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980"/>
    </row>
    <row r="4" spans="1:20" x14ac:dyDescent="0.25">
      <c r="A4" s="980"/>
      <c r="B4" s="980"/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</row>
    <row r="5" spans="1:20" ht="57" customHeight="1" x14ac:dyDescent="0.25">
      <c r="A5" s="1253" t="s">
        <v>244</v>
      </c>
      <c r="B5" s="1253" t="s">
        <v>20354</v>
      </c>
      <c r="C5" s="1253" t="s">
        <v>2427</v>
      </c>
      <c r="D5" s="1253" t="s">
        <v>2428</v>
      </c>
      <c r="E5" s="1253" t="s">
        <v>20355</v>
      </c>
      <c r="F5" s="1253" t="s">
        <v>20356</v>
      </c>
      <c r="G5" s="1253" t="s">
        <v>20357</v>
      </c>
      <c r="H5" s="1253" t="s">
        <v>20358</v>
      </c>
      <c r="I5" s="1253" t="s">
        <v>20359</v>
      </c>
      <c r="J5" s="1253" t="s">
        <v>2144</v>
      </c>
      <c r="K5" s="1253" t="s">
        <v>2145</v>
      </c>
      <c r="L5" s="1253" t="s">
        <v>2146</v>
      </c>
      <c r="M5" s="1253" t="s">
        <v>2147</v>
      </c>
      <c r="N5" s="198"/>
      <c r="O5" s="198"/>
      <c r="P5" s="1249"/>
      <c r="Q5" s="1249"/>
      <c r="R5" s="1249"/>
      <c r="S5" s="1249"/>
      <c r="T5" s="1249"/>
    </row>
    <row r="6" spans="1:20" x14ac:dyDescent="0.25">
      <c r="A6" s="1248" t="s">
        <v>18536</v>
      </c>
      <c r="B6" s="1250" t="s">
        <v>20266</v>
      </c>
      <c r="C6" s="1250" t="s">
        <v>20210</v>
      </c>
      <c r="D6" s="1251">
        <v>0.61</v>
      </c>
      <c r="E6" s="1251">
        <v>0.29000000000000004</v>
      </c>
      <c r="F6" s="1251">
        <v>2.4652173913043477E-2</v>
      </c>
      <c r="G6" s="1251">
        <v>0</v>
      </c>
      <c r="H6" s="1251">
        <v>0.26534782608695651</v>
      </c>
      <c r="I6" s="1251"/>
      <c r="J6" s="1252" t="s">
        <v>20211</v>
      </c>
      <c r="K6" s="1250" t="s">
        <v>20211</v>
      </c>
      <c r="L6" s="1251">
        <v>58.168580612302598</v>
      </c>
      <c r="M6" s="1251">
        <v>35.465545045961903</v>
      </c>
      <c r="N6" s="1250" t="e">
        <f>VLOOKUP('Интерактивная карта'!#REF!,Итоговая!AA9:AV436,21,FALSE)</f>
        <v>#REF!</v>
      </c>
      <c r="O6" s="1250" t="e">
        <f>VLOOKUP('Интерактивная карта'!#REF!,Итоговая!AA9:AV436,22,FALSE)</f>
        <v>#REF!</v>
      </c>
      <c r="P6" s="1250" t="e">
        <f>VLOOKUP(#REF!,Итоговая!C9:I436,2,FALSE)</f>
        <v>#REF!</v>
      </c>
      <c r="Q6" s="1250" t="e">
        <f>VLOOKUP(#REF!,Итоговая!C9:I436,4,FALSE)</f>
        <v>#REF!</v>
      </c>
      <c r="R6" s="1250" t="e">
        <f>VLOOKUP(#REF!,Итоговая!C9:I436,6,FALSE)</f>
        <v>#REF!</v>
      </c>
      <c r="S6" s="1250"/>
      <c r="T6" s="1251" t="e">
        <f>VLOOKUP(#REF!,Итоговая!AA9:AP436,16,FALSE)</f>
        <v>#REF!</v>
      </c>
    </row>
    <row r="7" spans="1:20" x14ac:dyDescent="0.25">
      <c r="A7" s="1248" t="s">
        <v>610</v>
      </c>
      <c r="B7" s="1250" t="s">
        <v>20267</v>
      </c>
      <c r="C7" s="1250" t="s">
        <v>20210</v>
      </c>
      <c r="D7" s="1251">
        <v>0.65</v>
      </c>
      <c r="E7" s="1251">
        <v>0.85</v>
      </c>
      <c r="F7" s="1251">
        <v>1.0565217391304347E-2</v>
      </c>
      <c r="G7" s="1251">
        <v>0</v>
      </c>
      <c r="H7" s="1251">
        <v>0.83943478260869564</v>
      </c>
      <c r="I7" s="1251"/>
      <c r="J7" s="1252" t="s">
        <v>20211</v>
      </c>
      <c r="K7" s="1250" t="s">
        <v>20211</v>
      </c>
      <c r="L7" s="1251">
        <v>57.6981012133975</v>
      </c>
      <c r="M7" s="1251">
        <v>36.979231133964397</v>
      </c>
      <c r="N7" s="1250" t="e">
        <f>VLOOKUP('Интерактивная карта'!#REF!,Итоговая!AA10:AV437,21,FALSE)</f>
        <v>#REF!</v>
      </c>
      <c r="O7" s="1250" t="e">
        <f>VLOOKUP('Интерактивная карта'!#REF!,Итоговая!AA10:AV437,22,FALSE)</f>
        <v>#REF!</v>
      </c>
      <c r="P7" s="1250" t="e">
        <f>VLOOKUP(#REF!,Итоговая!C10:I437,2,FALSE)</f>
        <v>#REF!</v>
      </c>
      <c r="Q7" s="1250" t="e">
        <f>VLOOKUP(#REF!,Итоговая!C10:I437,4,FALSE)</f>
        <v>#REF!</v>
      </c>
      <c r="R7" s="1250" t="e">
        <f>VLOOKUP(#REF!,Итоговая!C10:I437,6,FALSE)</f>
        <v>#REF!</v>
      </c>
      <c r="S7" s="1250"/>
      <c r="T7" s="1251" t="e">
        <f>VLOOKUP(#REF!,Итоговая!AA10:AP437,16,FALSE)</f>
        <v>#REF!</v>
      </c>
    </row>
    <row r="8" spans="1:20" x14ac:dyDescent="0.25">
      <c r="A8" s="1248" t="s">
        <v>611</v>
      </c>
      <c r="B8" s="1250" t="s">
        <v>20268</v>
      </c>
      <c r="C8" s="1250" t="s">
        <v>2043</v>
      </c>
      <c r="D8" s="1251">
        <v>0.09</v>
      </c>
      <c r="E8" s="1251">
        <v>-0.09</v>
      </c>
      <c r="F8" s="1251">
        <v>1.173913043478261E-2</v>
      </c>
      <c r="G8" s="1251">
        <v>0</v>
      </c>
      <c r="H8" s="1251">
        <v>-0.10173913043478261</v>
      </c>
      <c r="I8" s="1251"/>
      <c r="J8" s="1252" t="s">
        <v>20211</v>
      </c>
      <c r="K8" s="1250" t="s">
        <v>2217</v>
      </c>
      <c r="L8" s="1251">
        <v>58.2387265109776</v>
      </c>
      <c r="M8" s="1251">
        <v>35.952724157647097</v>
      </c>
      <c r="N8" s="1250" t="e">
        <f>VLOOKUP('Интерактивная карта'!#REF!,Итоговая!AA11:AV438,21,FALSE)</f>
        <v>#REF!</v>
      </c>
      <c r="O8" s="1250" t="e">
        <f>VLOOKUP('Интерактивная карта'!#REF!,Итоговая!AA11:AV438,22,FALSE)</f>
        <v>#REF!</v>
      </c>
      <c r="P8" s="1250" t="e">
        <f>VLOOKUP(#REF!,Итоговая!C11:I438,2,FALSE)</f>
        <v>#REF!</v>
      </c>
      <c r="Q8" s="1250" t="e">
        <f>VLOOKUP(#REF!,Итоговая!C11:I438,4,FALSE)</f>
        <v>#REF!</v>
      </c>
      <c r="R8" s="1250" t="e">
        <f>VLOOKUP(#REF!,Итоговая!C11:I438,6,FALSE)</f>
        <v>#REF!</v>
      </c>
      <c r="S8" s="1250"/>
      <c r="T8" s="1251" t="e">
        <f>VLOOKUP(#REF!,Итоговая!AA11:AP438,16,FALSE)</f>
        <v>#REF!</v>
      </c>
    </row>
    <row r="9" spans="1:20" x14ac:dyDescent="0.25">
      <c r="A9" s="1248" t="s">
        <v>612</v>
      </c>
      <c r="B9" s="1250" t="s">
        <v>20269</v>
      </c>
      <c r="C9" s="1250" t="s">
        <v>20210</v>
      </c>
      <c r="D9" s="1251">
        <v>0.12</v>
      </c>
      <c r="E9" s="1251">
        <v>0.75</v>
      </c>
      <c r="F9" s="1251">
        <v>0</v>
      </c>
      <c r="G9" s="1251">
        <v>0</v>
      </c>
      <c r="H9" s="1251">
        <v>0.75</v>
      </c>
      <c r="I9" s="1251"/>
      <c r="J9" s="1252" t="s">
        <v>20211</v>
      </c>
      <c r="K9" s="1250" t="s">
        <v>20211</v>
      </c>
      <c r="L9" s="1251">
        <v>58.029169559542403</v>
      </c>
      <c r="M9" s="1251">
        <v>36.993628392820199</v>
      </c>
      <c r="N9" s="1250" t="e">
        <f>VLOOKUP('Интерактивная карта'!#REF!,Итоговая!AA12:AV439,21,FALSE)</f>
        <v>#REF!</v>
      </c>
      <c r="O9" s="1250" t="e">
        <f>VLOOKUP('Интерактивная карта'!#REF!,Итоговая!AA12:AV439,22,FALSE)</f>
        <v>#REF!</v>
      </c>
      <c r="P9" s="1250" t="e">
        <f>VLOOKUP(#REF!,Итоговая!C12:I439,2,FALSE)</f>
        <v>#REF!</v>
      </c>
      <c r="Q9" s="1250" t="e">
        <f>VLOOKUP(#REF!,Итоговая!C12:I439,4,FALSE)</f>
        <v>#REF!</v>
      </c>
      <c r="R9" s="1250" t="e">
        <f>VLOOKUP(#REF!,Итоговая!C12:I439,6,FALSE)</f>
        <v>#REF!</v>
      </c>
      <c r="S9" s="1250"/>
      <c r="T9" s="1251" t="e">
        <f>VLOOKUP(#REF!,Итоговая!AA12:AP439,16,FALSE)</f>
        <v>#REF!</v>
      </c>
    </row>
    <row r="10" spans="1:20" x14ac:dyDescent="0.25">
      <c r="A10" s="1248" t="s">
        <v>613</v>
      </c>
      <c r="B10" s="1250" t="s">
        <v>20270</v>
      </c>
      <c r="C10" s="1250" t="s">
        <v>20210</v>
      </c>
      <c r="D10" s="1251">
        <v>0.23</v>
      </c>
      <c r="E10" s="1251">
        <v>-0.23</v>
      </c>
      <c r="F10" s="1251">
        <v>0</v>
      </c>
      <c r="G10" s="1251">
        <v>0</v>
      </c>
      <c r="H10" s="1251">
        <v>-0.23</v>
      </c>
      <c r="I10" s="1251"/>
      <c r="J10" s="1252" t="s">
        <v>20211</v>
      </c>
      <c r="K10" s="1250" t="s">
        <v>2217</v>
      </c>
      <c r="L10" s="1251">
        <v>58.048253501405398</v>
      </c>
      <c r="M10" s="1251">
        <v>36.117193294308798</v>
      </c>
      <c r="N10" s="1250" t="e">
        <f>VLOOKUP('Интерактивная карта'!#REF!,Итоговая!AA13:AV440,21,FALSE)</f>
        <v>#REF!</v>
      </c>
      <c r="O10" s="1250" t="e">
        <f>VLOOKUP('Интерактивная карта'!#REF!,Итоговая!AA13:AV440,22,FALSE)</f>
        <v>#REF!</v>
      </c>
      <c r="P10" s="1250" t="e">
        <f>VLOOKUP(#REF!,Итоговая!C13:I440,2,FALSE)</f>
        <v>#REF!</v>
      </c>
      <c r="Q10" s="1250" t="e">
        <f>VLOOKUP(#REF!,Итоговая!C13:I440,4,FALSE)</f>
        <v>#REF!</v>
      </c>
      <c r="R10" s="1250" t="e">
        <f>VLOOKUP(#REF!,Итоговая!C13:I440,6,FALSE)</f>
        <v>#REF!</v>
      </c>
      <c r="S10" s="1250"/>
      <c r="T10" s="1251" t="e">
        <f>VLOOKUP(#REF!,Итоговая!AA13:AP440,16,FALSE)</f>
        <v>#REF!</v>
      </c>
    </row>
    <row r="11" spans="1:20" x14ac:dyDescent="0.25">
      <c r="A11" s="1248" t="s">
        <v>614</v>
      </c>
      <c r="B11" s="1250" t="s">
        <v>20271</v>
      </c>
      <c r="C11" s="1250" t="s">
        <v>20212</v>
      </c>
      <c r="D11" s="1251">
        <v>0.31</v>
      </c>
      <c r="E11" s="1251">
        <v>0.49000000000000005</v>
      </c>
      <c r="F11" s="1251">
        <v>6.2217391304347822E-2</v>
      </c>
      <c r="G11" s="1251">
        <v>0</v>
      </c>
      <c r="H11" s="1251">
        <v>0.42778260869565221</v>
      </c>
      <c r="I11" s="1251"/>
      <c r="J11" s="1252" t="s">
        <v>20211</v>
      </c>
      <c r="K11" s="1250" t="s">
        <v>20211</v>
      </c>
      <c r="L11" s="1251">
        <v>58.694497246865701</v>
      </c>
      <c r="M11" s="1251">
        <v>36.936407331081497</v>
      </c>
      <c r="N11" s="1250" t="e">
        <f>VLOOKUP('Интерактивная карта'!#REF!,Итоговая!AA14:AV441,21,FALSE)</f>
        <v>#REF!</v>
      </c>
      <c r="O11" s="1250" t="e">
        <f>VLOOKUP('Интерактивная карта'!#REF!,Итоговая!AA14:AV441,22,FALSE)</f>
        <v>#REF!</v>
      </c>
      <c r="P11" s="1250" t="e">
        <f>VLOOKUP(#REF!,Итоговая!C14:I441,2,FALSE)</f>
        <v>#REF!</v>
      </c>
      <c r="Q11" s="1250" t="e">
        <f>VLOOKUP(#REF!,Итоговая!C14:I441,4,FALSE)</f>
        <v>#REF!</v>
      </c>
      <c r="R11" s="1250" t="e">
        <f>VLOOKUP(#REF!,Итоговая!C14:I441,6,FALSE)</f>
        <v>#REF!</v>
      </c>
      <c r="S11" s="1250"/>
      <c r="T11" s="1251" t="e">
        <f>VLOOKUP(#REF!,Итоговая!AA14:AP441,16,FALSE)</f>
        <v>#REF!</v>
      </c>
    </row>
    <row r="12" spans="1:20" x14ac:dyDescent="0.25">
      <c r="A12" s="1248" t="s">
        <v>615</v>
      </c>
      <c r="B12" s="1250" t="s">
        <v>20272</v>
      </c>
      <c r="C12" s="1250" t="s">
        <v>20213</v>
      </c>
      <c r="D12" s="1251">
        <v>0.14000000000000001</v>
      </c>
      <c r="E12" s="1251">
        <v>0.52</v>
      </c>
      <c r="F12" s="1251">
        <v>0</v>
      </c>
      <c r="G12" s="1251">
        <v>0</v>
      </c>
      <c r="H12" s="1251">
        <v>0.52</v>
      </c>
      <c r="I12" s="1251"/>
      <c r="J12" s="1252" t="s">
        <v>20211</v>
      </c>
      <c r="K12" s="1250" t="s">
        <v>20211</v>
      </c>
      <c r="L12" s="1251">
        <v>58.233227061189901</v>
      </c>
      <c r="M12" s="1251">
        <v>36.918343686706699</v>
      </c>
      <c r="N12" s="1250" t="e">
        <f>VLOOKUP('Интерактивная карта'!#REF!,Итоговая!AA15:AV442,21,FALSE)</f>
        <v>#REF!</v>
      </c>
      <c r="O12" s="1250" t="e">
        <f>VLOOKUP('Интерактивная карта'!#REF!,Итоговая!AA15:AV442,22,FALSE)</f>
        <v>#REF!</v>
      </c>
      <c r="P12" s="1250" t="e">
        <f>VLOOKUP(#REF!,Итоговая!C15:I442,2,FALSE)</f>
        <v>#REF!</v>
      </c>
      <c r="Q12" s="1250" t="e">
        <f>VLOOKUP(#REF!,Итоговая!C15:I442,4,FALSE)</f>
        <v>#REF!</v>
      </c>
      <c r="R12" s="1250" t="e">
        <f>VLOOKUP(#REF!,Итоговая!C15:I442,6,FALSE)</f>
        <v>#REF!</v>
      </c>
      <c r="S12" s="1250"/>
      <c r="T12" s="1251" t="e">
        <f>VLOOKUP(#REF!,Итоговая!AA15:AP442,16,FALSE)</f>
        <v>#REF!</v>
      </c>
    </row>
    <row r="13" spans="1:20" x14ac:dyDescent="0.25">
      <c r="A13" s="1248" t="s">
        <v>616</v>
      </c>
      <c r="B13" s="1250" t="s">
        <v>20273</v>
      </c>
      <c r="C13" s="1250" t="s">
        <v>20210</v>
      </c>
      <c r="D13" s="1251">
        <v>0.39</v>
      </c>
      <c r="E13" s="1251">
        <v>0.66</v>
      </c>
      <c r="F13" s="1251">
        <v>0</v>
      </c>
      <c r="G13" s="1251">
        <v>0</v>
      </c>
      <c r="H13" s="1251">
        <v>0.66</v>
      </c>
      <c r="I13" s="1251"/>
      <c r="J13" s="1252" t="s">
        <v>20211</v>
      </c>
      <c r="K13" s="1250" t="s">
        <v>20211</v>
      </c>
      <c r="L13" s="1251">
        <v>58.013638700469102</v>
      </c>
      <c r="M13" s="1251">
        <v>35.781832313946403</v>
      </c>
      <c r="N13" s="1250" t="e">
        <f>VLOOKUP('Интерактивная карта'!#REF!,Итоговая!AA16:AV443,21,FALSE)</f>
        <v>#REF!</v>
      </c>
      <c r="O13" s="1250" t="e">
        <f>VLOOKUP('Интерактивная карта'!#REF!,Итоговая!AA16:AV443,22,FALSE)</f>
        <v>#REF!</v>
      </c>
      <c r="P13" s="1250" t="e">
        <f>VLOOKUP(#REF!,Итоговая!C16:I443,2,FALSE)</f>
        <v>#REF!</v>
      </c>
      <c r="Q13" s="1250" t="e">
        <f>VLOOKUP(#REF!,Итоговая!C16:I443,4,FALSE)</f>
        <v>#REF!</v>
      </c>
      <c r="R13" s="1250" t="e">
        <f>VLOOKUP(#REF!,Итоговая!C16:I443,6,FALSE)</f>
        <v>#REF!</v>
      </c>
      <c r="S13" s="1250"/>
      <c r="T13" s="1251" t="e">
        <f>VLOOKUP(#REF!,Итоговая!AA16:AP443,16,FALSE)</f>
        <v>#REF!</v>
      </c>
    </row>
    <row r="14" spans="1:20" x14ac:dyDescent="0.25">
      <c r="A14" s="1248" t="s">
        <v>617</v>
      </c>
      <c r="B14" s="1250" t="s">
        <v>20274</v>
      </c>
      <c r="C14" s="1250" t="s">
        <v>20212</v>
      </c>
      <c r="D14" s="1251">
        <v>0.31</v>
      </c>
      <c r="E14" s="1251">
        <v>2.6</v>
      </c>
      <c r="F14" s="1251">
        <v>0.34845652173913044</v>
      </c>
      <c r="G14" s="1251">
        <v>0</v>
      </c>
      <c r="H14" s="1251">
        <v>2.2515434782608699</v>
      </c>
      <c r="I14" s="1251"/>
      <c r="J14" s="1252" t="s">
        <v>20211</v>
      </c>
      <c r="K14" s="1250" t="s">
        <v>20211</v>
      </c>
      <c r="L14" s="1251">
        <v>57.737635139484198</v>
      </c>
      <c r="M14" s="1251">
        <v>36.7111620708</v>
      </c>
      <c r="N14" s="1250" t="e">
        <f>VLOOKUP('Интерактивная карта'!#REF!,Итоговая!AA17:AV444,21,FALSE)</f>
        <v>#REF!</v>
      </c>
      <c r="O14" s="1250" t="e">
        <f>VLOOKUP('Интерактивная карта'!#REF!,Итоговая!AA17:AV444,22,FALSE)</f>
        <v>#REF!</v>
      </c>
      <c r="P14" s="1250" t="e">
        <f>VLOOKUP(#REF!,Итоговая!C17:I444,2,FALSE)</f>
        <v>#REF!</v>
      </c>
      <c r="Q14" s="1250" t="e">
        <f>VLOOKUP(#REF!,Итоговая!C17:I444,4,FALSE)</f>
        <v>#REF!</v>
      </c>
      <c r="R14" s="1250" t="e">
        <f>VLOOKUP(#REF!,Итоговая!C17:I444,6,FALSE)</f>
        <v>#REF!</v>
      </c>
      <c r="S14" s="1250"/>
      <c r="T14" s="1251" t="e">
        <f>VLOOKUP(#REF!,Итоговая!AA17:AP444,16,FALSE)</f>
        <v>#REF!</v>
      </c>
    </row>
    <row r="15" spans="1:20" x14ac:dyDescent="0.25">
      <c r="A15" s="1248" t="s">
        <v>618</v>
      </c>
      <c r="B15" s="1250" t="s">
        <v>20275</v>
      </c>
      <c r="C15" s="1250" t="s">
        <v>20214</v>
      </c>
      <c r="D15" s="1251">
        <v>0.32</v>
      </c>
      <c r="E15" s="1251">
        <v>0.44</v>
      </c>
      <c r="F15" s="1251">
        <v>0</v>
      </c>
      <c r="G15" s="1251">
        <v>0</v>
      </c>
      <c r="H15" s="1251">
        <v>0.44</v>
      </c>
      <c r="I15" s="1251"/>
      <c r="J15" s="1252" t="s">
        <v>20211</v>
      </c>
      <c r="K15" s="1250" t="s">
        <v>20211</v>
      </c>
      <c r="L15" s="1251">
        <v>57.7436647258845</v>
      </c>
      <c r="M15" s="1251">
        <v>37.403150925236197</v>
      </c>
      <c r="N15" s="1250" t="e">
        <f>VLOOKUP('Интерактивная карта'!#REF!,Итоговая!AA18:AV445,21,FALSE)</f>
        <v>#REF!</v>
      </c>
      <c r="O15" s="1250" t="e">
        <f>VLOOKUP('Интерактивная карта'!#REF!,Итоговая!AA18:AV445,22,FALSE)</f>
        <v>#REF!</v>
      </c>
      <c r="P15" s="1250" t="e">
        <f>VLOOKUP(#REF!,Итоговая!C18:I445,2,FALSE)</f>
        <v>#REF!</v>
      </c>
      <c r="Q15" s="1250" t="e">
        <f>VLOOKUP(#REF!,Итоговая!C18:I445,4,FALSE)</f>
        <v>#REF!</v>
      </c>
      <c r="R15" s="1250" t="e">
        <f>VLOOKUP(#REF!,Итоговая!C18:I445,6,FALSE)</f>
        <v>#REF!</v>
      </c>
      <c r="S15" s="1250"/>
      <c r="T15" s="1251" t="e">
        <f>VLOOKUP(#REF!,Итоговая!AA18:AP445,16,FALSE)</f>
        <v>#REF!</v>
      </c>
    </row>
    <row r="16" spans="1:20" x14ac:dyDescent="0.25">
      <c r="A16" s="1248" t="s">
        <v>619</v>
      </c>
      <c r="B16" s="1250" t="s">
        <v>20271</v>
      </c>
      <c r="C16" s="1250" t="s">
        <v>20210</v>
      </c>
      <c r="D16" s="1251">
        <v>0.16</v>
      </c>
      <c r="E16" s="1251">
        <v>0.98999999999999988</v>
      </c>
      <c r="F16" s="1251">
        <v>0</v>
      </c>
      <c r="G16" s="1251">
        <v>0</v>
      </c>
      <c r="H16" s="1251">
        <v>0.98999999999999988</v>
      </c>
      <c r="I16" s="1251"/>
      <c r="J16" s="1252" t="s">
        <v>20211</v>
      </c>
      <c r="K16" s="1250" t="s">
        <v>20211</v>
      </c>
      <c r="L16" s="1251">
        <v>58.428626165543903</v>
      </c>
      <c r="M16" s="1251">
        <v>36.056499942833298</v>
      </c>
      <c r="N16" s="1250" t="e">
        <f>VLOOKUP('Интерактивная карта'!#REF!,Итоговая!AA19:AV446,21,FALSE)</f>
        <v>#REF!</v>
      </c>
      <c r="O16" s="1250" t="e">
        <f>VLOOKUP('Интерактивная карта'!#REF!,Итоговая!AA19:AV446,22,FALSE)</f>
        <v>#REF!</v>
      </c>
      <c r="P16" s="1250" t="e">
        <f>VLOOKUP(#REF!,Итоговая!C19:I446,2,FALSE)</f>
        <v>#REF!</v>
      </c>
      <c r="Q16" s="1250" t="e">
        <f>VLOOKUP(#REF!,Итоговая!C19:I446,4,FALSE)</f>
        <v>#REF!</v>
      </c>
      <c r="R16" s="1250" t="e">
        <f>VLOOKUP(#REF!,Итоговая!C19:I446,6,FALSE)</f>
        <v>#REF!</v>
      </c>
      <c r="S16" s="1250"/>
      <c r="T16" s="1251" t="e">
        <f>VLOOKUP(#REF!,Итоговая!AA19:AP446,16,FALSE)</f>
        <v>#REF!</v>
      </c>
    </row>
    <row r="17" spans="1:20" x14ac:dyDescent="0.25">
      <c r="A17" s="1248" t="s">
        <v>620</v>
      </c>
      <c r="B17" s="1250" t="s">
        <v>20276</v>
      </c>
      <c r="C17" s="1250" t="s">
        <v>20213</v>
      </c>
      <c r="D17" s="1251">
        <v>0.12</v>
      </c>
      <c r="E17" s="1251">
        <v>0.88</v>
      </c>
      <c r="F17" s="1251">
        <v>0</v>
      </c>
      <c r="G17" s="1251">
        <v>0</v>
      </c>
      <c r="H17" s="1251">
        <v>0.88</v>
      </c>
      <c r="I17" s="1251"/>
      <c r="J17" s="1252" t="s">
        <v>20211</v>
      </c>
      <c r="K17" s="1250" t="s">
        <v>20211</v>
      </c>
      <c r="L17" s="1251">
        <v>58.073911711186597</v>
      </c>
      <c r="M17" s="1251">
        <v>37.458219408843</v>
      </c>
      <c r="N17" s="1250" t="e">
        <f>VLOOKUP('Интерактивная карта'!#REF!,Итоговая!AA20:AV447,21,FALSE)</f>
        <v>#REF!</v>
      </c>
      <c r="O17" s="1250" t="e">
        <f>VLOOKUP('Интерактивная карта'!#REF!,Итоговая!AA20:AV447,22,FALSE)</f>
        <v>#REF!</v>
      </c>
      <c r="P17" s="1250" t="e">
        <f>VLOOKUP(#REF!,Итоговая!C20:I447,2,FALSE)</f>
        <v>#REF!</v>
      </c>
      <c r="Q17" s="1250" t="e">
        <f>VLOOKUP(#REF!,Итоговая!C20:I447,4,FALSE)</f>
        <v>#REF!</v>
      </c>
      <c r="R17" s="1250" t="e">
        <f>VLOOKUP(#REF!,Итоговая!C20:I447,6,FALSE)</f>
        <v>#REF!</v>
      </c>
      <c r="S17" s="1250"/>
      <c r="T17" s="1251" t="e">
        <f>VLOOKUP(#REF!,Итоговая!AA20:AP447,16,FALSE)</f>
        <v>#REF!</v>
      </c>
    </row>
    <row r="18" spans="1:20" x14ac:dyDescent="0.25">
      <c r="A18" s="1248" t="s">
        <v>621</v>
      </c>
      <c r="B18" s="1250" t="s">
        <v>20276</v>
      </c>
      <c r="C18" s="1250" t="s">
        <v>20212</v>
      </c>
      <c r="D18" s="1251">
        <v>0.51</v>
      </c>
      <c r="E18" s="1251">
        <v>0.26</v>
      </c>
      <c r="F18" s="1251">
        <v>0</v>
      </c>
      <c r="G18" s="1251">
        <v>0</v>
      </c>
      <c r="H18" s="1251">
        <v>0.26</v>
      </c>
      <c r="I18" s="1251"/>
      <c r="J18" s="1252" t="s">
        <v>20211</v>
      </c>
      <c r="K18" s="1250" t="s">
        <v>20211</v>
      </c>
      <c r="L18" s="1251">
        <v>57.945378137461198</v>
      </c>
      <c r="M18" s="1251">
        <v>35.612907709664398</v>
      </c>
      <c r="N18" s="1250" t="e">
        <f>VLOOKUP('Интерактивная карта'!#REF!,Итоговая!AA21:AV448,21,FALSE)</f>
        <v>#REF!</v>
      </c>
      <c r="O18" s="1250" t="e">
        <f>VLOOKUP('Интерактивная карта'!#REF!,Итоговая!AA21:AV448,22,FALSE)</f>
        <v>#REF!</v>
      </c>
      <c r="P18" s="1250" t="e">
        <f>VLOOKUP(#REF!,Итоговая!C21:I448,2,FALSE)</f>
        <v>#REF!</v>
      </c>
      <c r="Q18" s="1250" t="e">
        <f>VLOOKUP(#REF!,Итоговая!C21:I448,4,FALSE)</f>
        <v>#REF!</v>
      </c>
      <c r="R18" s="1250" t="e">
        <f>VLOOKUP(#REF!,Итоговая!C21:I448,6,FALSE)</f>
        <v>#REF!</v>
      </c>
      <c r="S18" s="1250"/>
      <c r="T18" s="1251" t="e">
        <f>VLOOKUP(#REF!,Итоговая!AA21:AP448,16,FALSE)</f>
        <v>#REF!</v>
      </c>
    </row>
    <row r="19" spans="1:20" x14ac:dyDescent="0.25">
      <c r="A19" s="1248" t="s">
        <v>622</v>
      </c>
      <c r="B19" s="1250" t="s">
        <v>20277</v>
      </c>
      <c r="C19" s="1250" t="s">
        <v>20214</v>
      </c>
      <c r="D19" s="1251">
        <v>0.36</v>
      </c>
      <c r="E19" s="1251">
        <v>1</v>
      </c>
      <c r="F19" s="1251">
        <v>1.4673913043478259E-2</v>
      </c>
      <c r="G19" s="1251">
        <v>0</v>
      </c>
      <c r="H19" s="1251">
        <v>0.98532608695652191</v>
      </c>
      <c r="I19" s="1251"/>
      <c r="J19" s="1252" t="s">
        <v>20211</v>
      </c>
      <c r="K19" s="1250" t="s">
        <v>20211</v>
      </c>
      <c r="L19" s="1251">
        <v>58.569690881537397</v>
      </c>
      <c r="M19" s="1251">
        <v>36.8172060846967</v>
      </c>
      <c r="N19" s="1250" t="e">
        <f>VLOOKUP('Интерактивная карта'!#REF!,Итоговая!AA22:AV449,21,FALSE)</f>
        <v>#REF!</v>
      </c>
      <c r="O19" s="1250" t="e">
        <f>VLOOKUP('Интерактивная карта'!#REF!,Итоговая!AA22:AV449,22,FALSE)</f>
        <v>#REF!</v>
      </c>
      <c r="P19" s="1250" t="e">
        <f>VLOOKUP(#REF!,Итоговая!C22:I449,2,FALSE)</f>
        <v>#REF!</v>
      </c>
      <c r="Q19" s="1250" t="e">
        <f>VLOOKUP(#REF!,Итоговая!C22:I449,4,FALSE)</f>
        <v>#REF!</v>
      </c>
      <c r="R19" s="1250" t="e">
        <f>VLOOKUP(#REF!,Итоговая!C22:I449,6,FALSE)</f>
        <v>#REF!</v>
      </c>
      <c r="S19" s="1250"/>
      <c r="T19" s="1251" t="e">
        <f>VLOOKUP(#REF!,Итоговая!AA22:AP449,16,FALSE)</f>
        <v>#REF!</v>
      </c>
    </row>
    <row r="20" spans="1:20" x14ac:dyDescent="0.25">
      <c r="A20" s="1248" t="s">
        <v>623</v>
      </c>
      <c r="B20" s="1250" t="s">
        <v>20278</v>
      </c>
      <c r="C20" s="1250" t="s">
        <v>20210</v>
      </c>
      <c r="D20" s="1251">
        <v>0.09</v>
      </c>
      <c r="E20" s="1251">
        <v>0.6</v>
      </c>
      <c r="F20" s="1251">
        <v>0</v>
      </c>
      <c r="G20" s="1251">
        <v>0</v>
      </c>
      <c r="H20" s="1251">
        <v>0.6</v>
      </c>
      <c r="I20" s="1251"/>
      <c r="J20" s="1252" t="s">
        <v>20211</v>
      </c>
      <c r="K20" s="1250" t="s">
        <v>20211</v>
      </c>
      <c r="L20" s="1251">
        <v>58.356999572089698</v>
      </c>
      <c r="M20" s="1251">
        <v>37.282068566898502</v>
      </c>
      <c r="N20" s="1250" t="e">
        <f>VLOOKUP('Интерактивная карта'!#REF!,Итоговая!AA23:AV450,21,FALSE)</f>
        <v>#REF!</v>
      </c>
      <c r="O20" s="1250" t="e">
        <f>VLOOKUP('Интерактивная карта'!#REF!,Итоговая!AA23:AV450,22,FALSE)</f>
        <v>#REF!</v>
      </c>
      <c r="P20" s="1250" t="e">
        <f>VLOOKUP(#REF!,Итоговая!C23:I450,2,FALSE)</f>
        <v>#REF!</v>
      </c>
      <c r="Q20" s="1250" t="e">
        <f>VLOOKUP(#REF!,Итоговая!C23:I450,4,FALSE)</f>
        <v>#REF!</v>
      </c>
      <c r="R20" s="1250" t="e">
        <f>VLOOKUP(#REF!,Итоговая!C23:I450,6,FALSE)</f>
        <v>#REF!</v>
      </c>
      <c r="S20" s="1250"/>
      <c r="T20" s="1251" t="e">
        <f>VLOOKUP(#REF!,Итоговая!AA23:AP450,16,FALSE)</f>
        <v>#REF!</v>
      </c>
    </row>
    <row r="21" spans="1:20" x14ac:dyDescent="0.25">
      <c r="A21" s="1248" t="s">
        <v>624</v>
      </c>
      <c r="B21" s="1250" t="s">
        <v>20278</v>
      </c>
      <c r="C21" s="1250" t="s">
        <v>20212</v>
      </c>
      <c r="D21" s="1251">
        <v>0.25</v>
      </c>
      <c r="E21" s="1251">
        <v>1.08</v>
      </c>
      <c r="F21" s="1251">
        <v>1.173913043478261E-2</v>
      </c>
      <c r="G21" s="1251">
        <v>0</v>
      </c>
      <c r="H21" s="1251">
        <v>1.0682608695652174</v>
      </c>
      <c r="I21" s="1251"/>
      <c r="J21" s="1252" t="s">
        <v>20211</v>
      </c>
      <c r="K21" s="1250" t="s">
        <v>20211</v>
      </c>
      <c r="L21" s="1251">
        <v>58.386669943226799</v>
      </c>
      <c r="M21" s="1251">
        <v>35.505461550146997</v>
      </c>
      <c r="N21" s="1250" t="e">
        <f>VLOOKUP('Интерактивная карта'!#REF!,Итоговая!AA24:AV451,21,FALSE)</f>
        <v>#REF!</v>
      </c>
      <c r="O21" s="1250" t="e">
        <f>VLOOKUP('Интерактивная карта'!#REF!,Итоговая!AA24:AV451,22,FALSE)</f>
        <v>#REF!</v>
      </c>
      <c r="P21" s="1250" t="e">
        <f>VLOOKUP(#REF!,Итоговая!C24:I451,2,FALSE)</f>
        <v>#REF!</v>
      </c>
      <c r="Q21" s="1250" t="e">
        <f>VLOOKUP(#REF!,Итоговая!C24:I451,4,FALSE)</f>
        <v>#REF!</v>
      </c>
      <c r="R21" s="1250" t="e">
        <f>VLOOKUP(#REF!,Итоговая!C24:I451,6,FALSE)</f>
        <v>#REF!</v>
      </c>
      <c r="S21" s="1250"/>
      <c r="T21" s="1251" t="e">
        <f>VLOOKUP(#REF!,Итоговая!AA24:AP451,16,FALSE)</f>
        <v>#REF!</v>
      </c>
    </row>
    <row r="22" spans="1:20" x14ac:dyDescent="0.25">
      <c r="A22" s="1248" t="s">
        <v>625</v>
      </c>
      <c r="B22" s="1250" t="s">
        <v>20279</v>
      </c>
      <c r="C22" s="1250" t="s">
        <v>20212</v>
      </c>
      <c r="D22" s="1251">
        <v>0.16</v>
      </c>
      <c r="E22" s="1251">
        <v>0.76</v>
      </c>
      <c r="F22" s="1251">
        <v>0</v>
      </c>
      <c r="G22" s="1251">
        <v>0</v>
      </c>
      <c r="H22" s="1251">
        <v>0.76</v>
      </c>
      <c r="I22" s="1251"/>
      <c r="J22" s="1252" t="s">
        <v>20211</v>
      </c>
      <c r="K22" s="1250" t="s">
        <v>20211</v>
      </c>
      <c r="L22" s="1251">
        <v>57.965807632511201</v>
      </c>
      <c r="M22" s="1251">
        <v>36.7677248637033</v>
      </c>
      <c r="N22" s="1250" t="e">
        <f>VLOOKUP('Интерактивная карта'!#REF!,Итоговая!AA25:AV452,21,FALSE)</f>
        <v>#REF!</v>
      </c>
      <c r="O22" s="1250" t="e">
        <f>VLOOKUP('Интерактивная карта'!#REF!,Итоговая!AA25:AV452,22,FALSE)</f>
        <v>#REF!</v>
      </c>
      <c r="P22" s="1250" t="e">
        <f>VLOOKUP(#REF!,Итоговая!C25:I452,2,FALSE)</f>
        <v>#REF!</v>
      </c>
      <c r="Q22" s="1250" t="e">
        <f>VLOOKUP(#REF!,Итоговая!C25:I452,4,FALSE)</f>
        <v>#REF!</v>
      </c>
      <c r="R22" s="1250" t="e">
        <f>VLOOKUP(#REF!,Итоговая!C25:I452,6,FALSE)</f>
        <v>#REF!</v>
      </c>
      <c r="S22" s="1250"/>
      <c r="T22" s="1251" t="e">
        <f>VLOOKUP(#REF!,Итоговая!AA25:AP452,16,FALSE)</f>
        <v>#REF!</v>
      </c>
    </row>
    <row r="23" spans="1:20" x14ac:dyDescent="0.25">
      <c r="A23" s="1248" t="s">
        <v>626</v>
      </c>
      <c r="B23" s="1250" t="s">
        <v>20280</v>
      </c>
      <c r="C23" s="1250" t="s">
        <v>20210</v>
      </c>
      <c r="D23" s="1251">
        <v>7.0000000000000007E-2</v>
      </c>
      <c r="E23" s="1251">
        <v>0.65999999999999992</v>
      </c>
      <c r="F23" s="1251">
        <v>0</v>
      </c>
      <c r="G23" s="1251">
        <v>0</v>
      </c>
      <c r="H23" s="1251">
        <v>0.65999999999999992</v>
      </c>
      <c r="I23" s="1251"/>
      <c r="J23" s="1252" t="s">
        <v>20211</v>
      </c>
      <c r="K23" s="1250" t="s">
        <v>20211</v>
      </c>
      <c r="L23" s="1251">
        <v>58.149171108863001</v>
      </c>
      <c r="M23" s="1251">
        <v>37.274005809245502</v>
      </c>
      <c r="N23" s="1250" t="e">
        <f>VLOOKUP('Интерактивная карта'!#REF!,Итоговая!AA26:AV453,21,FALSE)</f>
        <v>#REF!</v>
      </c>
      <c r="O23" s="1250" t="e">
        <f>VLOOKUP('Интерактивная карта'!#REF!,Итоговая!AA26:AV453,22,FALSE)</f>
        <v>#REF!</v>
      </c>
      <c r="P23" s="1250" t="e">
        <f>VLOOKUP(#REF!,Итоговая!C26:I453,2,FALSE)</f>
        <v>#REF!</v>
      </c>
      <c r="Q23" s="1250" t="e">
        <f>VLOOKUP(#REF!,Итоговая!C26:I453,4,FALSE)</f>
        <v>#REF!</v>
      </c>
      <c r="R23" s="1250" t="e">
        <f>VLOOKUP(#REF!,Итоговая!C26:I453,6,FALSE)</f>
        <v>#REF!</v>
      </c>
      <c r="S23" s="1250"/>
      <c r="T23" s="1251" t="e">
        <f>VLOOKUP(#REF!,Итоговая!AA26:AP453,16,FALSE)</f>
        <v>#REF!</v>
      </c>
    </row>
    <row r="24" spans="1:20" x14ac:dyDescent="0.25">
      <c r="A24" s="1248" t="s">
        <v>627</v>
      </c>
      <c r="B24" s="1250" t="s">
        <v>20281</v>
      </c>
      <c r="C24" s="1250" t="s">
        <v>20210</v>
      </c>
      <c r="D24" s="1251">
        <v>0.15</v>
      </c>
      <c r="E24" s="1251">
        <v>0.57999999999999996</v>
      </c>
      <c r="F24" s="1251">
        <v>6.8478260869565214E-3</v>
      </c>
      <c r="G24" s="1251">
        <v>0</v>
      </c>
      <c r="H24" s="1251">
        <v>0.57315217391304341</v>
      </c>
      <c r="I24" s="1251"/>
      <c r="J24" s="1252" t="s">
        <v>20211</v>
      </c>
      <c r="K24" s="1250" t="s">
        <v>20211</v>
      </c>
      <c r="L24" s="1251">
        <v>57.5473308204175</v>
      </c>
      <c r="M24" s="1251">
        <v>36.912513416981703</v>
      </c>
      <c r="N24" s="1250" t="e">
        <f>VLOOKUP('Интерактивная карта'!#REF!,Итоговая!AA27:AV454,21,FALSE)</f>
        <v>#REF!</v>
      </c>
      <c r="O24" s="1250" t="e">
        <f>VLOOKUP('Интерактивная карта'!#REF!,Итоговая!AA27:AV454,22,FALSE)</f>
        <v>#REF!</v>
      </c>
      <c r="P24" s="1250" t="e">
        <f>VLOOKUP(#REF!,Итоговая!C27:I454,2,FALSE)</f>
        <v>#REF!</v>
      </c>
      <c r="Q24" s="1250" t="e">
        <f>VLOOKUP(#REF!,Итоговая!C27:I454,4,FALSE)</f>
        <v>#REF!</v>
      </c>
      <c r="R24" s="1250" t="e">
        <f>VLOOKUP(#REF!,Итоговая!C27:I454,6,FALSE)</f>
        <v>#REF!</v>
      </c>
      <c r="S24" s="1250"/>
      <c r="T24" s="1251" t="e">
        <f>VLOOKUP(#REF!,Итоговая!AA27:AP454,16,FALSE)</f>
        <v>#REF!</v>
      </c>
    </row>
    <row r="25" spans="1:20" x14ac:dyDescent="0.25">
      <c r="A25" s="1248" t="s">
        <v>628</v>
      </c>
      <c r="B25" s="1250" t="s">
        <v>20276</v>
      </c>
      <c r="C25" s="1250" t="s">
        <v>20212</v>
      </c>
      <c r="D25" s="1251">
        <v>0.76</v>
      </c>
      <c r="E25" s="1251">
        <v>-0.10999999999999999</v>
      </c>
      <c r="F25" s="1251">
        <v>0</v>
      </c>
      <c r="G25" s="1251">
        <v>0</v>
      </c>
      <c r="H25" s="1251">
        <v>-0.10999999999999999</v>
      </c>
      <c r="I25" s="1251"/>
      <c r="J25" s="1252" t="s">
        <v>20211</v>
      </c>
      <c r="K25" s="1250" t="s">
        <v>2217</v>
      </c>
      <c r="L25" s="1251">
        <v>58.393354245935797</v>
      </c>
      <c r="M25" s="1251">
        <v>36.6002455407138</v>
      </c>
      <c r="N25" s="1250" t="e">
        <f>VLOOKUP('Интерактивная карта'!#REF!,Итоговая!AA28:AV455,21,FALSE)</f>
        <v>#REF!</v>
      </c>
      <c r="O25" s="1250" t="e">
        <f>VLOOKUP('Интерактивная карта'!#REF!,Итоговая!AA28:AV455,22,FALSE)</f>
        <v>#REF!</v>
      </c>
      <c r="P25" s="1250" t="e">
        <f>VLOOKUP(#REF!,Итоговая!C28:I455,2,FALSE)</f>
        <v>#REF!</v>
      </c>
      <c r="Q25" s="1250" t="e">
        <f>VLOOKUP(#REF!,Итоговая!C28:I455,4,FALSE)</f>
        <v>#REF!</v>
      </c>
      <c r="R25" s="1250" t="e">
        <f>VLOOKUP(#REF!,Итоговая!C28:I455,6,FALSE)</f>
        <v>#REF!</v>
      </c>
      <c r="S25" s="1250"/>
      <c r="T25" s="1251" t="e">
        <f>VLOOKUP(#REF!,Итоговая!AA28:AP455,16,FALSE)</f>
        <v>#REF!</v>
      </c>
    </row>
    <row r="26" spans="1:20" x14ac:dyDescent="0.25">
      <c r="A26" s="1248" t="s">
        <v>629</v>
      </c>
      <c r="B26" s="1250" t="s">
        <v>20276</v>
      </c>
      <c r="C26" s="1250" t="s">
        <v>20210</v>
      </c>
      <c r="D26" s="1251">
        <v>0.68</v>
      </c>
      <c r="E26" s="1251">
        <v>-1.0000000000000009E-2</v>
      </c>
      <c r="F26" s="1251">
        <v>7.8260869565217397E-3</v>
      </c>
      <c r="G26" s="1251">
        <v>0</v>
      </c>
      <c r="H26" s="1251">
        <v>-1.7826086956521749E-2</v>
      </c>
      <c r="I26" s="1251"/>
      <c r="J26" s="1252" t="s">
        <v>20211</v>
      </c>
      <c r="K26" s="1250" t="s">
        <v>2217</v>
      </c>
      <c r="L26" s="1251">
        <v>57.677359611616701</v>
      </c>
      <c r="M26" s="1251">
        <v>36.803990047399999</v>
      </c>
      <c r="N26" s="1250" t="e">
        <f>VLOOKUP('Интерактивная карта'!#REF!,Итоговая!AA29:AV456,21,FALSE)</f>
        <v>#REF!</v>
      </c>
      <c r="O26" s="1250" t="e">
        <f>VLOOKUP('Интерактивная карта'!#REF!,Итоговая!AA29:AV456,22,FALSE)</f>
        <v>#REF!</v>
      </c>
      <c r="P26" s="1250" t="e">
        <f>VLOOKUP(#REF!,Итоговая!C29:I456,2,FALSE)</f>
        <v>#REF!</v>
      </c>
      <c r="Q26" s="1250" t="e">
        <f>VLOOKUP(#REF!,Итоговая!C29:I456,4,FALSE)</f>
        <v>#REF!</v>
      </c>
      <c r="R26" s="1250" t="e">
        <f>VLOOKUP(#REF!,Итоговая!C29:I456,6,FALSE)</f>
        <v>#REF!</v>
      </c>
      <c r="S26" s="1250"/>
      <c r="T26" s="1251" t="e">
        <f>VLOOKUP(#REF!,Итоговая!AA29:AP456,16,FALSE)</f>
        <v>#REF!</v>
      </c>
    </row>
    <row r="27" spans="1:20" x14ac:dyDescent="0.25">
      <c r="A27" s="1248" t="s">
        <v>630</v>
      </c>
      <c r="B27" s="1250" t="s">
        <v>20278</v>
      </c>
      <c r="C27" s="1250" t="s">
        <v>20212</v>
      </c>
      <c r="D27" s="1251">
        <v>0.11</v>
      </c>
      <c r="E27" s="1251">
        <v>1.1299999999999999</v>
      </c>
      <c r="F27" s="1251">
        <v>0</v>
      </c>
      <c r="G27" s="1251">
        <v>0</v>
      </c>
      <c r="H27" s="1251">
        <v>1.1299999999999999</v>
      </c>
      <c r="I27" s="1251"/>
      <c r="J27" s="1252" t="s">
        <v>20211</v>
      </c>
      <c r="K27" s="1250" t="s">
        <v>20211</v>
      </c>
      <c r="L27" s="1251">
        <v>57.4776533741978</v>
      </c>
      <c r="M27" s="1251">
        <v>36.6106506997791</v>
      </c>
      <c r="N27" s="1250" t="e">
        <f>VLOOKUP('Интерактивная карта'!#REF!,Итоговая!AA30:AV457,21,FALSE)</f>
        <v>#REF!</v>
      </c>
      <c r="O27" s="1250" t="e">
        <f>VLOOKUP('Интерактивная карта'!#REF!,Итоговая!AA30:AV457,22,FALSE)</f>
        <v>#REF!</v>
      </c>
      <c r="P27" s="1250" t="e">
        <f>VLOOKUP(#REF!,Итоговая!C30:I457,2,FALSE)</f>
        <v>#REF!</v>
      </c>
      <c r="Q27" s="1250" t="e">
        <f>VLOOKUP(#REF!,Итоговая!C30:I457,4,FALSE)</f>
        <v>#REF!</v>
      </c>
      <c r="R27" s="1250" t="e">
        <f>VLOOKUP(#REF!,Итоговая!C30:I457,6,FALSE)</f>
        <v>#REF!</v>
      </c>
      <c r="S27" s="1250"/>
      <c r="T27" s="1251" t="e">
        <f>VLOOKUP(#REF!,Итоговая!AA30:AP457,16,FALSE)</f>
        <v>#REF!</v>
      </c>
    </row>
    <row r="28" spans="1:20" x14ac:dyDescent="0.25">
      <c r="A28" s="1248" t="s">
        <v>631</v>
      </c>
      <c r="B28" s="1250" t="s">
        <v>20271</v>
      </c>
      <c r="C28" s="1250" t="s">
        <v>20212</v>
      </c>
      <c r="D28" s="1251">
        <v>0.2</v>
      </c>
      <c r="E28" s="1251">
        <v>1.19</v>
      </c>
      <c r="F28" s="1251">
        <v>0</v>
      </c>
      <c r="G28" s="1251">
        <v>0</v>
      </c>
      <c r="H28" s="1251">
        <v>1.19</v>
      </c>
      <c r="I28" s="1251"/>
      <c r="J28" s="1252" t="s">
        <v>20211</v>
      </c>
      <c r="K28" s="1250" t="s">
        <v>20211</v>
      </c>
      <c r="L28" s="1251">
        <v>57.538188854814599</v>
      </c>
      <c r="M28" s="1251">
        <v>35.975925033216697</v>
      </c>
      <c r="N28" s="1250" t="e">
        <f>VLOOKUP('Интерактивная карта'!#REF!,Итоговая!AA31:AV458,21,FALSE)</f>
        <v>#REF!</v>
      </c>
      <c r="O28" s="1250" t="e">
        <f>VLOOKUP('Интерактивная карта'!#REF!,Итоговая!AA31:AV458,22,FALSE)</f>
        <v>#REF!</v>
      </c>
      <c r="P28" s="1250" t="e">
        <f>VLOOKUP(#REF!,Итоговая!C31:I458,2,FALSE)</f>
        <v>#REF!</v>
      </c>
      <c r="Q28" s="1250" t="e">
        <f>VLOOKUP(#REF!,Итоговая!C31:I458,4,FALSE)</f>
        <v>#REF!</v>
      </c>
      <c r="R28" s="1250" t="e">
        <f>VLOOKUP(#REF!,Итоговая!C31:I458,6,FALSE)</f>
        <v>#REF!</v>
      </c>
      <c r="S28" s="1250"/>
      <c r="T28" s="1251" t="e">
        <f>VLOOKUP(#REF!,Итоговая!AA31:AP458,16,FALSE)</f>
        <v>#REF!</v>
      </c>
    </row>
    <row r="29" spans="1:20" x14ac:dyDescent="0.25">
      <c r="A29" s="1248" t="s">
        <v>632</v>
      </c>
      <c r="B29" s="1250" t="s">
        <v>20282</v>
      </c>
      <c r="C29" s="1250" t="s">
        <v>20213</v>
      </c>
      <c r="D29" s="1251">
        <v>0.86</v>
      </c>
      <c r="E29" s="1251">
        <v>0.73000000000000009</v>
      </c>
      <c r="F29" s="1251">
        <v>4.1673913043478256E-2</v>
      </c>
      <c r="G29" s="1251">
        <v>0</v>
      </c>
      <c r="H29" s="1251">
        <v>0.68832608695652187</v>
      </c>
      <c r="I29" s="1251"/>
      <c r="J29" s="1252" t="s">
        <v>20211</v>
      </c>
      <c r="K29" s="1250" t="s">
        <v>20211</v>
      </c>
      <c r="L29" s="1251">
        <v>57.812227650658102</v>
      </c>
      <c r="M29" s="1251">
        <v>36.689438107678001</v>
      </c>
      <c r="N29" s="1250" t="e">
        <f>VLOOKUP('Интерактивная карта'!#REF!,Итоговая!AA32:AV459,21,FALSE)</f>
        <v>#REF!</v>
      </c>
      <c r="O29" s="1250" t="e">
        <f>VLOOKUP('Интерактивная карта'!#REF!,Итоговая!AA32:AV459,22,FALSE)</f>
        <v>#REF!</v>
      </c>
      <c r="P29" s="1250" t="e">
        <f>VLOOKUP(#REF!,Итоговая!C32:I459,2,FALSE)</f>
        <v>#REF!</v>
      </c>
      <c r="Q29" s="1250" t="e">
        <f>VLOOKUP(#REF!,Итоговая!C32:I459,4,FALSE)</f>
        <v>#REF!</v>
      </c>
      <c r="R29" s="1250" t="e">
        <f>VLOOKUP(#REF!,Итоговая!C32:I459,6,FALSE)</f>
        <v>#REF!</v>
      </c>
      <c r="S29" s="1250"/>
      <c r="T29" s="1251" t="e">
        <f>VLOOKUP(#REF!,Итоговая!AA32:AP459,16,FALSE)</f>
        <v>#REF!</v>
      </c>
    </row>
    <row r="30" spans="1:20" x14ac:dyDescent="0.25">
      <c r="A30" s="1248" t="s">
        <v>633</v>
      </c>
      <c r="B30" s="1250" t="s">
        <v>20283</v>
      </c>
      <c r="C30" s="1250" t="s">
        <v>20214</v>
      </c>
      <c r="D30" s="1251">
        <v>0.45</v>
      </c>
      <c r="E30" s="1251">
        <v>0.3</v>
      </c>
      <c r="F30" s="1251">
        <v>9.3326086956521739E-2</v>
      </c>
      <c r="G30" s="1251">
        <v>0</v>
      </c>
      <c r="H30" s="1251">
        <v>0.20667391304347826</v>
      </c>
      <c r="I30" s="1251"/>
      <c r="J30" s="1252" t="s">
        <v>20211</v>
      </c>
      <c r="K30" s="1250" t="s">
        <v>20211</v>
      </c>
      <c r="L30" s="1251">
        <v>58.464285994179797</v>
      </c>
      <c r="M30" s="1251">
        <v>37.371467100750998</v>
      </c>
      <c r="N30" s="1250" t="e">
        <f>VLOOKUP('Интерактивная карта'!#REF!,Итоговая!AA33:AV460,21,FALSE)</f>
        <v>#REF!</v>
      </c>
      <c r="O30" s="1250" t="e">
        <f>VLOOKUP('Интерактивная карта'!#REF!,Итоговая!AA33:AV460,22,FALSE)</f>
        <v>#REF!</v>
      </c>
      <c r="P30" s="1250" t="e">
        <f>VLOOKUP(#REF!,Итоговая!C33:I460,2,FALSE)</f>
        <v>#REF!</v>
      </c>
      <c r="Q30" s="1250" t="e">
        <f>VLOOKUP(#REF!,Итоговая!C33:I460,4,FALSE)</f>
        <v>#REF!</v>
      </c>
      <c r="R30" s="1250" t="e">
        <f>VLOOKUP(#REF!,Итоговая!C33:I460,6,FALSE)</f>
        <v>#REF!</v>
      </c>
      <c r="S30" s="1250"/>
      <c r="T30" s="1251" t="e">
        <f>VLOOKUP(#REF!,Итоговая!AA33:AP460,16,FALSE)</f>
        <v>#REF!</v>
      </c>
    </row>
    <row r="31" spans="1:20" x14ac:dyDescent="0.25">
      <c r="A31" s="1248" t="s">
        <v>634</v>
      </c>
      <c r="B31" s="1250" t="s">
        <v>20284</v>
      </c>
      <c r="C31" s="1250" t="s">
        <v>20212</v>
      </c>
      <c r="D31" s="1251">
        <v>0.27</v>
      </c>
      <c r="E31" s="1251">
        <v>0.44999999999999996</v>
      </c>
      <c r="F31" s="1251">
        <v>0</v>
      </c>
      <c r="G31" s="1251">
        <v>0</v>
      </c>
      <c r="H31" s="1251">
        <v>0.44999999999999996</v>
      </c>
      <c r="I31" s="1251"/>
      <c r="J31" s="1252" t="s">
        <v>20211</v>
      </c>
      <c r="K31" s="1250" t="s">
        <v>20211</v>
      </c>
      <c r="L31" s="1251">
        <v>58.205023586651599</v>
      </c>
      <c r="M31" s="1251">
        <v>36.486957046222798</v>
      </c>
      <c r="N31" s="1250" t="e">
        <f>VLOOKUP('Интерактивная карта'!#REF!,Итоговая!AA34:AV461,21,FALSE)</f>
        <v>#REF!</v>
      </c>
      <c r="O31" s="1250" t="e">
        <f>VLOOKUP('Интерактивная карта'!#REF!,Итоговая!AA34:AV461,22,FALSE)</f>
        <v>#REF!</v>
      </c>
      <c r="P31" s="1250" t="e">
        <f>VLOOKUP(#REF!,Итоговая!C34:I461,2,FALSE)</f>
        <v>#REF!</v>
      </c>
      <c r="Q31" s="1250" t="e">
        <f>VLOOKUP(#REF!,Итоговая!C34:I461,4,FALSE)</f>
        <v>#REF!</v>
      </c>
      <c r="R31" s="1250" t="e">
        <f>VLOOKUP(#REF!,Итоговая!C34:I461,6,FALSE)</f>
        <v>#REF!</v>
      </c>
      <c r="S31" s="1250"/>
      <c r="T31" s="1251" t="e">
        <f>VLOOKUP(#REF!,Итоговая!AA34:AP461,16,FALSE)</f>
        <v>#REF!</v>
      </c>
    </row>
    <row r="32" spans="1:20" x14ac:dyDescent="0.25">
      <c r="A32" s="1248" t="s">
        <v>635</v>
      </c>
      <c r="B32" s="1250" t="s">
        <v>20272</v>
      </c>
      <c r="C32" s="1250" t="s">
        <v>20215</v>
      </c>
      <c r="D32" s="1251">
        <v>0.79</v>
      </c>
      <c r="E32" s="1251">
        <v>0.82000000000000006</v>
      </c>
      <c r="F32" s="1251">
        <v>2.6999999999999996E-2</v>
      </c>
      <c r="G32" s="1251">
        <v>0</v>
      </c>
      <c r="H32" s="1251">
        <v>0.79300000000000004</v>
      </c>
      <c r="I32" s="1251"/>
      <c r="J32" s="1252" t="s">
        <v>20211</v>
      </c>
      <c r="K32" s="1250" t="s">
        <v>20211</v>
      </c>
      <c r="L32" s="1251">
        <v>57.782564746760997</v>
      </c>
      <c r="M32" s="1251">
        <v>36.630738308910203</v>
      </c>
      <c r="N32" s="1250" t="e">
        <f>VLOOKUP('Интерактивная карта'!#REF!,Итоговая!AA35:AV462,21,FALSE)</f>
        <v>#REF!</v>
      </c>
      <c r="O32" s="1250" t="e">
        <f>VLOOKUP('Интерактивная карта'!#REF!,Итоговая!AA35:AV462,22,FALSE)</f>
        <v>#REF!</v>
      </c>
      <c r="P32" s="1250" t="e">
        <f>VLOOKUP(#REF!,Итоговая!C35:I462,2,FALSE)</f>
        <v>#REF!</v>
      </c>
      <c r="Q32" s="1250" t="e">
        <f>VLOOKUP(#REF!,Итоговая!C35:I462,4,FALSE)</f>
        <v>#REF!</v>
      </c>
      <c r="R32" s="1250" t="e">
        <f>VLOOKUP(#REF!,Итоговая!C35:I462,6,FALSE)</f>
        <v>#REF!</v>
      </c>
      <c r="S32" s="1250"/>
      <c r="T32" s="1251" t="e">
        <f>VLOOKUP(#REF!,Итоговая!AA35:AP462,16,FALSE)</f>
        <v>#REF!</v>
      </c>
    </row>
    <row r="33" spans="1:20" x14ac:dyDescent="0.25">
      <c r="A33" s="1248" t="s">
        <v>636</v>
      </c>
      <c r="B33" s="1250" t="s">
        <v>20270</v>
      </c>
      <c r="C33" s="1250" t="s">
        <v>20212</v>
      </c>
      <c r="D33" s="1251">
        <v>0.34</v>
      </c>
      <c r="E33" s="1251">
        <v>1.0499999999999998</v>
      </c>
      <c r="F33" s="1251">
        <v>2.6999999999999996E-2</v>
      </c>
      <c r="G33" s="1251">
        <v>0</v>
      </c>
      <c r="H33" s="1251">
        <v>1.0229999999999999</v>
      </c>
      <c r="I33" s="1251"/>
      <c r="J33" s="1252" t="s">
        <v>20211</v>
      </c>
      <c r="K33" s="1250" t="s">
        <v>20211</v>
      </c>
      <c r="L33" s="1251">
        <v>57.708587303994101</v>
      </c>
      <c r="M33" s="1251">
        <v>36.505252512965001</v>
      </c>
      <c r="N33" s="1250" t="e">
        <f>VLOOKUP('Интерактивная карта'!#REF!,Итоговая!AA36:AV463,21,FALSE)</f>
        <v>#REF!</v>
      </c>
      <c r="O33" s="1250" t="e">
        <f>VLOOKUP('Интерактивная карта'!#REF!,Итоговая!AA36:AV463,22,FALSE)</f>
        <v>#REF!</v>
      </c>
      <c r="P33" s="1250" t="e">
        <f>VLOOKUP(#REF!,Итоговая!C36:I463,2,FALSE)</f>
        <v>#REF!</v>
      </c>
      <c r="Q33" s="1250" t="e">
        <f>VLOOKUP(#REF!,Итоговая!C36:I463,4,FALSE)</f>
        <v>#REF!</v>
      </c>
      <c r="R33" s="1250" t="e">
        <f>VLOOKUP(#REF!,Итоговая!C36:I463,6,FALSE)</f>
        <v>#REF!</v>
      </c>
      <c r="S33" s="1250"/>
      <c r="T33" s="1251" t="e">
        <f>VLOOKUP(#REF!,Итоговая!AA36:AP463,16,FALSE)</f>
        <v>#REF!</v>
      </c>
    </row>
    <row r="34" spans="1:20" x14ac:dyDescent="0.25">
      <c r="A34" s="1248" t="s">
        <v>637</v>
      </c>
      <c r="B34" s="1250" t="s">
        <v>20285</v>
      </c>
      <c r="C34" s="1250" t="s">
        <v>20212</v>
      </c>
      <c r="D34" s="1251">
        <v>0.41</v>
      </c>
      <c r="E34" s="1251">
        <v>0.46</v>
      </c>
      <c r="F34" s="1251">
        <v>3.7760869565217396E-2</v>
      </c>
      <c r="G34" s="1251">
        <v>0</v>
      </c>
      <c r="H34" s="1251">
        <v>0.42223913043478262</v>
      </c>
      <c r="I34" s="1251"/>
      <c r="J34" s="1252" t="s">
        <v>20211</v>
      </c>
      <c r="K34" s="1250" t="s">
        <v>20211</v>
      </c>
      <c r="L34" s="1251">
        <v>57.830694932763102</v>
      </c>
      <c r="M34" s="1251">
        <v>35.631129064387302</v>
      </c>
      <c r="N34" s="1250" t="e">
        <f>VLOOKUP('Интерактивная карта'!#REF!,Итоговая!AA37:AV464,21,FALSE)</f>
        <v>#REF!</v>
      </c>
      <c r="O34" s="1250" t="e">
        <f>VLOOKUP('Интерактивная карта'!#REF!,Итоговая!AA37:AV464,22,FALSE)</f>
        <v>#REF!</v>
      </c>
      <c r="P34" s="1250" t="e">
        <f>VLOOKUP(#REF!,Итоговая!C37:I464,2,FALSE)</f>
        <v>#REF!</v>
      </c>
      <c r="Q34" s="1250" t="e">
        <f>VLOOKUP(#REF!,Итоговая!C37:I464,4,FALSE)</f>
        <v>#REF!</v>
      </c>
      <c r="R34" s="1250" t="e">
        <f>VLOOKUP(#REF!,Итоговая!C37:I464,6,FALSE)</f>
        <v>#REF!</v>
      </c>
      <c r="S34" s="1250"/>
      <c r="T34" s="1251" t="e">
        <f>VLOOKUP(#REF!,Итоговая!AA37:AP464,16,FALSE)</f>
        <v>#REF!</v>
      </c>
    </row>
    <row r="35" spans="1:20" x14ac:dyDescent="0.25">
      <c r="A35" s="1248" t="s">
        <v>638</v>
      </c>
      <c r="B35" s="1250" t="s">
        <v>20286</v>
      </c>
      <c r="C35" s="1250" t="s">
        <v>20216</v>
      </c>
      <c r="D35" s="1251">
        <v>1.89</v>
      </c>
      <c r="E35" s="1251">
        <v>1.0000000000000002</v>
      </c>
      <c r="F35" s="1251">
        <v>4.578260869565217E-2</v>
      </c>
      <c r="G35" s="1251">
        <v>0.11</v>
      </c>
      <c r="H35" s="1251">
        <v>0.95421739130434802</v>
      </c>
      <c r="I35" s="1251"/>
      <c r="J35" s="1252" t="s">
        <v>20211</v>
      </c>
      <c r="K35" s="1250" t="s">
        <v>20211</v>
      </c>
      <c r="L35" s="1251">
        <v>57.776523504667999</v>
      </c>
      <c r="M35" s="1251">
        <v>36.718058575477002</v>
      </c>
      <c r="N35" s="1250" t="e">
        <f>VLOOKUP('Интерактивная карта'!#REF!,Итоговая!AA38:AV465,21,FALSE)</f>
        <v>#REF!</v>
      </c>
      <c r="O35" s="1250" t="e">
        <f>VLOOKUP('Интерактивная карта'!#REF!,Итоговая!AA38:AV465,22,FALSE)</f>
        <v>#REF!</v>
      </c>
      <c r="P35" s="1250" t="e">
        <f>VLOOKUP(#REF!,Итоговая!C38:I465,2,FALSE)</f>
        <v>#REF!</v>
      </c>
      <c r="Q35" s="1250" t="e">
        <f>VLOOKUP(#REF!,Итоговая!C38:I465,4,FALSE)</f>
        <v>#REF!</v>
      </c>
      <c r="R35" s="1250" t="e">
        <f>VLOOKUP(#REF!,Итоговая!C38:I465,6,FALSE)</f>
        <v>#REF!</v>
      </c>
      <c r="S35" s="1250"/>
      <c r="T35" s="1251" t="e">
        <f>VLOOKUP(#REF!,Итоговая!AA38:AP465,16,FALSE)</f>
        <v>#REF!</v>
      </c>
    </row>
    <row r="36" spans="1:20" x14ac:dyDescent="0.25">
      <c r="A36" s="1248" t="s">
        <v>639</v>
      </c>
      <c r="B36" s="1250" t="s">
        <v>20283</v>
      </c>
      <c r="C36" s="1250" t="s">
        <v>2429</v>
      </c>
      <c r="D36" s="1251">
        <v>5.0599999999999996</v>
      </c>
      <c r="E36" s="1251">
        <v>-5.9999999999999609E-2</v>
      </c>
      <c r="F36" s="1251">
        <v>6.3978260869565207E-2</v>
      </c>
      <c r="G36" s="1251">
        <v>0</v>
      </c>
      <c r="H36" s="1251">
        <v>-0.11158043478260833</v>
      </c>
      <c r="I36" s="1251"/>
      <c r="J36" s="1252" t="s">
        <v>20211</v>
      </c>
      <c r="K36" s="1250" t="s">
        <v>2217</v>
      </c>
      <c r="L36" s="1251">
        <v>57.780753789986697</v>
      </c>
      <c r="M36" s="1251">
        <v>37.171410467278399</v>
      </c>
      <c r="N36" s="1250" t="e">
        <f>VLOOKUP('Интерактивная карта'!#REF!,Итоговая!AA39:AV466,21,FALSE)</f>
        <v>#REF!</v>
      </c>
      <c r="O36" s="1250" t="e">
        <f>VLOOKUP('Интерактивная карта'!#REF!,Итоговая!AA39:AV466,22,FALSE)</f>
        <v>#REF!</v>
      </c>
      <c r="P36" s="1250" t="e">
        <f>VLOOKUP(#REF!,Итоговая!C39:I466,2,FALSE)</f>
        <v>#REF!</v>
      </c>
      <c r="Q36" s="1250" t="e">
        <f>VLOOKUP(#REF!,Итоговая!C39:I466,4,FALSE)</f>
        <v>#REF!</v>
      </c>
      <c r="R36" s="1250" t="e">
        <f>VLOOKUP(#REF!,Итоговая!C39:I466,6,FALSE)</f>
        <v>#REF!</v>
      </c>
      <c r="S36" s="1250"/>
      <c r="T36" s="1251" t="e">
        <f>VLOOKUP(#REF!,Итоговая!AA39:AP466,16,FALSE)</f>
        <v>#REF!</v>
      </c>
    </row>
    <row r="37" spans="1:20" x14ac:dyDescent="0.25">
      <c r="A37" s="1248" t="s">
        <v>640</v>
      </c>
      <c r="B37" s="1250" t="s">
        <v>20271</v>
      </c>
      <c r="C37" s="1250" t="s">
        <v>20215</v>
      </c>
      <c r="D37" s="1251">
        <v>0.79</v>
      </c>
      <c r="E37" s="1251">
        <v>-0.56000000000000005</v>
      </c>
      <c r="F37" s="1251">
        <v>0.11289130434782609</v>
      </c>
      <c r="G37" s="1251">
        <v>0</v>
      </c>
      <c r="H37" s="1251">
        <v>-0.60560217391304361</v>
      </c>
      <c r="I37" s="1251"/>
      <c r="J37" s="1252" t="s">
        <v>20211</v>
      </c>
      <c r="K37" s="1250" t="s">
        <v>2217</v>
      </c>
      <c r="L37" s="1251">
        <v>58.547368724877003</v>
      </c>
      <c r="M37" s="1251">
        <v>37.081294891711501</v>
      </c>
      <c r="N37" s="1250" t="e">
        <f>VLOOKUP('Интерактивная карта'!#REF!,Итоговая!AA40:AV467,21,FALSE)</f>
        <v>#REF!</v>
      </c>
      <c r="O37" s="1250" t="e">
        <f>VLOOKUP('Интерактивная карта'!#REF!,Итоговая!AA40:AV467,22,FALSE)</f>
        <v>#REF!</v>
      </c>
      <c r="P37" s="1250" t="e">
        <f>VLOOKUP(#REF!,Итоговая!C40:I467,2,FALSE)</f>
        <v>#REF!</v>
      </c>
      <c r="Q37" s="1250" t="e">
        <f>VLOOKUP(#REF!,Итоговая!C40:I467,4,FALSE)</f>
        <v>#REF!</v>
      </c>
      <c r="R37" s="1250" t="e">
        <f>VLOOKUP(#REF!,Итоговая!C40:I467,6,FALSE)</f>
        <v>#REF!</v>
      </c>
      <c r="S37" s="1250"/>
      <c r="T37" s="1251" t="e">
        <f>VLOOKUP(#REF!,Итоговая!AA40:AP467,16,FALSE)</f>
        <v>#REF!</v>
      </c>
    </row>
    <row r="38" spans="1:20" x14ac:dyDescent="0.25">
      <c r="A38" s="1248" t="s">
        <v>641</v>
      </c>
      <c r="B38" s="1250" t="s">
        <v>20278</v>
      </c>
      <c r="C38" s="1250" t="s">
        <v>20215</v>
      </c>
      <c r="D38" s="1251">
        <v>0.77</v>
      </c>
      <c r="E38" s="1251">
        <v>-7.0000000000000007E-2</v>
      </c>
      <c r="F38" s="1251">
        <v>8.8043478260869563E-3</v>
      </c>
      <c r="G38" s="1251">
        <v>0</v>
      </c>
      <c r="H38" s="1251">
        <v>-7.880434782608696E-2</v>
      </c>
      <c r="I38" s="1251"/>
      <c r="J38" s="1252" t="s">
        <v>20211</v>
      </c>
      <c r="K38" s="1250" t="s">
        <v>2217</v>
      </c>
      <c r="L38" s="1251">
        <v>58.413755079792601</v>
      </c>
      <c r="M38" s="1251">
        <v>37.073295478038403</v>
      </c>
      <c r="N38" s="1250" t="e">
        <f>VLOOKUP('Интерактивная карта'!#REF!,Итоговая!AA41:AV468,21,FALSE)</f>
        <v>#REF!</v>
      </c>
      <c r="O38" s="1250" t="e">
        <f>VLOOKUP('Интерактивная карта'!#REF!,Итоговая!AA41:AV468,22,FALSE)</f>
        <v>#REF!</v>
      </c>
      <c r="P38" s="1250" t="e">
        <f>VLOOKUP(#REF!,Итоговая!C41:I468,2,FALSE)</f>
        <v>#REF!</v>
      </c>
      <c r="Q38" s="1250" t="e">
        <f>VLOOKUP(#REF!,Итоговая!C41:I468,4,FALSE)</f>
        <v>#REF!</v>
      </c>
      <c r="R38" s="1250" t="e">
        <f>VLOOKUP(#REF!,Итоговая!C41:I468,6,FALSE)</f>
        <v>#REF!</v>
      </c>
      <c r="S38" s="1250"/>
      <c r="T38" s="1251" t="e">
        <f>VLOOKUP(#REF!,Итоговая!AA41:AP468,16,FALSE)</f>
        <v>#REF!</v>
      </c>
    </row>
    <row r="39" spans="1:20" x14ac:dyDescent="0.25">
      <c r="A39" s="1248" t="s">
        <v>642</v>
      </c>
      <c r="B39" s="1250" t="s">
        <v>20287</v>
      </c>
      <c r="C39" s="1250" t="s">
        <v>20217</v>
      </c>
      <c r="D39" s="1251">
        <v>0.56999999999999995</v>
      </c>
      <c r="E39" s="1251">
        <v>-0.13</v>
      </c>
      <c r="F39" s="1251">
        <v>0.1880217391304348</v>
      </c>
      <c r="G39" s="1251">
        <v>0</v>
      </c>
      <c r="H39" s="1251">
        <v>-0.3180217391304348</v>
      </c>
      <c r="I39" s="1251"/>
      <c r="J39" s="1252" t="s">
        <v>20211</v>
      </c>
      <c r="K39" s="1250" t="s">
        <v>2217</v>
      </c>
      <c r="L39" s="1251">
        <v>57.564684502073497</v>
      </c>
      <c r="M39" s="1251">
        <v>36.316230032992799</v>
      </c>
      <c r="N39" s="1250" t="e">
        <f>VLOOKUP('Интерактивная карта'!#REF!,Итоговая!AA42:AV469,21,FALSE)</f>
        <v>#REF!</v>
      </c>
      <c r="O39" s="1250" t="e">
        <f>VLOOKUP('Интерактивная карта'!#REF!,Итоговая!AA42:AV469,22,FALSE)</f>
        <v>#REF!</v>
      </c>
      <c r="P39" s="1250" t="e">
        <f>VLOOKUP(#REF!,Итоговая!C42:I469,2,FALSE)</f>
        <v>#REF!</v>
      </c>
      <c r="Q39" s="1250" t="e">
        <f>VLOOKUP(#REF!,Итоговая!C42:I469,4,FALSE)</f>
        <v>#REF!</v>
      </c>
      <c r="R39" s="1250" t="e">
        <f>VLOOKUP(#REF!,Итоговая!C42:I469,6,FALSE)</f>
        <v>#REF!</v>
      </c>
      <c r="S39" s="1250"/>
      <c r="T39" s="1251" t="e">
        <f>VLOOKUP(#REF!,Итоговая!AA42:AP469,16,FALSE)</f>
        <v>#REF!</v>
      </c>
    </row>
    <row r="40" spans="1:20" x14ac:dyDescent="0.25">
      <c r="A40" s="1248" t="s">
        <v>643</v>
      </c>
      <c r="B40" s="1250" t="s">
        <v>20288</v>
      </c>
      <c r="C40" s="1250" t="s">
        <v>20215</v>
      </c>
      <c r="D40" s="1251">
        <v>2.39</v>
      </c>
      <c r="E40" s="1251">
        <v>0.78</v>
      </c>
      <c r="F40" s="1251">
        <v>9.8021739130434771E-2</v>
      </c>
      <c r="G40" s="1251">
        <v>0.05</v>
      </c>
      <c r="H40" s="1251">
        <v>0.78</v>
      </c>
      <c r="I40" s="1251"/>
      <c r="J40" s="1252" t="s">
        <v>20211</v>
      </c>
      <c r="K40" s="1250" t="s">
        <v>20211</v>
      </c>
      <c r="L40" s="1251">
        <v>58.2898085836852</v>
      </c>
      <c r="M40" s="1251">
        <v>36.138191362349801</v>
      </c>
      <c r="N40" s="1250" t="e">
        <f>VLOOKUP('Интерактивная карта'!#REF!,Итоговая!AA43:AV470,21,FALSE)</f>
        <v>#REF!</v>
      </c>
      <c r="O40" s="1250" t="e">
        <f>VLOOKUP('Интерактивная карта'!#REF!,Итоговая!AA43:AV470,22,FALSE)</f>
        <v>#REF!</v>
      </c>
      <c r="P40" s="1250" t="e">
        <f>VLOOKUP(#REF!,Итоговая!C43:I470,2,FALSE)</f>
        <v>#REF!</v>
      </c>
      <c r="Q40" s="1250" t="e">
        <f>VLOOKUP(#REF!,Итоговая!C43:I470,4,FALSE)</f>
        <v>#REF!</v>
      </c>
      <c r="R40" s="1250" t="e">
        <f>VLOOKUP(#REF!,Итоговая!C43:I470,6,FALSE)</f>
        <v>#REF!</v>
      </c>
      <c r="S40" s="1250"/>
      <c r="T40" s="1251" t="e">
        <f>VLOOKUP(#REF!,Итоговая!AA43:AP470,16,FALSE)</f>
        <v>#REF!</v>
      </c>
    </row>
    <row r="41" spans="1:20" x14ac:dyDescent="0.25">
      <c r="A41" s="1248" t="s">
        <v>644</v>
      </c>
      <c r="B41" s="1250" t="s">
        <v>20289</v>
      </c>
      <c r="C41" s="1250" t="s">
        <v>20218</v>
      </c>
      <c r="D41" s="1251">
        <v>0.1</v>
      </c>
      <c r="E41" s="1251">
        <v>1.65</v>
      </c>
      <c r="F41" s="1251">
        <v>4.6956521739130435E-3</v>
      </c>
      <c r="G41" s="1251">
        <v>0</v>
      </c>
      <c r="H41" s="1251">
        <v>1.6453043478260869</v>
      </c>
      <c r="I41" s="1251"/>
      <c r="J41" s="1252" t="s">
        <v>20211</v>
      </c>
      <c r="K41" s="1250" t="s">
        <v>20211</v>
      </c>
      <c r="L41" s="1251">
        <v>58.285012691051499</v>
      </c>
      <c r="M41" s="1251">
        <v>36.678206871206797</v>
      </c>
      <c r="N41" s="1250" t="e">
        <f>VLOOKUP('Интерактивная карта'!#REF!,Итоговая!AA44:AV471,21,FALSE)</f>
        <v>#REF!</v>
      </c>
      <c r="O41" s="1250" t="e">
        <f>VLOOKUP('Интерактивная карта'!#REF!,Итоговая!AA44:AV471,22,FALSE)</f>
        <v>#REF!</v>
      </c>
      <c r="P41" s="1250" t="e">
        <f>VLOOKUP(#REF!,Итоговая!C44:I471,2,FALSE)</f>
        <v>#REF!</v>
      </c>
      <c r="Q41" s="1250" t="e">
        <f>VLOOKUP(#REF!,Итоговая!C44:I471,4,FALSE)</f>
        <v>#REF!</v>
      </c>
      <c r="R41" s="1250" t="e">
        <f>VLOOKUP(#REF!,Итоговая!C44:I471,6,FALSE)</f>
        <v>#REF!</v>
      </c>
      <c r="S41" s="1250"/>
      <c r="T41" s="1251" t="e">
        <f>VLOOKUP(#REF!,Итоговая!AA44:AP471,16,FALSE)</f>
        <v>#REF!</v>
      </c>
    </row>
    <row r="42" spans="1:20" x14ac:dyDescent="0.25">
      <c r="A42" s="1248" t="s">
        <v>645</v>
      </c>
      <c r="B42" s="1250" t="s">
        <v>20290</v>
      </c>
      <c r="C42" s="1250" t="s">
        <v>20219</v>
      </c>
      <c r="D42" s="1251">
        <v>1.84</v>
      </c>
      <c r="E42" s="1251">
        <v>2.145</v>
      </c>
      <c r="F42" s="1251">
        <v>7.4543478260869558E-2</v>
      </c>
      <c r="G42" s="1251">
        <v>0.05</v>
      </c>
      <c r="H42" s="1251">
        <v>2.0704565217391302</v>
      </c>
      <c r="I42" s="1251"/>
      <c r="J42" s="1252" t="s">
        <v>20211</v>
      </c>
      <c r="K42" s="1250" t="s">
        <v>20211</v>
      </c>
      <c r="L42" s="1251">
        <v>58.2957611052909</v>
      </c>
      <c r="M42" s="1251">
        <v>35.522793476085099</v>
      </c>
      <c r="N42" s="1250" t="e">
        <f>VLOOKUP('Интерактивная карта'!#REF!,Итоговая!AA45:AV472,21,FALSE)</f>
        <v>#REF!</v>
      </c>
      <c r="O42" s="1250" t="e">
        <f>VLOOKUP('Интерактивная карта'!#REF!,Итоговая!AA45:AV472,22,FALSE)</f>
        <v>#REF!</v>
      </c>
      <c r="P42" s="1250" t="e">
        <f>VLOOKUP(#REF!,Итоговая!C45:I472,2,FALSE)</f>
        <v>#REF!</v>
      </c>
      <c r="Q42" s="1250" t="e">
        <f>VLOOKUP(#REF!,Итоговая!C45:I472,4,FALSE)</f>
        <v>#REF!</v>
      </c>
      <c r="R42" s="1250" t="e">
        <f>VLOOKUP(#REF!,Итоговая!C45:I472,6,FALSE)</f>
        <v>#REF!</v>
      </c>
      <c r="S42" s="1250"/>
      <c r="T42" s="1251" t="e">
        <f>VLOOKUP(#REF!,Итоговая!AA45:AP472,16,FALSE)</f>
        <v>#REF!</v>
      </c>
    </row>
    <row r="43" spans="1:20" x14ac:dyDescent="0.25">
      <c r="A43" s="1248" t="s">
        <v>646</v>
      </c>
      <c r="B43" s="1250" t="s">
        <v>20291</v>
      </c>
      <c r="C43" s="1250" t="s">
        <v>20220</v>
      </c>
      <c r="D43" s="1251">
        <v>4.5</v>
      </c>
      <c r="E43" s="1251">
        <v>1.4800000000000004</v>
      </c>
      <c r="F43" s="1251">
        <v>0.4679347826086957</v>
      </c>
      <c r="G43" s="1251">
        <v>0.12</v>
      </c>
      <c r="H43" s="1251">
        <v>1.0120652173913047</v>
      </c>
      <c r="I43" s="1251"/>
      <c r="J43" s="1252" t="s">
        <v>20211</v>
      </c>
      <c r="K43" s="1250" t="s">
        <v>20211</v>
      </c>
      <c r="L43" s="1251">
        <v>57.775240333090302</v>
      </c>
      <c r="M43" s="1251">
        <v>35.932209388654101</v>
      </c>
      <c r="N43" s="1250" t="e">
        <f>VLOOKUP('Интерактивная карта'!#REF!,Итоговая!AA46:AV473,21,FALSE)</f>
        <v>#REF!</v>
      </c>
      <c r="O43" s="1250" t="e">
        <f>VLOOKUP('Интерактивная карта'!#REF!,Итоговая!AA46:AV473,22,FALSE)</f>
        <v>#REF!</v>
      </c>
      <c r="P43" s="1250" t="e">
        <f>VLOOKUP(#REF!,Итоговая!C46:I473,2,FALSE)</f>
        <v>#REF!</v>
      </c>
      <c r="Q43" s="1250" t="e">
        <f>VLOOKUP(#REF!,Итоговая!C46:I473,4,FALSE)</f>
        <v>#REF!</v>
      </c>
      <c r="R43" s="1250" t="e">
        <f>VLOOKUP(#REF!,Итоговая!C46:I473,6,FALSE)</f>
        <v>#REF!</v>
      </c>
      <c r="S43" s="1250"/>
      <c r="T43" s="1251" t="e">
        <f>VLOOKUP(#REF!,Итоговая!AA46:AP473,16,FALSE)</f>
        <v>#REF!</v>
      </c>
    </row>
    <row r="44" spans="1:20" x14ac:dyDescent="0.25">
      <c r="A44" s="1248" t="s">
        <v>647</v>
      </c>
      <c r="B44" s="1250" t="s">
        <v>20292</v>
      </c>
      <c r="C44" s="1250" t="s">
        <v>20221</v>
      </c>
      <c r="D44" s="1251">
        <v>1.64</v>
      </c>
      <c r="E44" s="1251">
        <v>2.7350000000000003</v>
      </c>
      <c r="F44" s="1251">
        <v>4.9891304347826092E-2</v>
      </c>
      <c r="G44" s="1251">
        <v>0.04</v>
      </c>
      <c r="H44" s="1251">
        <v>2.6851086956521737</v>
      </c>
      <c r="I44" s="1251"/>
      <c r="J44" s="1252" t="s">
        <v>20211</v>
      </c>
      <c r="K44" s="1250" t="s">
        <v>20211</v>
      </c>
      <c r="L44" s="1251">
        <v>58.149503084579898</v>
      </c>
      <c r="M44" s="1251">
        <v>36.754327949918697</v>
      </c>
      <c r="N44" s="1250" t="e">
        <f>VLOOKUP('Интерактивная карта'!#REF!,Итоговая!AA47:AV474,21,FALSE)</f>
        <v>#REF!</v>
      </c>
      <c r="O44" s="1250" t="e">
        <f>VLOOKUP('Интерактивная карта'!#REF!,Итоговая!AA47:AV474,22,FALSE)</f>
        <v>#REF!</v>
      </c>
      <c r="P44" s="1250" t="e">
        <f>VLOOKUP(#REF!,Итоговая!C47:I474,2,FALSE)</f>
        <v>#REF!</v>
      </c>
      <c r="Q44" s="1250" t="e">
        <f>VLOOKUP(#REF!,Итоговая!C47:I474,4,FALSE)</f>
        <v>#REF!</v>
      </c>
      <c r="R44" s="1250" t="e">
        <f>VLOOKUP(#REF!,Итоговая!C47:I474,6,FALSE)</f>
        <v>#REF!</v>
      </c>
      <c r="S44" s="1250"/>
      <c r="T44" s="1251" t="e">
        <f>VLOOKUP(#REF!,Итоговая!AA47:AP474,16,FALSE)</f>
        <v>#REF!</v>
      </c>
    </row>
    <row r="45" spans="1:20" x14ac:dyDescent="0.25">
      <c r="A45" s="1248" t="s">
        <v>648</v>
      </c>
      <c r="B45" s="1250" t="s">
        <v>20285</v>
      </c>
      <c r="C45" s="1250" t="s">
        <v>20222</v>
      </c>
      <c r="D45" s="1251">
        <v>0.21</v>
      </c>
      <c r="E45" s="1251">
        <v>2.415</v>
      </c>
      <c r="F45" s="1251">
        <v>0</v>
      </c>
      <c r="G45" s="1251">
        <v>0</v>
      </c>
      <c r="H45" s="1251">
        <v>2.415</v>
      </c>
      <c r="I45" s="1251"/>
      <c r="J45" s="1252" t="s">
        <v>20211</v>
      </c>
      <c r="K45" s="1250" t="s">
        <v>20211</v>
      </c>
      <c r="L45" s="1251">
        <v>58.064675135796001</v>
      </c>
      <c r="M45" s="1251">
        <v>36.619704493160597</v>
      </c>
      <c r="N45" s="1250" t="e">
        <f>VLOOKUP('Интерактивная карта'!#REF!,Итоговая!AA48:AV475,21,FALSE)</f>
        <v>#REF!</v>
      </c>
      <c r="O45" s="1250" t="e">
        <f>VLOOKUP('Интерактивная карта'!#REF!,Итоговая!AA48:AV475,22,FALSE)</f>
        <v>#REF!</v>
      </c>
      <c r="P45" s="1250" t="e">
        <f>VLOOKUP(#REF!,Итоговая!C48:I475,2,FALSE)</f>
        <v>#REF!</v>
      </c>
      <c r="Q45" s="1250" t="e">
        <f>VLOOKUP(#REF!,Итоговая!C48:I475,4,FALSE)</f>
        <v>#REF!</v>
      </c>
      <c r="R45" s="1250" t="e">
        <f>VLOOKUP(#REF!,Итоговая!C48:I475,6,FALSE)</f>
        <v>#REF!</v>
      </c>
      <c r="S45" s="1250"/>
      <c r="T45" s="1251" t="e">
        <f>VLOOKUP(#REF!,Итоговая!AA48:AP475,16,FALSE)</f>
        <v>#REF!</v>
      </c>
    </row>
    <row r="46" spans="1:20" x14ac:dyDescent="0.25">
      <c r="A46" s="1248" t="s">
        <v>649</v>
      </c>
      <c r="B46" s="1250" t="s">
        <v>20293</v>
      </c>
      <c r="C46" s="1250" t="s">
        <v>20223</v>
      </c>
      <c r="D46" s="1251">
        <v>1.08</v>
      </c>
      <c r="E46" s="1251">
        <v>1.99</v>
      </c>
      <c r="F46" s="1251">
        <v>0.18947826086956518</v>
      </c>
      <c r="G46" s="1251">
        <v>0</v>
      </c>
      <c r="H46" s="1251">
        <v>1.8005217391304349</v>
      </c>
      <c r="I46" s="1251"/>
      <c r="J46" s="1252" t="s">
        <v>20211</v>
      </c>
      <c r="K46" s="1250" t="s">
        <v>20211</v>
      </c>
      <c r="L46" s="1251">
        <v>57.632090002592399</v>
      </c>
      <c r="M46" s="1251">
        <v>35.908846469797197</v>
      </c>
      <c r="N46" s="1250" t="e">
        <f>VLOOKUP('Интерактивная карта'!#REF!,Итоговая!AA49:AV476,21,FALSE)</f>
        <v>#REF!</v>
      </c>
      <c r="O46" s="1250" t="e">
        <f>VLOOKUP('Интерактивная карта'!#REF!,Итоговая!AA49:AV476,22,FALSE)</f>
        <v>#REF!</v>
      </c>
      <c r="P46" s="1250" t="e">
        <f>VLOOKUP(#REF!,Итоговая!C49:I476,2,FALSE)</f>
        <v>#REF!</v>
      </c>
      <c r="Q46" s="1250" t="e">
        <f>VLOOKUP(#REF!,Итоговая!C49:I476,4,FALSE)</f>
        <v>#REF!</v>
      </c>
      <c r="R46" s="1250" t="e">
        <f>VLOOKUP(#REF!,Итоговая!C49:I476,6,FALSE)</f>
        <v>#REF!</v>
      </c>
      <c r="S46" s="1250"/>
      <c r="T46" s="1251" t="e">
        <f>VLOOKUP(#REF!,Итоговая!AA49:AP476,16,FALSE)</f>
        <v>#REF!</v>
      </c>
    </row>
    <row r="47" spans="1:20" x14ac:dyDescent="0.25">
      <c r="A47" s="1248" t="s">
        <v>650</v>
      </c>
      <c r="B47" s="1250" t="s">
        <v>20292</v>
      </c>
      <c r="C47" s="1250" t="s">
        <v>20224</v>
      </c>
      <c r="D47" s="1251">
        <v>3.86</v>
      </c>
      <c r="E47" s="1251">
        <v>1.5400000000000005</v>
      </c>
      <c r="F47" s="1251">
        <v>5.3413043478260862E-2</v>
      </c>
      <c r="G47" s="1251">
        <v>0</v>
      </c>
      <c r="H47" s="1251">
        <v>1.4865869565217396</v>
      </c>
      <c r="I47" s="1251"/>
      <c r="J47" s="1252" t="s">
        <v>20211</v>
      </c>
      <c r="K47" s="1250" t="s">
        <v>20211</v>
      </c>
      <c r="L47" s="1251">
        <v>57.781191947557701</v>
      </c>
      <c r="M47" s="1251">
        <v>37.158502657856097</v>
      </c>
      <c r="N47" s="1250" t="e">
        <f>VLOOKUP('Интерактивная карта'!#REF!,Итоговая!AA50:AV477,21,FALSE)</f>
        <v>#REF!</v>
      </c>
      <c r="O47" s="1250" t="e">
        <f>VLOOKUP('Интерактивная карта'!#REF!,Итоговая!AA50:AV477,22,FALSE)</f>
        <v>#REF!</v>
      </c>
      <c r="P47" s="1250" t="e">
        <f>VLOOKUP(#REF!,Итоговая!C50:I477,2,FALSE)</f>
        <v>#REF!</v>
      </c>
      <c r="Q47" s="1250" t="e">
        <f>VLOOKUP(#REF!,Итоговая!C50:I477,4,FALSE)</f>
        <v>#REF!</v>
      </c>
      <c r="R47" s="1250" t="e">
        <f>VLOOKUP(#REF!,Итоговая!C50:I477,6,FALSE)</f>
        <v>#REF!</v>
      </c>
      <c r="S47" s="1250"/>
      <c r="T47" s="1251" t="e">
        <f>VLOOKUP(#REF!,Итоговая!AA50:AP477,16,FALSE)</f>
        <v>#REF!</v>
      </c>
    </row>
    <row r="48" spans="1:20" x14ac:dyDescent="0.25">
      <c r="A48" s="1248" t="s">
        <v>651</v>
      </c>
      <c r="B48" s="1250" t="s">
        <v>20270</v>
      </c>
      <c r="C48" s="1250" t="s">
        <v>20223</v>
      </c>
      <c r="D48" s="1251">
        <v>0.44</v>
      </c>
      <c r="E48" s="1251">
        <v>1.9700000000000002</v>
      </c>
      <c r="F48" s="1251">
        <v>0</v>
      </c>
      <c r="G48" s="1251">
        <v>0</v>
      </c>
      <c r="H48" s="1251">
        <v>1.9700000000000002</v>
      </c>
      <c r="I48" s="1251"/>
      <c r="J48" s="1252" t="s">
        <v>20211</v>
      </c>
      <c r="K48" s="1250" t="s">
        <v>20211</v>
      </c>
      <c r="L48" s="1251">
        <v>57.966819952449299</v>
      </c>
      <c r="M48" s="1251">
        <v>36.8193100945184</v>
      </c>
      <c r="N48" s="1250" t="e">
        <f>VLOOKUP('Интерактивная карта'!#REF!,Итоговая!AA51:AV478,21,FALSE)</f>
        <v>#REF!</v>
      </c>
      <c r="O48" s="1250" t="e">
        <f>VLOOKUP('Интерактивная карта'!#REF!,Итоговая!AA51:AV478,22,FALSE)</f>
        <v>#REF!</v>
      </c>
      <c r="P48" s="1250" t="e">
        <f>VLOOKUP(#REF!,Итоговая!C51:I478,2,FALSE)</f>
        <v>#REF!</v>
      </c>
      <c r="Q48" s="1250" t="e">
        <f>VLOOKUP(#REF!,Итоговая!C51:I478,4,FALSE)</f>
        <v>#REF!</v>
      </c>
      <c r="R48" s="1250" t="e">
        <f>VLOOKUP(#REF!,Итоговая!C51:I478,6,FALSE)</f>
        <v>#REF!</v>
      </c>
      <c r="S48" s="1250"/>
      <c r="T48" s="1251" t="e">
        <f>VLOOKUP(#REF!,Итоговая!AA51:AP478,16,FALSE)</f>
        <v>#REF!</v>
      </c>
    </row>
    <row r="49" spans="1:20" x14ac:dyDescent="0.25">
      <c r="A49" s="1248" t="s">
        <v>652</v>
      </c>
      <c r="B49" s="1250" t="s">
        <v>20293</v>
      </c>
      <c r="C49" s="1250" t="s">
        <v>20225</v>
      </c>
      <c r="D49" s="1251">
        <v>1.8</v>
      </c>
      <c r="E49" s="1251">
        <v>5.7650000000000006</v>
      </c>
      <c r="F49" s="1251">
        <v>2.0767500000000001</v>
      </c>
      <c r="G49" s="1251">
        <v>0</v>
      </c>
      <c r="H49" s="1251">
        <v>3.68825</v>
      </c>
      <c r="I49" s="1251"/>
      <c r="J49" s="1252" t="s">
        <v>20211</v>
      </c>
      <c r="K49" s="1250" t="s">
        <v>20211</v>
      </c>
      <c r="L49" s="1251">
        <v>57.793758057565199</v>
      </c>
      <c r="M49" s="1251">
        <v>36.461193560361203</v>
      </c>
      <c r="N49" s="1250" t="e">
        <f>VLOOKUP('Интерактивная карта'!#REF!,Итоговая!AA52:AV479,21,FALSE)</f>
        <v>#REF!</v>
      </c>
      <c r="O49" s="1250" t="e">
        <f>VLOOKUP('Интерактивная карта'!#REF!,Итоговая!AA52:AV479,22,FALSE)</f>
        <v>#REF!</v>
      </c>
      <c r="P49" s="1250" t="e">
        <f>VLOOKUP(#REF!,Итоговая!C52:I479,2,FALSE)</f>
        <v>#REF!</v>
      </c>
      <c r="Q49" s="1250" t="e">
        <f>VLOOKUP(#REF!,Итоговая!C52:I479,4,FALSE)</f>
        <v>#REF!</v>
      </c>
      <c r="R49" s="1250" t="e">
        <f>VLOOKUP(#REF!,Итоговая!C52:I479,6,FALSE)</f>
        <v>#REF!</v>
      </c>
      <c r="S49" s="1250"/>
      <c r="T49" s="1251" t="e">
        <f>VLOOKUP(#REF!,Итоговая!AA52:AP479,16,FALSE)</f>
        <v>#REF!</v>
      </c>
    </row>
    <row r="50" spans="1:20" x14ac:dyDescent="0.25">
      <c r="A50" s="1248" t="s">
        <v>653</v>
      </c>
      <c r="B50" s="1250" t="s">
        <v>20285</v>
      </c>
      <c r="C50" s="1250" t="s">
        <v>20225</v>
      </c>
      <c r="D50" s="1251">
        <v>4.0599999999999996</v>
      </c>
      <c r="E50" s="1251">
        <v>2.5550000000000006</v>
      </c>
      <c r="F50" s="1251">
        <v>8.7456521739130419E-2</v>
      </c>
      <c r="G50" s="1251">
        <v>0</v>
      </c>
      <c r="H50" s="1251">
        <v>2.4675434782608701</v>
      </c>
      <c r="I50" s="1251"/>
      <c r="J50" s="1252" t="s">
        <v>20211</v>
      </c>
      <c r="K50" s="1250" t="s">
        <v>20211</v>
      </c>
      <c r="L50" s="1251">
        <v>58.650946279156003</v>
      </c>
      <c r="M50" s="1251">
        <v>37.250127302002099</v>
      </c>
      <c r="N50" s="1250" t="e">
        <f>VLOOKUP('Интерактивная карта'!#REF!,Итоговая!AA53:AV480,21,FALSE)</f>
        <v>#REF!</v>
      </c>
      <c r="O50" s="1250" t="e">
        <f>VLOOKUP('Интерактивная карта'!#REF!,Итоговая!AA53:AV480,22,FALSE)</f>
        <v>#REF!</v>
      </c>
      <c r="P50" s="1250" t="e">
        <f>VLOOKUP(#REF!,Итоговая!C53:I480,2,FALSE)</f>
        <v>#REF!</v>
      </c>
      <c r="Q50" s="1250" t="e">
        <f>VLOOKUP(#REF!,Итоговая!C53:I480,4,FALSE)</f>
        <v>#REF!</v>
      </c>
      <c r="R50" s="1250" t="e">
        <f>VLOOKUP(#REF!,Итоговая!C53:I480,6,FALSE)</f>
        <v>#REF!</v>
      </c>
      <c r="S50" s="1250"/>
      <c r="T50" s="1251" t="e">
        <f>VLOOKUP(#REF!,Итоговая!AA53:AP480,16,FALSE)</f>
        <v>#REF!</v>
      </c>
    </row>
    <row r="51" spans="1:20" x14ac:dyDescent="0.25">
      <c r="A51" s="1248" t="s">
        <v>654</v>
      </c>
      <c r="B51" s="1250" t="s">
        <v>20289</v>
      </c>
      <c r="C51" s="1250" t="s">
        <v>20226</v>
      </c>
      <c r="D51" s="1251">
        <v>9.99</v>
      </c>
      <c r="E51" s="1251">
        <v>18.759999999999998</v>
      </c>
      <c r="F51" s="1251">
        <v>0.17784782608695651</v>
      </c>
      <c r="G51" s="1251">
        <v>0</v>
      </c>
      <c r="H51" s="1251">
        <v>18.582152173913045</v>
      </c>
      <c r="I51" s="1251"/>
      <c r="J51" s="1252" t="s">
        <v>20211</v>
      </c>
      <c r="K51" s="1250" t="s">
        <v>20211</v>
      </c>
      <c r="L51" s="1251">
        <v>57.8020291616387</v>
      </c>
      <c r="M51" s="1251">
        <v>35.903628854152899</v>
      </c>
      <c r="N51" s="1250" t="e">
        <f>VLOOKUP('Интерактивная карта'!#REF!,Итоговая!AA54:AV481,21,FALSE)</f>
        <v>#REF!</v>
      </c>
      <c r="O51" s="1250" t="e">
        <f>VLOOKUP('Интерактивная карта'!#REF!,Итоговая!AA54:AV481,22,FALSE)</f>
        <v>#REF!</v>
      </c>
      <c r="P51" s="1250" t="e">
        <f>VLOOKUP(#REF!,Итоговая!C54:I481,2,FALSE)</f>
        <v>#REF!</v>
      </c>
      <c r="Q51" s="1250" t="e">
        <f>VLOOKUP(#REF!,Итоговая!C54:I481,4,FALSE)</f>
        <v>#REF!</v>
      </c>
      <c r="R51" s="1250" t="e">
        <f>VLOOKUP(#REF!,Итоговая!C54:I481,6,FALSE)</f>
        <v>#REF!</v>
      </c>
      <c r="S51" s="1250"/>
      <c r="T51" s="1251" t="e">
        <f>VLOOKUP(#REF!,Итоговая!AA54:AP481,16,FALSE)</f>
        <v>#REF!</v>
      </c>
    </row>
    <row r="52" spans="1:20" x14ac:dyDescent="0.25">
      <c r="A52" s="1248" t="s">
        <v>655</v>
      </c>
      <c r="B52" s="1250" t="s">
        <v>20294</v>
      </c>
      <c r="C52" s="1250" t="s">
        <v>20227</v>
      </c>
      <c r="D52" s="1251">
        <v>5.13</v>
      </c>
      <c r="E52" s="1251">
        <v>5.56</v>
      </c>
      <c r="F52" s="1251">
        <v>0.12068478260869567</v>
      </c>
      <c r="G52" s="1251">
        <v>0</v>
      </c>
      <c r="H52" s="1251">
        <v>5.4393152173913037</v>
      </c>
      <c r="I52" s="1251"/>
      <c r="J52" s="1252" t="s">
        <v>20211</v>
      </c>
      <c r="K52" s="1250" t="s">
        <v>20211</v>
      </c>
      <c r="L52" s="1251">
        <v>58.075610974762903</v>
      </c>
      <c r="M52" s="1251">
        <v>37.131743667775297</v>
      </c>
      <c r="N52" s="1250" t="e">
        <f>VLOOKUP('Интерактивная карта'!#REF!,Итоговая!AA55:AV482,21,FALSE)</f>
        <v>#REF!</v>
      </c>
      <c r="O52" s="1250" t="e">
        <f>VLOOKUP('Интерактивная карта'!#REF!,Итоговая!AA55:AV482,22,FALSE)</f>
        <v>#REF!</v>
      </c>
      <c r="P52" s="1250" t="e">
        <f>VLOOKUP(#REF!,Итоговая!C55:I482,2,FALSE)</f>
        <v>#REF!</v>
      </c>
      <c r="Q52" s="1250" t="e">
        <f>VLOOKUP(#REF!,Итоговая!C55:I482,4,FALSE)</f>
        <v>#REF!</v>
      </c>
      <c r="R52" s="1250" t="e">
        <f>VLOOKUP(#REF!,Итоговая!C55:I482,6,FALSE)</f>
        <v>#REF!</v>
      </c>
      <c r="S52" s="1250"/>
      <c r="T52" s="1251" t="e">
        <f>VLOOKUP(#REF!,Итоговая!AA55:AP482,16,FALSE)</f>
        <v>#REF!</v>
      </c>
    </row>
    <row r="53" spans="1:20" x14ac:dyDescent="0.25">
      <c r="A53" s="1248" t="s">
        <v>656</v>
      </c>
      <c r="B53" s="1250" t="s">
        <v>20295</v>
      </c>
      <c r="C53" s="1250" t="s">
        <v>20225</v>
      </c>
      <c r="D53" s="1251">
        <v>2.87</v>
      </c>
      <c r="E53" s="1251">
        <v>6.4649999999999999</v>
      </c>
      <c r="F53" s="1251">
        <v>5.4586956521739137E-2</v>
      </c>
      <c r="G53" s="1251">
        <v>0.04</v>
      </c>
      <c r="H53" s="1251">
        <v>6.4649999999999999</v>
      </c>
      <c r="I53" s="1251"/>
      <c r="J53" s="1252" t="s">
        <v>20211</v>
      </c>
      <c r="K53" s="1250" t="s">
        <v>20211</v>
      </c>
      <c r="L53" s="1251">
        <v>58.030151237087701</v>
      </c>
      <c r="M53" s="1251">
        <v>36.425569565154298</v>
      </c>
      <c r="N53" s="1250" t="e">
        <f>VLOOKUP('Интерактивная карта'!#REF!,Итоговая!AA56:AV483,21,FALSE)</f>
        <v>#REF!</v>
      </c>
      <c r="O53" s="1250" t="e">
        <f>VLOOKUP('Интерактивная карта'!#REF!,Итоговая!AA56:AV483,22,FALSE)</f>
        <v>#REF!</v>
      </c>
      <c r="P53" s="1250" t="e">
        <f>VLOOKUP(#REF!,Итоговая!C56:I483,2,FALSE)</f>
        <v>#REF!</v>
      </c>
      <c r="Q53" s="1250" t="e">
        <f>VLOOKUP(#REF!,Итоговая!C56:I483,4,FALSE)</f>
        <v>#REF!</v>
      </c>
      <c r="R53" s="1250" t="e">
        <f>VLOOKUP(#REF!,Итоговая!C56:I483,6,FALSE)</f>
        <v>#REF!</v>
      </c>
      <c r="S53" s="1250"/>
      <c r="T53" s="1251" t="e">
        <f>VLOOKUP(#REF!,Итоговая!AA56:AP483,16,FALSE)</f>
        <v>#REF!</v>
      </c>
    </row>
    <row r="54" spans="1:20" x14ac:dyDescent="0.25">
      <c r="A54" s="1248" t="s">
        <v>657</v>
      </c>
      <c r="B54" s="1250" t="s">
        <v>20277</v>
      </c>
      <c r="C54" s="1250" t="s">
        <v>20227</v>
      </c>
      <c r="D54" s="1251">
        <v>6.24</v>
      </c>
      <c r="E54" s="1251">
        <v>8.9600000000000009</v>
      </c>
      <c r="F54" s="1251">
        <v>0.11716304347826087</v>
      </c>
      <c r="G54" s="1251">
        <v>0</v>
      </c>
      <c r="H54" s="1251">
        <v>8.8428369565217402</v>
      </c>
      <c r="I54" s="1251"/>
      <c r="J54" s="1252" t="s">
        <v>20211</v>
      </c>
      <c r="K54" s="1250" t="s">
        <v>20211</v>
      </c>
      <c r="L54" s="1251">
        <v>58.448470562256297</v>
      </c>
      <c r="M54" s="1251">
        <v>36.413952207882701</v>
      </c>
      <c r="N54" s="1250" t="e">
        <f>VLOOKUP('Интерактивная карта'!#REF!,Итоговая!AA57:AV484,21,FALSE)</f>
        <v>#REF!</v>
      </c>
      <c r="O54" s="1250" t="e">
        <f>VLOOKUP('Интерактивная карта'!#REF!,Итоговая!AA57:AV484,22,FALSE)</f>
        <v>#REF!</v>
      </c>
      <c r="P54" s="1250" t="e">
        <f>VLOOKUP(#REF!,Итоговая!C57:I484,2,FALSE)</f>
        <v>#REF!</v>
      </c>
      <c r="Q54" s="1250" t="e">
        <f>VLOOKUP(#REF!,Итоговая!C57:I484,4,FALSE)</f>
        <v>#REF!</v>
      </c>
      <c r="R54" s="1250" t="e">
        <f>VLOOKUP(#REF!,Итоговая!C57:I484,6,FALSE)</f>
        <v>#REF!</v>
      </c>
      <c r="S54" s="1250"/>
      <c r="T54" s="1251" t="e">
        <f>VLOOKUP(#REF!,Итоговая!AA57:AP484,16,FALSE)</f>
        <v>#REF!</v>
      </c>
    </row>
    <row r="55" spans="1:20" x14ac:dyDescent="0.25">
      <c r="A55" s="1248" t="s">
        <v>658</v>
      </c>
      <c r="B55" s="1250" t="s">
        <v>20295</v>
      </c>
      <c r="C55" s="1250" t="s">
        <v>20226</v>
      </c>
      <c r="D55" s="1251">
        <v>14.23</v>
      </c>
      <c r="E55" s="1251">
        <v>16.72</v>
      </c>
      <c r="F55" s="1251">
        <v>0.40480434782608699</v>
      </c>
      <c r="G55" s="1251">
        <v>0</v>
      </c>
      <c r="H55" s="1251">
        <v>16.315195652173912</v>
      </c>
      <c r="I55" s="1251"/>
      <c r="J55" s="1252" t="s">
        <v>20211</v>
      </c>
      <c r="K55" s="1250" t="s">
        <v>20211</v>
      </c>
      <c r="L55" s="1251">
        <v>57.810277826926203</v>
      </c>
      <c r="M55" s="1251">
        <v>36.710883336967399</v>
      </c>
      <c r="N55" s="1250" t="e">
        <f>VLOOKUP('Интерактивная карта'!#REF!,Итоговая!AA58:AV485,21,FALSE)</f>
        <v>#REF!</v>
      </c>
      <c r="O55" s="1250" t="e">
        <f>VLOOKUP('Интерактивная карта'!#REF!,Итоговая!AA58:AV485,22,FALSE)</f>
        <v>#REF!</v>
      </c>
      <c r="P55" s="1250" t="e">
        <f>VLOOKUP(#REF!,Итоговая!C58:I485,2,FALSE)</f>
        <v>#REF!</v>
      </c>
      <c r="Q55" s="1250" t="e">
        <f>VLOOKUP(#REF!,Итоговая!C58:I485,4,FALSE)</f>
        <v>#REF!</v>
      </c>
      <c r="R55" s="1250" t="e">
        <f>VLOOKUP(#REF!,Итоговая!C58:I485,6,FALSE)</f>
        <v>#REF!</v>
      </c>
      <c r="S55" s="1250"/>
      <c r="T55" s="1251" t="e">
        <f>VLOOKUP(#REF!,Итоговая!AA58:AP485,16,FALSE)</f>
        <v>#REF!</v>
      </c>
    </row>
    <row r="56" spans="1:20" x14ac:dyDescent="0.25">
      <c r="A56" s="1248" t="s">
        <v>659</v>
      </c>
      <c r="B56" s="1250" t="s">
        <v>20271</v>
      </c>
      <c r="C56" s="1250" t="s">
        <v>20213</v>
      </c>
      <c r="D56" s="1251">
        <v>0.18</v>
      </c>
      <c r="E56" s="1251">
        <v>-0.16999999999999998</v>
      </c>
      <c r="F56" s="1251">
        <v>0</v>
      </c>
      <c r="G56" s="1251">
        <v>0</v>
      </c>
      <c r="H56" s="1251">
        <v>-0.16999999999999998</v>
      </c>
      <c r="I56" s="1251"/>
      <c r="J56" s="1252" t="s">
        <v>20211</v>
      </c>
      <c r="K56" s="1250" t="s">
        <v>2217</v>
      </c>
      <c r="L56" s="1251">
        <v>57.734708803120498</v>
      </c>
      <c r="M56" s="1251">
        <v>34.251455634969801</v>
      </c>
      <c r="N56" s="1250" t="e">
        <f>VLOOKUP('Интерактивная карта'!#REF!,Итоговая!AA59:AV486,21,FALSE)</f>
        <v>#REF!</v>
      </c>
      <c r="O56" s="1250" t="e">
        <f>VLOOKUP('Интерактивная карта'!#REF!,Итоговая!AA59:AV486,22,FALSE)</f>
        <v>#REF!</v>
      </c>
      <c r="P56" s="1250" t="e">
        <f>VLOOKUP(#REF!,Итоговая!C59:I486,2,FALSE)</f>
        <v>#REF!</v>
      </c>
      <c r="Q56" s="1250" t="e">
        <f>VLOOKUP(#REF!,Итоговая!C59:I486,4,FALSE)</f>
        <v>#REF!</v>
      </c>
      <c r="R56" s="1250" t="e">
        <f>VLOOKUP(#REF!,Итоговая!C59:I486,6,FALSE)</f>
        <v>#REF!</v>
      </c>
      <c r="S56" s="1250"/>
      <c r="T56" s="1251" t="e">
        <f>VLOOKUP(#REF!,Итоговая!AA59:AP486,16,FALSE)</f>
        <v>#REF!</v>
      </c>
    </row>
    <row r="57" spans="1:20" x14ac:dyDescent="0.25">
      <c r="A57" s="1248" t="s">
        <v>660</v>
      </c>
      <c r="B57" s="1250" t="s">
        <v>20294</v>
      </c>
      <c r="C57" s="1250" t="s">
        <v>20210</v>
      </c>
      <c r="D57" s="1251">
        <v>0.25</v>
      </c>
      <c r="E57" s="1251">
        <v>0</v>
      </c>
      <c r="F57" s="1251">
        <v>1.9565217391304349E-2</v>
      </c>
      <c r="G57" s="1251">
        <v>0</v>
      </c>
      <c r="H57" s="1251">
        <v>-1.7608695652173916E-2</v>
      </c>
      <c r="I57" s="1251"/>
      <c r="J57" s="1252" t="s">
        <v>20211</v>
      </c>
      <c r="K57" s="1250" t="s">
        <v>2217</v>
      </c>
      <c r="L57" s="1251">
        <v>57.337287818827299</v>
      </c>
      <c r="M57" s="1251">
        <v>33.695109920522803</v>
      </c>
      <c r="N57" s="1250" t="e">
        <f>VLOOKUP('Интерактивная карта'!#REF!,Итоговая!AA60:AV487,21,FALSE)</f>
        <v>#REF!</v>
      </c>
      <c r="O57" s="1250" t="e">
        <f>VLOOKUP('Интерактивная карта'!#REF!,Итоговая!AA60:AV487,22,FALSE)</f>
        <v>#REF!</v>
      </c>
      <c r="P57" s="1250" t="e">
        <f>VLOOKUP(#REF!,Итоговая!C60:I487,2,FALSE)</f>
        <v>#REF!</v>
      </c>
      <c r="Q57" s="1250" t="e">
        <f>VLOOKUP(#REF!,Итоговая!C60:I487,4,FALSE)</f>
        <v>#REF!</v>
      </c>
      <c r="R57" s="1250" t="e">
        <f>VLOOKUP(#REF!,Итоговая!C60:I487,6,FALSE)</f>
        <v>#REF!</v>
      </c>
      <c r="S57" s="1250"/>
      <c r="T57" s="1251" t="e">
        <f>VLOOKUP(#REF!,Итоговая!AA60:AP487,16,FALSE)</f>
        <v>#REF!</v>
      </c>
    </row>
    <row r="58" spans="1:20" x14ac:dyDescent="0.25">
      <c r="A58" s="1248" t="s">
        <v>661</v>
      </c>
      <c r="B58" s="1250" t="s">
        <v>20278</v>
      </c>
      <c r="C58" s="1250" t="s">
        <v>20214</v>
      </c>
      <c r="D58" s="1251">
        <v>1.58</v>
      </c>
      <c r="E58" s="1251">
        <v>-1.58</v>
      </c>
      <c r="F58" s="1251">
        <v>2.9347826086956524E-3</v>
      </c>
      <c r="G58" s="1251">
        <v>0</v>
      </c>
      <c r="H58" s="1251">
        <v>-1.5829347826086957</v>
      </c>
      <c r="I58" s="1251"/>
      <c r="J58" s="1252" t="s">
        <v>20211</v>
      </c>
      <c r="K58" s="1250" t="s">
        <v>2217</v>
      </c>
      <c r="L58" s="1251">
        <v>57.543570844495598</v>
      </c>
      <c r="M58" s="1251">
        <v>34.200940354594699</v>
      </c>
      <c r="N58" s="1250" t="e">
        <f>VLOOKUP('Интерактивная карта'!#REF!,Итоговая!AA61:AV488,21,FALSE)</f>
        <v>#REF!</v>
      </c>
      <c r="O58" s="1250" t="e">
        <f>VLOOKUP('Интерактивная карта'!#REF!,Итоговая!AA61:AV488,22,FALSE)</f>
        <v>#REF!</v>
      </c>
      <c r="P58" s="1250" t="e">
        <f>VLOOKUP(#REF!,Итоговая!C61:I488,2,FALSE)</f>
        <v>#REF!</v>
      </c>
      <c r="Q58" s="1250" t="e">
        <f>VLOOKUP(#REF!,Итоговая!C61:I488,4,FALSE)</f>
        <v>#REF!</v>
      </c>
      <c r="R58" s="1250" t="e">
        <f>VLOOKUP(#REF!,Итоговая!C61:I488,6,FALSE)</f>
        <v>#REF!</v>
      </c>
      <c r="S58" s="1250"/>
      <c r="T58" s="1251" t="e">
        <f>VLOOKUP(#REF!,Итоговая!AA61:AP488,16,FALSE)</f>
        <v>#REF!</v>
      </c>
    </row>
    <row r="59" spans="1:20" x14ac:dyDescent="0.25">
      <c r="A59" s="1248" t="s">
        <v>662</v>
      </c>
      <c r="B59" s="1250" t="s">
        <v>20278</v>
      </c>
      <c r="C59" s="1250" t="s">
        <v>20210</v>
      </c>
      <c r="D59" s="1251">
        <v>0.25</v>
      </c>
      <c r="E59" s="1251">
        <v>-7.0000000000000007E-2</v>
      </c>
      <c r="F59" s="1251">
        <v>2.4652173913043477E-2</v>
      </c>
      <c r="G59" s="1251">
        <v>0</v>
      </c>
      <c r="H59" s="1251">
        <v>-9.465217391304348E-2</v>
      </c>
      <c r="I59" s="1251"/>
      <c r="J59" s="1252" t="s">
        <v>20211</v>
      </c>
      <c r="K59" s="1250" t="s">
        <v>2217</v>
      </c>
      <c r="L59" s="1251">
        <v>57.903337170375103</v>
      </c>
      <c r="M59" s="1251">
        <v>34.781156242278399</v>
      </c>
      <c r="N59" s="1250" t="e">
        <f>VLOOKUP('Интерактивная карта'!#REF!,Итоговая!AA62:AV489,21,FALSE)</f>
        <v>#REF!</v>
      </c>
      <c r="O59" s="1250" t="e">
        <f>VLOOKUP('Интерактивная карта'!#REF!,Итоговая!AA62:AV489,22,FALSE)</f>
        <v>#REF!</v>
      </c>
      <c r="P59" s="1250" t="e">
        <f>VLOOKUP(#REF!,Итоговая!C62:I489,2,FALSE)</f>
        <v>#REF!</v>
      </c>
      <c r="Q59" s="1250" t="e">
        <f>VLOOKUP(#REF!,Итоговая!C62:I489,4,FALSE)</f>
        <v>#REF!</v>
      </c>
      <c r="R59" s="1250" t="e">
        <f>VLOOKUP(#REF!,Итоговая!C62:I489,6,FALSE)</f>
        <v>#REF!</v>
      </c>
      <c r="S59" s="1250"/>
      <c r="T59" s="1251" t="e">
        <f>VLOOKUP(#REF!,Итоговая!AA62:AP489,16,FALSE)</f>
        <v>#REF!</v>
      </c>
    </row>
    <row r="60" spans="1:20" x14ac:dyDescent="0.25">
      <c r="A60" s="1248" t="s">
        <v>663</v>
      </c>
      <c r="B60" s="1250" t="s">
        <v>20270</v>
      </c>
      <c r="C60" s="1250" t="s">
        <v>20210</v>
      </c>
      <c r="D60" s="1251">
        <v>0.39</v>
      </c>
      <c r="E60" s="1251">
        <v>-0.10000000000000003</v>
      </c>
      <c r="F60" s="1251">
        <v>0.1630434782608696</v>
      </c>
      <c r="G60" s="1251">
        <v>0</v>
      </c>
      <c r="H60" s="1251">
        <v>-0.2630434782608696</v>
      </c>
      <c r="I60" s="1251"/>
      <c r="J60" s="1252" t="s">
        <v>20211</v>
      </c>
      <c r="K60" s="1250" t="s">
        <v>2217</v>
      </c>
      <c r="L60" s="1251">
        <v>57.681961743865799</v>
      </c>
      <c r="M60" s="1251">
        <v>35.215466072650798</v>
      </c>
      <c r="N60" s="1250" t="e">
        <f>VLOOKUP('Интерактивная карта'!#REF!,Итоговая!AA63:AV490,21,FALSE)</f>
        <v>#REF!</v>
      </c>
      <c r="O60" s="1250" t="e">
        <f>VLOOKUP('Интерактивная карта'!#REF!,Итоговая!AA63:AV490,22,FALSE)</f>
        <v>#REF!</v>
      </c>
      <c r="P60" s="1250" t="e">
        <f>VLOOKUP(#REF!,Итоговая!C63:I490,2,FALSE)</f>
        <v>#REF!</v>
      </c>
      <c r="Q60" s="1250" t="e">
        <f>VLOOKUP(#REF!,Итоговая!C63:I490,4,FALSE)</f>
        <v>#REF!</v>
      </c>
      <c r="R60" s="1250" t="e">
        <f>VLOOKUP(#REF!,Итоговая!C63:I490,6,FALSE)</f>
        <v>#REF!</v>
      </c>
      <c r="S60" s="1250"/>
      <c r="T60" s="1251" t="e">
        <f>VLOOKUP(#REF!,Итоговая!AA63:AP490,16,FALSE)</f>
        <v>#REF!</v>
      </c>
    </row>
    <row r="61" spans="1:20" x14ac:dyDescent="0.25">
      <c r="A61" s="1248" t="s">
        <v>664</v>
      </c>
      <c r="B61" s="1250" t="s">
        <v>20294</v>
      </c>
      <c r="C61" s="1250" t="s">
        <v>20212</v>
      </c>
      <c r="D61" s="1251">
        <v>0.23</v>
      </c>
      <c r="E61" s="1251">
        <v>-0.09</v>
      </c>
      <c r="F61" s="1251">
        <v>0</v>
      </c>
      <c r="G61" s="1251">
        <v>0</v>
      </c>
      <c r="H61" s="1251">
        <v>-0.09</v>
      </c>
      <c r="I61" s="1251"/>
      <c r="J61" s="1252" t="s">
        <v>20211</v>
      </c>
      <c r="K61" s="1250" t="s">
        <v>2217</v>
      </c>
      <c r="L61" s="1251">
        <v>57.3974539559403</v>
      </c>
      <c r="M61" s="1251">
        <v>34.1217816220665</v>
      </c>
      <c r="N61" s="1250" t="e">
        <f>VLOOKUP('Интерактивная карта'!#REF!,Итоговая!AA64:AV491,21,FALSE)</f>
        <v>#REF!</v>
      </c>
      <c r="O61" s="1250" t="e">
        <f>VLOOKUP('Интерактивная карта'!#REF!,Итоговая!AA64:AV491,22,FALSE)</f>
        <v>#REF!</v>
      </c>
      <c r="P61" s="1250" t="e">
        <f>VLOOKUP(#REF!,Итоговая!C64:I491,2,FALSE)</f>
        <v>#REF!</v>
      </c>
      <c r="Q61" s="1250" t="e">
        <f>VLOOKUP(#REF!,Итоговая!C64:I491,4,FALSE)</f>
        <v>#REF!</v>
      </c>
      <c r="R61" s="1250" t="e">
        <f>VLOOKUP(#REF!,Итоговая!C64:I491,6,FALSE)</f>
        <v>#REF!</v>
      </c>
      <c r="S61" s="1250"/>
      <c r="T61" s="1251" t="e">
        <f>VLOOKUP(#REF!,Итоговая!AA64:AP491,16,FALSE)</f>
        <v>#REF!</v>
      </c>
    </row>
    <row r="62" spans="1:20" x14ac:dyDescent="0.25">
      <c r="A62" s="1248" t="s">
        <v>665</v>
      </c>
      <c r="B62" s="1250" t="s">
        <v>20296</v>
      </c>
      <c r="C62" s="1250" t="s">
        <v>20212</v>
      </c>
      <c r="D62" s="1251">
        <v>7.0000000000000007E-2</v>
      </c>
      <c r="E62" s="1251">
        <v>-2.0000000000000004E-2</v>
      </c>
      <c r="F62" s="1251">
        <v>0.81234782608695655</v>
      </c>
      <c r="G62" s="1251">
        <v>0</v>
      </c>
      <c r="H62" s="1251">
        <v>-0.83234782608695657</v>
      </c>
      <c r="I62" s="1251"/>
      <c r="J62" s="1252" t="s">
        <v>20211</v>
      </c>
      <c r="K62" s="1250" t="s">
        <v>2217</v>
      </c>
      <c r="L62" s="1251">
        <v>57.979977683273901</v>
      </c>
      <c r="M62" s="1251">
        <v>33.650923326913897</v>
      </c>
      <c r="N62" s="1250" t="e">
        <f>VLOOKUP('Интерактивная карта'!#REF!,Итоговая!AA65:AV492,21,FALSE)</f>
        <v>#REF!</v>
      </c>
      <c r="O62" s="1250" t="e">
        <f>VLOOKUP('Интерактивная карта'!#REF!,Итоговая!AA65:AV492,22,FALSE)</f>
        <v>#REF!</v>
      </c>
      <c r="P62" s="1250" t="e">
        <f>VLOOKUP(#REF!,Итоговая!C65:I492,2,FALSE)</f>
        <v>#REF!</v>
      </c>
      <c r="Q62" s="1250" t="e">
        <f>VLOOKUP(#REF!,Итоговая!C65:I492,4,FALSE)</f>
        <v>#REF!</v>
      </c>
      <c r="R62" s="1250" t="e">
        <f>VLOOKUP(#REF!,Итоговая!C65:I492,6,FALSE)</f>
        <v>#REF!</v>
      </c>
      <c r="S62" s="1250"/>
      <c r="T62" s="1251" t="e">
        <f>VLOOKUP(#REF!,Итоговая!AA65:AP492,16,FALSE)</f>
        <v>#REF!</v>
      </c>
    </row>
    <row r="63" spans="1:20" x14ac:dyDescent="0.25">
      <c r="A63" s="1248" t="s">
        <v>666</v>
      </c>
      <c r="B63" s="1250" t="s">
        <v>20266</v>
      </c>
      <c r="C63" s="1250" t="s">
        <v>6923</v>
      </c>
      <c r="D63" s="1251">
        <v>0.78</v>
      </c>
      <c r="E63" s="1251">
        <v>-0.24</v>
      </c>
      <c r="F63" s="1251">
        <v>1.8586956521739129E-2</v>
      </c>
      <c r="G63" s="1251">
        <v>0</v>
      </c>
      <c r="H63" s="1251">
        <v>-0.25858695652173913</v>
      </c>
      <c r="I63" s="1251"/>
      <c r="J63" s="1252" t="s">
        <v>20211</v>
      </c>
      <c r="K63" s="1250" t="s">
        <v>2217</v>
      </c>
      <c r="L63" s="1251">
        <v>57.280755054760697</v>
      </c>
      <c r="M63" s="1251">
        <v>34.229776902529103</v>
      </c>
      <c r="N63" s="1250" t="e">
        <f>VLOOKUP('Интерактивная карта'!#REF!,Итоговая!AA66:AV493,21,FALSE)</f>
        <v>#REF!</v>
      </c>
      <c r="O63" s="1250" t="e">
        <f>VLOOKUP('Интерактивная карта'!#REF!,Итоговая!AA66:AV493,22,FALSE)</f>
        <v>#REF!</v>
      </c>
      <c r="P63" s="1250" t="e">
        <f>VLOOKUP(#REF!,Итоговая!C66:I493,2,FALSE)</f>
        <v>#REF!</v>
      </c>
      <c r="Q63" s="1250" t="e">
        <f>VLOOKUP(#REF!,Итоговая!C66:I493,4,FALSE)</f>
        <v>#REF!</v>
      </c>
      <c r="R63" s="1250" t="e">
        <f>VLOOKUP(#REF!,Итоговая!C66:I493,6,FALSE)</f>
        <v>#REF!</v>
      </c>
      <c r="S63" s="1250"/>
      <c r="T63" s="1251" t="e">
        <f>VLOOKUP(#REF!,Итоговая!AA66:AP493,16,FALSE)</f>
        <v>#REF!</v>
      </c>
    </row>
    <row r="64" spans="1:20" x14ac:dyDescent="0.25">
      <c r="A64" s="1248" t="s">
        <v>667</v>
      </c>
      <c r="B64" s="1250" t="s">
        <v>20297</v>
      </c>
      <c r="C64" s="1250" t="s">
        <v>2043</v>
      </c>
      <c r="D64" s="1251">
        <v>0.27</v>
      </c>
      <c r="E64" s="1251">
        <v>-9.0000000000000024E-2</v>
      </c>
      <c r="F64" s="1251">
        <v>3.5217391304347825E-2</v>
      </c>
      <c r="G64" s="1251">
        <v>0</v>
      </c>
      <c r="H64" s="1251">
        <v>-0.12521739130434784</v>
      </c>
      <c r="I64" s="1251"/>
      <c r="J64" s="1252" t="s">
        <v>20211</v>
      </c>
      <c r="K64" s="1250" t="s">
        <v>2217</v>
      </c>
      <c r="L64" s="1251">
        <v>57.950902775863199</v>
      </c>
      <c r="M64" s="1251">
        <v>35.015180866362698</v>
      </c>
      <c r="N64" s="1250" t="e">
        <f>VLOOKUP('Интерактивная карта'!#REF!,Итоговая!AA67:AV494,21,FALSE)</f>
        <v>#REF!</v>
      </c>
      <c r="O64" s="1250" t="e">
        <f>VLOOKUP('Интерактивная карта'!#REF!,Итоговая!AA67:AV494,22,FALSE)</f>
        <v>#REF!</v>
      </c>
      <c r="P64" s="1250" t="e">
        <f>VLOOKUP(#REF!,Итоговая!C67:I494,2,FALSE)</f>
        <v>#REF!</v>
      </c>
      <c r="Q64" s="1250" t="e">
        <f>VLOOKUP(#REF!,Итоговая!C67:I494,4,FALSE)</f>
        <v>#REF!</v>
      </c>
      <c r="R64" s="1250" t="e">
        <f>VLOOKUP(#REF!,Итоговая!C67:I494,6,FALSE)</f>
        <v>#REF!</v>
      </c>
      <c r="S64" s="1250"/>
      <c r="T64" s="1251" t="e">
        <f>VLOOKUP(#REF!,Итоговая!AA67:AP494,16,FALSE)</f>
        <v>#REF!</v>
      </c>
    </row>
    <row r="65" spans="1:20" x14ac:dyDescent="0.25">
      <c r="A65" s="1248" t="s">
        <v>668</v>
      </c>
      <c r="B65" s="1250" t="s">
        <v>20298</v>
      </c>
      <c r="C65" s="1250" t="s">
        <v>20213</v>
      </c>
      <c r="D65" s="1251">
        <v>2.37</v>
      </c>
      <c r="E65" s="1251">
        <v>-1.4700000000000002</v>
      </c>
      <c r="F65" s="1251">
        <v>0</v>
      </c>
      <c r="G65" s="1251">
        <v>0</v>
      </c>
      <c r="H65" s="1251">
        <v>-1.4700000000000002</v>
      </c>
      <c r="I65" s="1251"/>
      <c r="J65" s="1252" t="s">
        <v>20211</v>
      </c>
      <c r="K65" s="1250" t="s">
        <v>2217</v>
      </c>
      <c r="L65" s="1251">
        <v>57.604268408936399</v>
      </c>
      <c r="M65" s="1251">
        <v>34.597035020600103</v>
      </c>
      <c r="N65" s="1250" t="e">
        <f>VLOOKUP('Интерактивная карта'!#REF!,Итоговая!AA68:AV495,21,FALSE)</f>
        <v>#REF!</v>
      </c>
      <c r="O65" s="1250" t="e">
        <f>VLOOKUP('Интерактивная карта'!#REF!,Итоговая!AA68:AV495,22,FALSE)</f>
        <v>#REF!</v>
      </c>
      <c r="P65" s="1250" t="e">
        <f>VLOOKUP(#REF!,Итоговая!C68:I495,2,FALSE)</f>
        <v>#REF!</v>
      </c>
      <c r="Q65" s="1250" t="e">
        <f>VLOOKUP(#REF!,Итоговая!C68:I495,4,FALSE)</f>
        <v>#REF!</v>
      </c>
      <c r="R65" s="1250" t="e">
        <f>VLOOKUP(#REF!,Итоговая!C68:I495,6,FALSE)</f>
        <v>#REF!</v>
      </c>
      <c r="S65" s="1250"/>
      <c r="T65" s="1251" t="e">
        <f>VLOOKUP(#REF!,Итоговая!AA68:AP495,16,FALSE)</f>
        <v>#REF!</v>
      </c>
    </row>
    <row r="66" spans="1:20" x14ac:dyDescent="0.25">
      <c r="A66" s="1248" t="s">
        <v>669</v>
      </c>
      <c r="B66" s="1250" t="s">
        <v>20299</v>
      </c>
      <c r="C66" s="1250" t="s">
        <v>20228</v>
      </c>
      <c r="D66" s="1251">
        <v>0.64</v>
      </c>
      <c r="E66" s="1251">
        <v>0.41000000000000003</v>
      </c>
      <c r="F66" s="1251">
        <v>0</v>
      </c>
      <c r="G66" s="1251">
        <v>0</v>
      </c>
      <c r="H66" s="1251">
        <v>0.41000000000000003</v>
      </c>
      <c r="I66" s="1251"/>
      <c r="J66" s="1252" t="s">
        <v>20211</v>
      </c>
      <c r="K66" s="1250" t="s">
        <v>20211</v>
      </c>
      <c r="L66" s="1251">
        <v>57.872847658966101</v>
      </c>
      <c r="M66" s="1251">
        <v>33.584345984605797</v>
      </c>
      <c r="N66" s="1250" t="e">
        <f>VLOOKUP('Интерактивная карта'!#REF!,Итоговая!AA69:AV496,21,FALSE)</f>
        <v>#REF!</v>
      </c>
      <c r="O66" s="1250" t="e">
        <f>VLOOKUP('Интерактивная карта'!#REF!,Итоговая!AA69:AV496,22,FALSE)</f>
        <v>#REF!</v>
      </c>
      <c r="P66" s="1250" t="e">
        <f>VLOOKUP(#REF!,Итоговая!C69:I496,2,FALSE)</f>
        <v>#REF!</v>
      </c>
      <c r="Q66" s="1250" t="e">
        <f>VLOOKUP(#REF!,Итоговая!C69:I496,4,FALSE)</f>
        <v>#REF!</v>
      </c>
      <c r="R66" s="1250" t="e">
        <f>VLOOKUP(#REF!,Итоговая!C69:I496,6,FALSE)</f>
        <v>#REF!</v>
      </c>
      <c r="S66" s="1250"/>
      <c r="T66" s="1251" t="e">
        <f>VLOOKUP(#REF!,Итоговая!AA69:AP496,16,FALSE)</f>
        <v>#REF!</v>
      </c>
    </row>
    <row r="67" spans="1:20" x14ac:dyDescent="0.25">
      <c r="A67" s="1248" t="s">
        <v>670</v>
      </c>
      <c r="B67" s="1250" t="s">
        <v>20268</v>
      </c>
      <c r="C67" s="1250" t="s">
        <v>20229</v>
      </c>
      <c r="D67" s="1251">
        <v>3.76</v>
      </c>
      <c r="E67" s="1251">
        <v>2.8550000000000004</v>
      </c>
      <c r="F67" s="1251">
        <v>0</v>
      </c>
      <c r="G67" s="1251">
        <v>0</v>
      </c>
      <c r="H67" s="1251">
        <v>2.8550000000000004</v>
      </c>
      <c r="I67" s="1251"/>
      <c r="J67" s="1252" t="s">
        <v>20211</v>
      </c>
      <c r="K67" s="1250" t="s">
        <v>20211</v>
      </c>
      <c r="L67" s="1251">
        <v>57.583092008346497</v>
      </c>
      <c r="M67" s="1251">
        <v>34.519063126938597</v>
      </c>
      <c r="N67" s="1250" t="e">
        <f>VLOOKUP('Интерактивная карта'!#REF!,Итоговая!AA70:AV497,21,FALSE)</f>
        <v>#REF!</v>
      </c>
      <c r="O67" s="1250" t="e">
        <f>VLOOKUP('Интерактивная карта'!#REF!,Итоговая!AA70:AV497,22,FALSE)</f>
        <v>#REF!</v>
      </c>
      <c r="P67" s="1250" t="e">
        <f>VLOOKUP(#REF!,Итоговая!C70:I497,2,FALSE)</f>
        <v>#REF!</v>
      </c>
      <c r="Q67" s="1250" t="e">
        <f>VLOOKUP(#REF!,Итоговая!C70:I497,4,FALSE)</f>
        <v>#REF!</v>
      </c>
      <c r="R67" s="1250" t="e">
        <f>VLOOKUP(#REF!,Итоговая!C70:I497,6,FALSE)</f>
        <v>#REF!</v>
      </c>
      <c r="S67" s="1250"/>
      <c r="T67" s="1251" t="e">
        <f>VLOOKUP(#REF!,Итоговая!AA70:AP497,16,FALSE)</f>
        <v>#REF!</v>
      </c>
    </row>
    <row r="68" spans="1:20" x14ac:dyDescent="0.25">
      <c r="A68" s="1248" t="s">
        <v>671</v>
      </c>
      <c r="B68" s="1250" t="s">
        <v>20300</v>
      </c>
      <c r="C68" s="1250" t="s">
        <v>20230</v>
      </c>
      <c r="D68" s="1251">
        <v>0.93</v>
      </c>
      <c r="E68" s="1251">
        <v>2.6300000000000003</v>
      </c>
      <c r="F68" s="1251">
        <v>9.0978260869565217E-3</v>
      </c>
      <c r="G68" s="1251">
        <v>0</v>
      </c>
      <c r="H68" s="1251">
        <v>2.620902173913044</v>
      </c>
      <c r="I68" s="1251"/>
      <c r="J68" s="1252" t="s">
        <v>20211</v>
      </c>
      <c r="K68" s="1250" t="s">
        <v>20211</v>
      </c>
      <c r="L68" s="1251">
        <v>57.711664222731898</v>
      </c>
      <c r="M68" s="1251">
        <v>34.308029350708203</v>
      </c>
      <c r="N68" s="1250" t="e">
        <f>VLOOKUP('Интерактивная карта'!#REF!,Итоговая!AA71:AV498,21,FALSE)</f>
        <v>#REF!</v>
      </c>
      <c r="O68" s="1250" t="e">
        <f>VLOOKUP('Интерактивная карта'!#REF!,Итоговая!AA71:AV498,22,FALSE)</f>
        <v>#REF!</v>
      </c>
      <c r="P68" s="1250" t="e">
        <f>VLOOKUP(#REF!,Итоговая!C71:I498,2,FALSE)</f>
        <v>#REF!</v>
      </c>
      <c r="Q68" s="1250" t="e">
        <f>VLOOKUP(#REF!,Итоговая!C71:I498,4,FALSE)</f>
        <v>#REF!</v>
      </c>
      <c r="R68" s="1250" t="e">
        <f>VLOOKUP(#REF!,Итоговая!C71:I498,6,FALSE)</f>
        <v>#REF!</v>
      </c>
      <c r="S68" s="1250"/>
      <c r="T68" s="1251" t="e">
        <f>VLOOKUP(#REF!,Итоговая!AA71:AP498,16,FALSE)</f>
        <v>#REF!</v>
      </c>
    </row>
    <row r="69" spans="1:20" x14ac:dyDescent="0.25">
      <c r="A69" s="1248" t="s">
        <v>672</v>
      </c>
      <c r="B69" s="1250" t="s">
        <v>20301</v>
      </c>
      <c r="C69" s="1250" t="s">
        <v>20231</v>
      </c>
      <c r="D69" s="1251">
        <v>0.05</v>
      </c>
      <c r="E69" s="1251">
        <v>1.6300000000000001</v>
      </c>
      <c r="F69" s="1251">
        <v>3.8739130434782602E-2</v>
      </c>
      <c r="G69" s="1251">
        <v>0</v>
      </c>
      <c r="H69" s="1251">
        <v>1.5912608695652175</v>
      </c>
      <c r="I69" s="1251"/>
      <c r="J69" s="1252" t="s">
        <v>20211</v>
      </c>
      <c r="K69" s="1250" t="s">
        <v>20211</v>
      </c>
      <c r="L69" s="1251">
        <v>57.8240221041303</v>
      </c>
      <c r="M69" s="1251">
        <v>33.545197760664401</v>
      </c>
      <c r="N69" s="1250" t="e">
        <f>VLOOKUP('Интерактивная карта'!#REF!,Итоговая!AA72:AV499,21,FALSE)</f>
        <v>#REF!</v>
      </c>
      <c r="O69" s="1250">
        <v>2014</v>
      </c>
      <c r="P69" s="1250" t="e">
        <f>VLOOKUP(#REF!,Итоговая!C72:I499,2,FALSE)</f>
        <v>#REF!</v>
      </c>
      <c r="Q69" s="1250" t="e">
        <f>VLOOKUP(#REF!,Итоговая!C72:I499,4,FALSE)</f>
        <v>#REF!</v>
      </c>
      <c r="R69" s="1250" t="e">
        <f>VLOOKUP(#REF!,Итоговая!C72:I499,6,FALSE)</f>
        <v>#REF!</v>
      </c>
      <c r="S69" s="1250"/>
      <c r="T69" s="1251" t="e">
        <f>VLOOKUP(#REF!,Итоговая!AA72:AP499,16,FALSE)</f>
        <v>#REF!</v>
      </c>
    </row>
    <row r="70" spans="1:20" x14ac:dyDescent="0.25">
      <c r="A70" s="1248" t="s">
        <v>1744</v>
      </c>
      <c r="B70" s="1250" t="s">
        <v>20300</v>
      </c>
      <c r="C70" s="1250" t="s">
        <v>20227</v>
      </c>
      <c r="D70" s="1251">
        <v>4.63</v>
      </c>
      <c r="E70" s="1251">
        <v>5.87</v>
      </c>
      <c r="F70" s="1251">
        <v>1.6739999999999997</v>
      </c>
      <c r="G70" s="1251">
        <v>0.03</v>
      </c>
      <c r="H70" s="1251">
        <v>4.1960000000000006</v>
      </c>
      <c r="I70" s="1251"/>
      <c r="J70" s="1252" t="s">
        <v>20211</v>
      </c>
      <c r="K70" s="1250" t="s">
        <v>20211</v>
      </c>
      <c r="L70" s="1251">
        <v>57.868926338664501</v>
      </c>
      <c r="M70" s="1251">
        <v>33.678183903363703</v>
      </c>
      <c r="N70" s="1250" t="e">
        <f>VLOOKUP('Интерактивная карта'!#REF!,Итоговая!AA73:AV500,21,FALSE)</f>
        <v>#REF!</v>
      </c>
      <c r="O70" s="1250" t="e">
        <f>VLOOKUP('Интерактивная карта'!#REF!,Итоговая!AA73:AV500,22,FALSE)</f>
        <v>#REF!</v>
      </c>
      <c r="P70" s="1250" t="e">
        <f>VLOOKUP(#REF!,Итоговая!C73:I500,2,FALSE)</f>
        <v>#REF!</v>
      </c>
      <c r="Q70" s="1250" t="e">
        <f>VLOOKUP(#REF!,Итоговая!C73:I500,4,FALSE)</f>
        <v>#REF!</v>
      </c>
      <c r="R70" s="1250" t="e">
        <f>VLOOKUP(#REF!,Итоговая!C73:I500,6,FALSE)</f>
        <v>#REF!</v>
      </c>
      <c r="S70" s="1250"/>
      <c r="T70" s="1251" t="e">
        <f>VLOOKUP(#REF!,Итоговая!AA73:AP500,16,FALSE)</f>
        <v>#REF!</v>
      </c>
    </row>
    <row r="71" spans="1:20" x14ac:dyDescent="0.25">
      <c r="A71" s="1248" t="s">
        <v>673</v>
      </c>
      <c r="B71" s="1250" t="s">
        <v>20295</v>
      </c>
      <c r="C71" s="1250" t="s">
        <v>20232</v>
      </c>
      <c r="D71" s="1251">
        <v>1.89</v>
      </c>
      <c r="E71" s="1251">
        <v>1.4700000000000004</v>
      </c>
      <c r="F71" s="1251">
        <v>0</v>
      </c>
      <c r="G71" s="1251">
        <v>0</v>
      </c>
      <c r="H71" s="1251">
        <v>1.4700000000000004</v>
      </c>
      <c r="I71" s="1251"/>
      <c r="J71" s="1252" t="s">
        <v>20211</v>
      </c>
      <c r="K71" s="1250" t="s">
        <v>20211</v>
      </c>
      <c r="L71" s="1251">
        <v>57.670826900589198</v>
      </c>
      <c r="M71" s="1251">
        <v>34.143911100993201</v>
      </c>
      <c r="N71" s="1250" t="e">
        <f>VLOOKUP('Интерактивная карта'!#REF!,Итоговая!AA74:AV501,21,FALSE)</f>
        <v>#REF!</v>
      </c>
      <c r="O71" s="1250" t="e">
        <f>VLOOKUP('Интерактивная карта'!#REF!,Итоговая!AA74:AV501,22,FALSE)</f>
        <v>#REF!</v>
      </c>
      <c r="P71" s="1250" t="e">
        <f>VLOOKUP(#REF!,Итоговая!C74:I501,2,FALSE)</f>
        <v>#REF!</v>
      </c>
      <c r="Q71" s="1250" t="e">
        <f>VLOOKUP(#REF!,Итоговая!C74:I501,4,FALSE)</f>
        <v>#REF!</v>
      </c>
      <c r="R71" s="1250" t="e">
        <f>VLOOKUP(#REF!,Итоговая!C74:I501,6,FALSE)</f>
        <v>#REF!</v>
      </c>
      <c r="S71" s="1250"/>
      <c r="T71" s="1251" t="e">
        <f>VLOOKUP(#REF!,Итоговая!AA74:AP501,16,FALSE)</f>
        <v>#REF!</v>
      </c>
    </row>
    <row r="72" spans="1:20" x14ac:dyDescent="0.25">
      <c r="A72" s="1248" t="s">
        <v>674</v>
      </c>
      <c r="B72" s="1250" t="s">
        <v>20271</v>
      </c>
      <c r="C72" s="1250" t="s">
        <v>20222</v>
      </c>
      <c r="D72" s="1251">
        <v>0.84</v>
      </c>
      <c r="E72" s="1251">
        <v>1.9850000000000001</v>
      </c>
      <c r="F72" s="1251">
        <v>3.0521739130434784E-2</v>
      </c>
      <c r="G72" s="1251">
        <v>0.09</v>
      </c>
      <c r="H72" s="1251">
        <v>1.9544782608695652</v>
      </c>
      <c r="I72" s="1251"/>
      <c r="J72" s="1252" t="s">
        <v>20211</v>
      </c>
      <c r="K72" s="1250" t="s">
        <v>20211</v>
      </c>
      <c r="L72" s="1251">
        <v>57.7721481817238</v>
      </c>
      <c r="M72" s="1251">
        <v>34.383550362481301</v>
      </c>
      <c r="N72" s="1250" t="e">
        <f>VLOOKUP('Интерактивная карта'!#REF!,Итоговая!AA75:AV502,21,FALSE)</f>
        <v>#REF!</v>
      </c>
      <c r="O72" s="1250" t="e">
        <f>VLOOKUP('Интерактивная карта'!#REF!,Итоговая!AA75:AV502,22,FALSE)</f>
        <v>#REF!</v>
      </c>
      <c r="P72" s="1250" t="e">
        <f>VLOOKUP(#REF!,Итоговая!C75:I502,2,FALSE)</f>
        <v>#REF!</v>
      </c>
      <c r="Q72" s="1250" t="e">
        <f>VLOOKUP(#REF!,Итоговая!C75:I502,4,FALSE)</f>
        <v>#REF!</v>
      </c>
      <c r="R72" s="1250" t="e">
        <f>VLOOKUP(#REF!,Итоговая!C75:I502,6,FALSE)</f>
        <v>#REF!</v>
      </c>
      <c r="S72" s="1250"/>
      <c r="T72" s="1251" t="e">
        <f>VLOOKUP(#REF!,Итоговая!AA75:AP502,16,FALSE)</f>
        <v>#REF!</v>
      </c>
    </row>
    <row r="73" spans="1:20" x14ac:dyDescent="0.25">
      <c r="A73" s="1248" t="s">
        <v>675</v>
      </c>
      <c r="B73" s="1250" t="s">
        <v>20302</v>
      </c>
      <c r="C73" s="1250" t="s">
        <v>20225</v>
      </c>
      <c r="D73" s="1251">
        <v>0.46</v>
      </c>
      <c r="E73" s="1251">
        <v>6.1550000000000002</v>
      </c>
      <c r="F73" s="1251">
        <v>0</v>
      </c>
      <c r="G73" s="1251">
        <v>0</v>
      </c>
      <c r="H73" s="1251">
        <v>6.1550000000000002</v>
      </c>
      <c r="I73" s="1251"/>
      <c r="J73" s="1252" t="s">
        <v>20211</v>
      </c>
      <c r="K73" s="1250" t="s">
        <v>20211</v>
      </c>
      <c r="L73" s="1251">
        <v>57.8442779260156</v>
      </c>
      <c r="M73" s="1251">
        <v>34.162693792070002</v>
      </c>
      <c r="N73" s="1250" t="e">
        <f>VLOOKUP('Интерактивная карта'!#REF!,Итоговая!AA76:AV503,21,FALSE)</f>
        <v>#REF!</v>
      </c>
      <c r="O73" s="1250" t="e">
        <f>VLOOKUP('Интерактивная карта'!#REF!,Итоговая!AA76:AV503,22,FALSE)</f>
        <v>#REF!</v>
      </c>
      <c r="P73" s="1250" t="e">
        <f>VLOOKUP(#REF!,Итоговая!C76:I503,2,FALSE)</f>
        <v>#REF!</v>
      </c>
      <c r="Q73" s="1250" t="e">
        <f>VLOOKUP(#REF!,Итоговая!C76:I503,4,FALSE)</f>
        <v>#REF!</v>
      </c>
      <c r="R73" s="1250" t="e">
        <f>VLOOKUP(#REF!,Итоговая!C76:I503,6,FALSE)</f>
        <v>#REF!</v>
      </c>
      <c r="S73" s="1250"/>
      <c r="T73" s="1251" t="e">
        <f>VLOOKUP(#REF!,Итоговая!AA76:AP503,16,FALSE)</f>
        <v>#REF!</v>
      </c>
    </row>
    <row r="74" spans="1:20" x14ac:dyDescent="0.25">
      <c r="A74" s="1248" t="s">
        <v>676</v>
      </c>
      <c r="B74" s="1250" t="s">
        <v>20303</v>
      </c>
      <c r="C74" s="1250" t="s">
        <v>20220</v>
      </c>
      <c r="D74" s="1251">
        <v>1.27</v>
      </c>
      <c r="E74" s="1251">
        <v>2.93</v>
      </c>
      <c r="F74" s="1251">
        <v>7.2782608695652173E-2</v>
      </c>
      <c r="G74" s="1251">
        <v>0</v>
      </c>
      <c r="H74" s="1251">
        <v>2.8572173913043479</v>
      </c>
      <c r="I74" s="1251"/>
      <c r="J74" s="1252" t="s">
        <v>20211</v>
      </c>
      <c r="K74" s="1250" t="s">
        <v>20211</v>
      </c>
      <c r="L74" s="1251">
        <v>57.442031982207403</v>
      </c>
      <c r="M74" s="1251">
        <v>33.814412439192097</v>
      </c>
      <c r="N74" s="1250" t="e">
        <f>VLOOKUP('Интерактивная карта'!#REF!,Итоговая!AA77:AV504,21,FALSE)</f>
        <v>#REF!</v>
      </c>
      <c r="O74" s="1250" t="e">
        <f>VLOOKUP('Интерактивная карта'!#REF!,Итоговая!AA77:AV504,22,FALSE)</f>
        <v>#REF!</v>
      </c>
      <c r="P74" s="1250" t="e">
        <f>VLOOKUP(#REF!,Итоговая!C77:I504,2,FALSE)</f>
        <v>#REF!</v>
      </c>
      <c r="Q74" s="1250" t="e">
        <f>VLOOKUP(#REF!,Итоговая!C77:I504,4,FALSE)</f>
        <v>#REF!</v>
      </c>
      <c r="R74" s="1250" t="e">
        <f>VLOOKUP(#REF!,Итоговая!C77:I504,6,FALSE)</f>
        <v>#REF!</v>
      </c>
      <c r="S74" s="1250"/>
      <c r="T74" s="1251" t="e">
        <f>VLOOKUP(#REF!,Итоговая!AA77:AP504,16,FALSE)</f>
        <v>#REF!</v>
      </c>
    </row>
    <row r="75" spans="1:20" x14ac:dyDescent="0.25">
      <c r="A75" s="1248" t="s">
        <v>677</v>
      </c>
      <c r="B75" s="1250" t="s">
        <v>20271</v>
      </c>
      <c r="C75" s="1250" t="s">
        <v>20233</v>
      </c>
      <c r="D75" s="1251">
        <v>0.89</v>
      </c>
      <c r="E75" s="1251">
        <v>0.79000000000000015</v>
      </c>
      <c r="F75" s="1251">
        <v>9.8217391304347812E-2</v>
      </c>
      <c r="G75" s="1251">
        <v>0</v>
      </c>
      <c r="H75" s="1251">
        <v>0.69178260869565233</v>
      </c>
      <c r="I75" s="1251"/>
      <c r="J75" s="1252" t="s">
        <v>20211</v>
      </c>
      <c r="K75" s="1250" t="s">
        <v>20211</v>
      </c>
      <c r="L75" s="1251">
        <v>57.3579252791329</v>
      </c>
      <c r="M75" s="1251">
        <v>34.836595533239702</v>
      </c>
      <c r="N75" s="1250" t="e">
        <f>VLOOKUP('Интерактивная карта'!#REF!,Итоговая!AA78:AV505,21,FALSE)</f>
        <v>#REF!</v>
      </c>
      <c r="O75" s="1250" t="e">
        <f>VLOOKUP('Интерактивная карта'!#REF!,Итоговая!AA78:AV505,22,FALSE)</f>
        <v>#REF!</v>
      </c>
      <c r="P75" s="1250" t="e">
        <f>VLOOKUP(#REF!,Итоговая!C78:I505,2,FALSE)</f>
        <v>#REF!</v>
      </c>
      <c r="Q75" s="1250" t="e">
        <f>VLOOKUP(#REF!,Итоговая!C78:I505,4,FALSE)</f>
        <v>#REF!</v>
      </c>
      <c r="R75" s="1250" t="e">
        <f>VLOOKUP(#REF!,Итоговая!C78:I505,6,FALSE)</f>
        <v>#REF!</v>
      </c>
      <c r="S75" s="1250"/>
      <c r="T75" s="1251" t="e">
        <f>VLOOKUP(#REF!,Итоговая!AA78:AP505,16,FALSE)</f>
        <v>#REF!</v>
      </c>
    </row>
    <row r="76" spans="1:20" x14ac:dyDescent="0.25">
      <c r="A76" s="1248" t="s">
        <v>678</v>
      </c>
      <c r="B76" s="1250" t="s">
        <v>20289</v>
      </c>
      <c r="C76" s="1250" t="s">
        <v>20233</v>
      </c>
      <c r="D76" s="1251">
        <v>0.27</v>
      </c>
      <c r="E76" s="1251">
        <v>1.81</v>
      </c>
      <c r="F76" s="1251">
        <v>1.7608695652173913E-2</v>
      </c>
      <c r="G76" s="1251">
        <v>0</v>
      </c>
      <c r="H76" s="1251">
        <v>1.7923913043478261</v>
      </c>
      <c r="I76" s="1251"/>
      <c r="J76" s="1252" t="s">
        <v>20211</v>
      </c>
      <c r="K76" s="1250" t="s">
        <v>20211</v>
      </c>
      <c r="L76" s="1251">
        <v>57.767868441990103</v>
      </c>
      <c r="M76" s="1251">
        <v>34.892569280207297</v>
      </c>
      <c r="N76" s="1250" t="e">
        <f>VLOOKUP('Интерактивная карта'!#REF!,Итоговая!AA79:AV506,21,FALSE)</f>
        <v>#REF!</v>
      </c>
      <c r="O76" s="1250" t="e">
        <f>VLOOKUP('Интерактивная карта'!#REF!,Итоговая!AA79:AV506,22,FALSE)</f>
        <v>#REF!</v>
      </c>
      <c r="P76" s="1250" t="e">
        <f>VLOOKUP(#REF!,Итоговая!C79:I506,2,FALSE)</f>
        <v>#REF!</v>
      </c>
      <c r="Q76" s="1250" t="e">
        <f>VLOOKUP(#REF!,Итоговая!C79:I506,4,FALSE)</f>
        <v>#REF!</v>
      </c>
      <c r="R76" s="1250" t="e">
        <f>VLOOKUP(#REF!,Итоговая!C79:I506,6,FALSE)</f>
        <v>#REF!</v>
      </c>
      <c r="S76" s="1250"/>
      <c r="T76" s="1251" t="e">
        <f>VLOOKUP(#REF!,Итоговая!AA79:AP506,16,FALSE)</f>
        <v>#REF!</v>
      </c>
    </row>
    <row r="77" spans="1:20" x14ac:dyDescent="0.25">
      <c r="A77" s="1248" t="s">
        <v>1596</v>
      </c>
      <c r="B77" s="1250" t="s">
        <v>20266</v>
      </c>
      <c r="C77" s="1250" t="s">
        <v>20234</v>
      </c>
      <c r="D77" s="1251">
        <v>0.28000000000000003</v>
      </c>
      <c r="E77" s="1251">
        <v>1.4000000000000001</v>
      </c>
      <c r="F77" s="1251">
        <v>2.5826086956521735E-2</v>
      </c>
      <c r="G77" s="1251">
        <v>0</v>
      </c>
      <c r="H77" s="1251">
        <v>1.3741739130434785</v>
      </c>
      <c r="I77" s="1251"/>
      <c r="J77" s="1252" t="s">
        <v>20211</v>
      </c>
      <c r="K77" s="1250" t="s">
        <v>20211</v>
      </c>
      <c r="L77" s="1251">
        <v>57.488246932443701</v>
      </c>
      <c r="M77" s="1251">
        <v>35.123287080946</v>
      </c>
      <c r="N77" s="1250" t="e">
        <f>VLOOKUP('Интерактивная карта'!#REF!,Итоговая!AA80:AV507,21,FALSE)</f>
        <v>#REF!</v>
      </c>
      <c r="O77" s="1250" t="e">
        <f>VLOOKUP('Интерактивная карта'!#REF!,Итоговая!AA80:AV507,22,FALSE)</f>
        <v>#REF!</v>
      </c>
      <c r="P77" s="1250" t="e">
        <f>VLOOKUP(#REF!,Итоговая!C80:I507,2,FALSE)</f>
        <v>#REF!</v>
      </c>
      <c r="Q77" s="1250" t="e">
        <f>VLOOKUP(#REF!,Итоговая!C80:I507,4,FALSE)</f>
        <v>#REF!</v>
      </c>
      <c r="R77" s="1250" t="e">
        <f>VLOOKUP(#REF!,Итоговая!C80:I507,6,FALSE)</f>
        <v>#REF!</v>
      </c>
      <c r="S77" s="1250"/>
      <c r="T77" s="1251" t="e">
        <f>VLOOKUP(#REF!,Итоговая!AA80:AP507,16,FALSE)</f>
        <v>#REF!</v>
      </c>
    </row>
    <row r="78" spans="1:20" x14ac:dyDescent="0.25">
      <c r="A78" s="1248" t="s">
        <v>679</v>
      </c>
      <c r="B78" s="1250" t="s">
        <v>20278</v>
      </c>
      <c r="C78" s="1250" t="s">
        <v>20235</v>
      </c>
      <c r="D78" s="1251">
        <v>2.61</v>
      </c>
      <c r="E78" s="1251">
        <v>1.5900000000000003</v>
      </c>
      <c r="F78" s="1251">
        <v>0</v>
      </c>
      <c r="G78" s="1251">
        <v>0</v>
      </c>
      <c r="H78" s="1251">
        <v>1.5900000000000003</v>
      </c>
      <c r="I78" s="1251"/>
      <c r="J78" s="1252" t="s">
        <v>20211</v>
      </c>
      <c r="K78" s="1250" t="s">
        <v>20211</v>
      </c>
      <c r="L78" s="1251">
        <v>57.629632543282298</v>
      </c>
      <c r="M78" s="1251">
        <v>34.495544901883001</v>
      </c>
      <c r="N78" s="1250" t="e">
        <f>VLOOKUP('Интерактивная карта'!#REF!,Итоговая!AA81:AV508,21,FALSE)</f>
        <v>#REF!</v>
      </c>
      <c r="O78" s="1250" t="e">
        <f>VLOOKUP('Интерактивная карта'!#REF!,Итоговая!AA81:AV508,22,FALSE)</f>
        <v>#REF!</v>
      </c>
      <c r="P78" s="1250" t="e">
        <f>VLOOKUP(#REF!,Итоговая!C81:I508,2,FALSE)</f>
        <v>#REF!</v>
      </c>
      <c r="Q78" s="1250" t="e">
        <f>VLOOKUP(#REF!,Итоговая!C81:I508,4,FALSE)</f>
        <v>#REF!</v>
      </c>
      <c r="R78" s="1250" t="e">
        <f>VLOOKUP(#REF!,Итоговая!C81:I508,6,FALSE)</f>
        <v>#REF!</v>
      </c>
      <c r="S78" s="1250"/>
      <c r="T78" s="1251" t="e">
        <f>VLOOKUP(#REF!,Итоговая!AA81:AP508,16,FALSE)</f>
        <v>#REF!</v>
      </c>
    </row>
    <row r="79" spans="1:20" x14ac:dyDescent="0.25">
      <c r="A79" s="1248" t="s">
        <v>680</v>
      </c>
      <c r="B79" s="1250" t="s">
        <v>20271</v>
      </c>
      <c r="C79" s="1250" t="s">
        <v>20234</v>
      </c>
      <c r="D79" s="1251">
        <v>0.49</v>
      </c>
      <c r="E79" s="1251">
        <v>1.1900000000000002</v>
      </c>
      <c r="F79" s="1251">
        <v>6.6326086956521729E-2</v>
      </c>
      <c r="G79" s="1251">
        <v>0</v>
      </c>
      <c r="H79" s="1251">
        <v>1.1236739130434785</v>
      </c>
      <c r="I79" s="1251"/>
      <c r="J79" s="1252" t="s">
        <v>20211</v>
      </c>
      <c r="K79" s="1250" t="s">
        <v>20211</v>
      </c>
      <c r="L79" s="1251">
        <v>57.699834256032702</v>
      </c>
      <c r="M79" s="1251">
        <v>34.772205230770801</v>
      </c>
      <c r="N79" s="1250" t="e">
        <f>VLOOKUP('Интерактивная карта'!#REF!,Итоговая!AA82:AV509,21,FALSE)</f>
        <v>#REF!</v>
      </c>
      <c r="O79" s="1250" t="e">
        <f>VLOOKUP('Интерактивная карта'!#REF!,Итоговая!AA82:AV509,22,FALSE)</f>
        <v>#REF!</v>
      </c>
      <c r="P79" s="1250" t="e">
        <f>VLOOKUP(#REF!,Итоговая!C82:I509,2,FALSE)</f>
        <v>#REF!</v>
      </c>
      <c r="Q79" s="1250" t="e">
        <f>VLOOKUP(#REF!,Итоговая!C82:I509,4,FALSE)</f>
        <v>#REF!</v>
      </c>
      <c r="R79" s="1250" t="e">
        <f>VLOOKUP(#REF!,Итоговая!C82:I509,6,FALSE)</f>
        <v>#REF!</v>
      </c>
      <c r="S79" s="1250"/>
      <c r="T79" s="1251" t="e">
        <f>VLOOKUP(#REF!,Итоговая!AA82:AP509,16,FALSE)</f>
        <v>#REF!</v>
      </c>
    </row>
    <row r="80" spans="1:20" x14ac:dyDescent="0.25">
      <c r="A80" s="1248" t="s">
        <v>681</v>
      </c>
      <c r="B80" s="1250" t="s">
        <v>20271</v>
      </c>
      <c r="C80" s="1250" t="s">
        <v>20236</v>
      </c>
      <c r="D80" s="1251">
        <v>0.9</v>
      </c>
      <c r="E80" s="1251">
        <v>0.9900000000000001</v>
      </c>
      <c r="F80" s="1251">
        <v>1.8586956521739129E-2</v>
      </c>
      <c r="G80" s="1251">
        <v>0</v>
      </c>
      <c r="H80" s="1251">
        <v>0.97141304347826096</v>
      </c>
      <c r="I80" s="1251"/>
      <c r="J80" s="1252" t="s">
        <v>20211</v>
      </c>
      <c r="K80" s="1250" t="s">
        <v>20211</v>
      </c>
      <c r="L80" s="1251">
        <v>57.279388593644498</v>
      </c>
      <c r="M80" s="1251">
        <v>34.2263674343438</v>
      </c>
      <c r="N80" s="1250" t="e">
        <f>VLOOKUP('Интерактивная карта'!#REF!,Итоговая!AA83:AV510,21,FALSE)</f>
        <v>#REF!</v>
      </c>
      <c r="O80" s="1250" t="e">
        <f>VLOOKUP('Интерактивная карта'!#REF!,Итоговая!AA83:AV510,22,FALSE)</f>
        <v>#REF!</v>
      </c>
      <c r="P80" s="1250" t="e">
        <f>VLOOKUP(#REF!,Итоговая!C83:I510,2,FALSE)</f>
        <v>#REF!</v>
      </c>
      <c r="Q80" s="1250" t="e">
        <f>VLOOKUP(#REF!,Итоговая!C83:I510,4,FALSE)</f>
        <v>#REF!</v>
      </c>
      <c r="R80" s="1250" t="e">
        <f>VLOOKUP(#REF!,Итоговая!C83:I510,6,FALSE)</f>
        <v>#REF!</v>
      </c>
      <c r="S80" s="1250"/>
      <c r="T80" s="1251" t="e">
        <f>VLOOKUP(#REF!,Итоговая!AA83:AP510,16,FALSE)</f>
        <v>#REF!</v>
      </c>
    </row>
    <row r="81" spans="1:20" x14ac:dyDescent="0.25">
      <c r="A81" s="1248" t="s">
        <v>682</v>
      </c>
      <c r="B81" s="1250" t="s">
        <v>20304</v>
      </c>
      <c r="C81" s="1250" t="s">
        <v>20222</v>
      </c>
      <c r="D81" s="1251">
        <v>0.65</v>
      </c>
      <c r="E81" s="1251">
        <v>1.9750000000000001</v>
      </c>
      <c r="F81" s="1251">
        <v>0</v>
      </c>
      <c r="G81" s="1251">
        <v>0</v>
      </c>
      <c r="H81" s="1251">
        <v>1.9750000000000001</v>
      </c>
      <c r="I81" s="1251"/>
      <c r="J81" s="1252" t="s">
        <v>20211</v>
      </c>
      <c r="K81" s="1250" t="s">
        <v>20211</v>
      </c>
      <c r="L81" s="1251">
        <v>57.573525012778198</v>
      </c>
      <c r="M81" s="1251">
        <v>34.580709108756601</v>
      </c>
      <c r="N81" s="1250" t="e">
        <f>VLOOKUP('Интерактивная карта'!#REF!,Итоговая!AA84:AV511,21,FALSE)</f>
        <v>#REF!</v>
      </c>
      <c r="O81" s="1250" t="e">
        <f>VLOOKUP('Интерактивная карта'!#REF!,Итоговая!AA84:AV511,22,FALSE)</f>
        <v>#REF!</v>
      </c>
      <c r="P81" s="1250" t="e">
        <f>VLOOKUP(#REF!,Итоговая!C84:I511,2,FALSE)</f>
        <v>#REF!</v>
      </c>
      <c r="Q81" s="1250" t="e">
        <f>VLOOKUP(#REF!,Итоговая!C84:I511,4,FALSE)</f>
        <v>#REF!</v>
      </c>
      <c r="R81" s="1250" t="e">
        <f>VLOOKUP(#REF!,Итоговая!C84:I511,6,FALSE)</f>
        <v>#REF!</v>
      </c>
      <c r="S81" s="1250"/>
      <c r="T81" s="1251" t="e">
        <f>VLOOKUP(#REF!,Итоговая!AA84:AP511,16,FALSE)</f>
        <v>#REF!</v>
      </c>
    </row>
    <row r="82" spans="1:20" x14ac:dyDescent="0.25">
      <c r="A82" s="1248" t="s">
        <v>683</v>
      </c>
      <c r="B82" s="1250" t="s">
        <v>20268</v>
      </c>
      <c r="C82" s="1250" t="s">
        <v>20225</v>
      </c>
      <c r="D82" s="1251">
        <v>1.32</v>
      </c>
      <c r="E82" s="1251">
        <v>5.4950000000000001</v>
      </c>
      <c r="F82" s="1251">
        <v>0.98756250000000001</v>
      </c>
      <c r="G82" s="1251">
        <v>0</v>
      </c>
      <c r="H82" s="1251">
        <v>4.5074375</v>
      </c>
      <c r="I82" s="1251"/>
      <c r="J82" s="1252" t="s">
        <v>20211</v>
      </c>
      <c r="K82" s="1250" t="s">
        <v>20211</v>
      </c>
      <c r="L82" s="1251">
        <v>57.857132786891199</v>
      </c>
      <c r="M82" s="1251">
        <v>34.0446356018983</v>
      </c>
      <c r="N82" s="1250" t="e">
        <f>VLOOKUP('Интерактивная карта'!#REF!,Итоговая!AA85:AV512,21,FALSE)</f>
        <v>#REF!</v>
      </c>
      <c r="O82" s="1250" t="e">
        <f>VLOOKUP('Интерактивная карта'!#REF!,Итоговая!AA85:AV512,22,FALSE)</f>
        <v>#REF!</v>
      </c>
      <c r="P82" s="1250" t="e">
        <f>VLOOKUP(#REF!,Итоговая!C85:I512,2,FALSE)</f>
        <v>#REF!</v>
      </c>
      <c r="Q82" s="1250" t="e">
        <f>VLOOKUP(#REF!,Итоговая!C85:I512,4,FALSE)</f>
        <v>#REF!</v>
      </c>
      <c r="R82" s="1250" t="e">
        <f>VLOOKUP(#REF!,Итоговая!C85:I512,6,FALSE)</f>
        <v>#REF!</v>
      </c>
      <c r="S82" s="1250"/>
      <c r="T82" s="1251" t="e">
        <f>VLOOKUP(#REF!,Итоговая!AA85:AP512,16,FALSE)</f>
        <v>#REF!</v>
      </c>
    </row>
    <row r="83" spans="1:20" x14ac:dyDescent="0.25">
      <c r="A83" s="1248" t="s">
        <v>684</v>
      </c>
      <c r="B83" s="1250" t="s">
        <v>20283</v>
      </c>
      <c r="C83" s="1250" t="s">
        <v>20222</v>
      </c>
      <c r="D83" s="1251">
        <v>0.28999999999999998</v>
      </c>
      <c r="E83" s="1251">
        <v>2.605</v>
      </c>
      <c r="F83" s="1251">
        <v>0</v>
      </c>
      <c r="G83" s="1251">
        <v>0</v>
      </c>
      <c r="H83" s="1251">
        <v>2.605</v>
      </c>
      <c r="I83" s="1251"/>
      <c r="J83" s="1252" t="s">
        <v>20211</v>
      </c>
      <c r="K83" s="1250" t="s">
        <v>20211</v>
      </c>
      <c r="L83" s="1251">
        <v>57.303848389370401</v>
      </c>
      <c r="M83" s="1251">
        <v>34.585047065027197</v>
      </c>
      <c r="N83" s="1250" t="e">
        <f>VLOOKUP('Интерактивная карта'!#REF!,Итоговая!AA86:AV513,21,FALSE)</f>
        <v>#REF!</v>
      </c>
      <c r="O83" s="1250" t="e">
        <f>VLOOKUP('Интерактивная карта'!#REF!,Итоговая!AA86:AV513,22,FALSE)</f>
        <v>#REF!</v>
      </c>
      <c r="P83" s="1250" t="e">
        <f>VLOOKUP(#REF!,Итоговая!C86:I513,2,FALSE)</f>
        <v>#REF!</v>
      </c>
      <c r="Q83" s="1250" t="e">
        <f>VLOOKUP(#REF!,Итоговая!C86:I513,4,FALSE)</f>
        <v>#REF!</v>
      </c>
      <c r="R83" s="1250" t="e">
        <f>VLOOKUP(#REF!,Итоговая!C86:I513,6,FALSE)</f>
        <v>#REF!</v>
      </c>
      <c r="S83" s="1250"/>
      <c r="T83" s="1251" t="e">
        <f>VLOOKUP(#REF!,Итоговая!AA86:AP513,16,FALSE)</f>
        <v>#REF!</v>
      </c>
    </row>
    <row r="84" spans="1:20" x14ac:dyDescent="0.25">
      <c r="A84" s="1248" t="s">
        <v>685</v>
      </c>
      <c r="B84" s="1250" t="s">
        <v>20299</v>
      </c>
      <c r="C84" s="1250" t="s">
        <v>20237</v>
      </c>
      <c r="D84" s="1251">
        <v>0.97</v>
      </c>
      <c r="E84" s="1251">
        <v>0.92000000000000015</v>
      </c>
      <c r="F84" s="1251">
        <v>2.5239130434782604E-2</v>
      </c>
      <c r="G84" s="1251">
        <v>0</v>
      </c>
      <c r="H84" s="1251">
        <v>0.8947608695652175</v>
      </c>
      <c r="I84" s="1251"/>
      <c r="J84" s="1252" t="s">
        <v>20211</v>
      </c>
      <c r="K84" s="1250" t="s">
        <v>20211</v>
      </c>
      <c r="L84" s="1251">
        <v>57.585976239644701</v>
      </c>
      <c r="M84" s="1251">
        <v>35.472571930240903</v>
      </c>
      <c r="N84" s="1250" t="e">
        <f>VLOOKUP('Интерактивная карта'!#REF!,Итоговая!AA87:AV514,21,FALSE)</f>
        <v>#REF!</v>
      </c>
      <c r="O84" s="1250" t="e">
        <f>VLOOKUP('Интерактивная карта'!#REF!,Итоговая!AA87:AV514,22,FALSE)</f>
        <v>#REF!</v>
      </c>
      <c r="P84" s="1250" t="e">
        <f>VLOOKUP(#REF!,Итоговая!C87:I514,2,FALSE)</f>
        <v>#REF!</v>
      </c>
      <c r="Q84" s="1250" t="e">
        <f>VLOOKUP(#REF!,Итоговая!C87:I514,4,FALSE)</f>
        <v>#REF!</v>
      </c>
      <c r="R84" s="1250" t="e">
        <f>VLOOKUP(#REF!,Итоговая!C87:I514,6,FALSE)</f>
        <v>#REF!</v>
      </c>
      <c r="S84" s="1250"/>
      <c r="T84" s="1251" t="e">
        <f>VLOOKUP(#REF!,Итоговая!AA87:AP514,16,FALSE)</f>
        <v>#REF!</v>
      </c>
    </row>
    <row r="85" spans="1:20" x14ac:dyDescent="0.25">
      <c r="A85" s="1248" t="s">
        <v>686</v>
      </c>
      <c r="B85" s="1250" t="s">
        <v>20305</v>
      </c>
      <c r="C85" s="1250" t="s">
        <v>20231</v>
      </c>
      <c r="D85" s="1251">
        <v>0.34</v>
      </c>
      <c r="E85" s="1251">
        <v>1.34</v>
      </c>
      <c r="F85" s="1251">
        <v>0</v>
      </c>
      <c r="G85" s="1251">
        <v>0</v>
      </c>
      <c r="H85" s="1251">
        <v>1.34</v>
      </c>
      <c r="I85" s="1251"/>
      <c r="J85" s="1252" t="s">
        <v>20211</v>
      </c>
      <c r="K85" s="1250" t="s">
        <v>20211</v>
      </c>
      <c r="L85" s="1251">
        <v>57.421972539744097</v>
      </c>
      <c r="M85" s="1251">
        <v>35.203476168952598</v>
      </c>
      <c r="N85" s="1250" t="e">
        <f>VLOOKUP('Интерактивная карта'!#REF!,Итоговая!AA88:AV515,21,FALSE)</f>
        <v>#REF!</v>
      </c>
      <c r="O85" s="1250" t="e">
        <f>VLOOKUP('Интерактивная карта'!#REF!,Итоговая!AA88:AV515,22,FALSE)</f>
        <v>#REF!</v>
      </c>
      <c r="P85" s="1250" t="e">
        <f>VLOOKUP(#REF!,Итоговая!C88:I515,2,FALSE)</f>
        <v>#REF!</v>
      </c>
      <c r="Q85" s="1250" t="e">
        <f>VLOOKUP(#REF!,Итоговая!C88:I515,4,FALSE)</f>
        <v>#REF!</v>
      </c>
      <c r="R85" s="1250" t="e">
        <f>VLOOKUP(#REF!,Итоговая!C88:I515,6,FALSE)</f>
        <v>#REF!</v>
      </c>
      <c r="S85" s="1250"/>
      <c r="T85" s="1251" t="e">
        <f>VLOOKUP(#REF!,Итоговая!AA88:AP515,16,FALSE)</f>
        <v>#REF!</v>
      </c>
    </row>
    <row r="86" spans="1:20" x14ac:dyDescent="0.25">
      <c r="A86" s="1248" t="s">
        <v>687</v>
      </c>
      <c r="B86" s="1250" t="s">
        <v>20279</v>
      </c>
      <c r="C86" s="1250" t="s">
        <v>20227</v>
      </c>
      <c r="D86" s="1251">
        <v>2.4</v>
      </c>
      <c r="E86" s="1251">
        <v>8.1</v>
      </c>
      <c r="F86" s="1251">
        <v>0</v>
      </c>
      <c r="G86" s="1251">
        <v>0</v>
      </c>
      <c r="H86" s="1251">
        <v>8.1</v>
      </c>
      <c r="I86" s="1251"/>
      <c r="J86" s="1252" t="s">
        <v>20211</v>
      </c>
      <c r="K86" s="1250" t="s">
        <v>20211</v>
      </c>
      <c r="L86" s="1251">
        <v>57.633773826808799</v>
      </c>
      <c r="M86" s="1251">
        <v>34.398878344159797</v>
      </c>
      <c r="N86" s="1250" t="e">
        <f>VLOOKUP('Интерактивная карта'!#REF!,Итоговая!AA89:AV516,21,FALSE)</f>
        <v>#REF!</v>
      </c>
      <c r="O86" s="1250" t="e">
        <f>VLOOKUP('Интерактивная карта'!#REF!,Итоговая!AA89:AV516,22,FALSE)</f>
        <v>#REF!</v>
      </c>
      <c r="P86" s="1250" t="e">
        <f>VLOOKUP(#REF!,Итоговая!C89:I516,2,FALSE)</f>
        <v>#REF!</v>
      </c>
      <c r="Q86" s="1250" t="e">
        <f>VLOOKUP(#REF!,Итоговая!C89:I516,4,FALSE)</f>
        <v>#REF!</v>
      </c>
      <c r="R86" s="1250" t="e">
        <f>VLOOKUP(#REF!,Итоговая!C89:I516,6,FALSE)</f>
        <v>#REF!</v>
      </c>
      <c r="S86" s="1250"/>
      <c r="T86" s="1251" t="e">
        <f>VLOOKUP(#REF!,Итоговая!AA89:AP516,16,FALSE)</f>
        <v>#REF!</v>
      </c>
    </row>
    <row r="87" spans="1:20" x14ac:dyDescent="0.25">
      <c r="A87" s="1248" t="s">
        <v>688</v>
      </c>
      <c r="B87" s="1250" t="s">
        <v>20306</v>
      </c>
      <c r="C87" s="1250" t="s">
        <v>20222</v>
      </c>
      <c r="D87" s="1251">
        <v>1.68</v>
      </c>
      <c r="E87" s="1251">
        <v>1.145</v>
      </c>
      <c r="F87" s="1251">
        <v>0.43343478260869561</v>
      </c>
      <c r="G87" s="1251">
        <v>0</v>
      </c>
      <c r="H87" s="1251">
        <v>0.71156521739130441</v>
      </c>
      <c r="I87" s="1251"/>
      <c r="J87" s="1252" t="s">
        <v>20211</v>
      </c>
      <c r="K87" s="1250" t="s">
        <v>20211</v>
      </c>
      <c r="L87" s="1251">
        <v>57.722189315239497</v>
      </c>
      <c r="M87" s="1251">
        <v>33.950545503123301</v>
      </c>
      <c r="N87" s="1250" t="e">
        <f>VLOOKUP('Интерактивная карта'!#REF!,Итоговая!AA90:AV517,21,FALSE)</f>
        <v>#REF!</v>
      </c>
      <c r="O87" s="1250" t="e">
        <f>VLOOKUP('Интерактивная карта'!#REF!,Итоговая!AA90:AV517,22,FALSE)</f>
        <v>#REF!</v>
      </c>
      <c r="P87" s="1250" t="e">
        <f>VLOOKUP(#REF!,Итоговая!C90:I517,2,FALSE)</f>
        <v>#REF!</v>
      </c>
      <c r="Q87" s="1250" t="e">
        <f>VLOOKUP(#REF!,Итоговая!C90:I517,4,FALSE)</f>
        <v>#REF!</v>
      </c>
      <c r="R87" s="1250" t="e">
        <f>VLOOKUP(#REF!,Итоговая!C90:I517,6,FALSE)</f>
        <v>#REF!</v>
      </c>
      <c r="S87" s="1250"/>
      <c r="T87" s="1251" t="e">
        <f>VLOOKUP(#REF!,Итоговая!AA90:AP517,16,FALSE)</f>
        <v>#REF!</v>
      </c>
    </row>
    <row r="88" spans="1:20" x14ac:dyDescent="0.25">
      <c r="A88" s="1248" t="s">
        <v>689</v>
      </c>
      <c r="B88" s="1250" t="s">
        <v>20283</v>
      </c>
      <c r="C88" s="1250" t="s">
        <v>20233</v>
      </c>
      <c r="D88" s="1251">
        <v>0.28000000000000003</v>
      </c>
      <c r="E88" s="1251">
        <v>1.4000000000000001</v>
      </c>
      <c r="F88" s="1251">
        <v>0</v>
      </c>
      <c r="G88" s="1251">
        <v>0</v>
      </c>
      <c r="H88" s="1251">
        <v>1.4000000000000001</v>
      </c>
      <c r="I88" s="1251"/>
      <c r="J88" s="1252" t="s">
        <v>20211</v>
      </c>
      <c r="K88" s="1250" t="s">
        <v>20211</v>
      </c>
      <c r="L88" s="1251">
        <v>57.637077174942597</v>
      </c>
      <c r="M88" s="1251">
        <v>34.931955344256302</v>
      </c>
      <c r="N88" s="1250" t="e">
        <f>VLOOKUP('Интерактивная карта'!#REF!,Итоговая!AA91:AV518,21,FALSE)</f>
        <v>#REF!</v>
      </c>
      <c r="O88" s="1250" t="e">
        <f>VLOOKUP('Интерактивная карта'!#REF!,Итоговая!AA91:AV518,22,FALSE)</f>
        <v>#REF!</v>
      </c>
      <c r="P88" s="1250" t="e">
        <f>VLOOKUP(#REF!,Итоговая!C91:I518,2,FALSE)</f>
        <v>#REF!</v>
      </c>
      <c r="Q88" s="1250" t="e">
        <f>VLOOKUP(#REF!,Итоговая!C91:I518,4,FALSE)</f>
        <v>#REF!</v>
      </c>
      <c r="R88" s="1250" t="e">
        <f>VLOOKUP(#REF!,Итоговая!C91:I518,6,FALSE)</f>
        <v>#REF!</v>
      </c>
      <c r="S88" s="1250"/>
      <c r="T88" s="1251" t="e">
        <f>VLOOKUP(#REF!,Итоговая!AA91:AP518,16,FALSE)</f>
        <v>#REF!</v>
      </c>
    </row>
    <row r="89" spans="1:20" x14ac:dyDescent="0.25">
      <c r="A89" s="1248" t="s">
        <v>690</v>
      </c>
      <c r="B89" s="1250" t="s">
        <v>20286</v>
      </c>
      <c r="C89" s="1250" t="s">
        <v>20235</v>
      </c>
      <c r="D89" s="1251">
        <v>1.01</v>
      </c>
      <c r="E89" s="1251">
        <v>3.29</v>
      </c>
      <c r="F89" s="1251">
        <v>1.5652173913043479E-2</v>
      </c>
      <c r="G89" s="1251">
        <v>0</v>
      </c>
      <c r="H89" s="1251">
        <v>3.2743478260869567</v>
      </c>
      <c r="I89" s="1251"/>
      <c r="J89" s="1252" t="s">
        <v>20211</v>
      </c>
      <c r="K89" s="1250" t="s">
        <v>20211</v>
      </c>
      <c r="L89" s="1251">
        <v>57.815930789930697</v>
      </c>
      <c r="M89" s="1251">
        <v>33.846530989388803</v>
      </c>
      <c r="N89" s="1250" t="e">
        <f>VLOOKUP('Интерактивная карта'!#REF!,Итоговая!AA92:AV519,21,FALSE)</f>
        <v>#REF!</v>
      </c>
      <c r="O89" s="1250" t="e">
        <f>VLOOKUP('Интерактивная карта'!#REF!,Итоговая!AA92:AV519,22,FALSE)</f>
        <v>#REF!</v>
      </c>
      <c r="P89" s="1250" t="e">
        <f>VLOOKUP(#REF!,Итоговая!C92:I519,2,FALSE)</f>
        <v>#REF!</v>
      </c>
      <c r="Q89" s="1250" t="e">
        <f>VLOOKUP(#REF!,Итоговая!C92:I519,4,FALSE)</f>
        <v>#REF!</v>
      </c>
      <c r="R89" s="1250" t="e">
        <f>VLOOKUP(#REF!,Итоговая!C92:I519,6,FALSE)</f>
        <v>#REF!</v>
      </c>
      <c r="S89" s="1250"/>
      <c r="T89" s="1251" t="e">
        <f>VLOOKUP(#REF!,Итоговая!AA92:AP519,16,FALSE)</f>
        <v>#REF!</v>
      </c>
    </row>
    <row r="90" spans="1:20" x14ac:dyDescent="0.25">
      <c r="A90" s="1248" t="s">
        <v>17556</v>
      </c>
      <c r="B90" s="1250" t="s">
        <v>20270</v>
      </c>
      <c r="C90" s="1250" t="s">
        <v>20222</v>
      </c>
      <c r="D90" s="1251">
        <v>0.41</v>
      </c>
      <c r="E90" s="1251">
        <v>2.2149999999999999</v>
      </c>
      <c r="F90" s="1251">
        <v>4.0500000000000001E-2</v>
      </c>
      <c r="G90" s="1251">
        <v>0</v>
      </c>
      <c r="H90" s="1251">
        <v>2.1744999999999997</v>
      </c>
      <c r="I90" s="1251"/>
      <c r="J90" s="1252" t="s">
        <v>20211</v>
      </c>
      <c r="K90" s="1250" t="s">
        <v>20211</v>
      </c>
      <c r="L90" s="1251">
        <v>57.901759317155197</v>
      </c>
      <c r="M90" s="1251">
        <v>34.548969215896904</v>
      </c>
      <c r="N90" s="199" t="e">
        <f>VLOOKUP('Интерактивная карта'!#REF!,Итоговая!AA93:AV520,21,FALSE)</f>
        <v>#REF!</v>
      </c>
      <c r="O90" s="199" t="e">
        <f>VLOOKUP('Интерактивная карта'!#REF!,Итоговая!AA93:AV520,22,FALSE)</f>
        <v>#REF!</v>
      </c>
      <c r="P90" s="1250" t="e">
        <f>VLOOKUP(#REF!,Итоговая!C93:I520,2,FALSE)</f>
        <v>#REF!</v>
      </c>
      <c r="Q90" s="1250" t="e">
        <f>VLOOKUP(#REF!,Итоговая!C93:I520,4,FALSE)</f>
        <v>#REF!</v>
      </c>
      <c r="R90" s="1250" t="e">
        <f>VLOOKUP(#REF!,Итоговая!C93:I520,6,FALSE)</f>
        <v>#REF!</v>
      </c>
      <c r="S90" s="1250"/>
      <c r="T90" s="1251" t="e">
        <f>VLOOKUP(#REF!,Итоговая!AA93:AP520,16,FALSE)</f>
        <v>#REF!</v>
      </c>
    </row>
    <row r="91" spans="1:20" x14ac:dyDescent="0.25">
      <c r="A91" s="1248" t="s">
        <v>691</v>
      </c>
      <c r="B91" s="1250" t="s">
        <v>20283</v>
      </c>
      <c r="C91" s="1250" t="s">
        <v>20218</v>
      </c>
      <c r="D91" s="1251">
        <v>0.53</v>
      </c>
      <c r="E91" s="1251">
        <v>0.91</v>
      </c>
      <c r="F91" s="1251">
        <v>2.6413043478260866E-2</v>
      </c>
      <c r="G91" s="1251">
        <v>0</v>
      </c>
      <c r="H91" s="1251">
        <v>0.88358695652173913</v>
      </c>
      <c r="I91" s="1251"/>
      <c r="J91" s="1252" t="s">
        <v>20211</v>
      </c>
      <c r="K91" s="1250" t="s">
        <v>20211</v>
      </c>
      <c r="L91" s="1251">
        <v>57.7248395461474</v>
      </c>
      <c r="M91" s="1251">
        <v>35.269410953925501</v>
      </c>
      <c r="N91" s="1250" t="e">
        <f>VLOOKUP('Интерактивная карта'!#REF!,Итоговая!AA94:AV521,21,FALSE)</f>
        <v>#REF!</v>
      </c>
      <c r="O91" s="1250" t="e">
        <f>VLOOKUP('Интерактивная карта'!#REF!,Итоговая!AA94:AV521,22,FALSE)</f>
        <v>#REF!</v>
      </c>
      <c r="P91" s="1250" t="e">
        <f>VLOOKUP(#REF!,Итоговая!C94:I521,2,FALSE)</f>
        <v>#REF!</v>
      </c>
      <c r="Q91" s="1250" t="e">
        <f>VLOOKUP(#REF!,Итоговая!C94:I521,4,FALSE)</f>
        <v>#REF!</v>
      </c>
      <c r="R91" s="1250" t="e">
        <f>VLOOKUP(#REF!,Итоговая!C94:I521,6,FALSE)</f>
        <v>#REF!</v>
      </c>
      <c r="S91" s="1250"/>
      <c r="T91" s="1251" t="e">
        <f>VLOOKUP(#REF!,Итоговая!AA94:AP521,16,FALSE)</f>
        <v>#REF!</v>
      </c>
    </row>
    <row r="92" spans="1:20" x14ac:dyDescent="0.25">
      <c r="A92" s="1248" t="s">
        <v>692</v>
      </c>
      <c r="B92" s="1250" t="s">
        <v>20299</v>
      </c>
      <c r="C92" s="1250" t="s">
        <v>20218</v>
      </c>
      <c r="D92" s="1251">
        <v>0.39</v>
      </c>
      <c r="E92" s="1251">
        <v>1</v>
      </c>
      <c r="F92" s="1251">
        <v>8.0413043478260865E-2</v>
      </c>
      <c r="G92" s="1251">
        <v>0</v>
      </c>
      <c r="H92" s="1251">
        <v>0.91958695652173916</v>
      </c>
      <c r="I92" s="1251"/>
      <c r="J92" s="1252" t="s">
        <v>20211</v>
      </c>
      <c r="K92" s="1250" t="s">
        <v>20211</v>
      </c>
      <c r="L92" s="1251">
        <v>58.0618745669615</v>
      </c>
      <c r="M92" s="1251">
        <v>34.940325847982102</v>
      </c>
      <c r="N92" s="1250" t="e">
        <f>VLOOKUP('Интерактивная карта'!#REF!,Итоговая!AA95:AV522,21,FALSE)</f>
        <v>#REF!</v>
      </c>
      <c r="O92" s="1250" t="e">
        <f>VLOOKUP('Интерактивная карта'!#REF!,Итоговая!AA95:AV522,22,FALSE)</f>
        <v>#REF!</v>
      </c>
      <c r="P92" s="1250" t="e">
        <f>VLOOKUP(#REF!,Итоговая!C95:I522,2,FALSE)</f>
        <v>#REF!</v>
      </c>
      <c r="Q92" s="1250" t="e">
        <f>VLOOKUP(#REF!,Итоговая!C95:I522,4,FALSE)</f>
        <v>#REF!</v>
      </c>
      <c r="R92" s="1250" t="e">
        <f>VLOOKUP(#REF!,Итоговая!C95:I522,6,FALSE)</f>
        <v>#REF!</v>
      </c>
      <c r="S92" s="1250"/>
      <c r="T92" s="1251" t="e">
        <f>VLOOKUP(#REF!,Итоговая!AA95:AP522,16,FALSE)</f>
        <v>#REF!</v>
      </c>
    </row>
    <row r="93" spans="1:20" x14ac:dyDescent="0.25">
      <c r="A93" s="1248" t="s">
        <v>1743</v>
      </c>
      <c r="B93" s="1250" t="s">
        <v>20270</v>
      </c>
      <c r="C93" s="1250" t="s">
        <v>20233</v>
      </c>
      <c r="D93" s="1251">
        <v>0.28000000000000003</v>
      </c>
      <c r="E93" s="1251">
        <v>1.4000000000000001</v>
      </c>
      <c r="F93" s="1251">
        <v>1.4184782608695653E-2</v>
      </c>
      <c r="G93" s="1251">
        <v>0</v>
      </c>
      <c r="H93" s="1251">
        <v>1.3858152173913045</v>
      </c>
      <c r="I93" s="1251"/>
      <c r="J93" s="1252" t="s">
        <v>20211</v>
      </c>
      <c r="K93" s="1250" t="s">
        <v>20211</v>
      </c>
      <c r="L93" s="1251">
        <v>57.710523908072098</v>
      </c>
      <c r="M93" s="1251">
        <v>35.002795604796397</v>
      </c>
      <c r="N93" s="1250" t="e">
        <f>VLOOKUP('Интерактивная карта'!#REF!,Итоговая!AA96:AV523,21,FALSE)</f>
        <v>#REF!</v>
      </c>
      <c r="O93" s="1250" t="e">
        <f>VLOOKUP('Интерактивная карта'!#REF!,Итоговая!AA96:AV523,22,FALSE)</f>
        <v>#REF!</v>
      </c>
      <c r="P93" s="1250" t="e">
        <f>VLOOKUP(#REF!,Итоговая!C96:I523,2,FALSE)</f>
        <v>#REF!</v>
      </c>
      <c r="Q93" s="1250" t="e">
        <f>VLOOKUP(#REF!,Итоговая!C96:I523,4,FALSE)</f>
        <v>#REF!</v>
      </c>
      <c r="R93" s="1250" t="e">
        <f>VLOOKUP(#REF!,Итоговая!C96:I523,6,FALSE)</f>
        <v>#REF!</v>
      </c>
      <c r="S93" s="1250"/>
      <c r="T93" s="1251" t="e">
        <f>VLOOKUP(#REF!,Итоговая!AA96:AP523,16,FALSE)</f>
        <v>#REF!</v>
      </c>
    </row>
    <row r="94" spans="1:20" x14ac:dyDescent="0.25">
      <c r="A94" s="1248" t="s">
        <v>693</v>
      </c>
      <c r="B94" s="1250" t="s">
        <v>20307</v>
      </c>
      <c r="C94" s="1250" t="s">
        <v>20222</v>
      </c>
      <c r="D94" s="1251">
        <v>1.5</v>
      </c>
      <c r="E94" s="1251">
        <v>2.625</v>
      </c>
      <c r="F94" s="1251">
        <v>0</v>
      </c>
      <c r="G94" s="1251">
        <v>0</v>
      </c>
      <c r="H94" s="1251">
        <v>2.625</v>
      </c>
      <c r="I94" s="1251"/>
      <c r="J94" s="1252" t="s">
        <v>20211</v>
      </c>
      <c r="K94" s="1250" t="s">
        <v>20211</v>
      </c>
      <c r="L94" s="1251">
        <v>57.577173367643901</v>
      </c>
      <c r="M94" s="1251">
        <v>34.595558134151197</v>
      </c>
      <c r="N94" s="1250" t="e">
        <f>VLOOKUP('Интерактивная карта'!#REF!,Итоговая!AA97:AV524,21,FALSE)</f>
        <v>#REF!</v>
      </c>
      <c r="O94" s="1250" t="e">
        <f>VLOOKUP('Интерактивная карта'!#REF!,Итоговая!AA97:AV524,22,FALSE)</f>
        <v>#REF!</v>
      </c>
      <c r="P94" s="1250" t="e">
        <f>VLOOKUP(#REF!,Итоговая!C97:I524,2,FALSE)</f>
        <v>#REF!</v>
      </c>
      <c r="Q94" s="1250" t="e">
        <f>VLOOKUP(#REF!,Итоговая!C97:I524,4,FALSE)</f>
        <v>#REF!</v>
      </c>
      <c r="R94" s="1250" t="e">
        <f>VLOOKUP(#REF!,Итоговая!C97:I524,6,FALSE)</f>
        <v>#REF!</v>
      </c>
      <c r="S94" s="1250"/>
      <c r="T94" s="1251" t="e">
        <f>VLOOKUP(#REF!,Итоговая!AA97:AP524,16,FALSE)</f>
        <v>#REF!</v>
      </c>
    </row>
    <row r="95" spans="1:20" x14ac:dyDescent="0.25">
      <c r="A95" s="1248" t="s">
        <v>694</v>
      </c>
      <c r="B95" s="1250" t="s">
        <v>20270</v>
      </c>
      <c r="C95" s="1250" t="s">
        <v>20238</v>
      </c>
      <c r="D95" s="1251">
        <v>0.49</v>
      </c>
      <c r="E95" s="1251">
        <v>1.1900000000000002</v>
      </c>
      <c r="F95" s="1251">
        <v>0</v>
      </c>
      <c r="G95" s="1251">
        <v>0</v>
      </c>
      <c r="H95" s="1251">
        <v>1.1900000000000002</v>
      </c>
      <c r="I95" s="1251"/>
      <c r="J95" s="1252" t="s">
        <v>20211</v>
      </c>
      <c r="K95" s="1250" t="s">
        <v>20211</v>
      </c>
      <c r="L95" s="1251">
        <v>57.386806507304101</v>
      </c>
      <c r="M95" s="1251">
        <v>34.345181794732802</v>
      </c>
      <c r="N95" s="1250" t="e">
        <f>VLOOKUP('Интерактивная карта'!#REF!,Итоговая!AA98:AV525,21,FALSE)</f>
        <v>#REF!</v>
      </c>
      <c r="O95" s="1250" t="e">
        <f>VLOOKUP('Интерактивная карта'!#REF!,Итоговая!AA98:AV525,22,FALSE)</f>
        <v>#REF!</v>
      </c>
      <c r="P95" s="1250" t="e">
        <f>VLOOKUP(#REF!,Итоговая!C98:I525,2,FALSE)</f>
        <v>#REF!</v>
      </c>
      <c r="Q95" s="1250" t="e">
        <f>VLOOKUP(#REF!,Итоговая!C98:I525,4,FALSE)</f>
        <v>#REF!</v>
      </c>
      <c r="R95" s="1250" t="e">
        <f>VLOOKUP(#REF!,Итоговая!C98:I525,6,FALSE)</f>
        <v>#REF!</v>
      </c>
      <c r="S95" s="1250"/>
      <c r="T95" s="1251" t="e">
        <f>VLOOKUP(#REF!,Итоговая!AA98:AP525,16,FALSE)</f>
        <v>#REF!</v>
      </c>
    </row>
    <row r="96" spans="1:20" x14ac:dyDescent="0.25">
      <c r="A96" s="1248" t="s">
        <v>695</v>
      </c>
      <c r="B96" s="1250" t="s">
        <v>20308</v>
      </c>
      <c r="C96" s="1250" t="s">
        <v>20239</v>
      </c>
      <c r="D96" s="1251">
        <v>0.19</v>
      </c>
      <c r="E96" s="1251">
        <v>0.8600000000000001</v>
      </c>
      <c r="F96" s="1251">
        <v>9.7826086956521747E-3</v>
      </c>
      <c r="G96" s="1251">
        <v>0</v>
      </c>
      <c r="H96" s="1251">
        <v>0.85021739130434792</v>
      </c>
      <c r="I96" s="1251"/>
      <c r="J96" s="1252" t="s">
        <v>20211</v>
      </c>
      <c r="K96" s="1250" t="s">
        <v>20211</v>
      </c>
      <c r="L96" s="1251">
        <v>57.953110991655997</v>
      </c>
      <c r="M96" s="1251">
        <v>35.393933005018702</v>
      </c>
      <c r="N96" s="1250" t="e">
        <f>VLOOKUP('Интерактивная карта'!#REF!,Итоговая!AA99:AV526,21,FALSE)</f>
        <v>#REF!</v>
      </c>
      <c r="O96" s="1250">
        <v>2014</v>
      </c>
      <c r="P96" s="1250" t="e">
        <f>VLOOKUP(#REF!,Итоговая!C99:I526,2,FALSE)</f>
        <v>#REF!</v>
      </c>
      <c r="Q96" s="1250" t="e">
        <f>VLOOKUP(#REF!,Итоговая!C99:I526,4,FALSE)</f>
        <v>#REF!</v>
      </c>
      <c r="R96" s="1250" t="e">
        <f>VLOOKUP(#REF!,Итоговая!C99:I526,6,FALSE)</f>
        <v>#REF!</v>
      </c>
      <c r="S96" s="1250"/>
      <c r="T96" s="1251" t="e">
        <f>VLOOKUP(#REF!,Итоговая!AA99:AP526,16,FALSE)</f>
        <v>#REF!</v>
      </c>
    </row>
    <row r="97" spans="1:20" x14ac:dyDescent="0.25">
      <c r="A97" s="1248" t="s">
        <v>696</v>
      </c>
      <c r="B97" s="1250" t="s">
        <v>20270</v>
      </c>
      <c r="C97" s="1250" t="s">
        <v>20222</v>
      </c>
      <c r="D97" s="1251">
        <v>1.1299999999999999</v>
      </c>
      <c r="E97" s="1251">
        <v>2.1950000000000003</v>
      </c>
      <c r="F97" s="1251">
        <v>0.17373913043478262</v>
      </c>
      <c r="G97" s="1251">
        <v>0</v>
      </c>
      <c r="H97" s="1251">
        <v>2.0212608695652179</v>
      </c>
      <c r="I97" s="1251"/>
      <c r="J97" s="1252" t="s">
        <v>20211</v>
      </c>
      <c r="K97" s="1250" t="s">
        <v>20211</v>
      </c>
      <c r="L97" s="1251">
        <v>57.662026497903398</v>
      </c>
      <c r="M97" s="1251">
        <v>34.466291824711</v>
      </c>
      <c r="N97" s="1250" t="e">
        <f>VLOOKUP('Интерактивная карта'!#REF!,Итоговая!AA100:AV527,21,FALSE)</f>
        <v>#REF!</v>
      </c>
      <c r="O97" s="1250" t="e">
        <f>VLOOKUP('Интерактивная карта'!#REF!,Итоговая!AA100:AV527,22,FALSE)</f>
        <v>#REF!</v>
      </c>
      <c r="P97" s="1250" t="e">
        <f>VLOOKUP(#REF!,Итоговая!C100:I527,2,FALSE)</f>
        <v>#REF!</v>
      </c>
      <c r="Q97" s="1250" t="e">
        <f>VLOOKUP(#REF!,Итоговая!C100:I527,4,FALSE)</f>
        <v>#REF!</v>
      </c>
      <c r="R97" s="1250" t="e">
        <f>VLOOKUP(#REF!,Итоговая!C100:I527,6,FALSE)</f>
        <v>#REF!</v>
      </c>
      <c r="S97" s="1250"/>
      <c r="T97" s="1251" t="e">
        <f>VLOOKUP(#REF!,Итоговая!AA100:AP527,16,FALSE)</f>
        <v>#REF!</v>
      </c>
    </row>
    <row r="98" spans="1:20" x14ac:dyDescent="0.25">
      <c r="A98" s="1248" t="s">
        <v>697</v>
      </c>
      <c r="B98" s="1250" t="s">
        <v>20309</v>
      </c>
      <c r="C98" s="1250" t="s">
        <v>20222</v>
      </c>
      <c r="D98" s="1251">
        <v>0.62</v>
      </c>
      <c r="E98" s="1251">
        <v>2.0049999999999999</v>
      </c>
      <c r="F98" s="1251">
        <v>0</v>
      </c>
      <c r="G98" s="1251">
        <v>0</v>
      </c>
      <c r="H98" s="1251">
        <v>2.0049999999999999</v>
      </c>
      <c r="I98" s="1251"/>
      <c r="J98" s="1252" t="s">
        <v>20211</v>
      </c>
      <c r="K98" s="1250" t="s">
        <v>20211</v>
      </c>
      <c r="L98" s="1251">
        <v>57.5990458402567</v>
      </c>
      <c r="M98" s="1251">
        <v>33.802564181866003</v>
      </c>
      <c r="N98" s="1250" t="e">
        <f>VLOOKUP('Интерактивная карта'!#REF!,Итоговая!AA101:AV528,21,FALSE)</f>
        <v>#REF!</v>
      </c>
      <c r="O98" s="1250" t="e">
        <f>VLOOKUP('Интерактивная карта'!#REF!,Итоговая!AA101:AV528,22,FALSE)</f>
        <v>#REF!</v>
      </c>
      <c r="P98" s="1250" t="e">
        <f>VLOOKUP(#REF!,Итоговая!C101:I528,2,FALSE)</f>
        <v>#REF!</v>
      </c>
      <c r="Q98" s="1250" t="e">
        <f>VLOOKUP(#REF!,Итоговая!C101:I528,4,FALSE)</f>
        <v>#REF!</v>
      </c>
      <c r="R98" s="1250" t="e">
        <f>VLOOKUP(#REF!,Итоговая!C101:I528,6,FALSE)</f>
        <v>#REF!</v>
      </c>
      <c r="S98" s="1250"/>
      <c r="T98" s="1251" t="e">
        <f>VLOOKUP(#REF!,Итоговая!AA101:AP528,16,FALSE)</f>
        <v>#REF!</v>
      </c>
    </row>
    <row r="99" spans="1:20" x14ac:dyDescent="0.25">
      <c r="A99" s="1248" t="s">
        <v>698</v>
      </c>
      <c r="B99" s="1250" t="s">
        <v>20270</v>
      </c>
      <c r="C99" s="1250" t="s">
        <v>20222</v>
      </c>
      <c r="D99" s="1251">
        <v>0.28999999999999998</v>
      </c>
      <c r="E99" s="1251">
        <v>2.6349999999999998</v>
      </c>
      <c r="F99" s="1251">
        <v>0</v>
      </c>
      <c r="G99" s="1251">
        <v>0</v>
      </c>
      <c r="H99" s="1251">
        <v>2.6349999999999998</v>
      </c>
      <c r="I99" s="1251"/>
      <c r="J99" s="1252" t="s">
        <v>20211</v>
      </c>
      <c r="K99" s="1250" t="s">
        <v>20211</v>
      </c>
      <c r="L99" s="1251">
        <v>57.945300577811103</v>
      </c>
      <c r="M99" s="1251">
        <v>35.069401232814897</v>
      </c>
      <c r="N99" s="1250" t="e">
        <f>VLOOKUP('Интерактивная карта'!#REF!,Итоговая!AA102:AV529,21,FALSE)</f>
        <v>#REF!</v>
      </c>
      <c r="O99" s="1250" t="e">
        <f>VLOOKUP('Интерактивная карта'!#REF!,Итоговая!AA102:AV529,22,FALSE)</f>
        <v>#REF!</v>
      </c>
      <c r="P99" s="1250" t="e">
        <f>VLOOKUP(#REF!,Итоговая!C102:I529,2,FALSE)</f>
        <v>#REF!</v>
      </c>
      <c r="Q99" s="1250" t="e">
        <f>VLOOKUP(#REF!,Итоговая!C102:I529,4,FALSE)</f>
        <v>#REF!</v>
      </c>
      <c r="R99" s="1250" t="e">
        <f>VLOOKUP(#REF!,Итоговая!C102:I529,6,FALSE)</f>
        <v>#REF!</v>
      </c>
      <c r="S99" s="1250"/>
      <c r="T99" s="1251" t="e">
        <f>VLOOKUP(#REF!,Итоговая!AA102:AP529,16,FALSE)</f>
        <v>#REF!</v>
      </c>
    </row>
    <row r="100" spans="1:20" x14ac:dyDescent="0.25">
      <c r="A100" s="1248" t="s">
        <v>699</v>
      </c>
      <c r="B100" s="1250" t="s">
        <v>20283</v>
      </c>
      <c r="C100" s="1250" t="s">
        <v>20234</v>
      </c>
      <c r="D100" s="1251">
        <v>0.54</v>
      </c>
      <c r="E100" s="1251">
        <v>1.1400000000000001</v>
      </c>
      <c r="F100" s="1251">
        <v>0</v>
      </c>
      <c r="G100" s="1251">
        <v>0</v>
      </c>
      <c r="H100" s="1251">
        <v>1.1400000000000001</v>
      </c>
      <c r="I100" s="1251"/>
      <c r="J100" s="1252" t="s">
        <v>20211</v>
      </c>
      <c r="K100" s="1250" t="s">
        <v>20211</v>
      </c>
      <c r="L100" s="1251">
        <v>58.0205494510083</v>
      </c>
      <c r="M100" s="1251">
        <v>34.479960034719802</v>
      </c>
      <c r="N100" s="1250" t="e">
        <f>VLOOKUP('Интерактивная карта'!#REF!,Итоговая!AA103:AV530,21,FALSE)</f>
        <v>#REF!</v>
      </c>
      <c r="O100" s="1250" t="e">
        <f>VLOOKUP('Интерактивная карта'!#REF!,Итоговая!AA103:AV530,22,FALSE)</f>
        <v>#REF!</v>
      </c>
      <c r="P100" s="1250" t="e">
        <f>VLOOKUP(#REF!,Итоговая!C103:I530,2,FALSE)</f>
        <v>#REF!</v>
      </c>
      <c r="Q100" s="1250" t="e">
        <f>VLOOKUP(#REF!,Итоговая!C103:I530,4,FALSE)</f>
        <v>#REF!</v>
      </c>
      <c r="R100" s="1250" t="e">
        <f>VLOOKUP(#REF!,Итоговая!C103:I530,6,FALSE)</f>
        <v>#REF!</v>
      </c>
      <c r="S100" s="1250"/>
      <c r="T100" s="1251" t="e">
        <f>VLOOKUP(#REF!,Итоговая!AA103:AP530,16,FALSE)</f>
        <v>#REF!</v>
      </c>
    </row>
    <row r="101" spans="1:20" x14ac:dyDescent="0.25">
      <c r="A101" s="1248" t="s">
        <v>700</v>
      </c>
      <c r="B101" s="1250" t="s">
        <v>20268</v>
      </c>
      <c r="C101" s="1250" t="s">
        <v>20222</v>
      </c>
      <c r="D101" s="1251">
        <v>0.82</v>
      </c>
      <c r="E101" s="1251">
        <v>1.8050000000000002</v>
      </c>
      <c r="F101" s="1251">
        <v>6.1630434782608698E-2</v>
      </c>
      <c r="G101" s="1251">
        <v>0</v>
      </c>
      <c r="H101" s="1251">
        <v>1.7433695652173915</v>
      </c>
      <c r="I101" s="1251"/>
      <c r="J101" s="1252" t="s">
        <v>20211</v>
      </c>
      <c r="K101" s="1250" t="s">
        <v>20211</v>
      </c>
      <c r="L101" s="1251">
        <v>57.615550915135103</v>
      </c>
      <c r="M101" s="1251">
        <v>34.601271753156297</v>
      </c>
      <c r="N101" s="1250" t="e">
        <f>VLOOKUP('Интерактивная карта'!#REF!,Итоговая!AA104:AV531,21,FALSE)</f>
        <v>#REF!</v>
      </c>
      <c r="O101" s="1250" t="e">
        <f>VLOOKUP('Интерактивная карта'!#REF!,Итоговая!AA104:AV531,22,FALSE)</f>
        <v>#REF!</v>
      </c>
      <c r="P101" s="1250" t="e">
        <f>VLOOKUP(#REF!,Итоговая!C104:I531,2,FALSE)</f>
        <v>#REF!</v>
      </c>
      <c r="Q101" s="1250" t="e">
        <f>VLOOKUP(#REF!,Итоговая!C104:I531,4,FALSE)</f>
        <v>#REF!</v>
      </c>
      <c r="R101" s="1250" t="e">
        <f>VLOOKUP(#REF!,Итоговая!C104:I531,6,FALSE)</f>
        <v>#REF!</v>
      </c>
      <c r="S101" s="1250"/>
      <c r="T101" s="1251" t="e">
        <f>VLOOKUP(#REF!,Итоговая!AA104:AP531,16,FALSE)</f>
        <v>#REF!</v>
      </c>
    </row>
    <row r="102" spans="1:20" x14ac:dyDescent="0.25">
      <c r="A102" s="1248" t="s">
        <v>701</v>
      </c>
      <c r="B102" s="1250" t="s">
        <v>20309</v>
      </c>
      <c r="C102" s="1250" t="s">
        <v>20234</v>
      </c>
      <c r="D102" s="1251">
        <v>0.65</v>
      </c>
      <c r="E102" s="1251">
        <v>1.6800000000000002</v>
      </c>
      <c r="F102" s="1251">
        <v>2.7391304347826089E-2</v>
      </c>
      <c r="G102" s="1251">
        <v>0</v>
      </c>
      <c r="H102" s="1251">
        <v>1.6526086956521739</v>
      </c>
      <c r="I102" s="1251"/>
      <c r="J102" s="1252" t="s">
        <v>20211</v>
      </c>
      <c r="K102" s="1250" t="s">
        <v>20211</v>
      </c>
      <c r="L102" s="1251">
        <v>57.563012031619103</v>
      </c>
      <c r="M102" s="1251">
        <v>34.732428906605399</v>
      </c>
      <c r="N102" s="1250" t="e">
        <f>VLOOKUP('Интерактивная карта'!#REF!,Итоговая!AA105:AV532,21,FALSE)</f>
        <v>#REF!</v>
      </c>
      <c r="O102" s="1250" t="e">
        <f>VLOOKUP('Интерактивная карта'!#REF!,Итоговая!AA105:AV532,22,FALSE)</f>
        <v>#REF!</v>
      </c>
      <c r="P102" s="1250" t="e">
        <f>VLOOKUP(#REF!,Итоговая!C105:I532,2,FALSE)</f>
        <v>#REF!</v>
      </c>
      <c r="Q102" s="1250" t="e">
        <f>VLOOKUP(#REF!,Итоговая!C105:I532,4,FALSE)</f>
        <v>#REF!</v>
      </c>
      <c r="R102" s="1250" t="e">
        <f>VLOOKUP(#REF!,Итоговая!C105:I532,6,FALSE)</f>
        <v>#REF!</v>
      </c>
      <c r="S102" s="1250"/>
      <c r="T102" s="1251" t="e">
        <f>VLOOKUP(#REF!,Итоговая!AA105:AP532,16,FALSE)</f>
        <v>#REF!</v>
      </c>
    </row>
    <row r="103" spans="1:20" x14ac:dyDescent="0.25">
      <c r="A103" s="1248" t="s">
        <v>702</v>
      </c>
      <c r="B103" s="1250" t="s">
        <v>20285</v>
      </c>
      <c r="C103" s="1250" t="s">
        <v>20234</v>
      </c>
      <c r="D103" s="1251">
        <v>0.54</v>
      </c>
      <c r="E103" s="1251">
        <v>1.1400000000000001</v>
      </c>
      <c r="F103" s="1251">
        <v>0.18195652173913041</v>
      </c>
      <c r="G103" s="1251">
        <v>0</v>
      </c>
      <c r="H103" s="1251">
        <v>0.95804347826086977</v>
      </c>
      <c r="I103" s="1251"/>
      <c r="J103" s="1252" t="s">
        <v>20211</v>
      </c>
      <c r="K103" s="1250" t="s">
        <v>20211</v>
      </c>
      <c r="L103" s="1251">
        <v>58.004625137083501</v>
      </c>
      <c r="M103" s="1251">
        <v>34.259169822107403</v>
      </c>
      <c r="N103" s="1250" t="e">
        <f>VLOOKUP('Интерактивная карта'!#REF!,Итоговая!AA106:AV533,21,FALSE)</f>
        <v>#REF!</v>
      </c>
      <c r="O103" s="1250" t="e">
        <f>VLOOKUP('Интерактивная карта'!#REF!,Итоговая!AA106:AV533,22,FALSE)</f>
        <v>#REF!</v>
      </c>
      <c r="P103" s="1250" t="e">
        <f>VLOOKUP(#REF!,Итоговая!C106:I533,2,FALSE)</f>
        <v>#REF!</v>
      </c>
      <c r="Q103" s="1250" t="e">
        <f>VLOOKUP(#REF!,Итоговая!C106:I533,4,FALSE)</f>
        <v>#REF!</v>
      </c>
      <c r="R103" s="1250" t="e">
        <f>VLOOKUP(#REF!,Итоговая!C106:I533,6,FALSE)</f>
        <v>#REF!</v>
      </c>
      <c r="S103" s="1250"/>
      <c r="T103" s="1251" t="e">
        <f>VLOOKUP(#REF!,Итоговая!AA106:AP533,16,FALSE)</f>
        <v>#REF!</v>
      </c>
    </row>
    <row r="104" spans="1:20" x14ac:dyDescent="0.25">
      <c r="A104" s="1248" t="s">
        <v>703</v>
      </c>
      <c r="B104" s="1250" t="s">
        <v>20268</v>
      </c>
      <c r="C104" s="1250" t="s">
        <v>20222</v>
      </c>
      <c r="D104" s="1251">
        <v>1.4</v>
      </c>
      <c r="E104" s="1251">
        <v>2.375</v>
      </c>
      <c r="F104" s="1251">
        <v>2.4456521739130436E-2</v>
      </c>
      <c r="G104" s="1251">
        <v>0</v>
      </c>
      <c r="H104" s="1251">
        <v>2.3505434782608696</v>
      </c>
      <c r="I104" s="1251"/>
      <c r="J104" s="1252" t="s">
        <v>20211</v>
      </c>
      <c r="K104" s="1250" t="s">
        <v>20211</v>
      </c>
      <c r="L104" s="1251">
        <v>57.466965577883599</v>
      </c>
      <c r="M104" s="1251">
        <v>33.685654540797998</v>
      </c>
      <c r="N104" s="1250" t="e">
        <f>VLOOKUP('Интерактивная карта'!#REF!,Итоговая!AA107:AV534,21,FALSE)</f>
        <v>#REF!</v>
      </c>
      <c r="O104" s="1250" t="e">
        <f>VLOOKUP('Интерактивная карта'!#REF!,Итоговая!AA107:AV534,22,FALSE)</f>
        <v>#REF!</v>
      </c>
      <c r="P104" s="1250" t="e">
        <f>VLOOKUP(#REF!,Итоговая!C107:I534,2,FALSE)</f>
        <v>#REF!</v>
      </c>
      <c r="Q104" s="1250" t="e">
        <f>VLOOKUP(#REF!,Итоговая!C107:I534,4,FALSE)</f>
        <v>#REF!</v>
      </c>
      <c r="R104" s="1250" t="e">
        <f>VLOOKUP(#REF!,Итоговая!C107:I534,6,FALSE)</f>
        <v>#REF!</v>
      </c>
      <c r="S104" s="1250"/>
      <c r="T104" s="1251" t="e">
        <f>VLOOKUP(#REF!,Итоговая!AA107:AP534,16,FALSE)</f>
        <v>#REF!</v>
      </c>
    </row>
    <row r="105" spans="1:20" x14ac:dyDescent="0.25">
      <c r="A105" s="1248" t="s">
        <v>704</v>
      </c>
      <c r="B105" s="1250" t="s">
        <v>20310</v>
      </c>
      <c r="C105" s="1250" t="s">
        <v>20240</v>
      </c>
      <c r="D105" s="1251">
        <v>5.8</v>
      </c>
      <c r="E105" s="1251">
        <v>2.9750000000000005</v>
      </c>
      <c r="F105" s="1251">
        <v>0</v>
      </c>
      <c r="G105" s="1251">
        <v>0</v>
      </c>
      <c r="H105" s="1251">
        <v>2.9750000000000005</v>
      </c>
      <c r="I105" s="1251"/>
      <c r="J105" s="1252" t="s">
        <v>20211</v>
      </c>
      <c r="K105" s="1250" t="s">
        <v>20211</v>
      </c>
      <c r="L105" s="1251">
        <v>57.586412116685999</v>
      </c>
      <c r="M105" s="1251">
        <v>34.539257743638998</v>
      </c>
      <c r="N105" s="1250" t="e">
        <f>VLOOKUP('Интерактивная карта'!#REF!,Итоговая!AA108:AV535,21,FALSE)</f>
        <v>#REF!</v>
      </c>
      <c r="O105" s="1250" t="e">
        <f>VLOOKUP('Интерактивная карта'!#REF!,Итоговая!AA108:AV535,22,FALSE)</f>
        <v>#REF!</v>
      </c>
      <c r="P105" s="1250" t="e">
        <f>VLOOKUP(#REF!,Итоговая!C108:I535,2,FALSE)</f>
        <v>#REF!</v>
      </c>
      <c r="Q105" s="1250" t="e">
        <f>VLOOKUP(#REF!,Итоговая!C108:I535,4,FALSE)</f>
        <v>#REF!</v>
      </c>
      <c r="R105" s="1250" t="e">
        <f>VLOOKUP(#REF!,Итоговая!C108:I535,6,FALSE)</f>
        <v>#REF!</v>
      </c>
      <c r="S105" s="1250"/>
      <c r="T105" s="1251" t="e">
        <f>VLOOKUP(#REF!,Итоговая!AA108:AP535,16,FALSE)</f>
        <v>#REF!</v>
      </c>
    </row>
    <row r="106" spans="1:20" x14ac:dyDescent="0.25">
      <c r="A106" s="1248" t="s">
        <v>705</v>
      </c>
      <c r="B106" s="1250" t="s">
        <v>20294</v>
      </c>
      <c r="C106" s="1250" t="s">
        <v>20222</v>
      </c>
      <c r="D106" s="1251">
        <v>0.15</v>
      </c>
      <c r="E106" s="1251">
        <v>2.645</v>
      </c>
      <c r="F106" s="1251">
        <v>0</v>
      </c>
      <c r="G106" s="1251">
        <v>0</v>
      </c>
      <c r="H106" s="1251">
        <v>2.645</v>
      </c>
      <c r="I106" s="1251"/>
      <c r="J106" s="1252" t="s">
        <v>20211</v>
      </c>
      <c r="K106" s="1250" t="s">
        <v>20211</v>
      </c>
      <c r="L106" s="1251">
        <v>57.462721817982199</v>
      </c>
      <c r="M106" s="1251">
        <v>34.072403200208498</v>
      </c>
      <c r="N106" s="1250" t="e">
        <f>VLOOKUP('Интерактивная карта'!#REF!,Итоговая!AA109:AV536,21,FALSE)</f>
        <v>#REF!</v>
      </c>
      <c r="O106" s="1250" t="e">
        <f>VLOOKUP('Интерактивная карта'!#REF!,Итоговая!AA109:AV536,22,FALSE)</f>
        <v>#REF!</v>
      </c>
      <c r="P106" s="1250" t="e">
        <f>VLOOKUP(#REF!,Итоговая!C109:I536,2,FALSE)</f>
        <v>#REF!</v>
      </c>
      <c r="Q106" s="1250" t="e">
        <f>VLOOKUP(#REF!,Итоговая!C109:I536,4,FALSE)</f>
        <v>#REF!</v>
      </c>
      <c r="R106" s="1250" t="e">
        <f>VLOOKUP(#REF!,Итоговая!C109:I536,6,FALSE)</f>
        <v>#REF!</v>
      </c>
      <c r="S106" s="1250"/>
      <c r="T106" s="1251" t="e">
        <f>VLOOKUP(#REF!,Итоговая!AA109:AP536,16,FALSE)</f>
        <v>#REF!</v>
      </c>
    </row>
    <row r="107" spans="1:20" x14ac:dyDescent="0.25">
      <c r="A107" s="1248" t="s">
        <v>706</v>
      </c>
      <c r="B107" s="1250" t="s">
        <v>20272</v>
      </c>
      <c r="C107" s="1250" t="s">
        <v>20227</v>
      </c>
      <c r="D107" s="1251">
        <v>2.82</v>
      </c>
      <c r="E107" s="1251">
        <v>9.0500000000000007</v>
      </c>
      <c r="F107" s="1251">
        <v>1.2913043478260867E-2</v>
      </c>
      <c r="G107" s="1251">
        <v>0</v>
      </c>
      <c r="H107" s="1251">
        <v>9.0370869565217404</v>
      </c>
      <c r="I107" s="1251"/>
      <c r="J107" s="1252" t="s">
        <v>20211</v>
      </c>
      <c r="K107" s="1250" t="s">
        <v>20211</v>
      </c>
      <c r="L107" s="1251">
        <v>57.8456706899387</v>
      </c>
      <c r="M107" s="1251">
        <v>35.396921230622802</v>
      </c>
      <c r="N107" s="1250" t="e">
        <f>VLOOKUP('Интерактивная карта'!#REF!,Итоговая!AA110:AV537,21,FALSE)</f>
        <v>#REF!</v>
      </c>
      <c r="O107" s="1250" t="e">
        <f>VLOOKUP('Интерактивная карта'!#REF!,Итоговая!AA110:AV537,22,FALSE)</f>
        <v>#REF!</v>
      </c>
      <c r="P107" s="1250" t="e">
        <f>VLOOKUP(#REF!,Итоговая!C110:I537,2,FALSE)</f>
        <v>#REF!</v>
      </c>
      <c r="Q107" s="1250" t="e">
        <f>VLOOKUP(#REF!,Итоговая!C110:I537,4,FALSE)</f>
        <v>#REF!</v>
      </c>
      <c r="R107" s="1250" t="e">
        <f>VLOOKUP(#REF!,Итоговая!C110:I537,6,FALSE)</f>
        <v>#REF!</v>
      </c>
      <c r="S107" s="1250"/>
      <c r="T107" s="1251" t="e">
        <f>VLOOKUP(#REF!,Итоговая!AA110:AP537,16,FALSE)</f>
        <v>#REF!</v>
      </c>
    </row>
    <row r="108" spans="1:20" x14ac:dyDescent="0.25">
      <c r="A108" s="1248" t="s">
        <v>14810</v>
      </c>
      <c r="B108" s="1250" t="s">
        <v>20299</v>
      </c>
      <c r="C108" s="1250" t="s">
        <v>20227</v>
      </c>
      <c r="D108" s="1251">
        <v>3.82</v>
      </c>
      <c r="E108" s="1251">
        <v>7.76</v>
      </c>
      <c r="F108" s="1251">
        <v>0.89517391304347826</v>
      </c>
      <c r="G108" s="1251">
        <v>0</v>
      </c>
      <c r="H108" s="1251">
        <v>6.8648260869565219</v>
      </c>
      <c r="I108" s="1251"/>
      <c r="J108" s="1252" t="s">
        <v>20211</v>
      </c>
      <c r="K108" s="1250" t="s">
        <v>20211</v>
      </c>
      <c r="L108" s="1251">
        <v>57.894637354718498</v>
      </c>
      <c r="M108" s="1251">
        <v>33.661370068374403</v>
      </c>
      <c r="N108" s="1250" t="e">
        <f>VLOOKUP('Интерактивная карта'!#REF!,Итоговая!AA111:AV538,21,FALSE)</f>
        <v>#REF!</v>
      </c>
      <c r="O108" s="1250" t="e">
        <f>VLOOKUP('Интерактивная карта'!#REF!,Итоговая!AA111:AV538,22,FALSE)</f>
        <v>#REF!</v>
      </c>
      <c r="P108" s="1250" t="e">
        <f>VLOOKUP(#REF!,Итоговая!C111:I538,2,FALSE)</f>
        <v>#REF!</v>
      </c>
      <c r="Q108" s="1250" t="e">
        <f>VLOOKUP(#REF!,Итоговая!C111:I538,4,FALSE)</f>
        <v>#REF!</v>
      </c>
      <c r="R108" s="1250" t="e">
        <f>VLOOKUP(#REF!,Итоговая!C111:I538,6,FALSE)</f>
        <v>#REF!</v>
      </c>
      <c r="S108" s="1250"/>
      <c r="T108" s="1251" t="e">
        <f>VLOOKUP(#REF!,Итоговая!AA111:AP538,16,FALSE)</f>
        <v>#REF!</v>
      </c>
    </row>
    <row r="109" spans="1:20" x14ac:dyDescent="0.25">
      <c r="A109" s="1248" t="s">
        <v>707</v>
      </c>
      <c r="B109" s="1250" t="s">
        <v>20311</v>
      </c>
      <c r="C109" s="1250" t="s">
        <v>20241</v>
      </c>
      <c r="D109" s="1251">
        <v>22.48</v>
      </c>
      <c r="E109" s="1251">
        <v>19.52</v>
      </c>
      <c r="F109" s="1251">
        <v>0.53272826086956526</v>
      </c>
      <c r="G109" s="1251">
        <v>0</v>
      </c>
      <c r="H109" s="1251">
        <v>18.987271739130435</v>
      </c>
      <c r="I109" s="1251"/>
      <c r="J109" s="1252" t="s">
        <v>20211</v>
      </c>
      <c r="K109" s="1250" t="s">
        <v>20211</v>
      </c>
      <c r="L109" s="1251">
        <v>57.600507797324703</v>
      </c>
      <c r="M109" s="1251">
        <v>34.507950699587497</v>
      </c>
      <c r="N109" s="1250" t="e">
        <f>VLOOKUP('Интерактивная карта'!#REF!,Итоговая!AA112:AV539,21,FALSE)</f>
        <v>#REF!</v>
      </c>
      <c r="O109" s="1250" t="e">
        <f>VLOOKUP('Интерактивная карта'!#REF!,Итоговая!AA112:AV539,22,FALSE)</f>
        <v>#REF!</v>
      </c>
      <c r="P109" s="1250" t="e">
        <f>VLOOKUP(#REF!,Итоговая!C112:I539,2,FALSE)</f>
        <v>#REF!</v>
      </c>
      <c r="Q109" s="1250" t="e">
        <f>VLOOKUP(#REF!,Итоговая!C112:I539,4,FALSE)</f>
        <v>#REF!</v>
      </c>
      <c r="R109" s="1250" t="e">
        <f>VLOOKUP(#REF!,Итоговая!C112:I539,6,FALSE)</f>
        <v>#REF!</v>
      </c>
      <c r="S109" s="1250"/>
      <c r="T109" s="1251" t="e">
        <f>VLOOKUP(#REF!,Итоговая!AA112:AP539,16,FALSE)</f>
        <v>#REF!</v>
      </c>
    </row>
    <row r="110" spans="1:20" x14ac:dyDescent="0.25">
      <c r="A110" s="1248" t="s">
        <v>708</v>
      </c>
      <c r="B110" s="1250" t="s">
        <v>20310</v>
      </c>
      <c r="C110" s="1250" t="s">
        <v>20242</v>
      </c>
      <c r="D110" s="1251">
        <v>12.13</v>
      </c>
      <c r="E110" s="1251">
        <v>12.209999999999999</v>
      </c>
      <c r="F110" s="1251">
        <v>0</v>
      </c>
      <c r="G110" s="1251">
        <v>0</v>
      </c>
      <c r="H110" s="1251">
        <v>12.209999999999999</v>
      </c>
      <c r="I110" s="1251"/>
      <c r="J110" s="1252" t="s">
        <v>20211</v>
      </c>
      <c r="K110" s="1250" t="s">
        <v>20211</v>
      </c>
      <c r="L110" s="1251">
        <v>57.561058143833897</v>
      </c>
      <c r="M110" s="1251">
        <v>34.552623945873101</v>
      </c>
      <c r="N110" s="1250" t="e">
        <f>VLOOKUP('Интерактивная карта'!#REF!,Итоговая!AA113:AV540,21,FALSE)</f>
        <v>#REF!</v>
      </c>
      <c r="O110" s="1250" t="e">
        <f>VLOOKUP('Интерактивная карта'!#REF!,Итоговая!AA113:AV540,22,FALSE)</f>
        <v>#REF!</v>
      </c>
      <c r="P110" s="1250" t="e">
        <f>VLOOKUP(#REF!,Итоговая!C113:I540,2,FALSE)</f>
        <v>#REF!</v>
      </c>
      <c r="Q110" s="1250" t="e">
        <f>VLOOKUP(#REF!,Итоговая!C113:I540,4,FALSE)</f>
        <v>#REF!</v>
      </c>
      <c r="R110" s="1250" t="e">
        <f>VLOOKUP(#REF!,Итоговая!C113:I540,6,FALSE)</f>
        <v>#REF!</v>
      </c>
      <c r="S110" s="1250"/>
      <c r="T110" s="1251" t="e">
        <f>VLOOKUP(#REF!,Итоговая!AA113:AP540,16,FALSE)</f>
        <v>#REF!</v>
      </c>
    </row>
    <row r="111" spans="1:20" x14ac:dyDescent="0.25">
      <c r="A111" s="1248" t="s">
        <v>709</v>
      </c>
      <c r="B111" s="1250" t="s">
        <v>20266</v>
      </c>
      <c r="C111" s="1250" t="s">
        <v>20243</v>
      </c>
      <c r="D111" s="1251">
        <v>1.67</v>
      </c>
      <c r="E111" s="1251">
        <v>15.13</v>
      </c>
      <c r="F111" s="1251">
        <v>7.7713043478260857E-2</v>
      </c>
      <c r="G111" s="1251">
        <v>0</v>
      </c>
      <c r="H111" s="1251">
        <v>15.052286956521741</v>
      </c>
      <c r="I111" s="1251"/>
      <c r="J111" s="1252" t="s">
        <v>20211</v>
      </c>
      <c r="K111" s="1250" t="s">
        <v>20211</v>
      </c>
      <c r="L111" s="1251">
        <v>57.424520442148101</v>
      </c>
      <c r="M111" s="1251">
        <v>35.000676085974902</v>
      </c>
      <c r="N111" s="1250" t="e">
        <f>VLOOKUP('Интерактивная карта'!#REF!,Итоговая!AA114:AV541,21,FALSE)</f>
        <v>#REF!</v>
      </c>
      <c r="O111" s="1250" t="e">
        <f>VLOOKUP('Интерактивная карта'!#REF!,Итоговая!AA114:AV541,22,FALSE)</f>
        <v>#REF!</v>
      </c>
      <c r="P111" s="1250" t="e">
        <f>VLOOKUP(#REF!,Итоговая!C114:I541,2,FALSE)</f>
        <v>#REF!</v>
      </c>
      <c r="Q111" s="1250" t="e">
        <f>VLOOKUP(#REF!,Итоговая!C114:I541,4,FALSE)</f>
        <v>#REF!</v>
      </c>
      <c r="R111" s="1250" t="e">
        <f>VLOOKUP(#REF!,Итоговая!C114:I541,6,FALSE)</f>
        <v>#REF!</v>
      </c>
      <c r="S111" s="1250"/>
      <c r="T111" s="1251" t="e">
        <f>VLOOKUP(#REF!,Итоговая!AA114:AP541,16,FALSE)</f>
        <v>#REF!</v>
      </c>
    </row>
    <row r="112" spans="1:20" x14ac:dyDescent="0.25">
      <c r="A112" s="1248" t="s">
        <v>710</v>
      </c>
      <c r="B112" s="1250" t="s">
        <v>20276</v>
      </c>
      <c r="C112" s="1250" t="s">
        <v>20243</v>
      </c>
      <c r="D112" s="1251">
        <v>2.69</v>
      </c>
      <c r="E112" s="1251">
        <v>16.62</v>
      </c>
      <c r="F112" s="1251">
        <v>9.7239130434782606E-2</v>
      </c>
      <c r="G112" s="1251">
        <v>0</v>
      </c>
      <c r="H112" s="1251">
        <v>16.522760869565218</v>
      </c>
      <c r="I112" s="1251"/>
      <c r="J112" s="1252" t="s">
        <v>20211</v>
      </c>
      <c r="K112" s="1250" t="s">
        <v>20211</v>
      </c>
      <c r="L112" s="1251">
        <v>57.5990178775236</v>
      </c>
      <c r="M112" s="1251">
        <v>33.975736921093798</v>
      </c>
      <c r="N112" s="1250" t="e">
        <f>VLOOKUP('Интерактивная карта'!#REF!,Итоговая!AA115:AV542,21,FALSE)</f>
        <v>#REF!</v>
      </c>
      <c r="O112" s="1250" t="e">
        <f>VLOOKUP('Интерактивная карта'!#REF!,Итоговая!AA115:AV542,22,FALSE)</f>
        <v>#REF!</v>
      </c>
      <c r="P112" s="1250" t="e">
        <f>VLOOKUP(#REF!,Итоговая!C115:I542,2,FALSE)</f>
        <v>#REF!</v>
      </c>
      <c r="Q112" s="1250" t="e">
        <f>VLOOKUP(#REF!,Итоговая!C115:I542,4,FALSE)</f>
        <v>#REF!</v>
      </c>
      <c r="R112" s="1250" t="e">
        <f>VLOOKUP(#REF!,Итоговая!C115:I542,6,FALSE)</f>
        <v>#REF!</v>
      </c>
      <c r="S112" s="1250"/>
      <c r="T112" s="1251" t="e">
        <f>VLOOKUP(#REF!,Итоговая!AA115:AP542,16,FALSE)</f>
        <v>#REF!</v>
      </c>
    </row>
    <row r="113" spans="1:20" x14ac:dyDescent="0.25">
      <c r="A113" s="1248" t="s">
        <v>711</v>
      </c>
      <c r="B113" s="1250" t="s">
        <v>20272</v>
      </c>
      <c r="C113" s="1250" t="s">
        <v>20226</v>
      </c>
      <c r="D113" s="1251">
        <v>14.72</v>
      </c>
      <c r="E113" s="1251">
        <v>18.509999999999998</v>
      </c>
      <c r="F113" s="1251">
        <v>1.1821304347826085</v>
      </c>
      <c r="G113" s="1251">
        <v>0.13</v>
      </c>
      <c r="H113" s="1251">
        <v>17.327869565217391</v>
      </c>
      <c r="I113" s="1251"/>
      <c r="J113" s="1252" t="s">
        <v>20211</v>
      </c>
      <c r="K113" s="1250" t="s">
        <v>20211</v>
      </c>
      <c r="L113" s="1251">
        <v>57.866844936852402</v>
      </c>
      <c r="M113" s="1251">
        <v>35.008621730403597</v>
      </c>
      <c r="N113" s="1250" t="e">
        <f>VLOOKUP('Интерактивная карта'!#REF!,Итоговая!AA116:AV543,21,FALSE)</f>
        <v>#REF!</v>
      </c>
      <c r="O113" s="1250" t="e">
        <f>VLOOKUP('Интерактивная карта'!#REF!,Итоговая!AA116:AV543,22,FALSE)</f>
        <v>#REF!</v>
      </c>
      <c r="P113" s="1250" t="e">
        <f>VLOOKUP(#REF!,Итоговая!C116:I543,2,FALSE)</f>
        <v>#REF!</v>
      </c>
      <c r="Q113" s="1250" t="e">
        <f>VLOOKUP(#REF!,Итоговая!C116:I543,4,FALSE)</f>
        <v>#REF!</v>
      </c>
      <c r="R113" s="1250" t="e">
        <f>VLOOKUP(#REF!,Итоговая!C116:I543,6,FALSE)</f>
        <v>#REF!</v>
      </c>
      <c r="S113" s="1250"/>
      <c r="T113" s="1251" t="e">
        <f>VLOOKUP(#REF!,Итоговая!AA116:AP543,16,FALSE)</f>
        <v>#REF!</v>
      </c>
    </row>
    <row r="114" spans="1:20" x14ac:dyDescent="0.25">
      <c r="A114" s="1248" t="s">
        <v>712</v>
      </c>
      <c r="B114" s="1250" t="s">
        <v>20310</v>
      </c>
      <c r="C114" s="1250" t="s">
        <v>20225</v>
      </c>
      <c r="D114" s="1251">
        <v>2.94</v>
      </c>
      <c r="E114" s="1251">
        <v>4.835</v>
      </c>
      <c r="F114" s="1251">
        <v>0.12590217391304348</v>
      </c>
      <c r="G114" s="1251">
        <v>0</v>
      </c>
      <c r="H114" s="1251">
        <v>4.7090978260869569</v>
      </c>
      <c r="I114" s="1251"/>
      <c r="J114" s="1252" t="s">
        <v>20211</v>
      </c>
      <c r="K114" s="1250" t="s">
        <v>20211</v>
      </c>
      <c r="L114" s="1251">
        <v>57.468765872844202</v>
      </c>
      <c r="M114" s="1251">
        <v>34.716617163861798</v>
      </c>
      <c r="N114" s="1250" t="e">
        <f>VLOOKUP('Интерактивная карта'!#REF!,Итоговая!AA117:AV544,21,FALSE)</f>
        <v>#REF!</v>
      </c>
      <c r="O114" s="1250" t="e">
        <f>VLOOKUP('Интерактивная карта'!#REF!,Итоговая!AA117:AV544,22,FALSE)</f>
        <v>#REF!</v>
      </c>
      <c r="P114" s="1250" t="e">
        <f>VLOOKUP(#REF!,Итоговая!C117:I544,2,FALSE)</f>
        <v>#REF!</v>
      </c>
      <c r="Q114" s="1250" t="e">
        <f>VLOOKUP(#REF!,Итоговая!C117:I544,4,FALSE)</f>
        <v>#REF!</v>
      </c>
      <c r="R114" s="1250" t="e">
        <f>VLOOKUP(#REF!,Итоговая!C117:I544,6,FALSE)</f>
        <v>#REF!</v>
      </c>
      <c r="S114" s="1250"/>
      <c r="T114" s="1251" t="e">
        <f>VLOOKUP(#REF!,Итоговая!AA117:AP544,16,FALSE)</f>
        <v>#REF!</v>
      </c>
    </row>
    <row r="115" spans="1:20" x14ac:dyDescent="0.25">
      <c r="A115" s="1248" t="s">
        <v>713</v>
      </c>
      <c r="B115" s="1250" t="s">
        <v>20312</v>
      </c>
      <c r="C115" s="1250" t="s">
        <v>20226</v>
      </c>
      <c r="D115" s="1251">
        <v>0.74</v>
      </c>
      <c r="E115" s="1251">
        <v>25.86</v>
      </c>
      <c r="F115" s="1251">
        <v>0</v>
      </c>
      <c r="G115" s="1251">
        <v>0</v>
      </c>
      <c r="H115" s="1251">
        <v>25.86</v>
      </c>
      <c r="I115" s="1251"/>
      <c r="J115" s="1252" t="s">
        <v>20211</v>
      </c>
      <c r="K115" s="1250" t="s">
        <v>20211</v>
      </c>
      <c r="L115" s="1251">
        <v>57.637373082097099</v>
      </c>
      <c r="M115" s="1251">
        <v>34.465650829909301</v>
      </c>
      <c r="N115" s="1250" t="e">
        <f>VLOOKUP('Интерактивная карта'!#REF!,Итоговая!AA118:AV545,21,FALSE)</f>
        <v>#REF!</v>
      </c>
      <c r="O115" s="1250" t="e">
        <f>VLOOKUP('Интерактивная карта'!#REF!,Итоговая!AA118:AV545,22,FALSE)</f>
        <v>#REF!</v>
      </c>
      <c r="P115" s="1250" t="e">
        <f>VLOOKUP(#REF!,Итоговая!C118:I545,2,FALSE)</f>
        <v>#REF!</v>
      </c>
      <c r="Q115" s="1250" t="e">
        <f>VLOOKUP(#REF!,Итоговая!C118:I545,4,FALSE)</f>
        <v>#REF!</v>
      </c>
      <c r="R115" s="1250" t="e">
        <f>VLOOKUP(#REF!,Итоговая!C118:I545,6,FALSE)</f>
        <v>#REF!</v>
      </c>
      <c r="S115" s="1250"/>
      <c r="T115" s="1251" t="e">
        <f>VLOOKUP(#REF!,Итоговая!AA118:AP545,16,FALSE)</f>
        <v>#REF!</v>
      </c>
    </row>
    <row r="116" spans="1:20" x14ac:dyDescent="0.25">
      <c r="A116" s="1248" t="s">
        <v>714</v>
      </c>
      <c r="B116" s="1250" t="s">
        <v>20278</v>
      </c>
      <c r="C116" s="1250" t="s">
        <v>20215</v>
      </c>
      <c r="D116" s="1251">
        <v>2.63</v>
      </c>
      <c r="E116" s="1251">
        <v>-1.1299999999999999</v>
      </c>
      <c r="F116" s="1251">
        <v>0.93391304347826076</v>
      </c>
      <c r="G116" s="1251">
        <v>0</v>
      </c>
      <c r="H116" s="1251">
        <v>-2.0639130434782604</v>
      </c>
      <c r="I116" s="1251"/>
      <c r="J116" s="1252" t="s">
        <v>20211</v>
      </c>
      <c r="K116" s="1250" t="s">
        <v>2217</v>
      </c>
      <c r="L116" s="1251">
        <v>56.888055490109899</v>
      </c>
      <c r="M116" s="1251">
        <v>37.371419727633999</v>
      </c>
      <c r="N116" s="1250" t="e">
        <f>VLOOKUP('Интерактивная карта'!#REF!,Итоговая!AA119:AV546,21,FALSE)</f>
        <v>#REF!</v>
      </c>
      <c r="O116" s="1250" t="e">
        <f>VLOOKUP('Интерактивная карта'!#REF!,Итоговая!AA119:AV546,22,FALSE)</f>
        <v>#REF!</v>
      </c>
      <c r="P116" s="1250" t="e">
        <f>VLOOKUP(#REF!,Итоговая!C119:I546,2,FALSE)</f>
        <v>#REF!</v>
      </c>
      <c r="Q116" s="1250" t="e">
        <f>VLOOKUP(#REF!,Итоговая!C119:I546,4,FALSE)</f>
        <v>#REF!</v>
      </c>
      <c r="R116" s="1250" t="e">
        <f>VLOOKUP(#REF!,Итоговая!C119:I546,6,FALSE)</f>
        <v>#REF!</v>
      </c>
      <c r="S116" s="1250"/>
      <c r="T116" s="1251" t="e">
        <f>VLOOKUP(#REF!,Итоговая!AA119:AP546,16,FALSE)</f>
        <v>#REF!</v>
      </c>
    </row>
    <row r="117" spans="1:20" x14ac:dyDescent="0.25">
      <c r="A117" s="1248" t="s">
        <v>715</v>
      </c>
      <c r="B117" s="1250" t="s">
        <v>20313</v>
      </c>
      <c r="C117" s="1250" t="s">
        <v>20222</v>
      </c>
      <c r="D117" s="1251">
        <v>1.1399999999999999</v>
      </c>
      <c r="E117" s="1251">
        <v>1.4850000000000001</v>
      </c>
      <c r="F117" s="1251">
        <v>0.98471739130434766</v>
      </c>
      <c r="G117" s="1251">
        <v>0</v>
      </c>
      <c r="H117" s="1251">
        <v>0.50028260869565244</v>
      </c>
      <c r="I117" s="1251"/>
      <c r="J117" s="1252" t="s">
        <v>20211</v>
      </c>
      <c r="K117" s="1250" t="s">
        <v>20211</v>
      </c>
      <c r="L117" s="1251">
        <v>57.244514696535497</v>
      </c>
      <c r="M117" s="1251">
        <v>37.584015705671703</v>
      </c>
      <c r="N117" s="1250" t="e">
        <f>VLOOKUP('Интерактивная карта'!#REF!,Итоговая!AA120:AV547,21,FALSE)</f>
        <v>#REF!</v>
      </c>
      <c r="O117" s="1250" t="e">
        <f>VLOOKUP('Интерактивная карта'!#REF!,Итоговая!AA120:AV547,22,FALSE)</f>
        <v>#REF!</v>
      </c>
      <c r="P117" s="1250" t="e">
        <f>VLOOKUP(#REF!,Итоговая!C120:I547,2,FALSE)</f>
        <v>#REF!</v>
      </c>
      <c r="Q117" s="1250" t="e">
        <f>VLOOKUP(#REF!,Итоговая!C120:I547,4,FALSE)</f>
        <v>#REF!</v>
      </c>
      <c r="R117" s="1250" t="e">
        <f>VLOOKUP(#REF!,Итоговая!C120:I547,6,FALSE)</f>
        <v>#REF!</v>
      </c>
      <c r="S117" s="1250"/>
      <c r="T117" s="1251" t="e">
        <f>VLOOKUP(#REF!,Итоговая!AA120:AP547,16,FALSE)</f>
        <v>#REF!</v>
      </c>
    </row>
    <row r="118" spans="1:20" x14ac:dyDescent="0.25">
      <c r="A118" s="1248" t="s">
        <v>1746</v>
      </c>
      <c r="B118" s="1250" t="s">
        <v>20314</v>
      </c>
      <c r="C118" s="1250" t="s">
        <v>20244</v>
      </c>
      <c r="D118" s="1251">
        <v>2.69</v>
      </c>
      <c r="E118" s="1251">
        <v>3.19</v>
      </c>
      <c r="F118" s="1251">
        <v>1.2019354838709677</v>
      </c>
      <c r="G118" s="1251">
        <v>0</v>
      </c>
      <c r="H118" s="1251">
        <v>1.9880645161290322</v>
      </c>
      <c r="I118" s="1251"/>
      <c r="J118" s="1252" t="s">
        <v>20211</v>
      </c>
      <c r="K118" s="1250" t="s">
        <v>20211</v>
      </c>
      <c r="L118" s="1251">
        <v>56.959902731357602</v>
      </c>
      <c r="M118" s="1251">
        <v>37.513246034750402</v>
      </c>
      <c r="N118" s="1250" t="e">
        <f>VLOOKUP('Интерактивная карта'!#REF!,Итоговая!AA121:AV548,21,FALSE)</f>
        <v>#REF!</v>
      </c>
      <c r="O118" s="1250" t="e">
        <f>VLOOKUP('Интерактивная карта'!#REF!,Итоговая!AA121:AV548,22,FALSE)</f>
        <v>#REF!</v>
      </c>
      <c r="P118" s="1250" t="e">
        <f>VLOOKUP(#REF!,Итоговая!C121:I548,2,FALSE)</f>
        <v>#REF!</v>
      </c>
      <c r="Q118" s="1250" t="e">
        <f>VLOOKUP(#REF!,Итоговая!C121:I548,4,FALSE)</f>
        <v>#REF!</v>
      </c>
      <c r="R118" s="1250" t="e">
        <f>VLOOKUP(#REF!,Итоговая!C121:I548,6,FALSE)</f>
        <v>#REF!</v>
      </c>
      <c r="S118" s="1250"/>
      <c r="T118" s="1251" t="e">
        <f>VLOOKUP(#REF!,Итоговая!AA121:AP548,16,FALSE)</f>
        <v>#REF!</v>
      </c>
    </row>
    <row r="119" spans="1:20" x14ac:dyDescent="0.25">
      <c r="A119" s="1248" t="s">
        <v>716</v>
      </c>
      <c r="B119" s="1250" t="s">
        <v>20302</v>
      </c>
      <c r="C119" s="1250" t="s">
        <v>20222</v>
      </c>
      <c r="D119" s="1251">
        <v>1.1499999999999999</v>
      </c>
      <c r="E119" s="1251">
        <v>1.4750000000000001</v>
      </c>
      <c r="F119" s="1251">
        <v>1.0813695652173911</v>
      </c>
      <c r="G119" s="1251">
        <v>0.01</v>
      </c>
      <c r="H119" s="1251">
        <v>0.39363043478260895</v>
      </c>
      <c r="I119" s="1251"/>
      <c r="J119" s="1252" t="s">
        <v>20211</v>
      </c>
      <c r="K119" s="1250" t="s">
        <v>20211</v>
      </c>
      <c r="L119" s="1251">
        <v>57.242480311326098</v>
      </c>
      <c r="M119" s="1251">
        <v>37.884221681446903</v>
      </c>
      <c r="N119" s="1250" t="e">
        <f>VLOOKUP('Интерактивная карта'!#REF!,Итоговая!AA122:AV549,21,FALSE)</f>
        <v>#REF!</v>
      </c>
      <c r="O119" s="1250" t="e">
        <f>VLOOKUP('Интерактивная карта'!#REF!,Итоговая!AA122:AV549,22,FALSE)</f>
        <v>#REF!</v>
      </c>
      <c r="P119" s="1250" t="e">
        <f>VLOOKUP(#REF!,Итоговая!C122:I549,2,FALSE)</f>
        <v>#REF!</v>
      </c>
      <c r="Q119" s="1250" t="e">
        <f>VLOOKUP(#REF!,Итоговая!C122:I549,4,FALSE)</f>
        <v>#REF!</v>
      </c>
      <c r="R119" s="1250" t="e">
        <f>VLOOKUP(#REF!,Итоговая!C122:I549,6,FALSE)</f>
        <v>#REF!</v>
      </c>
      <c r="S119" s="1250"/>
      <c r="T119" s="1251" t="e">
        <f>VLOOKUP(#REF!,Итоговая!AA122:AP549,16,FALSE)</f>
        <v>#REF!</v>
      </c>
    </row>
    <row r="120" spans="1:20" x14ac:dyDescent="0.25">
      <c r="A120" s="1248" t="s">
        <v>717</v>
      </c>
      <c r="B120" s="1250" t="s">
        <v>20315</v>
      </c>
      <c r="C120" s="1250" t="s">
        <v>20225</v>
      </c>
      <c r="D120" s="1251">
        <v>4.21</v>
      </c>
      <c r="E120" s="1251">
        <v>2.4050000000000002</v>
      </c>
      <c r="F120" s="1251">
        <v>0</v>
      </c>
      <c r="G120" s="1251">
        <v>0</v>
      </c>
      <c r="H120" s="1251">
        <v>2.4050000000000002</v>
      </c>
      <c r="I120" s="1251"/>
      <c r="J120" s="1252" t="s">
        <v>20211</v>
      </c>
      <c r="K120" s="1250" t="s">
        <v>20211</v>
      </c>
      <c r="L120" s="1251">
        <v>56.848672463074998</v>
      </c>
      <c r="M120" s="1251">
        <v>37.379829413867697</v>
      </c>
      <c r="N120" s="1250" t="e">
        <f>VLOOKUP('Интерактивная карта'!#REF!,Итоговая!AA123:AV550,21,FALSE)</f>
        <v>#REF!</v>
      </c>
      <c r="O120" s="1250" t="e">
        <f>VLOOKUP('Интерактивная карта'!#REF!,Итоговая!AA123:AV550,22,FALSE)</f>
        <v>#REF!</v>
      </c>
      <c r="P120" s="1250" t="e">
        <f>VLOOKUP(#REF!,Итоговая!C123:I550,2,FALSE)</f>
        <v>#REF!</v>
      </c>
      <c r="Q120" s="1250" t="e">
        <f>VLOOKUP(#REF!,Итоговая!C123:I550,4,FALSE)</f>
        <v>#REF!</v>
      </c>
      <c r="R120" s="1250" t="e">
        <f>VLOOKUP(#REF!,Итоговая!C123:I550,6,FALSE)</f>
        <v>#REF!</v>
      </c>
      <c r="S120" s="1250"/>
      <c r="T120" s="1251" t="e">
        <f>VLOOKUP(#REF!,Итоговая!AA123:AP550,16,FALSE)</f>
        <v>#REF!</v>
      </c>
    </row>
    <row r="121" spans="1:20" x14ac:dyDescent="0.25">
      <c r="A121" s="1248" t="s">
        <v>718</v>
      </c>
      <c r="B121" s="1250" t="s">
        <v>20295</v>
      </c>
      <c r="C121" s="1250" t="s">
        <v>20221</v>
      </c>
      <c r="D121" s="1251">
        <v>1.6</v>
      </c>
      <c r="E121" s="1251">
        <v>1.0249999999999999</v>
      </c>
      <c r="F121" s="1251">
        <v>0.59311956521739129</v>
      </c>
      <c r="G121" s="1251">
        <v>0</v>
      </c>
      <c r="H121" s="1251">
        <v>0.43188043478260862</v>
      </c>
      <c r="I121" s="1251"/>
      <c r="J121" s="1252" t="s">
        <v>20211</v>
      </c>
      <c r="K121" s="1250" t="s">
        <v>20211</v>
      </c>
      <c r="L121" s="1251">
        <v>56.947236572806403</v>
      </c>
      <c r="M121" s="1251">
        <v>37.166472023563799</v>
      </c>
      <c r="N121" s="1250" t="e">
        <f>VLOOKUP('Интерактивная карта'!#REF!,Итоговая!AA124:AV551,21,FALSE)</f>
        <v>#REF!</v>
      </c>
      <c r="O121" s="1250" t="e">
        <f>VLOOKUP('Интерактивная карта'!#REF!,Итоговая!AA124:AV551,22,FALSE)</f>
        <v>#REF!</v>
      </c>
      <c r="P121" s="1250" t="e">
        <f>VLOOKUP(#REF!,Итоговая!C124:I551,2,FALSE)</f>
        <v>#REF!</v>
      </c>
      <c r="Q121" s="1250" t="e">
        <f>VLOOKUP(#REF!,Итоговая!C124:I551,4,FALSE)</f>
        <v>#REF!</v>
      </c>
      <c r="R121" s="1250" t="e">
        <f>VLOOKUP(#REF!,Итоговая!C124:I551,6,FALSE)</f>
        <v>#REF!</v>
      </c>
      <c r="S121" s="1250"/>
      <c r="T121" s="1251" t="e">
        <f>VLOOKUP(#REF!,Итоговая!AA124:AP551,16,FALSE)</f>
        <v>#REF!</v>
      </c>
    </row>
    <row r="122" spans="1:20" x14ac:dyDescent="0.25">
      <c r="A122" s="1248" t="s">
        <v>719</v>
      </c>
      <c r="B122" s="1250" t="s">
        <v>20299</v>
      </c>
      <c r="C122" s="1250" t="s">
        <v>20225</v>
      </c>
      <c r="D122" s="1251">
        <v>4.8499999999999996</v>
      </c>
      <c r="E122" s="1251">
        <v>1.7650000000000006</v>
      </c>
      <c r="F122" s="1251">
        <v>0.41928260869565226</v>
      </c>
      <c r="G122" s="1251">
        <v>0</v>
      </c>
      <c r="H122" s="1251">
        <v>1.3457173913043483</v>
      </c>
      <c r="I122" s="1251"/>
      <c r="J122" s="1252" t="s">
        <v>20211</v>
      </c>
      <c r="K122" s="1250" t="s">
        <v>20211</v>
      </c>
      <c r="L122" s="1251">
        <v>57.2325275754039</v>
      </c>
      <c r="M122" s="1251">
        <v>37.856639171112803</v>
      </c>
      <c r="N122" s="1250" t="e">
        <f>VLOOKUP('Интерактивная карта'!#REF!,Итоговая!AA125:AV552,21,FALSE)</f>
        <v>#REF!</v>
      </c>
      <c r="O122" s="1250" t="e">
        <f>VLOOKUP('Интерактивная карта'!#REF!,Итоговая!AA125:AV552,22,FALSE)</f>
        <v>#REF!</v>
      </c>
      <c r="P122" s="1250" t="e">
        <f>VLOOKUP(#REF!,Итоговая!C125:I552,2,FALSE)</f>
        <v>#REF!</v>
      </c>
      <c r="Q122" s="1250" t="e">
        <f>VLOOKUP(#REF!,Итоговая!C125:I552,4,FALSE)</f>
        <v>#REF!</v>
      </c>
      <c r="R122" s="1250" t="e">
        <f>VLOOKUP(#REF!,Итоговая!C125:I552,6,FALSE)</f>
        <v>#REF!</v>
      </c>
      <c r="S122" s="1250"/>
      <c r="T122" s="1251" t="e">
        <f>VLOOKUP(#REF!,Итоговая!AA125:AP552,16,FALSE)</f>
        <v>#REF!</v>
      </c>
    </row>
    <row r="123" spans="1:20" x14ac:dyDescent="0.25">
      <c r="A123" s="1248" t="s">
        <v>720</v>
      </c>
      <c r="B123" s="1250" t="s">
        <v>20316</v>
      </c>
      <c r="C123" s="1250" t="s">
        <v>20243</v>
      </c>
      <c r="D123" s="1251">
        <v>6.6</v>
      </c>
      <c r="E123" s="1251">
        <v>10.200000000000001</v>
      </c>
      <c r="F123" s="1251">
        <v>0</v>
      </c>
      <c r="G123" s="1251">
        <v>0</v>
      </c>
      <c r="H123" s="1251">
        <v>10.200000000000001</v>
      </c>
      <c r="I123" s="1251"/>
      <c r="J123" s="1252" t="s">
        <v>20211</v>
      </c>
      <c r="K123" s="1250" t="s">
        <v>20211</v>
      </c>
      <c r="L123" s="1251">
        <v>56.851855272636001</v>
      </c>
      <c r="M123" s="1251">
        <v>37.355667217227797</v>
      </c>
      <c r="N123" s="1250" t="e">
        <f>VLOOKUP('Интерактивная карта'!#REF!,Итоговая!AA126:AV553,21,FALSE)</f>
        <v>#REF!</v>
      </c>
      <c r="O123" s="1250" t="e">
        <f>VLOOKUP('Интерактивная карта'!#REF!,Итоговая!AA126:AV553,22,FALSE)</f>
        <v>#REF!</v>
      </c>
      <c r="P123" s="1250" t="e">
        <f>VLOOKUP(#REF!,Итоговая!C126:I553,2,FALSE)</f>
        <v>#REF!</v>
      </c>
      <c r="Q123" s="1250" t="e">
        <f>VLOOKUP(#REF!,Итоговая!C126:I553,4,FALSE)</f>
        <v>#REF!</v>
      </c>
      <c r="R123" s="1250" t="e">
        <f>VLOOKUP(#REF!,Итоговая!C126:I553,6,FALSE)</f>
        <v>#REF!</v>
      </c>
      <c r="S123" s="1250"/>
      <c r="T123" s="1251" t="e">
        <f>VLOOKUP(#REF!,Итоговая!AA126:AP553,16,FALSE)</f>
        <v>#REF!</v>
      </c>
    </row>
    <row r="124" spans="1:20" x14ac:dyDescent="0.25">
      <c r="A124" s="1248" t="s">
        <v>721</v>
      </c>
      <c r="B124" s="1250" t="s">
        <v>20283</v>
      </c>
      <c r="C124" s="1250" t="s">
        <v>20222</v>
      </c>
      <c r="D124" s="1251">
        <v>0.57999999999999996</v>
      </c>
      <c r="E124" s="1251">
        <v>2.0449999999999999</v>
      </c>
      <c r="F124" s="1251">
        <v>0</v>
      </c>
      <c r="G124" s="1251">
        <v>0</v>
      </c>
      <c r="H124" s="1251">
        <v>2.0449999999999999</v>
      </c>
      <c r="I124" s="1251"/>
      <c r="J124" s="1252" t="s">
        <v>20211</v>
      </c>
      <c r="K124" s="1250" t="s">
        <v>20211</v>
      </c>
      <c r="L124" s="1251">
        <v>57.487016724667797</v>
      </c>
      <c r="M124" s="1251">
        <v>37.667822676991896</v>
      </c>
      <c r="N124" s="1250" t="e">
        <f>VLOOKUP('Интерактивная карта'!#REF!,Итоговая!AA127:AV554,21,FALSE)</f>
        <v>#REF!</v>
      </c>
      <c r="O124" s="1250" t="e">
        <f>VLOOKUP('Интерактивная карта'!#REF!,Итоговая!AA127:AV554,22,FALSE)</f>
        <v>#REF!</v>
      </c>
      <c r="P124" s="1250" t="e">
        <f>VLOOKUP(#REF!,Итоговая!C127:I554,2,FALSE)</f>
        <v>#REF!</v>
      </c>
      <c r="Q124" s="1250" t="e">
        <f>VLOOKUP(#REF!,Итоговая!C127:I554,4,FALSE)</f>
        <v>#REF!</v>
      </c>
      <c r="R124" s="1250" t="e">
        <f>VLOOKUP(#REF!,Итоговая!C127:I554,6,FALSE)</f>
        <v>#REF!</v>
      </c>
      <c r="S124" s="1250"/>
      <c r="T124" s="1251" t="e">
        <f>VLOOKUP(#REF!,Итоговая!AA127:AP554,16,FALSE)</f>
        <v>#REF!</v>
      </c>
    </row>
    <row r="125" spans="1:20" x14ac:dyDescent="0.25">
      <c r="A125" s="1248" t="s">
        <v>722</v>
      </c>
      <c r="B125" s="1250" t="s">
        <v>20309</v>
      </c>
      <c r="C125" s="1250" t="s">
        <v>20235</v>
      </c>
      <c r="D125" s="1251">
        <v>2.9</v>
      </c>
      <c r="E125" s="1251">
        <v>1.3000000000000003</v>
      </c>
      <c r="F125" s="1251">
        <v>0</v>
      </c>
      <c r="G125" s="1251">
        <v>0</v>
      </c>
      <c r="H125" s="1251">
        <v>1.3000000000000003</v>
      </c>
      <c r="I125" s="1251"/>
      <c r="J125" s="1252" t="s">
        <v>20211</v>
      </c>
      <c r="K125" s="1250" t="s">
        <v>20211</v>
      </c>
      <c r="L125" s="1251">
        <v>57.365484080460902</v>
      </c>
      <c r="M125" s="1251">
        <v>37.609359391820099</v>
      </c>
      <c r="N125" s="1250" t="e">
        <f>VLOOKUP('Интерактивная карта'!#REF!,Итоговая!AA128:AV555,21,FALSE)</f>
        <v>#REF!</v>
      </c>
      <c r="O125" s="1250" t="e">
        <f>VLOOKUP('Интерактивная карта'!#REF!,Итоговая!AA128:AV555,22,FALSE)</f>
        <v>#REF!</v>
      </c>
      <c r="P125" s="1250" t="e">
        <f>VLOOKUP(#REF!,Итоговая!C128:I555,2,FALSE)</f>
        <v>#REF!</v>
      </c>
      <c r="Q125" s="1250" t="e">
        <f>VLOOKUP(#REF!,Итоговая!C128:I555,4,FALSE)</f>
        <v>#REF!</v>
      </c>
      <c r="R125" s="1250" t="e">
        <f>VLOOKUP(#REF!,Итоговая!C128:I555,6,FALSE)</f>
        <v>#REF!</v>
      </c>
      <c r="S125" s="1250"/>
      <c r="T125" s="1251" t="e">
        <f>VLOOKUP(#REF!,Итоговая!AA128:AP555,16,FALSE)</f>
        <v>#REF!</v>
      </c>
    </row>
    <row r="126" spans="1:20" x14ac:dyDescent="0.25">
      <c r="A126" s="1248" t="s">
        <v>723</v>
      </c>
      <c r="B126" s="1250" t="s">
        <v>20313</v>
      </c>
      <c r="C126" s="1250" t="s">
        <v>20225</v>
      </c>
      <c r="D126" s="1251">
        <v>3.63</v>
      </c>
      <c r="E126" s="1251">
        <v>2.9850000000000003</v>
      </c>
      <c r="F126" s="1251">
        <v>0</v>
      </c>
      <c r="G126" s="1251">
        <v>0</v>
      </c>
      <c r="H126" s="1251">
        <v>2.9850000000000003</v>
      </c>
      <c r="I126" s="1251"/>
      <c r="J126" s="1252" t="s">
        <v>20211</v>
      </c>
      <c r="K126" s="1250" t="s">
        <v>20211</v>
      </c>
      <c r="L126" s="1251">
        <v>56.885961433885598</v>
      </c>
      <c r="M126" s="1251">
        <v>37.382196841384498</v>
      </c>
      <c r="N126" s="1250" t="e">
        <f>VLOOKUP('Интерактивная карта'!#REF!,Итоговая!AA129:AV556,21,FALSE)</f>
        <v>#REF!</v>
      </c>
      <c r="O126" s="1250" t="e">
        <f>VLOOKUP('Интерактивная карта'!#REF!,Итоговая!AA129:AV556,22,FALSE)</f>
        <v>#REF!</v>
      </c>
      <c r="P126" s="1250" t="e">
        <f>VLOOKUP(#REF!,Итоговая!C129:I556,2,FALSE)</f>
        <v>#REF!</v>
      </c>
      <c r="Q126" s="1250" t="e">
        <f>VLOOKUP(#REF!,Итоговая!C129:I556,4,FALSE)</f>
        <v>#REF!</v>
      </c>
      <c r="R126" s="1250" t="e">
        <f>VLOOKUP(#REF!,Итоговая!C129:I556,6,FALSE)</f>
        <v>#REF!</v>
      </c>
      <c r="S126" s="1250"/>
      <c r="T126" s="1251" t="e">
        <f>VLOOKUP(#REF!,Итоговая!AA129:AP556,16,FALSE)</f>
        <v>#REF!</v>
      </c>
    </row>
    <row r="127" spans="1:20" x14ac:dyDescent="0.25">
      <c r="A127" s="1248" t="s">
        <v>724</v>
      </c>
      <c r="B127" s="1250" t="s">
        <v>20278</v>
      </c>
      <c r="C127" s="1250" t="s">
        <v>20235</v>
      </c>
      <c r="D127" s="1251">
        <v>2.68</v>
      </c>
      <c r="E127" s="1251">
        <v>1.52</v>
      </c>
      <c r="F127" s="1251">
        <v>0.46516304347826087</v>
      </c>
      <c r="G127" s="1251">
        <v>0.03</v>
      </c>
      <c r="H127" s="1251">
        <v>1.054836956521739</v>
      </c>
      <c r="I127" s="1251"/>
      <c r="J127" s="1252" t="s">
        <v>20211</v>
      </c>
      <c r="K127" s="1250" t="s">
        <v>20211</v>
      </c>
      <c r="L127" s="1251">
        <v>56.888055490109899</v>
      </c>
      <c r="M127" s="1251">
        <v>37.371419727633999</v>
      </c>
      <c r="N127" s="1250" t="e">
        <f>VLOOKUP('Интерактивная карта'!#REF!,Итоговая!AA130:AV557,21,FALSE)</f>
        <v>#REF!</v>
      </c>
      <c r="O127" s="1250" t="e">
        <f>VLOOKUP('Интерактивная карта'!#REF!,Итоговая!AA130:AV557,22,FALSE)</f>
        <v>#REF!</v>
      </c>
      <c r="P127" s="1250" t="e">
        <f>VLOOKUP(#REF!,Итоговая!C130:I557,2,FALSE)</f>
        <v>#REF!</v>
      </c>
      <c r="Q127" s="1250" t="e">
        <f>VLOOKUP(#REF!,Итоговая!C130:I557,4,FALSE)</f>
        <v>#REF!</v>
      </c>
      <c r="R127" s="1250" t="e">
        <f>VLOOKUP(#REF!,Итоговая!C130:I557,6,FALSE)</f>
        <v>#REF!</v>
      </c>
      <c r="S127" s="1250"/>
      <c r="T127" s="1251" t="e">
        <f>VLOOKUP(#REF!,Итоговая!AA130:AP557,16,FALSE)</f>
        <v>#REF!</v>
      </c>
    </row>
    <row r="128" spans="1:20" x14ac:dyDescent="0.25">
      <c r="A128" s="1248" t="s">
        <v>1747</v>
      </c>
      <c r="B128" s="1250" t="s">
        <v>20313</v>
      </c>
      <c r="C128" s="1250" t="s">
        <v>20245</v>
      </c>
      <c r="D128" s="1251">
        <v>0.76</v>
      </c>
      <c r="E128" s="1251">
        <v>1.1300000000000001</v>
      </c>
      <c r="F128" s="1251">
        <v>0.65709782608695655</v>
      </c>
      <c r="G128" s="1251">
        <v>0</v>
      </c>
      <c r="H128" s="1251">
        <v>0.47290217391304346</v>
      </c>
      <c r="I128" s="1251"/>
      <c r="J128" s="1252" t="s">
        <v>20211</v>
      </c>
      <c r="K128" s="1250" t="s">
        <v>20211</v>
      </c>
      <c r="L128" s="1251">
        <v>56.911075359962503</v>
      </c>
      <c r="M128" s="1251">
        <v>38.091555987739802</v>
      </c>
      <c r="N128" s="1250" t="e">
        <f>VLOOKUP('Интерактивная карта'!#REF!,Итоговая!AA131:AV558,21,FALSE)</f>
        <v>#REF!</v>
      </c>
      <c r="O128" s="1250" t="e">
        <f>VLOOKUP('Интерактивная карта'!#REF!,Итоговая!AA131:AV558,22,FALSE)</f>
        <v>#REF!</v>
      </c>
      <c r="P128" s="1250" t="e">
        <f>VLOOKUP(#REF!,Итоговая!C131:I558,2,FALSE)</f>
        <v>#REF!</v>
      </c>
      <c r="Q128" s="1250" t="e">
        <f>VLOOKUP(#REF!,Итоговая!C131:I558,4,FALSE)</f>
        <v>#REF!</v>
      </c>
      <c r="R128" s="1250" t="e">
        <f>VLOOKUP(#REF!,Итоговая!C131:I558,6,FALSE)</f>
        <v>#REF!</v>
      </c>
      <c r="S128" s="1250"/>
      <c r="T128" s="1251" t="e">
        <f>VLOOKUP(#REF!,Итоговая!AA131:AP558,16,FALSE)</f>
        <v>#REF!</v>
      </c>
    </row>
    <row r="129" spans="1:20" x14ac:dyDescent="0.25">
      <c r="A129" s="1248" t="s">
        <v>1748</v>
      </c>
      <c r="B129" s="1250" t="s">
        <v>20297</v>
      </c>
      <c r="C129" s="1250" t="s">
        <v>20234</v>
      </c>
      <c r="D129" s="1251">
        <v>1.1499999999999999</v>
      </c>
      <c r="E129" s="1251">
        <v>0.53000000000000025</v>
      </c>
      <c r="F129" s="1251">
        <v>1.0021304347826085</v>
      </c>
      <c r="G129" s="1251">
        <v>0</v>
      </c>
      <c r="H129" s="1251">
        <v>-0.42491739130434747</v>
      </c>
      <c r="I129" s="1251"/>
      <c r="J129" s="1252" t="s">
        <v>20211</v>
      </c>
      <c r="K129" s="1250" t="s">
        <v>2217</v>
      </c>
      <c r="L129" s="1251">
        <v>57.143513457773402</v>
      </c>
      <c r="M129" s="1251">
        <v>37.344154651262798</v>
      </c>
      <c r="N129" s="1250" t="e">
        <f>VLOOKUP('Интерактивная карта'!#REF!,Итоговая!AA132:AV559,21,FALSE)</f>
        <v>#REF!</v>
      </c>
      <c r="O129" s="1250" t="e">
        <f>VLOOKUP('Интерактивная карта'!#REF!,Итоговая!AA132:AV559,22,FALSE)</f>
        <v>#REF!</v>
      </c>
      <c r="P129" s="1250" t="e">
        <f>VLOOKUP(#REF!,Итоговая!C132:I559,2,FALSE)</f>
        <v>#REF!</v>
      </c>
      <c r="Q129" s="1250" t="e">
        <f>VLOOKUP(#REF!,Итоговая!C132:I559,4,FALSE)</f>
        <v>#REF!</v>
      </c>
      <c r="R129" s="1250" t="e">
        <f>VLOOKUP(#REF!,Итоговая!C132:I559,6,FALSE)</f>
        <v>#REF!</v>
      </c>
      <c r="S129" s="1250"/>
      <c r="T129" s="1251" t="e">
        <f>VLOOKUP(#REF!,Итоговая!AA132:AP559,16,FALSE)</f>
        <v>#REF!</v>
      </c>
    </row>
    <row r="130" spans="1:20" x14ac:dyDescent="0.25">
      <c r="A130" s="1248" t="s">
        <v>1749</v>
      </c>
      <c r="B130" s="1250" t="s">
        <v>20276</v>
      </c>
      <c r="C130" s="1250" t="s">
        <v>20221</v>
      </c>
      <c r="D130" s="1251">
        <v>1.8</v>
      </c>
      <c r="E130" s="1251">
        <v>0.82499999999999996</v>
      </c>
      <c r="F130" s="1251">
        <v>1.2402391304347824</v>
      </c>
      <c r="G130" s="1251">
        <v>0</v>
      </c>
      <c r="H130" s="1251">
        <v>-0.3737152173913042</v>
      </c>
      <c r="I130" s="1251"/>
      <c r="J130" s="1252" t="s">
        <v>20211</v>
      </c>
      <c r="K130" s="1250" t="s">
        <v>2217</v>
      </c>
      <c r="L130" s="1251">
        <v>57.040704268934398</v>
      </c>
      <c r="M130" s="1251">
        <v>37.980212651178803</v>
      </c>
      <c r="N130" s="1250" t="e">
        <f>VLOOKUP('Интерактивная карта'!#REF!,Итоговая!AA133:AV560,21,FALSE)</f>
        <v>#REF!</v>
      </c>
      <c r="O130" s="1250" t="e">
        <f>VLOOKUP('Интерактивная карта'!#REF!,Итоговая!AA133:AV560,22,FALSE)</f>
        <v>#REF!</v>
      </c>
      <c r="P130" s="1250" t="e">
        <f>VLOOKUP(#REF!,Итоговая!C133:I560,2,FALSE)</f>
        <v>#REF!</v>
      </c>
      <c r="Q130" s="1250" t="e">
        <f>VLOOKUP(#REF!,Итоговая!C133:I560,4,FALSE)</f>
        <v>#REF!</v>
      </c>
      <c r="R130" s="1250" t="e">
        <f>VLOOKUP(#REF!,Итоговая!C133:I560,6,FALSE)</f>
        <v>#REF!</v>
      </c>
      <c r="S130" s="1250"/>
      <c r="T130" s="1251" t="e">
        <f>VLOOKUP(#REF!,Итоговая!AA133:AP560,16,FALSE)</f>
        <v>#REF!</v>
      </c>
    </row>
    <row r="131" spans="1:20" x14ac:dyDescent="0.25">
      <c r="A131" s="1248" t="s">
        <v>725</v>
      </c>
      <c r="B131" s="1250" t="s">
        <v>20270</v>
      </c>
      <c r="C131" s="1250" t="s">
        <v>20222</v>
      </c>
      <c r="D131" s="1251">
        <v>2.0099999999999998</v>
      </c>
      <c r="E131" s="1251">
        <v>0.61500000000000021</v>
      </c>
      <c r="F131" s="1251">
        <v>1.3499021739130432</v>
      </c>
      <c r="G131" s="1251">
        <v>0</v>
      </c>
      <c r="H131" s="1251">
        <v>-0.66141195652173879</v>
      </c>
      <c r="I131" s="1251"/>
      <c r="J131" s="1252" t="s">
        <v>20211</v>
      </c>
      <c r="K131" s="1250" t="s">
        <v>2217</v>
      </c>
      <c r="L131" s="1251">
        <v>57.113641995156897</v>
      </c>
      <c r="M131" s="1251">
        <v>37.869835747962298</v>
      </c>
      <c r="N131" s="1250" t="e">
        <f>VLOOKUP('Интерактивная карта'!#REF!,Итоговая!AA134:AV561,21,FALSE)</f>
        <v>#REF!</v>
      </c>
      <c r="O131" s="1250" t="e">
        <f>VLOOKUP('Интерактивная карта'!#REF!,Итоговая!AA134:AV561,22,FALSE)</f>
        <v>#REF!</v>
      </c>
      <c r="P131" s="1250" t="e">
        <f>VLOOKUP(#REF!,Итоговая!C134:I561,2,FALSE)</f>
        <v>#REF!</v>
      </c>
      <c r="Q131" s="1250" t="e">
        <f>VLOOKUP(#REF!,Итоговая!C134:I561,4,FALSE)</f>
        <v>#REF!</v>
      </c>
      <c r="R131" s="1250" t="e">
        <f>VLOOKUP(#REF!,Итоговая!C134:I561,6,FALSE)</f>
        <v>#REF!</v>
      </c>
      <c r="S131" s="1250"/>
      <c r="T131" s="1251" t="e">
        <f>VLOOKUP(#REF!,Итоговая!AA134:AP561,16,FALSE)</f>
        <v>#REF!</v>
      </c>
    </row>
    <row r="132" spans="1:20" x14ac:dyDescent="0.25">
      <c r="A132" s="1248" t="s">
        <v>726</v>
      </c>
      <c r="B132" s="1250" t="s">
        <v>20276</v>
      </c>
      <c r="C132" s="1250" t="s">
        <v>20222</v>
      </c>
      <c r="D132" s="1251">
        <v>0.24</v>
      </c>
      <c r="E132" s="1251">
        <v>2.3849999999999998</v>
      </c>
      <c r="F132" s="1251">
        <v>7.7282608695652164E-2</v>
      </c>
      <c r="G132" s="1251">
        <v>0</v>
      </c>
      <c r="H132" s="1251">
        <v>2.3077173913043478</v>
      </c>
      <c r="I132" s="1251"/>
      <c r="J132" s="1252" t="s">
        <v>20211</v>
      </c>
      <c r="K132" s="1250" t="s">
        <v>20211</v>
      </c>
      <c r="L132" s="1251">
        <v>57.424677325910203</v>
      </c>
      <c r="M132" s="1251">
        <v>37.159661361161703</v>
      </c>
      <c r="N132" s="1250" t="e">
        <f>VLOOKUP('Интерактивная карта'!#REF!,Итоговая!AA135:AV562,21,FALSE)</f>
        <v>#REF!</v>
      </c>
      <c r="O132" s="1250" t="e">
        <f>VLOOKUP('Интерактивная карта'!#REF!,Итоговая!AA135:AV562,22,FALSE)</f>
        <v>#REF!</v>
      </c>
      <c r="P132" s="1250" t="e">
        <f>VLOOKUP(#REF!,Итоговая!C135:I562,2,FALSE)</f>
        <v>#REF!</v>
      </c>
      <c r="Q132" s="1250" t="e">
        <f>VLOOKUP(#REF!,Итоговая!C135:I562,4,FALSE)</f>
        <v>#REF!</v>
      </c>
      <c r="R132" s="1250" t="e">
        <f>VLOOKUP(#REF!,Итоговая!C135:I562,6,FALSE)</f>
        <v>#REF!</v>
      </c>
      <c r="S132" s="1250"/>
      <c r="T132" s="1251" t="e">
        <f>VLOOKUP(#REF!,Итоговая!AA135:AP562,16,FALSE)</f>
        <v>#REF!</v>
      </c>
    </row>
    <row r="133" spans="1:20" x14ac:dyDescent="0.25">
      <c r="A133" s="1248" t="s">
        <v>727</v>
      </c>
      <c r="B133" s="1250" t="s">
        <v>20276</v>
      </c>
      <c r="C133" s="1250" t="s">
        <v>20223</v>
      </c>
      <c r="D133" s="1251">
        <v>0.3</v>
      </c>
      <c r="E133" s="1251">
        <v>1.3800000000000001</v>
      </c>
      <c r="F133" s="1251">
        <v>2.1717391304347824E-2</v>
      </c>
      <c r="G133" s="1251">
        <v>0</v>
      </c>
      <c r="H133" s="1251">
        <v>1.3582826086956523</v>
      </c>
      <c r="I133" s="1251"/>
      <c r="J133" s="1252" t="s">
        <v>20211</v>
      </c>
      <c r="K133" s="1250" t="s">
        <v>20211</v>
      </c>
      <c r="L133" s="1251">
        <v>57.104954332715103</v>
      </c>
      <c r="M133" s="1251">
        <v>37.133904858659001</v>
      </c>
      <c r="N133" s="1250" t="e">
        <f>VLOOKUP('Интерактивная карта'!#REF!,Итоговая!AA136:AV563,21,FALSE)</f>
        <v>#REF!</v>
      </c>
      <c r="O133" s="1250" t="e">
        <f>VLOOKUP('Интерактивная карта'!#REF!,Итоговая!AA136:AV563,22,FALSE)</f>
        <v>#REF!</v>
      </c>
      <c r="P133" s="1250" t="e">
        <f>VLOOKUP(#REF!,Итоговая!C136:I563,2,FALSE)</f>
        <v>#REF!</v>
      </c>
      <c r="Q133" s="1250" t="e">
        <f>VLOOKUP(#REF!,Итоговая!C136:I563,4,FALSE)</f>
        <v>#REF!</v>
      </c>
      <c r="R133" s="1250" t="e">
        <f>VLOOKUP(#REF!,Итоговая!C136:I563,6,FALSE)</f>
        <v>#REF!</v>
      </c>
      <c r="S133" s="1250"/>
      <c r="T133" s="1251" t="e">
        <f>VLOOKUP(#REF!,Итоговая!AA136:AP563,16,FALSE)</f>
        <v>#REF!</v>
      </c>
    </row>
    <row r="134" spans="1:20" x14ac:dyDescent="0.25">
      <c r="A134" s="1248" t="s">
        <v>728</v>
      </c>
      <c r="B134" s="1250" t="s">
        <v>20271</v>
      </c>
      <c r="C134" s="1250" t="s">
        <v>20222</v>
      </c>
      <c r="D134" s="1251">
        <v>0.34</v>
      </c>
      <c r="E134" s="1251">
        <v>2.2850000000000001</v>
      </c>
      <c r="F134" s="1251">
        <v>0.450195652173913</v>
      </c>
      <c r="G134" s="1251">
        <v>0</v>
      </c>
      <c r="H134" s="1251">
        <v>1.8348043478260869</v>
      </c>
      <c r="I134" s="1251"/>
      <c r="J134" s="1252" t="s">
        <v>20211</v>
      </c>
      <c r="K134" s="1250" t="s">
        <v>20211</v>
      </c>
      <c r="L134" s="1251">
        <v>57.010822911731402</v>
      </c>
      <c r="M134" s="1251">
        <v>36.838749029188499</v>
      </c>
      <c r="N134" s="1250" t="e">
        <f>VLOOKUP('Интерактивная карта'!#REF!,Итоговая!AA137:AV564,21,FALSE)</f>
        <v>#REF!</v>
      </c>
      <c r="O134" s="1250" t="e">
        <f>VLOOKUP('Интерактивная карта'!#REF!,Итоговая!AA137:AV564,22,FALSE)</f>
        <v>#REF!</v>
      </c>
      <c r="P134" s="1250" t="e">
        <f>VLOOKUP(#REF!,Итоговая!C137:I564,2,FALSE)</f>
        <v>#REF!</v>
      </c>
      <c r="Q134" s="1250" t="e">
        <f>VLOOKUP(#REF!,Итоговая!C137:I564,4,FALSE)</f>
        <v>#REF!</v>
      </c>
      <c r="R134" s="1250" t="e">
        <f>VLOOKUP(#REF!,Итоговая!C137:I564,6,FALSE)</f>
        <v>#REF!</v>
      </c>
      <c r="S134" s="1250"/>
      <c r="T134" s="1251" t="e">
        <f>VLOOKUP(#REF!,Итоговая!AA137:AP564,16,FALSE)</f>
        <v>#REF!</v>
      </c>
    </row>
    <row r="135" spans="1:20" x14ac:dyDescent="0.25">
      <c r="A135" s="1248" t="s">
        <v>69</v>
      </c>
      <c r="B135" s="1250" t="s">
        <v>20271</v>
      </c>
      <c r="C135" s="1250" t="s">
        <v>20234</v>
      </c>
      <c r="D135" s="1251">
        <v>1.6</v>
      </c>
      <c r="E135" s="1251">
        <v>8.0000000000000071E-2</v>
      </c>
      <c r="F135" s="1251">
        <v>0.32791304347826083</v>
      </c>
      <c r="G135" s="1251">
        <v>0</v>
      </c>
      <c r="H135" s="1251">
        <v>-0.2231217391304347</v>
      </c>
      <c r="I135" s="1251"/>
      <c r="J135" s="1252" t="s">
        <v>20211</v>
      </c>
      <c r="K135" s="1250" t="s">
        <v>2217</v>
      </c>
      <c r="L135" s="1251">
        <v>57.270063332480298</v>
      </c>
      <c r="M135" s="1251">
        <v>38.043739479595203</v>
      </c>
      <c r="N135" s="1250" t="e">
        <f>VLOOKUP('Интерактивная карта'!#REF!,Итоговая!AA138:AV565,21,FALSE)</f>
        <v>#REF!</v>
      </c>
      <c r="O135" s="1250" t="e">
        <f>VLOOKUP('Интерактивная карта'!#REF!,Итоговая!AA138:AV565,22,FALSE)</f>
        <v>#REF!</v>
      </c>
      <c r="P135" s="1250" t="e">
        <f>VLOOKUP(#REF!,Итоговая!C138:I565,2,FALSE)</f>
        <v>#REF!</v>
      </c>
      <c r="Q135" s="1250" t="e">
        <f>VLOOKUP(#REF!,Итоговая!C138:I565,4,FALSE)</f>
        <v>#REF!</v>
      </c>
      <c r="R135" s="1250" t="e">
        <f>VLOOKUP(#REF!,Итоговая!C138:I565,6,FALSE)</f>
        <v>#REF!</v>
      </c>
      <c r="S135" s="1250"/>
      <c r="T135" s="1251" t="e">
        <f>VLOOKUP(#REF!,Итоговая!AA138:AP565,16,FALSE)</f>
        <v>#REF!</v>
      </c>
    </row>
    <row r="136" spans="1:20" x14ac:dyDescent="0.25">
      <c r="A136" s="1248" t="s">
        <v>70</v>
      </c>
      <c r="B136" s="1250" t="s">
        <v>20272</v>
      </c>
      <c r="C136" s="1250" t="s">
        <v>20235</v>
      </c>
      <c r="D136" s="1251">
        <v>0.23</v>
      </c>
      <c r="E136" s="1251">
        <v>3.97</v>
      </c>
      <c r="F136" s="1251">
        <v>0</v>
      </c>
      <c r="G136" s="1251">
        <v>0</v>
      </c>
      <c r="H136" s="1251">
        <v>3.97</v>
      </c>
      <c r="I136" s="1251"/>
      <c r="J136" s="1252" t="s">
        <v>20211</v>
      </c>
      <c r="K136" s="1250" t="s">
        <v>20211</v>
      </c>
      <c r="L136" s="1251">
        <v>57.462203326509403</v>
      </c>
      <c r="M136" s="1251">
        <v>37.240774155752497</v>
      </c>
      <c r="N136" s="1250" t="e">
        <f>VLOOKUP('Интерактивная карта'!#REF!,Итоговая!AA139:AV566,21,FALSE)</f>
        <v>#REF!</v>
      </c>
      <c r="O136" s="1250" t="e">
        <f>VLOOKUP('Интерактивная карта'!#REF!,Итоговая!AA139:AV566,22,FALSE)</f>
        <v>#REF!</v>
      </c>
      <c r="P136" s="1250" t="e">
        <f>VLOOKUP(#REF!,Итоговая!C139:I566,2,FALSE)</f>
        <v>#REF!</v>
      </c>
      <c r="Q136" s="1250" t="e">
        <f>VLOOKUP(#REF!,Итоговая!C139:I566,4,FALSE)</f>
        <v>#REF!</v>
      </c>
      <c r="R136" s="1250" t="e">
        <f>VLOOKUP(#REF!,Итоговая!C139:I566,6,FALSE)</f>
        <v>#REF!</v>
      </c>
      <c r="S136" s="1250"/>
      <c r="T136" s="1251" t="e">
        <f>VLOOKUP(#REF!,Итоговая!AA139:AP566,16,FALSE)</f>
        <v>#REF!</v>
      </c>
    </row>
    <row r="137" spans="1:20" x14ac:dyDescent="0.25">
      <c r="A137" s="1248" t="s">
        <v>71</v>
      </c>
      <c r="B137" s="1250" t="s">
        <v>20313</v>
      </c>
      <c r="C137" s="1250" t="s">
        <v>20222</v>
      </c>
      <c r="D137" s="1251">
        <v>0.22</v>
      </c>
      <c r="E137" s="1251">
        <v>2.4049999999999998</v>
      </c>
      <c r="F137" s="1251">
        <v>0</v>
      </c>
      <c r="G137" s="1251">
        <v>0</v>
      </c>
      <c r="H137" s="1251">
        <v>2.4049999999999998</v>
      </c>
      <c r="I137" s="1251"/>
      <c r="J137" s="1252" t="s">
        <v>20211</v>
      </c>
      <c r="K137" s="1250" t="s">
        <v>20211</v>
      </c>
      <c r="L137" s="1251">
        <v>57.5999979455177</v>
      </c>
      <c r="M137" s="1251">
        <v>37.4899907307936</v>
      </c>
      <c r="N137" s="1250" t="e">
        <f>VLOOKUP('Интерактивная карта'!#REF!,Итоговая!AA140:AV567,21,FALSE)</f>
        <v>#REF!</v>
      </c>
      <c r="O137" s="1250" t="e">
        <f>VLOOKUP('Интерактивная карта'!#REF!,Итоговая!AA140:AV567,22,FALSE)</f>
        <v>#REF!</v>
      </c>
      <c r="P137" s="1250" t="e">
        <f>VLOOKUP(#REF!,Итоговая!C140:I567,2,FALSE)</f>
        <v>#REF!</v>
      </c>
      <c r="Q137" s="1250" t="e">
        <f>VLOOKUP(#REF!,Итоговая!C140:I567,4,FALSE)</f>
        <v>#REF!</v>
      </c>
      <c r="R137" s="1250" t="e">
        <f>VLOOKUP(#REF!,Итоговая!C140:I567,6,FALSE)</f>
        <v>#REF!</v>
      </c>
      <c r="S137" s="1250"/>
      <c r="T137" s="1251" t="e">
        <f>VLOOKUP(#REF!,Итоговая!AA140:AP567,16,FALSE)</f>
        <v>#REF!</v>
      </c>
    </row>
    <row r="138" spans="1:20" x14ac:dyDescent="0.25">
      <c r="A138" s="1248" t="s">
        <v>72</v>
      </c>
      <c r="B138" s="1250" t="s">
        <v>20276</v>
      </c>
      <c r="C138" s="1250" t="s">
        <v>20222</v>
      </c>
      <c r="D138" s="1251">
        <v>0.74</v>
      </c>
      <c r="E138" s="1251">
        <v>1.885</v>
      </c>
      <c r="F138" s="1251">
        <v>0.62791304347826093</v>
      </c>
      <c r="G138" s="1251">
        <v>0</v>
      </c>
      <c r="H138" s="1251">
        <v>1.2570869565217391</v>
      </c>
      <c r="I138" s="1251"/>
      <c r="J138" s="1252" t="s">
        <v>20211</v>
      </c>
      <c r="K138" s="1250" t="s">
        <v>20211</v>
      </c>
      <c r="L138" s="1251">
        <v>57.317433032703804</v>
      </c>
      <c r="M138" s="1251">
        <v>37.754084161422298</v>
      </c>
      <c r="N138" s="1250" t="e">
        <f>VLOOKUP('Интерактивная карта'!#REF!,Итоговая!AA141:AV568,21,FALSE)</f>
        <v>#REF!</v>
      </c>
      <c r="O138" s="1250" t="e">
        <f>VLOOKUP('Интерактивная карта'!#REF!,Итоговая!AA141:AV568,22,FALSE)</f>
        <v>#REF!</v>
      </c>
      <c r="P138" s="1250" t="e">
        <f>VLOOKUP(#REF!,Итоговая!C141:I568,2,FALSE)</f>
        <v>#REF!</v>
      </c>
      <c r="Q138" s="1250" t="e">
        <f>VLOOKUP(#REF!,Итоговая!C141:I568,4,FALSE)</f>
        <v>#REF!</v>
      </c>
      <c r="R138" s="1250" t="e">
        <f>VLOOKUP(#REF!,Итоговая!C141:I568,6,FALSE)</f>
        <v>#REF!</v>
      </c>
      <c r="S138" s="1250"/>
      <c r="T138" s="1251" t="e">
        <f>VLOOKUP(#REF!,Итоговая!AA141:AP568,16,FALSE)</f>
        <v>#REF!</v>
      </c>
    </row>
    <row r="139" spans="1:20" x14ac:dyDescent="0.25">
      <c r="A139" s="1248" t="s">
        <v>73</v>
      </c>
      <c r="B139" s="1250" t="s">
        <v>20282</v>
      </c>
      <c r="C139" s="1250" t="s">
        <v>20227</v>
      </c>
      <c r="D139" s="1251">
        <v>0.11</v>
      </c>
      <c r="E139" s="1251">
        <v>10.39</v>
      </c>
      <c r="F139" s="1251">
        <v>0.27293478260869564</v>
      </c>
      <c r="G139" s="1251">
        <v>0</v>
      </c>
      <c r="H139" s="1251">
        <v>10.117065217391305</v>
      </c>
      <c r="I139" s="1251"/>
      <c r="J139" s="1252" t="s">
        <v>20211</v>
      </c>
      <c r="K139" s="1250" t="s">
        <v>20211</v>
      </c>
      <c r="L139" s="1251">
        <v>56.901222455107998</v>
      </c>
      <c r="M139" s="1251">
        <v>37.041569596253701</v>
      </c>
      <c r="N139" s="1250" t="e">
        <f>VLOOKUP('Интерактивная карта'!#REF!,Итоговая!AA142:AV569,21,FALSE)</f>
        <v>#REF!</v>
      </c>
      <c r="O139" s="1250" t="e">
        <f>VLOOKUP('Интерактивная карта'!#REF!,Итоговая!AA142:AV569,22,FALSE)</f>
        <v>#REF!</v>
      </c>
      <c r="P139" s="1250" t="e">
        <f>VLOOKUP(#REF!,Итоговая!C142:I569,2,FALSE)</f>
        <v>#REF!</v>
      </c>
      <c r="Q139" s="1250" t="e">
        <f>VLOOKUP(#REF!,Итоговая!C142:I569,4,FALSE)</f>
        <v>#REF!</v>
      </c>
      <c r="R139" s="1250" t="e">
        <f>VLOOKUP(#REF!,Итоговая!C142:I569,6,FALSE)</f>
        <v>#REF!</v>
      </c>
      <c r="S139" s="1250"/>
      <c r="T139" s="1251" t="e">
        <f>VLOOKUP(#REF!,Итоговая!AA142:AP569,16,FALSE)</f>
        <v>#REF!</v>
      </c>
    </row>
    <row r="140" spans="1:20" x14ac:dyDescent="0.25">
      <c r="A140" s="1248" t="s">
        <v>74</v>
      </c>
      <c r="B140" s="1250" t="s">
        <v>20271</v>
      </c>
      <c r="C140" s="1250" t="s">
        <v>20222</v>
      </c>
      <c r="D140" s="1251">
        <v>0.43</v>
      </c>
      <c r="E140" s="1251">
        <v>2.1949999999999998</v>
      </c>
      <c r="F140" s="1251">
        <v>0.34552173913043477</v>
      </c>
      <c r="G140" s="1251">
        <v>0</v>
      </c>
      <c r="H140" s="1251">
        <v>1.8494782608695652</v>
      </c>
      <c r="I140" s="1251"/>
      <c r="J140" s="1252" t="s">
        <v>20211</v>
      </c>
      <c r="K140" s="1250" t="s">
        <v>20211</v>
      </c>
      <c r="L140" s="1251">
        <v>57.3255850846136</v>
      </c>
      <c r="M140" s="1251">
        <v>37.373048823625098</v>
      </c>
      <c r="N140" s="1250" t="e">
        <f>VLOOKUP('Интерактивная карта'!#REF!,Итоговая!AA143:AV570,21,FALSE)</f>
        <v>#REF!</v>
      </c>
      <c r="O140" s="1250" t="e">
        <f>VLOOKUP('Интерактивная карта'!#REF!,Итоговая!AA143:AV570,22,FALSE)</f>
        <v>#REF!</v>
      </c>
      <c r="P140" s="1250" t="e">
        <f>VLOOKUP(#REF!,Итоговая!C143:I570,2,FALSE)</f>
        <v>#REF!</v>
      </c>
      <c r="Q140" s="1250" t="e">
        <f>VLOOKUP(#REF!,Итоговая!C143:I570,4,FALSE)</f>
        <v>#REF!</v>
      </c>
      <c r="R140" s="1250" t="e">
        <f>VLOOKUP(#REF!,Итоговая!C143:I570,6,FALSE)</f>
        <v>#REF!</v>
      </c>
      <c r="S140" s="1250"/>
      <c r="T140" s="1251" t="e">
        <f>VLOOKUP(#REF!,Итоговая!AA143:AP570,16,FALSE)</f>
        <v>#REF!</v>
      </c>
    </row>
    <row r="141" spans="1:20" x14ac:dyDescent="0.25">
      <c r="A141" s="1248" t="s">
        <v>75</v>
      </c>
      <c r="B141" s="1250" t="s">
        <v>20272</v>
      </c>
      <c r="C141" s="1250" t="s">
        <v>20226</v>
      </c>
      <c r="D141" s="1251">
        <v>0.18</v>
      </c>
      <c r="E141" s="1251">
        <v>26.07</v>
      </c>
      <c r="F141" s="1251">
        <v>0</v>
      </c>
      <c r="G141" s="1251">
        <v>0</v>
      </c>
      <c r="H141" s="1251">
        <v>26.07</v>
      </c>
      <c r="I141" s="1251"/>
      <c r="J141" s="1252" t="s">
        <v>20211</v>
      </c>
      <c r="K141" s="1250" t="s">
        <v>20211</v>
      </c>
      <c r="L141" s="1251">
        <v>57.594402733937599</v>
      </c>
      <c r="M141" s="1251">
        <v>37.209907777282098</v>
      </c>
      <c r="N141" s="1250" t="e">
        <f>VLOOKUP('Интерактивная карта'!#REF!,Итоговая!AA144:AV571,21,FALSE)</f>
        <v>#REF!</v>
      </c>
      <c r="O141" s="1250" t="e">
        <f>VLOOKUP('Интерактивная карта'!#REF!,Итоговая!AA144:AV571,22,FALSE)</f>
        <v>#REF!</v>
      </c>
      <c r="P141" s="1250" t="e">
        <f>VLOOKUP(#REF!,Итоговая!C144:I571,2,FALSE)</f>
        <v>#REF!</v>
      </c>
      <c r="Q141" s="1250" t="e">
        <f>VLOOKUP(#REF!,Итоговая!C144:I571,4,FALSE)</f>
        <v>#REF!</v>
      </c>
      <c r="R141" s="1250" t="e">
        <f>VLOOKUP(#REF!,Итоговая!C144:I571,6,FALSE)</f>
        <v>#REF!</v>
      </c>
      <c r="S141" s="1250"/>
      <c r="T141" s="1251" t="e">
        <f>VLOOKUP(#REF!,Итоговая!AA144:AP571,16,FALSE)</f>
        <v>#REF!</v>
      </c>
    </row>
    <row r="142" spans="1:20" x14ac:dyDescent="0.25">
      <c r="A142" s="1248" t="s">
        <v>76</v>
      </c>
      <c r="B142" s="1250" t="s">
        <v>20270</v>
      </c>
      <c r="C142" s="1250" t="s">
        <v>20225</v>
      </c>
      <c r="D142" s="1251">
        <v>0.14000000000000001</v>
      </c>
      <c r="E142" s="1251">
        <v>6.4750000000000005</v>
      </c>
      <c r="F142" s="1251">
        <v>7.1608695652173898E-2</v>
      </c>
      <c r="G142" s="1251">
        <v>0</v>
      </c>
      <c r="H142" s="1251">
        <v>6.403391304347827</v>
      </c>
      <c r="I142" s="1251"/>
      <c r="J142" s="1252" t="s">
        <v>20211</v>
      </c>
      <c r="K142" s="1250" t="s">
        <v>20211</v>
      </c>
      <c r="L142" s="1251">
        <v>56.995250953051503</v>
      </c>
      <c r="M142" s="1251">
        <v>37.062664254766702</v>
      </c>
      <c r="N142" s="1250" t="e">
        <f>VLOOKUP('Интерактивная карта'!#REF!,Итоговая!AA145:AV572,21,FALSE)</f>
        <v>#REF!</v>
      </c>
      <c r="O142" s="1250" t="e">
        <f>VLOOKUP('Интерактивная карта'!#REF!,Итоговая!AA145:AV572,22,FALSE)</f>
        <v>#REF!</v>
      </c>
      <c r="P142" s="1250" t="e">
        <f>VLOOKUP(#REF!,Итоговая!C145:I572,2,FALSE)</f>
        <v>#REF!</v>
      </c>
      <c r="Q142" s="1250" t="e">
        <f>VLOOKUP(#REF!,Итоговая!C145:I572,4,FALSE)</f>
        <v>#REF!</v>
      </c>
      <c r="R142" s="1250" t="e">
        <f>VLOOKUP(#REF!,Итоговая!C145:I572,6,FALSE)</f>
        <v>#REF!</v>
      </c>
      <c r="S142" s="1250"/>
      <c r="T142" s="1251" t="e">
        <f>VLOOKUP(#REF!,Итоговая!AA145:AP572,16,FALSE)</f>
        <v>#REF!</v>
      </c>
    </row>
    <row r="143" spans="1:20" x14ac:dyDescent="0.25">
      <c r="A143" s="1248" t="s">
        <v>77</v>
      </c>
      <c r="B143" s="1250" t="s">
        <v>20314</v>
      </c>
      <c r="C143" s="1250" t="s">
        <v>20246</v>
      </c>
      <c r="D143" s="1251">
        <v>17.18</v>
      </c>
      <c r="E143" s="1251">
        <v>9.07</v>
      </c>
      <c r="F143" s="1251">
        <v>2.232112903225806</v>
      </c>
      <c r="G143" s="1251">
        <v>0</v>
      </c>
      <c r="H143" s="1251">
        <v>6.837887096774196</v>
      </c>
      <c r="I143" s="1251"/>
      <c r="J143" s="1252" t="s">
        <v>20211</v>
      </c>
      <c r="K143" s="1250" t="s">
        <v>20211</v>
      </c>
      <c r="L143" s="1251">
        <v>56.823144738473701</v>
      </c>
      <c r="M143" s="1251">
        <v>37.3579739629226</v>
      </c>
      <c r="N143" s="1250" t="e">
        <f>VLOOKUP('Интерактивная карта'!#REF!,Итоговая!AA146:AV573,21,FALSE)</f>
        <v>#REF!</v>
      </c>
      <c r="O143" s="1250" t="e">
        <f>VLOOKUP('Интерактивная карта'!#REF!,Итоговая!AA146:AV573,22,FALSE)</f>
        <v>#REF!</v>
      </c>
      <c r="P143" s="1250" t="e">
        <f>VLOOKUP(#REF!,Итоговая!C146:I573,2,FALSE)</f>
        <v>#REF!</v>
      </c>
      <c r="Q143" s="1250" t="e">
        <f>VLOOKUP(#REF!,Итоговая!C146:I573,4,FALSE)</f>
        <v>#REF!</v>
      </c>
      <c r="R143" s="1250" t="e">
        <f>VLOOKUP(#REF!,Итоговая!C146:I573,6,FALSE)</f>
        <v>#REF!</v>
      </c>
      <c r="S143" s="1250"/>
      <c r="T143" s="1251" t="e">
        <f>VLOOKUP(#REF!,Итоговая!AA146:AP573,16,FALSE)</f>
        <v>#REF!</v>
      </c>
    </row>
    <row r="144" spans="1:20" x14ac:dyDescent="0.25">
      <c r="A144" s="1248" t="s">
        <v>78</v>
      </c>
      <c r="B144" s="1250" t="s">
        <v>20295</v>
      </c>
      <c r="C144" s="1250" t="s">
        <v>20225</v>
      </c>
      <c r="D144" s="1251">
        <v>3.92</v>
      </c>
      <c r="E144" s="1251">
        <v>4.7549999999999999</v>
      </c>
      <c r="F144" s="1251">
        <v>1.7608108695652174</v>
      </c>
      <c r="G144" s="1251">
        <v>0</v>
      </c>
      <c r="H144" s="1251">
        <v>2.994189130434783</v>
      </c>
      <c r="I144" s="1251"/>
      <c r="J144" s="1252" t="s">
        <v>20211</v>
      </c>
      <c r="K144" s="1250" t="s">
        <v>20211</v>
      </c>
      <c r="L144" s="1251">
        <v>57.2552919177947</v>
      </c>
      <c r="M144" s="1251">
        <v>37.140592446362398</v>
      </c>
      <c r="N144" s="1250" t="e">
        <f>VLOOKUP('Интерактивная карта'!#REF!,Итоговая!AA147:AV574,21,FALSE)</f>
        <v>#REF!</v>
      </c>
      <c r="O144" s="1250" t="e">
        <f>VLOOKUP('Интерактивная карта'!#REF!,Итоговая!AA147:AV574,22,FALSE)</f>
        <v>#REF!</v>
      </c>
      <c r="P144" s="1250" t="e">
        <f>VLOOKUP(#REF!,Итоговая!C147:I574,2,FALSE)</f>
        <v>#REF!</v>
      </c>
      <c r="Q144" s="1250" t="e">
        <f>VLOOKUP(#REF!,Итоговая!C147:I574,4,FALSE)</f>
        <v>#REF!</v>
      </c>
      <c r="R144" s="1250" t="e">
        <f>VLOOKUP(#REF!,Итоговая!C147:I574,6,FALSE)</f>
        <v>#REF!</v>
      </c>
      <c r="S144" s="1250"/>
      <c r="T144" s="1251" t="e">
        <f>VLOOKUP(#REF!,Итоговая!AA147:AP574,16,FALSE)</f>
        <v>#REF!</v>
      </c>
    </row>
    <row r="145" spans="1:20" x14ac:dyDescent="0.25">
      <c r="A145" s="1248" t="s">
        <v>79</v>
      </c>
      <c r="B145" s="1250" t="s">
        <v>20314</v>
      </c>
      <c r="C145" s="1250" t="s">
        <v>20225</v>
      </c>
      <c r="D145" s="1251">
        <v>1.33</v>
      </c>
      <c r="E145" s="1251">
        <v>5.4749999999999996</v>
      </c>
      <c r="F145" s="1251">
        <v>0.8352391304347826</v>
      </c>
      <c r="G145" s="1251">
        <v>0</v>
      </c>
      <c r="H145" s="1251">
        <v>4.639760869565217</v>
      </c>
      <c r="I145" s="1251"/>
      <c r="J145" s="1252" t="s">
        <v>20211</v>
      </c>
      <c r="K145" s="1250" t="s">
        <v>20211</v>
      </c>
      <c r="L145" s="1251">
        <v>57.156631058685001</v>
      </c>
      <c r="M145" s="1251">
        <v>36.744036796905199</v>
      </c>
      <c r="N145" s="1250" t="e">
        <f>VLOOKUP('Интерактивная карта'!#REF!,Итоговая!AA148:AV575,21,FALSE)</f>
        <v>#REF!</v>
      </c>
      <c r="O145" s="1250" t="e">
        <f>VLOOKUP('Интерактивная карта'!#REF!,Итоговая!AA148:AV575,22,FALSE)</f>
        <v>#REF!</v>
      </c>
      <c r="P145" s="1250" t="e">
        <f>VLOOKUP(#REF!,Итоговая!C148:I575,2,FALSE)</f>
        <v>#REF!</v>
      </c>
      <c r="Q145" s="1250" t="e">
        <f>VLOOKUP(#REF!,Итоговая!C148:I575,4,FALSE)</f>
        <v>#REF!</v>
      </c>
      <c r="R145" s="1250" t="e">
        <f>VLOOKUP(#REF!,Итоговая!C148:I575,6,FALSE)</f>
        <v>#REF!</v>
      </c>
      <c r="S145" s="1250"/>
      <c r="T145" s="1251" t="e">
        <f>VLOOKUP(#REF!,Итоговая!AA148:AP575,16,FALSE)</f>
        <v>#REF!</v>
      </c>
    </row>
    <row r="146" spans="1:20" x14ac:dyDescent="0.25">
      <c r="A146" s="1248" t="s">
        <v>80</v>
      </c>
      <c r="B146" s="1250" t="s">
        <v>20272</v>
      </c>
      <c r="C146" s="1250" t="s">
        <v>20243</v>
      </c>
      <c r="D146" s="1251">
        <v>19.46</v>
      </c>
      <c r="E146" s="1251">
        <v>-2.66</v>
      </c>
      <c r="F146" s="1251">
        <v>4.1943913043478256</v>
      </c>
      <c r="G146" s="1251">
        <v>0.01</v>
      </c>
      <c r="H146" s="1251">
        <v>-6.1689521739130431</v>
      </c>
      <c r="I146" s="1251"/>
      <c r="J146" s="1252" t="s">
        <v>2217</v>
      </c>
      <c r="K146" s="1250" t="s">
        <v>2217</v>
      </c>
      <c r="L146" s="1251">
        <v>57.223869448804102</v>
      </c>
      <c r="M146" s="1251">
        <v>37.802553604275602</v>
      </c>
      <c r="N146" s="1250" t="e">
        <f>VLOOKUP('Интерактивная карта'!#REF!,Итоговая!AA149:AV576,21,FALSE)</f>
        <v>#REF!</v>
      </c>
      <c r="O146" s="1250" t="e">
        <f>VLOOKUP('Интерактивная карта'!#REF!,Итоговая!AA149:AV576,22,FALSE)</f>
        <v>#REF!</v>
      </c>
      <c r="P146" s="1250" t="e">
        <f>VLOOKUP(#REF!,Итоговая!C149:I576,2,FALSE)</f>
        <v>#REF!</v>
      </c>
      <c r="Q146" s="1250" t="e">
        <f>VLOOKUP(#REF!,Итоговая!C149:I576,4,FALSE)</f>
        <v>#REF!</v>
      </c>
      <c r="R146" s="1250" t="e">
        <f>VLOOKUP(#REF!,Итоговая!C149:I576,6,FALSE)</f>
        <v>#REF!</v>
      </c>
      <c r="S146" s="1250"/>
      <c r="T146" s="1251" t="e">
        <f>VLOOKUP(#REF!,Итоговая!AA149:AP576,16,FALSE)</f>
        <v>#REF!</v>
      </c>
    </row>
    <row r="147" spans="1:20" x14ac:dyDescent="0.25">
      <c r="A147" s="1248" t="s">
        <v>81</v>
      </c>
      <c r="B147" s="1250" t="s">
        <v>20317</v>
      </c>
      <c r="C147" s="1250" t="s">
        <v>20226</v>
      </c>
      <c r="D147" s="1251">
        <v>13.84</v>
      </c>
      <c r="E147" s="1251">
        <v>12.72</v>
      </c>
      <c r="F147" s="1251">
        <v>1.6701521739130434</v>
      </c>
      <c r="G147" s="1251">
        <v>0</v>
      </c>
      <c r="H147" s="1251">
        <v>11.049847826086957</v>
      </c>
      <c r="I147" s="1251"/>
      <c r="J147" s="1252" t="s">
        <v>20211</v>
      </c>
      <c r="K147" s="1250" t="s">
        <v>20211</v>
      </c>
      <c r="L147" s="1251">
        <v>57.351743114366101</v>
      </c>
      <c r="M147" s="1251">
        <v>37.575931682148699</v>
      </c>
      <c r="N147" s="1250" t="e">
        <f>VLOOKUP('Интерактивная карта'!#REF!,Итоговая!AA150:AV577,21,FALSE)</f>
        <v>#REF!</v>
      </c>
      <c r="O147" s="1250" t="e">
        <f>VLOOKUP('Интерактивная карта'!#REF!,Итоговая!AA150:AV577,22,FALSE)</f>
        <v>#REF!</v>
      </c>
      <c r="P147" s="1250" t="e">
        <f>VLOOKUP(#REF!,Итоговая!C150:I577,2,FALSE)</f>
        <v>#REF!</v>
      </c>
      <c r="Q147" s="1250" t="e">
        <f>VLOOKUP(#REF!,Итоговая!C150:I577,4,FALSE)</f>
        <v>#REF!</v>
      </c>
      <c r="R147" s="1250" t="e">
        <f>VLOOKUP(#REF!,Итоговая!C150:I577,6,FALSE)</f>
        <v>#REF!</v>
      </c>
      <c r="S147" s="1250"/>
      <c r="T147" s="1251" t="e">
        <f>VLOOKUP(#REF!,Итоговая!AA150:AP577,16,FALSE)</f>
        <v>#REF!</v>
      </c>
    </row>
    <row r="148" spans="1:20" x14ac:dyDescent="0.25">
      <c r="A148" s="1248" t="s">
        <v>82</v>
      </c>
      <c r="B148" s="1250" t="s">
        <v>20278</v>
      </c>
      <c r="C148" s="1250" t="s">
        <v>20246</v>
      </c>
      <c r="D148" s="1251">
        <v>25.65</v>
      </c>
      <c r="E148" s="1251">
        <v>0.81000000000000227</v>
      </c>
      <c r="F148" s="1251">
        <v>4.3214347826086952</v>
      </c>
      <c r="G148" s="1251">
        <v>0</v>
      </c>
      <c r="H148" s="1251">
        <v>-3.1602913043478238</v>
      </c>
      <c r="I148" s="1251"/>
      <c r="J148" s="1252" t="s">
        <v>20211</v>
      </c>
      <c r="K148" s="1250" t="s">
        <v>2217</v>
      </c>
      <c r="L148" s="1251">
        <v>56.853632203928001</v>
      </c>
      <c r="M148" s="1251">
        <v>37.335026857522202</v>
      </c>
      <c r="N148" s="1250" t="e">
        <f>VLOOKUP('Интерактивная карта'!#REF!,Итоговая!AA151:AV578,21,FALSE)</f>
        <v>#REF!</v>
      </c>
      <c r="O148" s="1250" t="e">
        <f>VLOOKUP('Интерактивная карта'!#REF!,Итоговая!AA151:AV578,22,FALSE)</f>
        <v>#REF!</v>
      </c>
      <c r="P148" s="1250" t="e">
        <f>VLOOKUP(#REF!,Итоговая!C151:I578,2,FALSE)</f>
        <v>#REF!</v>
      </c>
      <c r="Q148" s="1250" t="e">
        <f>VLOOKUP(#REF!,Итоговая!C151:I578,4,FALSE)</f>
        <v>#REF!</v>
      </c>
      <c r="R148" s="1250" t="e">
        <f>VLOOKUP(#REF!,Итоговая!C151:I578,6,FALSE)</f>
        <v>#REF!</v>
      </c>
      <c r="S148" s="1250"/>
      <c r="T148" s="1251" t="e">
        <f>VLOOKUP(#REF!,Итоговая!AA151:AP578,16,FALSE)</f>
        <v>#REF!</v>
      </c>
    </row>
    <row r="149" spans="1:20" x14ac:dyDescent="0.25">
      <c r="A149" s="1248" t="s">
        <v>83</v>
      </c>
      <c r="B149" s="1250" t="s">
        <v>20302</v>
      </c>
      <c r="C149" s="1250" t="s">
        <v>20227</v>
      </c>
      <c r="D149" s="1251">
        <v>4.0999999999999996</v>
      </c>
      <c r="E149" s="1251">
        <v>6.5400000000000009</v>
      </c>
      <c r="F149" s="1251">
        <v>0.32954347826086955</v>
      </c>
      <c r="G149" s="1251">
        <v>0</v>
      </c>
      <c r="H149" s="1251">
        <v>6.2104565217391317</v>
      </c>
      <c r="I149" s="1251"/>
      <c r="J149" s="1252" t="s">
        <v>20211</v>
      </c>
      <c r="K149" s="1250" t="s">
        <v>20211</v>
      </c>
      <c r="L149" s="1251">
        <v>57.595969576016401</v>
      </c>
      <c r="M149" s="1251">
        <v>37.280950339091802</v>
      </c>
      <c r="N149" s="1250" t="e">
        <f>VLOOKUP('Интерактивная карта'!#REF!,Итоговая!AA152:AV579,21,FALSE)</f>
        <v>#REF!</v>
      </c>
      <c r="O149" s="1250" t="e">
        <f>VLOOKUP('Интерактивная карта'!#REF!,Итоговая!AA152:AV579,22,FALSE)</f>
        <v>#REF!</v>
      </c>
      <c r="P149" s="1250" t="e">
        <f>VLOOKUP(#REF!,Итоговая!C152:I579,2,FALSE)</f>
        <v>#REF!</v>
      </c>
      <c r="Q149" s="1250" t="e">
        <f>VLOOKUP(#REF!,Итоговая!C152:I579,4,FALSE)</f>
        <v>#REF!</v>
      </c>
      <c r="R149" s="1250" t="e">
        <f>VLOOKUP(#REF!,Итоговая!C152:I579,6,FALSE)</f>
        <v>#REF!</v>
      </c>
      <c r="S149" s="1250"/>
      <c r="T149" s="1251" t="e">
        <f>VLOOKUP(#REF!,Итоговая!AA152:AP579,16,FALSE)</f>
        <v>#REF!</v>
      </c>
    </row>
    <row r="150" spans="1:20" x14ac:dyDescent="0.25">
      <c r="A150" s="1248" t="s">
        <v>1152</v>
      </c>
      <c r="B150" s="1250" t="s">
        <v>20271</v>
      </c>
      <c r="C150" s="1250" t="s">
        <v>20212</v>
      </c>
      <c r="D150" s="1251">
        <v>0.18</v>
      </c>
      <c r="E150" s="1251">
        <v>1.1500000000000001</v>
      </c>
      <c r="F150" s="1251">
        <v>2.1130434782608693E-2</v>
      </c>
      <c r="G150" s="1251">
        <v>0</v>
      </c>
      <c r="H150" s="1251">
        <v>1.1288695652173915</v>
      </c>
      <c r="I150" s="1251"/>
      <c r="J150" s="1252" t="s">
        <v>20211</v>
      </c>
      <c r="K150" s="1250" t="s">
        <v>20211</v>
      </c>
      <c r="L150" s="1251">
        <v>56.389174849860403</v>
      </c>
      <c r="M150" s="1251">
        <v>32.317610468557497</v>
      </c>
      <c r="N150" s="1250" t="e">
        <f>VLOOKUP('Интерактивная карта'!#REF!,Итоговая!AA153:AV580,21,FALSE)</f>
        <v>#REF!</v>
      </c>
      <c r="O150" s="1250" t="e">
        <f>VLOOKUP('Интерактивная карта'!#REF!,Итоговая!AA153:AV580,22,FALSE)</f>
        <v>#REF!</v>
      </c>
      <c r="P150" s="1250" t="e">
        <f>VLOOKUP(#REF!,Итоговая!C153:I580,2,FALSE)</f>
        <v>#REF!</v>
      </c>
      <c r="Q150" s="1250" t="e">
        <f>VLOOKUP(#REF!,Итоговая!C153:I580,4,FALSE)</f>
        <v>#REF!</v>
      </c>
      <c r="R150" s="1250" t="e">
        <f>VLOOKUP(#REF!,Итоговая!C153:I580,6,FALSE)</f>
        <v>#REF!</v>
      </c>
      <c r="S150" s="1250"/>
      <c r="T150" s="1251" t="e">
        <f>VLOOKUP(#REF!,Итоговая!AA153:AP580,16,FALSE)</f>
        <v>#REF!</v>
      </c>
    </row>
    <row r="151" spans="1:20" x14ac:dyDescent="0.25">
      <c r="A151" s="1248" t="s">
        <v>1154</v>
      </c>
      <c r="B151" s="1250" t="s">
        <v>20318</v>
      </c>
      <c r="C151" s="1250" t="s">
        <v>20210</v>
      </c>
      <c r="D151" s="1251">
        <v>0.25</v>
      </c>
      <c r="E151" s="1251">
        <v>1.0900000000000001</v>
      </c>
      <c r="F151" s="1251">
        <v>9.7826086956521747E-3</v>
      </c>
      <c r="G151" s="1251">
        <v>0</v>
      </c>
      <c r="H151" s="1251">
        <v>1.0802173913043478</v>
      </c>
      <c r="I151" s="1251"/>
      <c r="J151" s="1252" t="s">
        <v>20211</v>
      </c>
      <c r="K151" s="1250" t="s">
        <v>20211</v>
      </c>
      <c r="L151" s="1251">
        <v>56.4557735737027</v>
      </c>
      <c r="M151" s="1251">
        <v>31.380672378859799</v>
      </c>
      <c r="N151" s="1250" t="e">
        <f>VLOOKUP('Интерактивная карта'!#REF!,Итоговая!AA154:AV581,21,FALSE)</f>
        <v>#REF!</v>
      </c>
      <c r="O151" s="1250" t="e">
        <f>VLOOKUP('Интерактивная карта'!#REF!,Итоговая!AA154:AV581,22,FALSE)</f>
        <v>#REF!</v>
      </c>
      <c r="P151" s="1250" t="e">
        <f>VLOOKUP(#REF!,Итоговая!C154:I581,2,FALSE)</f>
        <v>#REF!</v>
      </c>
      <c r="Q151" s="1250" t="e">
        <f>VLOOKUP(#REF!,Итоговая!C154:I581,4,FALSE)</f>
        <v>#REF!</v>
      </c>
      <c r="R151" s="1250" t="e">
        <f>VLOOKUP(#REF!,Итоговая!C154:I581,6,FALSE)</f>
        <v>#REF!</v>
      </c>
      <c r="S151" s="1250"/>
      <c r="T151" s="1251" t="e">
        <f>VLOOKUP(#REF!,Итоговая!AA154:AP581,16,FALSE)</f>
        <v>#REF!</v>
      </c>
    </row>
    <row r="152" spans="1:20" x14ac:dyDescent="0.25">
      <c r="A152" s="1248" t="s">
        <v>1155</v>
      </c>
      <c r="B152" s="1250" t="s">
        <v>20315</v>
      </c>
      <c r="C152" s="1250" t="s">
        <v>20212</v>
      </c>
      <c r="D152" s="1251">
        <v>0.28999999999999998</v>
      </c>
      <c r="E152" s="1251">
        <v>1.04</v>
      </c>
      <c r="F152" s="1251">
        <v>0</v>
      </c>
      <c r="G152" s="1251">
        <v>0</v>
      </c>
      <c r="H152" s="1251">
        <v>1.04</v>
      </c>
      <c r="I152" s="1251"/>
      <c r="J152" s="1252" t="s">
        <v>20211</v>
      </c>
      <c r="K152" s="1250" t="s">
        <v>20211</v>
      </c>
      <c r="L152" s="1251">
        <v>56.366589376127301</v>
      </c>
      <c r="M152" s="1251">
        <v>31.382266363149299</v>
      </c>
      <c r="N152" s="1250" t="e">
        <f>VLOOKUP('Интерактивная карта'!#REF!,Итоговая!AA155:AV582,21,FALSE)</f>
        <v>#REF!</v>
      </c>
      <c r="O152" s="1250" t="e">
        <f>VLOOKUP('Интерактивная карта'!#REF!,Итоговая!AA155:AV582,22,FALSE)</f>
        <v>#REF!</v>
      </c>
      <c r="P152" s="1250" t="e">
        <f>VLOOKUP(#REF!,Итоговая!C155:I582,2,FALSE)</f>
        <v>#REF!</v>
      </c>
      <c r="Q152" s="1250" t="e">
        <f>VLOOKUP(#REF!,Итоговая!C155:I582,4,FALSE)</f>
        <v>#REF!</v>
      </c>
      <c r="R152" s="1250" t="e">
        <f>VLOOKUP(#REF!,Итоговая!C155:I582,6,FALSE)</f>
        <v>#REF!</v>
      </c>
      <c r="S152" s="1250"/>
      <c r="T152" s="1251" t="e">
        <f>VLOOKUP(#REF!,Итоговая!AA155:AP582,16,FALSE)</f>
        <v>#REF!</v>
      </c>
    </row>
    <row r="153" spans="1:20" x14ac:dyDescent="0.25">
      <c r="A153" s="1248" t="s">
        <v>18195</v>
      </c>
      <c r="B153" s="1250" t="s">
        <v>20319</v>
      </c>
      <c r="C153" s="1250" t="s">
        <v>20215</v>
      </c>
      <c r="D153" s="1251">
        <v>2.2999999999999998</v>
      </c>
      <c r="E153" s="1251">
        <v>-0.44999999999999973</v>
      </c>
      <c r="F153" s="1251">
        <v>0</v>
      </c>
      <c r="G153" s="1251">
        <v>0</v>
      </c>
      <c r="H153" s="1251">
        <v>-0.40499999999999975</v>
      </c>
      <c r="I153" s="1251"/>
      <c r="J153" s="1252" t="s">
        <v>20211</v>
      </c>
      <c r="K153" s="1250" t="s">
        <v>2217</v>
      </c>
      <c r="L153" s="1251">
        <v>56.408223</v>
      </c>
      <c r="M153" s="1251">
        <v>31.638242000000002</v>
      </c>
      <c r="N153" s="1250" t="e">
        <f>VLOOKUP('Интерактивная карта'!#REF!,Итоговая!AA156:AV583,21,FALSE)</f>
        <v>#REF!</v>
      </c>
      <c r="O153" s="1250" t="e">
        <f>VLOOKUP('Интерактивная карта'!#REF!,Итоговая!AA156:AV583,22,FALSE)</f>
        <v>#REF!</v>
      </c>
      <c r="P153" s="1250" t="e">
        <f>VLOOKUP(#REF!,Итоговая!C156:I583,2,FALSE)</f>
        <v>#REF!</v>
      </c>
      <c r="Q153" s="1250" t="e">
        <f>VLOOKUP(#REF!,Итоговая!C156:I583,4,FALSE)</f>
        <v>#REF!</v>
      </c>
      <c r="R153" s="1250" t="e">
        <f>VLOOKUP(#REF!,Итоговая!C156:I583,6,FALSE)</f>
        <v>#REF!</v>
      </c>
      <c r="S153" s="1250"/>
      <c r="T153" s="1251" t="e">
        <f>VLOOKUP(#REF!,Итоговая!AA156:AP583,16,FALSE)</f>
        <v>#REF!</v>
      </c>
    </row>
    <row r="154" spans="1:20" x14ac:dyDescent="0.25">
      <c r="A154" s="1248" t="s">
        <v>1156</v>
      </c>
      <c r="B154" s="1250" t="s">
        <v>20268</v>
      </c>
      <c r="C154" s="1250" t="s">
        <v>20212</v>
      </c>
      <c r="D154" s="1251">
        <v>0.05</v>
      </c>
      <c r="E154" s="1251">
        <v>-0.05</v>
      </c>
      <c r="F154" s="1251">
        <v>0</v>
      </c>
      <c r="G154" s="1251">
        <v>0</v>
      </c>
      <c r="H154" s="1251">
        <v>-4.5000000000000005E-2</v>
      </c>
      <c r="I154" s="1251"/>
      <c r="J154" s="1252" t="s">
        <v>20211</v>
      </c>
      <c r="K154" s="1250" t="s">
        <v>2217</v>
      </c>
      <c r="L154" s="1251">
        <v>55.815755702065999</v>
      </c>
      <c r="M154" s="1251">
        <v>31.4666890538183</v>
      </c>
      <c r="N154" s="1250" t="e">
        <f>VLOOKUP('Интерактивная карта'!#REF!,Итоговая!AA157:AV584,21,FALSE)</f>
        <v>#REF!</v>
      </c>
      <c r="O154" s="1250" t="e">
        <f>VLOOKUP('Интерактивная карта'!#REF!,Итоговая!AA157:AV584,22,FALSE)</f>
        <v>#REF!</v>
      </c>
      <c r="P154" s="1250" t="e">
        <f>VLOOKUP(#REF!,Итоговая!C157:I584,2,FALSE)</f>
        <v>#REF!</v>
      </c>
      <c r="Q154" s="1250" t="e">
        <f>VLOOKUP(#REF!,Итоговая!C157:I584,4,FALSE)</f>
        <v>#REF!</v>
      </c>
      <c r="R154" s="1250" t="e">
        <f>VLOOKUP(#REF!,Итоговая!C157:I584,6,FALSE)</f>
        <v>#REF!</v>
      </c>
      <c r="S154" s="1250"/>
      <c r="T154" s="1251" t="e">
        <f>VLOOKUP(#REF!,Итоговая!AA157:AP584,16,FALSE)</f>
        <v>#REF!</v>
      </c>
    </row>
    <row r="155" spans="1:20" x14ac:dyDescent="0.25">
      <c r="A155" s="1248" t="s">
        <v>1157</v>
      </c>
      <c r="B155" s="1250" t="s">
        <v>20320</v>
      </c>
      <c r="C155" s="1250" t="s">
        <v>20212</v>
      </c>
      <c r="D155" s="1251">
        <v>1.78</v>
      </c>
      <c r="E155" s="1251">
        <v>-1.78</v>
      </c>
      <c r="F155" s="1251">
        <v>0.10793478260869566</v>
      </c>
      <c r="G155" s="1251">
        <v>0</v>
      </c>
      <c r="H155" s="1251">
        <v>-1.6991413043478261</v>
      </c>
      <c r="I155" s="1251"/>
      <c r="J155" s="1252" t="s">
        <v>20211</v>
      </c>
      <c r="K155" s="1250" t="s">
        <v>2217</v>
      </c>
      <c r="L155" s="1251">
        <v>55.863897874483001</v>
      </c>
      <c r="M155" s="1251">
        <v>32.2785135593817</v>
      </c>
      <c r="N155" s="1250" t="e">
        <f>VLOOKUP('Интерактивная карта'!#REF!,Итоговая!AA158:AV585,21,FALSE)</f>
        <v>#REF!</v>
      </c>
      <c r="O155" s="1250" t="e">
        <f>VLOOKUP('Интерактивная карта'!#REF!,Итоговая!AA158:AV585,22,FALSE)</f>
        <v>#REF!</v>
      </c>
      <c r="P155" s="1250" t="e">
        <f>VLOOKUP(#REF!,Итоговая!C158:I585,2,FALSE)</f>
        <v>#REF!</v>
      </c>
      <c r="Q155" s="1250" t="e">
        <f>VLOOKUP(#REF!,Итоговая!C158:I585,4,FALSE)</f>
        <v>#REF!</v>
      </c>
      <c r="R155" s="1250" t="e">
        <f>VLOOKUP(#REF!,Итоговая!C158:I585,6,FALSE)</f>
        <v>#REF!</v>
      </c>
      <c r="S155" s="1250"/>
      <c r="T155" s="1251" t="e">
        <f>VLOOKUP(#REF!,Итоговая!AA158:AP585,16,FALSE)</f>
        <v>#REF!</v>
      </c>
    </row>
    <row r="156" spans="1:20" x14ac:dyDescent="0.25">
      <c r="A156" s="1248" t="s">
        <v>1158</v>
      </c>
      <c r="B156" s="1250" t="s">
        <v>20318</v>
      </c>
      <c r="C156" s="1250" t="s">
        <v>20212</v>
      </c>
      <c r="D156" s="1251">
        <v>0.4</v>
      </c>
      <c r="E156" s="1251">
        <v>2.25</v>
      </c>
      <c r="F156" s="1251">
        <v>4.8913043478260873E-3</v>
      </c>
      <c r="G156" s="1251">
        <v>0</v>
      </c>
      <c r="H156" s="1251">
        <v>2.2451086956521737</v>
      </c>
      <c r="I156" s="1251"/>
      <c r="J156" s="1252" t="s">
        <v>20211</v>
      </c>
      <c r="K156" s="1250" t="s">
        <v>20211</v>
      </c>
      <c r="L156" s="1251">
        <v>56.258005847280003</v>
      </c>
      <c r="M156" s="1251">
        <v>32.358977418513398</v>
      </c>
      <c r="N156" s="1250" t="e">
        <f>VLOOKUP('Интерактивная карта'!#REF!,Итоговая!AA159:AV586,21,FALSE)</f>
        <v>#REF!</v>
      </c>
      <c r="O156" s="1250" t="e">
        <f>VLOOKUP('Интерактивная карта'!#REF!,Итоговая!AA159:AV586,22,FALSE)</f>
        <v>#REF!</v>
      </c>
      <c r="P156" s="1250" t="e">
        <f>VLOOKUP(#REF!,Итоговая!C159:I586,2,FALSE)</f>
        <v>#REF!</v>
      </c>
      <c r="Q156" s="1250" t="e">
        <f>VLOOKUP(#REF!,Итоговая!C159:I586,4,FALSE)</f>
        <v>#REF!</v>
      </c>
      <c r="R156" s="1250" t="e">
        <f>VLOOKUP(#REF!,Итоговая!C159:I586,6,FALSE)</f>
        <v>#REF!</v>
      </c>
      <c r="S156" s="1250"/>
      <c r="T156" s="1251" t="e">
        <f>VLOOKUP(#REF!,Итоговая!AA159:AP586,16,FALSE)</f>
        <v>#REF!</v>
      </c>
    </row>
    <row r="157" spans="1:20" x14ac:dyDescent="0.25">
      <c r="A157" s="1248" t="s">
        <v>1159</v>
      </c>
      <c r="B157" s="1250" t="s">
        <v>20272</v>
      </c>
      <c r="C157" s="1250" t="s">
        <v>20212</v>
      </c>
      <c r="D157" s="1251">
        <v>0.28000000000000003</v>
      </c>
      <c r="E157" s="1251">
        <v>0.61</v>
      </c>
      <c r="F157" s="1251">
        <v>2.0543478260869569E-2</v>
      </c>
      <c r="G157" s="1251">
        <v>0</v>
      </c>
      <c r="H157" s="1251">
        <v>0.58945652173913043</v>
      </c>
      <c r="I157" s="1251"/>
      <c r="J157" s="1252" t="s">
        <v>20211</v>
      </c>
      <c r="K157" s="1250" t="s">
        <v>20211</v>
      </c>
      <c r="L157" s="1251">
        <v>56.396138368713501</v>
      </c>
      <c r="M157" s="1251">
        <v>32.790010688667003</v>
      </c>
      <c r="N157" s="1250" t="e">
        <f>VLOOKUP('Интерактивная карта'!#REF!,Итоговая!AA160:AV587,21,FALSE)</f>
        <v>#REF!</v>
      </c>
      <c r="O157" s="1250" t="e">
        <f>VLOOKUP('Интерактивная карта'!#REF!,Итоговая!AA160:AV587,22,FALSE)</f>
        <v>#REF!</v>
      </c>
      <c r="P157" s="1250" t="e">
        <f>VLOOKUP(#REF!,Итоговая!C160:I587,2,FALSE)</f>
        <v>#REF!</v>
      </c>
      <c r="Q157" s="1250" t="e">
        <f>VLOOKUP(#REF!,Итоговая!C160:I587,4,FALSE)</f>
        <v>#REF!</v>
      </c>
      <c r="R157" s="1250" t="e">
        <f>VLOOKUP(#REF!,Итоговая!C160:I587,6,FALSE)</f>
        <v>#REF!</v>
      </c>
      <c r="S157" s="1250"/>
      <c r="T157" s="1251" t="e">
        <f>VLOOKUP(#REF!,Итоговая!AA160:AP587,16,FALSE)</f>
        <v>#REF!</v>
      </c>
    </row>
    <row r="158" spans="1:20" x14ac:dyDescent="0.25">
      <c r="A158" s="1248" t="s">
        <v>1160</v>
      </c>
      <c r="B158" s="1250" t="s">
        <v>20313</v>
      </c>
      <c r="C158" s="1250" t="s">
        <v>20210</v>
      </c>
      <c r="D158" s="1251">
        <v>0.13</v>
      </c>
      <c r="E158" s="1251">
        <v>0.77</v>
      </c>
      <c r="F158" s="1251">
        <v>0</v>
      </c>
      <c r="G158" s="1251">
        <v>0</v>
      </c>
      <c r="H158" s="1251">
        <v>0.77</v>
      </c>
      <c r="I158" s="1251"/>
      <c r="J158" s="1252" t="s">
        <v>20211</v>
      </c>
      <c r="K158" s="1250" t="s">
        <v>20211</v>
      </c>
      <c r="L158" s="1251">
        <v>56.085486214999698</v>
      </c>
      <c r="M158" s="1251">
        <v>31.859428192368</v>
      </c>
      <c r="N158" s="1250" t="e">
        <f>VLOOKUP('Интерактивная карта'!#REF!,Итоговая!AA161:AV588,21,FALSE)</f>
        <v>#REF!</v>
      </c>
      <c r="O158" s="1250" t="e">
        <f>VLOOKUP('Интерактивная карта'!#REF!,Итоговая!AA161:AV588,22,FALSE)</f>
        <v>#REF!</v>
      </c>
      <c r="P158" s="1250" t="e">
        <f>VLOOKUP(#REF!,Итоговая!C161:I588,2,FALSE)</f>
        <v>#REF!</v>
      </c>
      <c r="Q158" s="1250" t="e">
        <f>VLOOKUP(#REF!,Итоговая!C161:I588,4,FALSE)</f>
        <v>#REF!</v>
      </c>
      <c r="R158" s="1250" t="e">
        <f>VLOOKUP(#REF!,Итоговая!C161:I588,6,FALSE)</f>
        <v>#REF!</v>
      </c>
      <c r="S158" s="1250"/>
      <c r="T158" s="1251" t="e">
        <f>VLOOKUP(#REF!,Итоговая!AA161:AP588,16,FALSE)</f>
        <v>#REF!</v>
      </c>
    </row>
    <row r="159" spans="1:20" x14ac:dyDescent="0.25">
      <c r="A159" s="1248" t="s">
        <v>1161</v>
      </c>
      <c r="B159" s="1250" t="s">
        <v>20318</v>
      </c>
      <c r="C159" s="1250" t="s">
        <v>20215</v>
      </c>
      <c r="D159" s="1251">
        <v>1.03</v>
      </c>
      <c r="E159" s="1251">
        <v>0.78</v>
      </c>
      <c r="F159" s="1251">
        <v>1.4086956521739131E-2</v>
      </c>
      <c r="G159" s="1251">
        <v>0</v>
      </c>
      <c r="H159" s="1251">
        <v>0.76591304347826095</v>
      </c>
      <c r="I159" s="1251"/>
      <c r="J159" s="1252" t="s">
        <v>20211</v>
      </c>
      <c r="K159" s="1250" t="s">
        <v>20211</v>
      </c>
      <c r="L159" s="1251">
        <v>56.067237629597599</v>
      </c>
      <c r="M159" s="1251">
        <v>32.8443175433923</v>
      </c>
      <c r="N159" s="1250" t="e">
        <f>VLOOKUP('Интерактивная карта'!#REF!,Итоговая!AA162:AV589,21,FALSE)</f>
        <v>#REF!</v>
      </c>
      <c r="O159" s="1250" t="e">
        <f>VLOOKUP('Интерактивная карта'!#REF!,Итоговая!AA162:AV589,22,FALSE)</f>
        <v>#REF!</v>
      </c>
      <c r="P159" s="1250" t="e">
        <f>VLOOKUP(#REF!,Итоговая!C162:I589,2,FALSE)</f>
        <v>#REF!</v>
      </c>
      <c r="Q159" s="1250" t="e">
        <f>VLOOKUP(#REF!,Итоговая!C162:I589,4,FALSE)</f>
        <v>#REF!</v>
      </c>
      <c r="R159" s="1250" t="e">
        <f>VLOOKUP(#REF!,Итоговая!C162:I589,6,FALSE)</f>
        <v>#REF!</v>
      </c>
      <c r="S159" s="1250"/>
      <c r="T159" s="1251" t="e">
        <f>VLOOKUP(#REF!,Итоговая!AA162:AP589,16,FALSE)</f>
        <v>#REF!</v>
      </c>
    </row>
    <row r="160" spans="1:20" x14ac:dyDescent="0.25">
      <c r="A160" s="1248" t="s">
        <v>1162</v>
      </c>
      <c r="B160" s="1250" t="s">
        <v>20321</v>
      </c>
      <c r="C160" s="1250" t="s">
        <v>2043</v>
      </c>
      <c r="D160" s="1251">
        <v>0.19</v>
      </c>
      <c r="E160" s="1251">
        <v>0.65999999999999992</v>
      </c>
      <c r="F160" s="1251">
        <v>6.8478260869565214E-3</v>
      </c>
      <c r="G160" s="1251">
        <v>0</v>
      </c>
      <c r="H160" s="1251">
        <v>0.65315217391304337</v>
      </c>
      <c r="I160" s="1251"/>
      <c r="J160" s="1252" t="s">
        <v>20211</v>
      </c>
      <c r="K160" s="1250" t="s">
        <v>20211</v>
      </c>
      <c r="L160" s="1251">
        <v>56.511311336791501</v>
      </c>
      <c r="M160" s="1251">
        <v>31.116721048774298</v>
      </c>
      <c r="N160" s="1250" t="e">
        <f>VLOOKUP('Интерактивная карта'!#REF!,Итоговая!AA163:AV590,21,FALSE)</f>
        <v>#REF!</v>
      </c>
      <c r="O160" s="1250" t="e">
        <f>VLOOKUP('Интерактивная карта'!#REF!,Итоговая!AA163:AV590,22,FALSE)</f>
        <v>#REF!</v>
      </c>
      <c r="P160" s="1250" t="e">
        <f>VLOOKUP(#REF!,Итоговая!C163:I590,2,FALSE)</f>
        <v>#REF!</v>
      </c>
      <c r="Q160" s="1250" t="e">
        <f>VLOOKUP(#REF!,Итоговая!C163:I590,4,FALSE)</f>
        <v>#REF!</v>
      </c>
      <c r="R160" s="1250" t="e">
        <f>VLOOKUP(#REF!,Итоговая!C163:I590,6,FALSE)</f>
        <v>#REF!</v>
      </c>
      <c r="S160" s="1250"/>
      <c r="T160" s="1251" t="e">
        <f>VLOOKUP(#REF!,Итоговая!AA163:AP590,16,FALSE)</f>
        <v>#REF!</v>
      </c>
    </row>
    <row r="161" spans="1:20" x14ac:dyDescent="0.25">
      <c r="A161" s="1248" t="s">
        <v>1163</v>
      </c>
      <c r="B161" s="1250" t="s">
        <v>20283</v>
      </c>
      <c r="C161" s="1250" t="s">
        <v>20210</v>
      </c>
      <c r="D161" s="1251">
        <v>0.35</v>
      </c>
      <c r="E161" s="1251">
        <v>0.54</v>
      </c>
      <c r="F161" s="1251">
        <v>4.4021739130434785E-2</v>
      </c>
      <c r="G161" s="1251">
        <v>0</v>
      </c>
      <c r="H161" s="1251">
        <v>0.49597826086956526</v>
      </c>
      <c r="I161" s="1251"/>
      <c r="J161" s="1252" t="s">
        <v>20211</v>
      </c>
      <c r="K161" s="1250" t="s">
        <v>20211</v>
      </c>
      <c r="L161" s="1251">
        <v>56.656234881491301</v>
      </c>
      <c r="M161" s="1251">
        <v>31.40388826337</v>
      </c>
      <c r="N161" s="1250" t="e">
        <f>VLOOKUP('Интерактивная карта'!#REF!,Итоговая!AA164:AV591,21,FALSE)</f>
        <v>#REF!</v>
      </c>
      <c r="O161" s="1250" t="e">
        <f>VLOOKUP('Интерактивная карта'!#REF!,Итоговая!AA164:AV591,22,FALSE)</f>
        <v>#REF!</v>
      </c>
      <c r="P161" s="1250" t="e">
        <f>VLOOKUP(#REF!,Итоговая!C164:I591,2,FALSE)</f>
        <v>#REF!</v>
      </c>
      <c r="Q161" s="1250" t="e">
        <f>VLOOKUP(#REF!,Итоговая!C164:I591,4,FALSE)</f>
        <v>#REF!</v>
      </c>
      <c r="R161" s="1250" t="e">
        <f>VLOOKUP(#REF!,Итоговая!C164:I591,6,FALSE)</f>
        <v>#REF!</v>
      </c>
      <c r="S161" s="1250"/>
      <c r="T161" s="1251" t="e">
        <f>VLOOKUP(#REF!,Итоговая!AA164:AP591,16,FALSE)</f>
        <v>#REF!</v>
      </c>
    </row>
    <row r="162" spans="1:20" x14ac:dyDescent="0.25">
      <c r="A162" s="1248" t="s">
        <v>1164</v>
      </c>
      <c r="B162" s="1250" t="s">
        <v>20295</v>
      </c>
      <c r="C162" s="1250" t="s">
        <v>20210</v>
      </c>
      <c r="D162" s="1251">
        <v>0.69</v>
      </c>
      <c r="E162" s="1251">
        <v>0.53</v>
      </c>
      <c r="F162" s="1251">
        <v>5.6934782608695653E-2</v>
      </c>
      <c r="G162" s="1251">
        <v>0</v>
      </c>
      <c r="H162" s="1251">
        <v>0.47306521739130436</v>
      </c>
      <c r="I162" s="1251"/>
      <c r="J162" s="1252" t="s">
        <v>20211</v>
      </c>
      <c r="K162" s="1250" t="s">
        <v>20211</v>
      </c>
      <c r="L162" s="1251">
        <v>56.221509931686597</v>
      </c>
      <c r="M162" s="1251">
        <v>32.748808156639399</v>
      </c>
      <c r="N162" s="1250" t="e">
        <f>VLOOKUP('Интерактивная карта'!#REF!,Итоговая!AA165:AV592,21,FALSE)</f>
        <v>#REF!</v>
      </c>
      <c r="O162" s="1250" t="e">
        <f>VLOOKUP('Интерактивная карта'!#REF!,Итоговая!AA165:AV592,22,FALSE)</f>
        <v>#REF!</v>
      </c>
      <c r="P162" s="1250" t="e">
        <f>VLOOKUP(#REF!,Итоговая!C165:I592,2,FALSE)</f>
        <v>#REF!</v>
      </c>
      <c r="Q162" s="1250" t="e">
        <f>VLOOKUP(#REF!,Итоговая!C165:I592,4,FALSE)</f>
        <v>#REF!</v>
      </c>
      <c r="R162" s="1250" t="e">
        <f>VLOOKUP(#REF!,Итоговая!C165:I592,6,FALSE)</f>
        <v>#REF!</v>
      </c>
      <c r="S162" s="1250"/>
      <c r="T162" s="1251" t="e">
        <f>VLOOKUP(#REF!,Итоговая!AA165:AP592,16,FALSE)</f>
        <v>#REF!</v>
      </c>
    </row>
    <row r="163" spans="1:20" x14ac:dyDescent="0.25">
      <c r="A163" s="1248" t="s">
        <v>1165</v>
      </c>
      <c r="B163" s="1250" t="s">
        <v>20309</v>
      </c>
      <c r="C163" s="1250" t="s">
        <v>20212</v>
      </c>
      <c r="D163" s="1251">
        <v>0.38</v>
      </c>
      <c r="E163" s="1251">
        <v>2.14</v>
      </c>
      <c r="F163" s="1251">
        <v>0</v>
      </c>
      <c r="G163" s="1251">
        <v>0</v>
      </c>
      <c r="H163" s="1251">
        <v>2.14</v>
      </c>
      <c r="I163" s="1251"/>
      <c r="J163" s="1252" t="s">
        <v>20211</v>
      </c>
      <c r="K163" s="1250" t="s">
        <v>20211</v>
      </c>
      <c r="L163" s="1251">
        <v>56.489109448289803</v>
      </c>
      <c r="M163" s="1251">
        <v>31.843254812482002</v>
      </c>
      <c r="N163" s="1250" t="e">
        <f>VLOOKUP('Интерактивная карта'!#REF!,Итоговая!AA166:AV593,21,FALSE)</f>
        <v>#REF!</v>
      </c>
      <c r="O163" s="1250" t="e">
        <f>VLOOKUP('Интерактивная карта'!#REF!,Итоговая!AA166:AV593,22,FALSE)</f>
        <v>#REF!</v>
      </c>
      <c r="P163" s="1250" t="e">
        <f>VLOOKUP(#REF!,Итоговая!C166:I593,2,FALSE)</f>
        <v>#REF!</v>
      </c>
      <c r="Q163" s="1250" t="e">
        <f>VLOOKUP(#REF!,Итоговая!C166:I593,4,FALSE)</f>
        <v>#REF!</v>
      </c>
      <c r="R163" s="1250" t="e">
        <f>VLOOKUP(#REF!,Итоговая!C166:I593,6,FALSE)</f>
        <v>#REF!</v>
      </c>
      <c r="S163" s="1250"/>
      <c r="T163" s="1251" t="e">
        <f>VLOOKUP(#REF!,Итоговая!AA166:AP593,16,FALSE)</f>
        <v>#REF!</v>
      </c>
    </row>
    <row r="164" spans="1:20" x14ac:dyDescent="0.25">
      <c r="A164" s="1248" t="s">
        <v>1166</v>
      </c>
      <c r="B164" s="1250" t="s">
        <v>20273</v>
      </c>
      <c r="C164" s="1250" t="s">
        <v>2043</v>
      </c>
      <c r="D164" s="1251">
        <v>0.35</v>
      </c>
      <c r="E164" s="1251">
        <v>5.0000000000000044E-2</v>
      </c>
      <c r="F164" s="1251">
        <v>3.0521739130434784E-2</v>
      </c>
      <c r="G164" s="1251">
        <v>0</v>
      </c>
      <c r="H164" s="1251">
        <v>1.9478260869565278E-2</v>
      </c>
      <c r="I164" s="1251"/>
      <c r="J164" s="1252" t="s">
        <v>20211</v>
      </c>
      <c r="K164" s="1250" t="s">
        <v>20211</v>
      </c>
      <c r="L164" s="1251">
        <v>56.898108803443201</v>
      </c>
      <c r="M164" s="1251">
        <v>32.077245840508198</v>
      </c>
      <c r="N164" s="1250" t="e">
        <f>VLOOKUP('Интерактивная карта'!#REF!,Итоговая!AA167:AV594,21,FALSE)</f>
        <v>#REF!</v>
      </c>
      <c r="O164" s="1250" t="e">
        <f>VLOOKUP('Интерактивная карта'!#REF!,Итоговая!AA167:AV594,22,FALSE)</f>
        <v>#REF!</v>
      </c>
      <c r="P164" s="1250" t="e">
        <f>VLOOKUP(#REF!,Итоговая!C167:I594,2,FALSE)</f>
        <v>#REF!</v>
      </c>
      <c r="Q164" s="1250" t="e">
        <f>VLOOKUP(#REF!,Итоговая!C167:I594,4,FALSE)</f>
        <v>#REF!</v>
      </c>
      <c r="R164" s="1250" t="e">
        <f>VLOOKUP(#REF!,Итоговая!C167:I594,6,FALSE)</f>
        <v>#REF!</v>
      </c>
      <c r="S164" s="1250"/>
      <c r="T164" s="1251" t="e">
        <f>VLOOKUP(#REF!,Итоговая!AA167:AP594,16,FALSE)</f>
        <v>#REF!</v>
      </c>
    </row>
    <row r="165" spans="1:20" x14ac:dyDescent="0.25">
      <c r="A165" s="1248" t="s">
        <v>1167</v>
      </c>
      <c r="B165" s="1250" t="s">
        <v>20278</v>
      </c>
      <c r="C165" s="1250" t="s">
        <v>20210</v>
      </c>
      <c r="D165" s="1251">
        <v>0.37</v>
      </c>
      <c r="E165" s="1251">
        <v>-0.37</v>
      </c>
      <c r="F165" s="1251">
        <v>1.9565217391304349E-2</v>
      </c>
      <c r="G165" s="1251">
        <v>0</v>
      </c>
      <c r="H165" s="1251">
        <v>-0.38956521739130434</v>
      </c>
      <c r="I165" s="1251"/>
      <c r="J165" s="1252" t="s">
        <v>20211</v>
      </c>
      <c r="K165" s="1250" t="s">
        <v>2217</v>
      </c>
      <c r="L165" s="1251">
        <v>56.275572606468899</v>
      </c>
      <c r="M165" s="1251">
        <v>31.9360874224983</v>
      </c>
      <c r="N165" s="1250" t="e">
        <f>VLOOKUP('Интерактивная карта'!#REF!,Итоговая!AA168:AV595,21,FALSE)</f>
        <v>#REF!</v>
      </c>
      <c r="O165" s="1250" t="e">
        <f>VLOOKUP('Интерактивная карта'!#REF!,Итоговая!AA168:AV595,22,FALSE)</f>
        <v>#REF!</v>
      </c>
      <c r="P165" s="1250" t="e">
        <f>VLOOKUP(#REF!,Итоговая!C168:I595,2,FALSE)</f>
        <v>#REF!</v>
      </c>
      <c r="Q165" s="1250" t="e">
        <f>VLOOKUP(#REF!,Итоговая!C168:I595,4,FALSE)</f>
        <v>#REF!</v>
      </c>
      <c r="R165" s="1250" t="e">
        <f>VLOOKUP(#REF!,Итоговая!C168:I595,6,FALSE)</f>
        <v>#REF!</v>
      </c>
      <c r="S165" s="1250"/>
      <c r="T165" s="1251" t="e">
        <f>VLOOKUP(#REF!,Итоговая!AA168:AP595,16,FALSE)</f>
        <v>#REF!</v>
      </c>
    </row>
    <row r="166" spans="1:20" x14ac:dyDescent="0.25">
      <c r="A166" s="1248" t="s">
        <v>1181</v>
      </c>
      <c r="B166" s="1250" t="s">
        <v>20271</v>
      </c>
      <c r="C166" s="1250" t="s">
        <v>20212</v>
      </c>
      <c r="D166" s="1251">
        <v>0.13</v>
      </c>
      <c r="E166" s="1251">
        <v>1.67</v>
      </c>
      <c r="F166" s="1251">
        <v>1.4673913043478259E-2</v>
      </c>
      <c r="G166" s="1251">
        <v>0</v>
      </c>
      <c r="H166" s="1251">
        <v>1.6553260869565218</v>
      </c>
      <c r="I166" s="1251"/>
      <c r="J166" s="1252" t="s">
        <v>20211</v>
      </c>
      <c r="K166" s="1250" t="s">
        <v>20211</v>
      </c>
      <c r="L166" s="1251">
        <v>55.801832313897698</v>
      </c>
      <c r="M166" s="1251">
        <v>33.105341542915497</v>
      </c>
      <c r="N166" s="1250" t="e">
        <f>VLOOKUP('Интерактивная карта'!#REF!,Итоговая!AA169:AV596,21,FALSE)</f>
        <v>#REF!</v>
      </c>
      <c r="O166" s="1250" t="e">
        <f>VLOOKUP('Интерактивная карта'!#REF!,Итоговая!AA169:AV596,22,FALSE)</f>
        <v>#REF!</v>
      </c>
      <c r="P166" s="1250" t="e">
        <f>VLOOKUP(#REF!,Итоговая!C169:I596,2,FALSE)</f>
        <v>#REF!</v>
      </c>
      <c r="Q166" s="1250" t="e">
        <f>VLOOKUP(#REF!,Итоговая!C169:I596,4,FALSE)</f>
        <v>#REF!</v>
      </c>
      <c r="R166" s="1250" t="e">
        <f>VLOOKUP(#REF!,Итоговая!C169:I596,6,FALSE)</f>
        <v>#REF!</v>
      </c>
      <c r="S166" s="1250"/>
      <c r="T166" s="1251" t="e">
        <f>VLOOKUP(#REF!,Итоговая!AA169:AP596,16,FALSE)</f>
        <v>#REF!</v>
      </c>
    </row>
    <row r="167" spans="1:20" x14ac:dyDescent="0.25">
      <c r="A167" s="1248" t="s">
        <v>1168</v>
      </c>
      <c r="B167" s="1250" t="s">
        <v>20318</v>
      </c>
      <c r="C167" s="1250" t="s">
        <v>20223</v>
      </c>
      <c r="D167" s="1251">
        <v>0.59</v>
      </c>
      <c r="E167" s="1251">
        <v>1.5100000000000002</v>
      </c>
      <c r="F167" s="1251">
        <v>5.165217391304347E-2</v>
      </c>
      <c r="G167" s="1251">
        <v>0</v>
      </c>
      <c r="H167" s="1251">
        <v>1.4583478260869567</v>
      </c>
      <c r="I167" s="1251"/>
      <c r="J167" s="1252" t="s">
        <v>20211</v>
      </c>
      <c r="K167" s="1250" t="s">
        <v>20211</v>
      </c>
      <c r="L167" s="1251">
        <v>56.888937668135398</v>
      </c>
      <c r="M167" s="1251">
        <v>31.711828797538999</v>
      </c>
      <c r="N167" s="1250" t="e">
        <f>VLOOKUP('Интерактивная карта'!#REF!,Итоговая!AA170:AV597,21,FALSE)</f>
        <v>#REF!</v>
      </c>
      <c r="O167" s="1250" t="e">
        <f>VLOOKUP('Интерактивная карта'!#REF!,Итоговая!AA170:AV597,22,FALSE)</f>
        <v>#REF!</v>
      </c>
      <c r="P167" s="1250" t="e">
        <f>VLOOKUP(#REF!,Итоговая!C170:I597,2,FALSE)</f>
        <v>#REF!</v>
      </c>
      <c r="Q167" s="1250" t="e">
        <f>VLOOKUP(#REF!,Итоговая!C170:I597,4,FALSE)</f>
        <v>#REF!</v>
      </c>
      <c r="R167" s="1250" t="e">
        <f>VLOOKUP(#REF!,Итоговая!C170:I597,6,FALSE)</f>
        <v>#REF!</v>
      </c>
      <c r="S167" s="1250"/>
      <c r="T167" s="1251" t="e">
        <f>VLOOKUP(#REF!,Итоговая!AA170:AP597,16,FALSE)</f>
        <v>#REF!</v>
      </c>
    </row>
    <row r="168" spans="1:20" x14ac:dyDescent="0.25">
      <c r="A168" s="1248" t="s">
        <v>1169</v>
      </c>
      <c r="B168" s="1250" t="s">
        <v>20288</v>
      </c>
      <c r="C168" s="1250" t="s">
        <v>20247</v>
      </c>
      <c r="D168" s="1251">
        <v>0.34</v>
      </c>
      <c r="E168" s="1251">
        <v>0.85000000000000009</v>
      </c>
      <c r="F168" s="1251">
        <v>1.173913043478261E-2</v>
      </c>
      <c r="G168" s="1251">
        <v>0</v>
      </c>
      <c r="H168" s="1251">
        <v>0.8382608695652175</v>
      </c>
      <c r="I168" s="1251"/>
      <c r="J168" s="1252" t="s">
        <v>20211</v>
      </c>
      <c r="K168" s="1250" t="s">
        <v>20211</v>
      </c>
      <c r="L168" s="1251">
        <v>55.901399261597497</v>
      </c>
      <c r="M168" s="1251">
        <v>33.376600993077801</v>
      </c>
      <c r="N168" s="1250" t="e">
        <f>VLOOKUP('Интерактивная карта'!#REF!,Итоговая!AA171:AV598,21,FALSE)</f>
        <v>#REF!</v>
      </c>
      <c r="O168" s="1250" t="e">
        <f>VLOOKUP('Интерактивная карта'!#REF!,Итоговая!AA171:AV598,22,FALSE)</f>
        <v>#REF!</v>
      </c>
      <c r="P168" s="1250" t="e">
        <f>VLOOKUP(#REF!,Итоговая!C171:I598,2,FALSE)</f>
        <v>#REF!</v>
      </c>
      <c r="Q168" s="1250" t="e">
        <f>VLOOKUP(#REF!,Итоговая!C171:I598,4,FALSE)</f>
        <v>#REF!</v>
      </c>
      <c r="R168" s="1250" t="e">
        <f>VLOOKUP(#REF!,Итоговая!C171:I598,6,FALSE)</f>
        <v>#REF!</v>
      </c>
      <c r="S168" s="1250"/>
      <c r="T168" s="1251" t="e">
        <f>VLOOKUP(#REF!,Итоговая!AA171:AP598,16,FALSE)</f>
        <v>#REF!</v>
      </c>
    </row>
    <row r="169" spans="1:20" x14ac:dyDescent="0.25">
      <c r="A169" s="1248" t="s">
        <v>1170</v>
      </c>
      <c r="B169" s="1250" t="s">
        <v>20314</v>
      </c>
      <c r="C169" s="1250" t="s">
        <v>20234</v>
      </c>
      <c r="D169" s="1251">
        <v>0.59</v>
      </c>
      <c r="E169" s="1251">
        <v>1.3600000000000003</v>
      </c>
      <c r="F169" s="1251">
        <v>2.5239130434782604E-2</v>
      </c>
      <c r="G169" s="1251">
        <v>0</v>
      </c>
      <c r="H169" s="1251">
        <v>1.3347608695652178</v>
      </c>
      <c r="I169" s="1251"/>
      <c r="J169" s="1252" t="s">
        <v>20211</v>
      </c>
      <c r="K169" s="1250" t="s">
        <v>20211</v>
      </c>
      <c r="L169" s="1251">
        <v>56.645553124979401</v>
      </c>
      <c r="M169" s="1251">
        <v>31.7581185050953</v>
      </c>
      <c r="N169" s="1250" t="e">
        <f>VLOOKUP('Интерактивная карта'!#REF!,Итоговая!AA172:AV599,21,FALSE)</f>
        <v>#REF!</v>
      </c>
      <c r="O169" s="1250" t="e">
        <f>VLOOKUP('Интерактивная карта'!#REF!,Итоговая!AA172:AV599,22,FALSE)</f>
        <v>#REF!</v>
      </c>
      <c r="P169" s="1250" t="e">
        <f>VLOOKUP(#REF!,Итоговая!C172:I599,2,FALSE)</f>
        <v>#REF!</v>
      </c>
      <c r="Q169" s="1250" t="e">
        <f>VLOOKUP(#REF!,Итоговая!C172:I599,4,FALSE)</f>
        <v>#REF!</v>
      </c>
      <c r="R169" s="1250" t="e">
        <f>VLOOKUP(#REF!,Итоговая!C172:I599,6,FALSE)</f>
        <v>#REF!</v>
      </c>
      <c r="S169" s="1250"/>
      <c r="T169" s="1251" t="e">
        <f>VLOOKUP(#REF!,Итоговая!AA172:AP599,16,FALSE)</f>
        <v>#REF!</v>
      </c>
    </row>
    <row r="170" spans="1:20" x14ac:dyDescent="0.25">
      <c r="A170" s="1248" t="s">
        <v>1171</v>
      </c>
      <c r="B170" s="1250" t="s">
        <v>20322</v>
      </c>
      <c r="C170" s="1250" t="s">
        <v>20235</v>
      </c>
      <c r="D170" s="1251">
        <v>0.94</v>
      </c>
      <c r="E170" s="1251">
        <v>4.1500000000000004</v>
      </c>
      <c r="F170" s="1251">
        <v>0</v>
      </c>
      <c r="G170" s="1251">
        <v>0</v>
      </c>
      <c r="H170" s="1251">
        <v>4.1500000000000004</v>
      </c>
      <c r="I170" s="1251"/>
      <c r="J170" s="1252" t="s">
        <v>20211</v>
      </c>
      <c r="K170" s="1250" t="s">
        <v>20211</v>
      </c>
      <c r="L170" s="1251">
        <v>56.536975825665102</v>
      </c>
      <c r="M170" s="1251">
        <v>31.6038603641646</v>
      </c>
      <c r="N170" s="1250" t="e">
        <f>VLOOKUP('Интерактивная карта'!#REF!,Итоговая!AA173:AV600,21,FALSE)</f>
        <v>#REF!</v>
      </c>
      <c r="O170" s="1250" t="e">
        <f>VLOOKUP('Интерактивная карта'!#REF!,Итоговая!AA173:AV600,22,FALSE)</f>
        <v>#REF!</v>
      </c>
      <c r="P170" s="1250" t="e">
        <f>VLOOKUP(#REF!,Итоговая!C173:I600,2,FALSE)</f>
        <v>#REF!</v>
      </c>
      <c r="Q170" s="1250" t="e">
        <f>VLOOKUP(#REF!,Итоговая!C173:I600,4,FALSE)</f>
        <v>#REF!</v>
      </c>
      <c r="R170" s="1250" t="e">
        <f>VLOOKUP(#REF!,Итоговая!C173:I600,6,FALSE)</f>
        <v>#REF!</v>
      </c>
      <c r="S170" s="1250"/>
      <c r="T170" s="1251" t="e">
        <f>VLOOKUP(#REF!,Итоговая!AA173:AP600,16,FALSE)</f>
        <v>#REF!</v>
      </c>
    </row>
    <row r="171" spans="1:20" x14ac:dyDescent="0.25">
      <c r="A171" s="1248" t="s">
        <v>1812</v>
      </c>
      <c r="B171" s="1250" t="s">
        <v>20278</v>
      </c>
      <c r="C171" s="1250" t="s">
        <v>20226</v>
      </c>
      <c r="D171" s="1251">
        <v>3.01</v>
      </c>
      <c r="E171" s="1251">
        <v>23.240000000000002</v>
      </c>
      <c r="F171" s="1251">
        <v>0</v>
      </c>
      <c r="G171" s="1251">
        <v>0</v>
      </c>
      <c r="H171" s="1251">
        <v>23.240000000000002</v>
      </c>
      <c r="I171" s="1251"/>
      <c r="J171" s="1252" t="s">
        <v>20211</v>
      </c>
      <c r="K171" s="1250" t="s">
        <v>20211</v>
      </c>
      <c r="L171" s="1251">
        <v>56.530764656413403</v>
      </c>
      <c r="M171" s="1251">
        <v>32.178893279207301</v>
      </c>
      <c r="N171" s="1250" t="e">
        <f>VLOOKUP('Интерактивная карта'!#REF!,Итоговая!AA174:AV601,21,FALSE)</f>
        <v>#REF!</v>
      </c>
      <c r="O171" s="1250" t="e">
        <f>VLOOKUP('Интерактивная карта'!#REF!,Итоговая!AA174:AV601,22,FALSE)</f>
        <v>#REF!</v>
      </c>
      <c r="P171" s="1250" t="e">
        <f>VLOOKUP(#REF!,Итоговая!C174:I601,2,FALSE)</f>
        <v>#REF!</v>
      </c>
      <c r="Q171" s="1250" t="e">
        <f>VLOOKUP(#REF!,Итоговая!C174:I601,4,FALSE)</f>
        <v>#REF!</v>
      </c>
      <c r="R171" s="1250" t="e">
        <f>VLOOKUP(#REF!,Итоговая!C174:I601,6,FALSE)</f>
        <v>#REF!</v>
      </c>
      <c r="S171" s="1250"/>
      <c r="T171" s="1251" t="e">
        <f>VLOOKUP(#REF!,Итоговая!AA174:AP601,16,FALSE)</f>
        <v>#REF!</v>
      </c>
    </row>
    <row r="172" spans="1:20" x14ac:dyDescent="0.25">
      <c r="A172" s="1248" t="s">
        <v>1172</v>
      </c>
      <c r="B172" s="1250" t="s">
        <v>20288</v>
      </c>
      <c r="C172" s="1250" t="s">
        <v>20223</v>
      </c>
      <c r="D172" s="1251">
        <v>0.62</v>
      </c>
      <c r="E172" s="1251">
        <v>1.3200000000000003</v>
      </c>
      <c r="F172" s="1251">
        <v>3.9913043478260871E-2</v>
      </c>
      <c r="G172" s="1251">
        <v>0</v>
      </c>
      <c r="H172" s="1251">
        <v>1.2800869565217394</v>
      </c>
      <c r="I172" s="1251"/>
      <c r="J172" s="1252" t="s">
        <v>20211</v>
      </c>
      <c r="K172" s="1250" t="s">
        <v>20211</v>
      </c>
      <c r="L172" s="1251">
        <v>55.947945073946201</v>
      </c>
      <c r="M172" s="1251">
        <v>31.685826846532901</v>
      </c>
      <c r="N172" s="1250" t="e">
        <f>VLOOKUP('Интерактивная карта'!#REF!,Итоговая!AA175:AV602,21,FALSE)</f>
        <v>#REF!</v>
      </c>
      <c r="O172" s="1250" t="e">
        <f>VLOOKUP('Интерактивная карта'!#REF!,Итоговая!AA175:AV602,22,FALSE)</f>
        <v>#REF!</v>
      </c>
      <c r="P172" s="1250" t="e">
        <f>VLOOKUP(#REF!,Итоговая!C175:I602,2,FALSE)</f>
        <v>#REF!</v>
      </c>
      <c r="Q172" s="1250" t="e">
        <f>VLOOKUP(#REF!,Итоговая!C175:I602,4,FALSE)</f>
        <v>#REF!</v>
      </c>
      <c r="R172" s="1250" t="e">
        <f>VLOOKUP(#REF!,Итоговая!C175:I602,6,FALSE)</f>
        <v>#REF!</v>
      </c>
      <c r="S172" s="1250"/>
      <c r="T172" s="1251" t="e">
        <f>VLOOKUP(#REF!,Итоговая!AA175:AP602,16,FALSE)</f>
        <v>#REF!</v>
      </c>
    </row>
    <row r="173" spans="1:20" x14ac:dyDescent="0.25">
      <c r="A173" s="1248" t="s">
        <v>1173</v>
      </c>
      <c r="B173" s="1250" t="s">
        <v>20323</v>
      </c>
      <c r="C173" s="1250" t="s">
        <v>20230</v>
      </c>
      <c r="D173" s="1251">
        <v>1.07</v>
      </c>
      <c r="E173" s="1251">
        <v>2.97</v>
      </c>
      <c r="F173" s="1251">
        <v>0</v>
      </c>
      <c r="G173" s="1251">
        <v>0</v>
      </c>
      <c r="H173" s="1251">
        <v>2.97</v>
      </c>
      <c r="I173" s="1251"/>
      <c r="J173" s="1252" t="s">
        <v>20211</v>
      </c>
      <c r="K173" s="1250" t="s">
        <v>20211</v>
      </c>
      <c r="L173" s="1251">
        <v>56.786929104754201</v>
      </c>
      <c r="M173" s="1251">
        <v>31.259684304533</v>
      </c>
      <c r="N173" s="1250" t="e">
        <f>VLOOKUP('Интерактивная карта'!#REF!,Итоговая!AA176:AV603,21,FALSE)</f>
        <v>#REF!</v>
      </c>
      <c r="O173" s="1250" t="e">
        <f>VLOOKUP('Интерактивная карта'!#REF!,Итоговая!AA176:AV603,22,FALSE)</f>
        <v>#REF!</v>
      </c>
      <c r="P173" s="1250" t="e">
        <f>VLOOKUP(#REF!,Итоговая!C176:I603,2,FALSE)</f>
        <v>#REF!</v>
      </c>
      <c r="Q173" s="1250" t="e">
        <f>VLOOKUP(#REF!,Итоговая!C176:I603,4,FALSE)</f>
        <v>#REF!</v>
      </c>
      <c r="R173" s="1250" t="e">
        <f>VLOOKUP(#REF!,Итоговая!C176:I603,6,FALSE)</f>
        <v>#REF!</v>
      </c>
      <c r="S173" s="1250"/>
      <c r="T173" s="1251" t="e">
        <f>VLOOKUP(#REF!,Итоговая!AA176:AP603,16,FALSE)</f>
        <v>#REF!</v>
      </c>
    </row>
    <row r="174" spans="1:20" x14ac:dyDescent="0.25">
      <c r="A174" s="1248" t="s">
        <v>1174</v>
      </c>
      <c r="B174" s="1250" t="s">
        <v>20295</v>
      </c>
      <c r="C174" s="1250" t="s">
        <v>20248</v>
      </c>
      <c r="D174" s="1251">
        <v>3.58</v>
      </c>
      <c r="E174" s="1251">
        <v>2.2999999999999998</v>
      </c>
      <c r="F174" s="1251">
        <v>0.22418478260869562</v>
      </c>
      <c r="G174" s="1251">
        <v>0</v>
      </c>
      <c r="H174" s="1251">
        <v>2.075815217391304</v>
      </c>
      <c r="I174" s="1251"/>
      <c r="J174" s="1252" t="s">
        <v>20211</v>
      </c>
      <c r="K174" s="1250" t="s">
        <v>20211</v>
      </c>
      <c r="L174" s="1251">
        <v>56.221509931686597</v>
      </c>
      <c r="M174" s="1251">
        <v>32.748808156639399</v>
      </c>
      <c r="N174" s="1250" t="e">
        <f>VLOOKUP('Интерактивная карта'!#REF!,Итоговая!AA177:AV604,21,FALSE)</f>
        <v>#REF!</v>
      </c>
      <c r="O174" s="1250" t="e">
        <f>VLOOKUP('Интерактивная карта'!#REF!,Итоговая!AA177:AV604,22,FALSE)</f>
        <v>#REF!</v>
      </c>
      <c r="P174" s="1250" t="e">
        <f>VLOOKUP(#REF!,Итоговая!C177:I604,2,FALSE)</f>
        <v>#REF!</v>
      </c>
      <c r="Q174" s="1250" t="e">
        <f>VLOOKUP(#REF!,Итоговая!C177:I604,4,FALSE)</f>
        <v>#REF!</v>
      </c>
      <c r="R174" s="1250" t="e">
        <f>VLOOKUP(#REF!,Итоговая!C177:I604,6,FALSE)</f>
        <v>#REF!</v>
      </c>
      <c r="S174" s="1250"/>
      <c r="T174" s="1251" t="e">
        <f>VLOOKUP(#REF!,Итоговая!AA177:AP604,16,FALSE)</f>
        <v>#REF!</v>
      </c>
    </row>
    <row r="175" spans="1:20" x14ac:dyDescent="0.25">
      <c r="A175" s="1248" t="s">
        <v>1175</v>
      </c>
      <c r="B175" s="1250" t="s">
        <v>20277</v>
      </c>
      <c r="C175" s="1250" t="s">
        <v>20235</v>
      </c>
      <c r="D175" s="1251">
        <v>2.02</v>
      </c>
      <c r="E175" s="1251">
        <v>2.1800000000000002</v>
      </c>
      <c r="F175" s="1251">
        <v>0.20172826086956519</v>
      </c>
      <c r="G175" s="1251">
        <v>0</v>
      </c>
      <c r="H175" s="1251">
        <v>1.978271739130435</v>
      </c>
      <c r="I175" s="1251"/>
      <c r="J175" s="1252" t="s">
        <v>20211</v>
      </c>
      <c r="K175" s="1250" t="s">
        <v>20211</v>
      </c>
      <c r="L175" s="1251">
        <v>56.2802978042156</v>
      </c>
      <c r="M175" s="1251">
        <v>31.6780277611938</v>
      </c>
      <c r="N175" s="1250" t="e">
        <f>VLOOKUP('Интерактивная карта'!#REF!,Итоговая!AA178:AV605,21,FALSE)</f>
        <v>#REF!</v>
      </c>
      <c r="O175" s="1250" t="e">
        <f>VLOOKUP('Интерактивная карта'!#REF!,Итоговая!AA178:AV605,22,FALSE)</f>
        <v>#REF!</v>
      </c>
      <c r="P175" s="1250" t="e">
        <f>VLOOKUP(#REF!,Итоговая!C178:I605,2,FALSE)</f>
        <v>#REF!</v>
      </c>
      <c r="Q175" s="1250" t="e">
        <f>VLOOKUP(#REF!,Итоговая!C178:I605,4,FALSE)</f>
        <v>#REF!</v>
      </c>
      <c r="R175" s="1250" t="e">
        <f>VLOOKUP(#REF!,Итоговая!C178:I605,6,FALSE)</f>
        <v>#REF!</v>
      </c>
      <c r="S175" s="1250"/>
      <c r="T175" s="1251" t="e">
        <f>VLOOKUP(#REF!,Итоговая!AA178:AP605,16,FALSE)</f>
        <v>#REF!</v>
      </c>
    </row>
    <row r="176" spans="1:20" x14ac:dyDescent="0.25">
      <c r="A176" s="1248" t="s">
        <v>1176</v>
      </c>
      <c r="B176" s="1250" t="s">
        <v>20287</v>
      </c>
      <c r="C176" s="1250" t="s">
        <v>20227</v>
      </c>
      <c r="D176" s="1251">
        <v>7.87</v>
      </c>
      <c r="E176" s="1251">
        <v>2.99</v>
      </c>
      <c r="F176" s="1251">
        <v>0.33950217391304349</v>
      </c>
      <c r="G176" s="1251">
        <v>0</v>
      </c>
      <c r="H176" s="1251">
        <v>2.6504978260869567</v>
      </c>
      <c r="I176" s="1251"/>
      <c r="J176" s="1252" t="s">
        <v>20211</v>
      </c>
      <c r="K176" s="1250" t="s">
        <v>20211</v>
      </c>
      <c r="L176" s="1251">
        <v>56.664000059644898</v>
      </c>
      <c r="M176" s="1251">
        <v>32.2818454985253</v>
      </c>
      <c r="N176" s="1250" t="e">
        <f>VLOOKUP('Интерактивная карта'!#REF!,Итоговая!AA179:AV606,21,FALSE)</f>
        <v>#REF!</v>
      </c>
      <c r="O176" s="1250" t="e">
        <f>VLOOKUP('Интерактивная карта'!#REF!,Итоговая!AA179:AV606,22,FALSE)</f>
        <v>#REF!</v>
      </c>
      <c r="P176" s="1250" t="e">
        <f>VLOOKUP(#REF!,Итоговая!C179:I606,2,FALSE)</f>
        <v>#REF!</v>
      </c>
      <c r="Q176" s="1250" t="e">
        <f>VLOOKUP(#REF!,Итоговая!C179:I606,4,FALSE)</f>
        <v>#REF!</v>
      </c>
      <c r="R176" s="1250" t="e">
        <f>VLOOKUP(#REF!,Итоговая!C179:I606,6,FALSE)</f>
        <v>#REF!</v>
      </c>
      <c r="S176" s="1250"/>
      <c r="T176" s="1251" t="e">
        <f>VLOOKUP(#REF!,Итоговая!AA179:AP606,16,FALSE)</f>
        <v>#REF!</v>
      </c>
    </row>
    <row r="177" spans="1:20" x14ac:dyDescent="0.25">
      <c r="A177" s="1248" t="s">
        <v>1177</v>
      </c>
      <c r="B177" s="1250" t="s">
        <v>20289</v>
      </c>
      <c r="C177" s="1250" t="s">
        <v>20249</v>
      </c>
      <c r="D177" s="1251">
        <v>5.37</v>
      </c>
      <c r="E177" s="1251">
        <v>6.93</v>
      </c>
      <c r="F177" s="1251">
        <v>0.23823913043478262</v>
      </c>
      <c r="G177" s="1251">
        <v>0</v>
      </c>
      <c r="H177" s="1251">
        <v>6.6917608695652175</v>
      </c>
      <c r="I177" s="1251"/>
      <c r="J177" s="1252" t="s">
        <v>20211</v>
      </c>
      <c r="K177" s="1250" t="s">
        <v>20211</v>
      </c>
      <c r="L177" s="1251">
        <v>55.866963548747997</v>
      </c>
      <c r="M177" s="1251">
        <v>32.951118740095502</v>
      </c>
      <c r="N177" s="1250" t="e">
        <f>VLOOKUP('Интерактивная карта'!#REF!,Итоговая!AA180:AV607,21,FALSE)</f>
        <v>#REF!</v>
      </c>
      <c r="O177" s="1250" t="e">
        <f>VLOOKUP('Интерактивная карта'!#REF!,Итоговая!AA180:AV607,22,FALSE)</f>
        <v>#REF!</v>
      </c>
      <c r="P177" s="1250" t="e">
        <f>VLOOKUP(#REF!,Итоговая!C180:I607,2,FALSE)</f>
        <v>#REF!</v>
      </c>
      <c r="Q177" s="1250" t="e">
        <f>VLOOKUP(#REF!,Итоговая!C180:I607,4,FALSE)</f>
        <v>#REF!</v>
      </c>
      <c r="R177" s="1250" t="e">
        <f>VLOOKUP(#REF!,Итоговая!C180:I607,6,FALSE)</f>
        <v>#REF!</v>
      </c>
      <c r="S177" s="1250"/>
      <c r="T177" s="1251" t="e">
        <f>VLOOKUP(#REF!,Итоговая!AA180:AP607,16,FALSE)</f>
        <v>#REF!</v>
      </c>
    </row>
    <row r="178" spans="1:20" x14ac:dyDescent="0.25">
      <c r="A178" s="1248" t="s">
        <v>1178</v>
      </c>
      <c r="B178" s="1250" t="s">
        <v>20297</v>
      </c>
      <c r="C178" s="1250" t="s">
        <v>20227</v>
      </c>
      <c r="D178" s="1251">
        <v>8.51</v>
      </c>
      <c r="E178" s="1251">
        <v>4.34</v>
      </c>
      <c r="F178" s="1251">
        <v>0.77968478260869567</v>
      </c>
      <c r="G178" s="1251">
        <v>0</v>
      </c>
      <c r="H178" s="1251">
        <v>3.5603152173913042</v>
      </c>
      <c r="I178" s="1251"/>
      <c r="J178" s="1252" t="s">
        <v>20211</v>
      </c>
      <c r="K178" s="1250" t="s">
        <v>20211</v>
      </c>
      <c r="L178" s="1251">
        <v>56.251399351168097</v>
      </c>
      <c r="M178" s="1251">
        <v>32.0903693373739</v>
      </c>
      <c r="N178" s="1250" t="e">
        <f>VLOOKUP('Интерактивная карта'!#REF!,Итоговая!AA181:AV608,21,FALSE)</f>
        <v>#REF!</v>
      </c>
      <c r="O178" s="1250" t="e">
        <f>VLOOKUP('Интерактивная карта'!#REF!,Итоговая!AA181:AV608,22,FALSE)</f>
        <v>#REF!</v>
      </c>
      <c r="P178" s="1250" t="e">
        <f>VLOOKUP(#REF!,Итоговая!C181:I608,2,FALSE)</f>
        <v>#REF!</v>
      </c>
      <c r="Q178" s="1250" t="e">
        <f>VLOOKUP(#REF!,Итоговая!C181:I608,4,FALSE)</f>
        <v>#REF!</v>
      </c>
      <c r="R178" s="1250" t="e">
        <f>VLOOKUP(#REF!,Итоговая!C181:I608,6,FALSE)</f>
        <v>#REF!</v>
      </c>
      <c r="S178" s="1250"/>
      <c r="T178" s="1251" t="e">
        <f>VLOOKUP(#REF!,Итоговая!AA181:AP608,16,FALSE)</f>
        <v>#REF!</v>
      </c>
    </row>
    <row r="179" spans="1:20" x14ac:dyDescent="0.25">
      <c r="A179" s="1248" t="s">
        <v>1179</v>
      </c>
      <c r="B179" s="1250" t="s">
        <v>20324</v>
      </c>
      <c r="C179" s="1250" t="s">
        <v>20226</v>
      </c>
      <c r="D179" s="1251">
        <v>17.14</v>
      </c>
      <c r="E179" s="1251">
        <v>12.23</v>
      </c>
      <c r="F179" s="1251">
        <v>0.92344565217391295</v>
      </c>
      <c r="G179" s="1251">
        <v>0</v>
      </c>
      <c r="H179" s="1251">
        <v>11.306554347826088</v>
      </c>
      <c r="I179" s="1251"/>
      <c r="J179" s="1252" t="s">
        <v>20211</v>
      </c>
      <c r="K179" s="1250" t="s">
        <v>20211</v>
      </c>
      <c r="L179" s="1251">
        <v>56.493515565355203</v>
      </c>
      <c r="M179" s="1251">
        <v>31.640055859206502</v>
      </c>
      <c r="N179" s="1250" t="e">
        <f>VLOOKUP('Интерактивная карта'!#REF!,Итоговая!AA182:AV609,21,FALSE)</f>
        <v>#REF!</v>
      </c>
      <c r="O179" s="1250" t="e">
        <f>VLOOKUP('Интерактивная карта'!#REF!,Итоговая!AA182:AV609,22,FALSE)</f>
        <v>#REF!</v>
      </c>
      <c r="P179" s="1250" t="e">
        <f>VLOOKUP(#REF!,Итоговая!C182:I609,2,FALSE)</f>
        <v>#REF!</v>
      </c>
      <c r="Q179" s="1250" t="e">
        <f>VLOOKUP(#REF!,Итоговая!C182:I609,4,FALSE)</f>
        <v>#REF!</v>
      </c>
      <c r="R179" s="1250" t="e">
        <f>VLOOKUP(#REF!,Итоговая!C182:I609,6,FALSE)</f>
        <v>#REF!</v>
      </c>
      <c r="S179" s="1250"/>
      <c r="T179" s="1251" t="e">
        <f>VLOOKUP(#REF!,Итоговая!AA182:AP609,16,FALSE)</f>
        <v>#REF!</v>
      </c>
    </row>
    <row r="180" spans="1:20" x14ac:dyDescent="0.25">
      <c r="A180" s="1248" t="s">
        <v>85</v>
      </c>
      <c r="B180" s="1250" t="s">
        <v>20270</v>
      </c>
      <c r="C180" s="1250" t="s">
        <v>20212</v>
      </c>
      <c r="D180" s="1251">
        <v>0.3572992500275714</v>
      </c>
      <c r="E180" s="1251">
        <v>0</v>
      </c>
      <c r="F180" s="1251">
        <v>3.8152173913043479E-2</v>
      </c>
      <c r="G180" s="1251">
        <v>0</v>
      </c>
      <c r="H180" s="1251">
        <v>-3.4336956521739133E-2</v>
      </c>
      <c r="I180" s="1251"/>
      <c r="J180" s="1252" t="s">
        <v>20211</v>
      </c>
      <c r="K180" s="1250" t="s">
        <v>2217</v>
      </c>
      <c r="L180" s="1251">
        <v>56.373681951001402</v>
      </c>
      <c r="M180" s="1251">
        <v>34.036245105198198</v>
      </c>
      <c r="N180" s="1250" t="e">
        <f>VLOOKUP('Интерактивная карта'!#REF!,Итоговая!AA183:AV610,21,FALSE)</f>
        <v>#REF!</v>
      </c>
      <c r="O180" s="1250" t="e">
        <f>VLOOKUP('Интерактивная карта'!#REF!,Итоговая!AA183:AV610,22,FALSE)</f>
        <v>#REF!</v>
      </c>
      <c r="P180" s="1250" t="e">
        <f>VLOOKUP(#REF!,Итоговая!C183:I610,2,FALSE)</f>
        <v>#REF!</v>
      </c>
      <c r="Q180" s="1250" t="e">
        <f>VLOOKUP(#REF!,Итоговая!C183:I610,4,FALSE)</f>
        <v>#REF!</v>
      </c>
      <c r="R180" s="1250" t="e">
        <f>VLOOKUP(#REF!,Итоговая!C183:I610,6,FALSE)</f>
        <v>#REF!</v>
      </c>
      <c r="S180" s="1250"/>
      <c r="T180" s="1251" t="e">
        <f>VLOOKUP(#REF!,Итоговая!AA183:AP610,16,FALSE)</f>
        <v>#REF!</v>
      </c>
    </row>
    <row r="181" spans="1:20" x14ac:dyDescent="0.25">
      <c r="A181" s="1248" t="s">
        <v>86</v>
      </c>
      <c r="B181" s="1250" t="s">
        <v>20283</v>
      </c>
      <c r="C181" s="1250" t="s">
        <v>20212</v>
      </c>
      <c r="D181" s="1251">
        <v>0.48275720108591197</v>
      </c>
      <c r="E181" s="1251">
        <v>0</v>
      </c>
      <c r="F181" s="1251">
        <v>0</v>
      </c>
      <c r="G181" s="1251">
        <v>0</v>
      </c>
      <c r="H181" s="1251">
        <v>0</v>
      </c>
      <c r="I181" s="1251"/>
      <c r="J181" s="1252" t="s">
        <v>20211</v>
      </c>
      <c r="K181" s="1250" t="s">
        <v>20211</v>
      </c>
      <c r="L181" s="1251">
        <v>56.0863419334366</v>
      </c>
      <c r="M181" s="1251">
        <v>34.033279301544297</v>
      </c>
      <c r="N181" s="1250" t="e">
        <f>VLOOKUP('Интерактивная карта'!#REF!,Итоговая!AA184:AV611,21,FALSE)</f>
        <v>#REF!</v>
      </c>
      <c r="O181" s="1250" t="e">
        <f>VLOOKUP('Интерактивная карта'!#REF!,Итоговая!AA184:AV611,22,FALSE)</f>
        <v>#REF!</v>
      </c>
      <c r="P181" s="1250" t="e">
        <f>VLOOKUP(#REF!,Итоговая!C184:I611,2,FALSE)</f>
        <v>#REF!</v>
      </c>
      <c r="Q181" s="1250" t="e">
        <f>VLOOKUP(#REF!,Итоговая!C184:I611,4,FALSE)</f>
        <v>#REF!</v>
      </c>
      <c r="R181" s="1250" t="e">
        <f>VLOOKUP(#REF!,Итоговая!C184:I611,6,FALSE)</f>
        <v>#REF!</v>
      </c>
      <c r="S181" s="1250"/>
      <c r="T181" s="1251" t="e">
        <f>VLOOKUP(#REF!,Итоговая!AA184:AP611,16,FALSE)</f>
        <v>#REF!</v>
      </c>
    </row>
    <row r="182" spans="1:20" x14ac:dyDescent="0.25">
      <c r="A182" s="1248" t="s">
        <v>84</v>
      </c>
      <c r="B182" s="1250" t="s">
        <v>20270</v>
      </c>
      <c r="C182" s="1250" t="s">
        <v>20210</v>
      </c>
      <c r="D182" s="1251">
        <v>0.61106752491014038</v>
      </c>
      <c r="E182" s="1251">
        <v>-0.61106752491014038</v>
      </c>
      <c r="F182" s="1251">
        <v>7.5130434782608696E-2</v>
      </c>
      <c r="G182" s="1251">
        <v>0</v>
      </c>
      <c r="H182" s="1251">
        <v>-0.6861979596927491</v>
      </c>
      <c r="I182" s="1251"/>
      <c r="J182" s="1252" t="s">
        <v>20211</v>
      </c>
      <c r="K182" s="1250" t="s">
        <v>2217</v>
      </c>
      <c r="L182" s="1251">
        <v>56.012565407189101</v>
      </c>
      <c r="M182" s="1251">
        <v>34.547977153853402</v>
      </c>
      <c r="N182" s="1250" t="e">
        <f>VLOOKUP('Интерактивная карта'!#REF!,Итоговая!AA185:AV612,21,FALSE)</f>
        <v>#REF!</v>
      </c>
      <c r="O182" s="1250" t="e">
        <f>VLOOKUP('Интерактивная карта'!#REF!,Итоговая!AA185:AV612,22,FALSE)</f>
        <v>#REF!</v>
      </c>
      <c r="P182" s="1250" t="e">
        <f>VLOOKUP(#REF!,Итоговая!C185:I612,2,FALSE)</f>
        <v>#REF!</v>
      </c>
      <c r="Q182" s="1250" t="e">
        <f>VLOOKUP(#REF!,Итоговая!C185:I612,4,FALSE)</f>
        <v>#REF!</v>
      </c>
      <c r="R182" s="1250" t="e">
        <f>VLOOKUP(#REF!,Итоговая!C185:I612,6,FALSE)</f>
        <v>#REF!</v>
      </c>
      <c r="S182" s="1250"/>
      <c r="T182" s="1251" t="e">
        <f>VLOOKUP(#REF!,Итоговая!AA185:AP612,16,FALSE)</f>
        <v>#REF!</v>
      </c>
    </row>
    <row r="183" spans="1:20" x14ac:dyDescent="0.25">
      <c r="A183" s="1248" t="s">
        <v>88</v>
      </c>
      <c r="B183" s="1250" t="s">
        <v>20293</v>
      </c>
      <c r="C183" s="1250" t="s">
        <v>20212</v>
      </c>
      <c r="D183" s="1251">
        <v>1.6311761685355861</v>
      </c>
      <c r="E183" s="1251">
        <v>-1.6311761685355861</v>
      </c>
      <c r="F183" s="1251">
        <v>1.0586739130434781</v>
      </c>
      <c r="G183" s="1251">
        <v>0</v>
      </c>
      <c r="H183" s="1251">
        <v>-2.4208650734211581</v>
      </c>
      <c r="I183" s="1251"/>
      <c r="J183" s="1252" t="s">
        <v>20211</v>
      </c>
      <c r="K183" s="1250" t="s">
        <v>2217</v>
      </c>
      <c r="L183" s="1251">
        <v>56.092405546294501</v>
      </c>
      <c r="M183" s="1251">
        <v>35.237888736973503</v>
      </c>
      <c r="N183" s="1250" t="e">
        <f>VLOOKUP('Интерактивная карта'!#REF!,Итоговая!AA186:AV613,21,FALSE)</f>
        <v>#REF!</v>
      </c>
      <c r="O183" s="1250" t="e">
        <f>VLOOKUP('Интерактивная карта'!#REF!,Итоговая!AA186:AV613,22,FALSE)</f>
        <v>#REF!</v>
      </c>
      <c r="P183" s="1250" t="e">
        <f>VLOOKUP(#REF!,Итоговая!C186:I613,2,FALSE)</f>
        <v>#REF!</v>
      </c>
      <c r="Q183" s="1250" t="e">
        <f>VLOOKUP(#REF!,Итоговая!C186:I613,4,FALSE)</f>
        <v>#REF!</v>
      </c>
      <c r="R183" s="1250" t="e">
        <f>VLOOKUP(#REF!,Итоговая!C186:I613,6,FALSE)</f>
        <v>#REF!</v>
      </c>
      <c r="S183" s="1250"/>
      <c r="T183" s="1251" t="e">
        <f>VLOOKUP(#REF!,Итоговая!AA186:AP613,16,FALSE)</f>
        <v>#REF!</v>
      </c>
    </row>
    <row r="184" spans="1:20" x14ac:dyDescent="0.25">
      <c r="A184" s="1248" t="s">
        <v>87</v>
      </c>
      <c r="B184" s="1250" t="s">
        <v>20271</v>
      </c>
      <c r="C184" s="1250" t="s">
        <v>20212</v>
      </c>
      <c r="D184" s="1251">
        <v>0.75614410055272208</v>
      </c>
      <c r="E184" s="1251">
        <v>-0.75614410055272208</v>
      </c>
      <c r="F184" s="1251">
        <v>0.12678260869565217</v>
      </c>
      <c r="G184" s="1251">
        <v>0</v>
      </c>
      <c r="H184" s="1251">
        <v>-0.88292670924837424</v>
      </c>
      <c r="I184" s="1251"/>
      <c r="J184" s="1252" t="s">
        <v>20211</v>
      </c>
      <c r="K184" s="1250" t="s">
        <v>2217</v>
      </c>
      <c r="L184" s="1251">
        <v>56.280328609213797</v>
      </c>
      <c r="M184" s="1251">
        <v>35.081330928058399</v>
      </c>
      <c r="N184" s="1250" t="e">
        <f>VLOOKUP('Интерактивная карта'!#REF!,Итоговая!AA187:AV614,21,FALSE)</f>
        <v>#REF!</v>
      </c>
      <c r="O184" s="1250" t="e">
        <f>VLOOKUP('Интерактивная карта'!#REF!,Итоговая!AA187:AV614,22,FALSE)</f>
        <v>#REF!</v>
      </c>
      <c r="P184" s="1250" t="e">
        <f>VLOOKUP(#REF!,Итоговая!C187:I614,2,FALSE)</f>
        <v>#REF!</v>
      </c>
      <c r="Q184" s="1250" t="e">
        <f>VLOOKUP(#REF!,Итоговая!C187:I614,4,FALSE)</f>
        <v>#REF!</v>
      </c>
      <c r="R184" s="1250" t="e">
        <f>VLOOKUP(#REF!,Итоговая!C187:I614,6,FALSE)</f>
        <v>#REF!</v>
      </c>
      <c r="S184" s="1250"/>
      <c r="T184" s="1251" t="e">
        <f>VLOOKUP(#REF!,Итоговая!AA187:AP614,16,FALSE)</f>
        <v>#REF!</v>
      </c>
    </row>
    <row r="185" spans="1:20" x14ac:dyDescent="0.25">
      <c r="A185" s="1248" t="s">
        <v>89</v>
      </c>
      <c r="B185" s="1250" t="s">
        <v>20278</v>
      </c>
      <c r="C185" s="1250" t="s">
        <v>20212</v>
      </c>
      <c r="D185" s="1251">
        <v>0.21166155740193637</v>
      </c>
      <c r="E185" s="1251">
        <v>-9.4488320269323925E-2</v>
      </c>
      <c r="F185" s="1251">
        <v>1.4673913043478259E-2</v>
      </c>
      <c r="G185" s="1251">
        <v>0</v>
      </c>
      <c r="H185" s="1251">
        <v>-0.10916223331280218</v>
      </c>
      <c r="I185" s="1251"/>
      <c r="J185" s="1252" t="s">
        <v>20211</v>
      </c>
      <c r="K185" s="1250" t="s">
        <v>2217</v>
      </c>
      <c r="L185" s="1251">
        <v>56.100005884001497</v>
      </c>
      <c r="M185" s="1251">
        <v>33.338437811307998</v>
      </c>
      <c r="N185" s="1250" t="e">
        <f>VLOOKUP('Интерактивная карта'!#REF!,Итоговая!AA188:AV615,21,FALSE)</f>
        <v>#REF!</v>
      </c>
      <c r="O185" s="1250" t="e">
        <f>VLOOKUP('Интерактивная карта'!#REF!,Итоговая!AA188:AV615,22,FALSE)</f>
        <v>#REF!</v>
      </c>
      <c r="P185" s="1250" t="e">
        <f>VLOOKUP(#REF!,Итоговая!C188:I615,2,FALSE)</f>
        <v>#REF!</v>
      </c>
      <c r="Q185" s="1250" t="e">
        <f>VLOOKUP(#REF!,Итоговая!C188:I615,4,FALSE)</f>
        <v>#REF!</v>
      </c>
      <c r="R185" s="1250" t="e">
        <f>VLOOKUP(#REF!,Итоговая!C188:I615,6,FALSE)</f>
        <v>#REF!</v>
      </c>
      <c r="S185" s="1250"/>
      <c r="T185" s="1251" t="e">
        <f>VLOOKUP(#REF!,Итоговая!AA188:AP615,16,FALSE)</f>
        <v>#REF!</v>
      </c>
    </row>
    <row r="186" spans="1:20" x14ac:dyDescent="0.25">
      <c r="A186" s="1248" t="s">
        <v>90</v>
      </c>
      <c r="B186" s="1250" t="s">
        <v>20277</v>
      </c>
      <c r="C186" s="1250" t="s">
        <v>20212</v>
      </c>
      <c r="D186" s="1251">
        <v>0.57640052799702779</v>
      </c>
      <c r="E186" s="1251">
        <v>-0.20582825771770807</v>
      </c>
      <c r="F186" s="1251">
        <v>0</v>
      </c>
      <c r="G186" s="1251">
        <v>0</v>
      </c>
      <c r="H186" s="1251">
        <v>-0.20582825771770807</v>
      </c>
      <c r="I186" s="1251"/>
      <c r="J186" s="1252" t="s">
        <v>20211</v>
      </c>
      <c r="K186" s="1250" t="s">
        <v>2217</v>
      </c>
      <c r="L186" s="1251">
        <v>56.406923791126303</v>
      </c>
      <c r="M186" s="1251">
        <v>33.605148246052103</v>
      </c>
      <c r="N186" s="1250" t="e">
        <f>VLOOKUP('Интерактивная карта'!#REF!,Итоговая!AA189:AV616,21,FALSE)</f>
        <v>#REF!</v>
      </c>
      <c r="O186" s="1250" t="e">
        <f>VLOOKUP('Интерактивная карта'!#REF!,Итоговая!AA189:AV616,22,FALSE)</f>
        <v>#REF!</v>
      </c>
      <c r="P186" s="1250" t="e">
        <f>VLOOKUP(#REF!,Итоговая!C189:I616,2,FALSE)</f>
        <v>#REF!</v>
      </c>
      <c r="Q186" s="1250" t="e">
        <f>VLOOKUP(#REF!,Итоговая!C189:I616,4,FALSE)</f>
        <v>#REF!</v>
      </c>
      <c r="R186" s="1250" t="e">
        <f>VLOOKUP(#REF!,Итоговая!C189:I616,6,FALSE)</f>
        <v>#REF!</v>
      </c>
      <c r="S186" s="1250"/>
      <c r="T186" s="1251" t="e">
        <f>VLOOKUP(#REF!,Итоговая!AA189:AP616,16,FALSE)</f>
        <v>#REF!</v>
      </c>
    </row>
    <row r="187" spans="1:20" x14ac:dyDescent="0.25">
      <c r="A187" s="1248" t="s">
        <v>91</v>
      </c>
      <c r="B187" s="1250" t="s">
        <v>20272</v>
      </c>
      <c r="C187" s="1250" t="s">
        <v>20212</v>
      </c>
      <c r="D187" s="1251">
        <v>0.13527316807143083</v>
      </c>
      <c r="E187" s="1251">
        <v>0</v>
      </c>
      <c r="F187" s="1251">
        <v>0</v>
      </c>
      <c r="G187" s="1251">
        <v>0</v>
      </c>
      <c r="H187" s="1251">
        <v>0</v>
      </c>
      <c r="I187" s="1251"/>
      <c r="J187" s="1252" t="s">
        <v>20211</v>
      </c>
      <c r="K187" s="1250" t="s">
        <v>20211</v>
      </c>
      <c r="L187" s="1251">
        <v>56.341619562858902</v>
      </c>
      <c r="M187" s="1251">
        <v>33.490870341268398</v>
      </c>
      <c r="N187" s="1250" t="e">
        <f>VLOOKUP('Интерактивная карта'!#REF!,Итоговая!AA190:AV617,21,FALSE)</f>
        <v>#REF!</v>
      </c>
      <c r="O187" s="1250" t="e">
        <f>VLOOKUP('Интерактивная карта'!#REF!,Итоговая!AA190:AV617,22,FALSE)</f>
        <v>#REF!</v>
      </c>
      <c r="P187" s="1250" t="e">
        <f>VLOOKUP(#REF!,Итоговая!C190:I617,2,FALSE)</f>
        <v>#REF!</v>
      </c>
      <c r="Q187" s="1250" t="e">
        <f>VLOOKUP(#REF!,Итоговая!C190:I617,4,FALSE)</f>
        <v>#REF!</v>
      </c>
      <c r="R187" s="1250" t="e">
        <f>VLOOKUP(#REF!,Итоговая!C190:I617,6,FALSE)</f>
        <v>#REF!</v>
      </c>
      <c r="S187" s="1250"/>
      <c r="T187" s="1251" t="e">
        <f>VLOOKUP(#REF!,Итоговая!AA190:AP617,16,FALSE)</f>
        <v>#REF!</v>
      </c>
    </row>
    <row r="188" spans="1:20" x14ac:dyDescent="0.25">
      <c r="A188" s="1248" t="s">
        <v>92</v>
      </c>
      <c r="B188" s="1250" t="s">
        <v>20302</v>
      </c>
      <c r="C188" s="1250" t="s">
        <v>2043</v>
      </c>
      <c r="D188" s="1251">
        <v>0.17095341470729589</v>
      </c>
      <c r="E188" s="1251">
        <v>0</v>
      </c>
      <c r="F188" s="1251">
        <v>0</v>
      </c>
      <c r="G188" s="1251">
        <v>0</v>
      </c>
      <c r="H188" s="1251">
        <v>0</v>
      </c>
      <c r="I188" s="1251"/>
      <c r="J188" s="1252" t="s">
        <v>20211</v>
      </c>
      <c r="K188" s="1250" t="s">
        <v>20211</v>
      </c>
      <c r="L188" s="1251">
        <v>56.413413259235703</v>
      </c>
      <c r="M188" s="1251">
        <v>33.307302681525599</v>
      </c>
      <c r="N188" s="1250" t="e">
        <f>VLOOKUP('Интерактивная карта'!#REF!,Итоговая!AA191:AV618,21,FALSE)</f>
        <v>#REF!</v>
      </c>
      <c r="O188" s="1250" t="e">
        <f>VLOOKUP('Интерактивная карта'!#REF!,Итоговая!AA191:AV618,22,FALSE)</f>
        <v>#REF!</v>
      </c>
      <c r="P188" s="1250" t="e">
        <f>VLOOKUP(#REF!,Итоговая!C191:I618,2,FALSE)</f>
        <v>#REF!</v>
      </c>
      <c r="Q188" s="1250" t="e">
        <f>VLOOKUP(#REF!,Итоговая!C191:I618,4,FALSE)</f>
        <v>#REF!</v>
      </c>
      <c r="R188" s="1250" t="e">
        <f>VLOOKUP(#REF!,Итоговая!C191:I618,6,FALSE)</f>
        <v>#REF!</v>
      </c>
      <c r="S188" s="1250"/>
      <c r="T188" s="1251" t="e">
        <f>VLOOKUP(#REF!,Итоговая!AA191:AP618,16,FALSE)</f>
        <v>#REF!</v>
      </c>
    </row>
    <row r="189" spans="1:20" x14ac:dyDescent="0.25">
      <c r="A189" s="1248" t="s">
        <v>93</v>
      </c>
      <c r="B189" s="1250" t="s">
        <v>20283</v>
      </c>
      <c r="C189" s="1250" t="s">
        <v>20212</v>
      </c>
      <c r="D189" s="1251">
        <v>0.540555736534169</v>
      </c>
      <c r="E189" s="1251">
        <v>-0.13775000072600396</v>
      </c>
      <c r="F189" s="1251">
        <v>0.2760652173913043</v>
      </c>
      <c r="G189" s="1251">
        <v>0</v>
      </c>
      <c r="H189" s="1251">
        <v>-0.41381521811730826</v>
      </c>
      <c r="I189" s="1251"/>
      <c r="J189" s="1252" t="s">
        <v>20211</v>
      </c>
      <c r="K189" s="1250" t="s">
        <v>2217</v>
      </c>
      <c r="L189" s="1251">
        <v>56.383859066518198</v>
      </c>
      <c r="M189" s="1251">
        <v>34.902575835611401</v>
      </c>
      <c r="N189" s="1250" t="e">
        <f>VLOOKUP('Интерактивная карта'!#REF!,Итоговая!AA192:AV619,21,FALSE)</f>
        <v>#REF!</v>
      </c>
      <c r="O189" s="1250" t="e">
        <f>VLOOKUP('Интерактивная карта'!#REF!,Итоговая!AA192:AV619,22,FALSE)</f>
        <v>#REF!</v>
      </c>
      <c r="P189" s="1250" t="e">
        <f>VLOOKUP(#REF!,Итоговая!C192:I619,2,FALSE)</f>
        <v>#REF!</v>
      </c>
      <c r="Q189" s="1250" t="e">
        <f>VLOOKUP(#REF!,Итоговая!C192:I619,4,FALSE)</f>
        <v>#REF!</v>
      </c>
      <c r="R189" s="1250" t="e">
        <f>VLOOKUP(#REF!,Итоговая!C192:I619,6,FALSE)</f>
        <v>#REF!</v>
      </c>
      <c r="S189" s="1250"/>
      <c r="T189" s="1251" t="e">
        <f>VLOOKUP(#REF!,Итоговая!AA192:AP619,16,FALSE)</f>
        <v>#REF!</v>
      </c>
    </row>
    <row r="190" spans="1:20" x14ac:dyDescent="0.25">
      <c r="A190" s="1248" t="s">
        <v>94</v>
      </c>
      <c r="B190" s="1250" t="s">
        <v>20271</v>
      </c>
      <c r="C190" s="1250" t="s">
        <v>20210</v>
      </c>
      <c r="D190" s="1251">
        <v>0.3797348190541262</v>
      </c>
      <c r="E190" s="1251">
        <v>-0.3797348190541262</v>
      </c>
      <c r="F190" s="1251">
        <v>8.8043478260869563E-3</v>
      </c>
      <c r="G190" s="1251">
        <v>0</v>
      </c>
      <c r="H190" s="1251">
        <v>-0.38853916688021317</v>
      </c>
      <c r="I190" s="1251"/>
      <c r="J190" s="1252" t="s">
        <v>20211</v>
      </c>
      <c r="K190" s="1250" t="s">
        <v>2217</v>
      </c>
      <c r="L190" s="1251">
        <v>56.674827484590097</v>
      </c>
      <c r="M190" s="1251">
        <v>34.713152769420098</v>
      </c>
      <c r="N190" s="1250" t="e">
        <f>VLOOKUP('Интерактивная карта'!#REF!,Итоговая!AA193:AV620,21,FALSE)</f>
        <v>#REF!</v>
      </c>
      <c r="O190" s="1250" t="e">
        <f>VLOOKUP('Интерактивная карта'!#REF!,Итоговая!AA193:AV620,22,FALSE)</f>
        <v>#REF!</v>
      </c>
      <c r="P190" s="1250" t="e">
        <f>VLOOKUP(#REF!,Итоговая!C193:I620,2,FALSE)</f>
        <v>#REF!</v>
      </c>
      <c r="Q190" s="1250" t="e">
        <f>VLOOKUP(#REF!,Итоговая!C193:I620,4,FALSE)</f>
        <v>#REF!</v>
      </c>
      <c r="R190" s="1250" t="e">
        <f>VLOOKUP(#REF!,Итоговая!C193:I620,6,FALSE)</f>
        <v>#REF!</v>
      </c>
      <c r="S190" s="1250"/>
      <c r="T190" s="1251" t="e">
        <f>VLOOKUP(#REF!,Итоговая!AA193:AP620,16,FALSE)</f>
        <v>#REF!</v>
      </c>
    </row>
    <row r="191" spans="1:20" x14ac:dyDescent="0.25">
      <c r="A191" s="1248" t="s">
        <v>95</v>
      </c>
      <c r="B191" s="1250" t="s">
        <v>20276</v>
      </c>
      <c r="C191" s="1250" t="s">
        <v>20227</v>
      </c>
      <c r="D191" s="1251">
        <v>10.85</v>
      </c>
      <c r="E191" s="1251">
        <v>1.3467148000000009</v>
      </c>
      <c r="F191" s="1251">
        <v>1.5312391304347825</v>
      </c>
      <c r="G191" s="1251">
        <v>0</v>
      </c>
      <c r="H191" s="1251">
        <v>-0.18452433043478167</v>
      </c>
      <c r="I191" s="1251"/>
      <c r="J191" s="1252" t="s">
        <v>20211</v>
      </c>
      <c r="K191" s="1250" t="s">
        <v>2217</v>
      </c>
      <c r="L191" s="1251">
        <v>56.266524758189703</v>
      </c>
      <c r="M191" s="1251">
        <v>34.270968538802499</v>
      </c>
      <c r="N191" s="1250" t="e">
        <f>VLOOKUP('Интерактивная карта'!#REF!,Итоговая!AA194:AV621,21,FALSE)</f>
        <v>#REF!</v>
      </c>
      <c r="O191" s="1250" t="e">
        <f>VLOOKUP('Интерактивная карта'!#REF!,Итоговая!AA194:AV621,22,FALSE)</f>
        <v>#REF!</v>
      </c>
      <c r="P191" s="1250" t="e">
        <f>VLOOKUP(#REF!,Итоговая!C194:I621,2,FALSE)</f>
        <v>#REF!</v>
      </c>
      <c r="Q191" s="1250" t="e">
        <f>VLOOKUP(#REF!,Итоговая!C194:I621,4,FALSE)</f>
        <v>#REF!</v>
      </c>
      <c r="R191" s="1250" t="e">
        <f>VLOOKUP(#REF!,Итоговая!C194:I621,6,FALSE)</f>
        <v>#REF!</v>
      </c>
      <c r="S191" s="1250"/>
      <c r="T191" s="1251" t="e">
        <f>VLOOKUP(#REF!,Итоговая!AA194:AP621,16,FALSE)</f>
        <v>#REF!</v>
      </c>
    </row>
    <row r="192" spans="1:20" x14ac:dyDescent="0.25">
      <c r="A192" s="1248" t="s">
        <v>96</v>
      </c>
      <c r="B192" s="1250" t="s">
        <v>20299</v>
      </c>
      <c r="C192" s="1250" t="s">
        <v>20222</v>
      </c>
      <c r="D192" s="1251">
        <v>0.35</v>
      </c>
      <c r="E192" s="1251">
        <v>2.2749999999999999</v>
      </c>
      <c r="F192" s="1251">
        <v>3.0521739130434784E-2</v>
      </c>
      <c r="G192" s="1251">
        <v>0</v>
      </c>
      <c r="H192" s="1251">
        <v>2.244478260869565</v>
      </c>
      <c r="I192" s="1251"/>
      <c r="J192" s="1252" t="s">
        <v>20211</v>
      </c>
      <c r="K192" s="1250" t="s">
        <v>20211</v>
      </c>
      <c r="L192" s="1251">
        <v>56.0238544268759</v>
      </c>
      <c r="M192" s="1251">
        <v>34.311537677285699</v>
      </c>
      <c r="N192" s="1250" t="e">
        <f>VLOOKUP('Интерактивная карта'!#REF!,Итоговая!AA195:AV622,21,FALSE)</f>
        <v>#REF!</v>
      </c>
      <c r="O192" s="1250" t="e">
        <f>VLOOKUP('Интерактивная карта'!#REF!,Итоговая!AA195:AV622,22,FALSE)</f>
        <v>#REF!</v>
      </c>
      <c r="P192" s="1250" t="e">
        <f>VLOOKUP(#REF!,Итоговая!C195:I622,2,FALSE)</f>
        <v>#REF!</v>
      </c>
      <c r="Q192" s="1250" t="e">
        <f>VLOOKUP(#REF!,Итоговая!C195:I622,4,FALSE)</f>
        <v>#REF!</v>
      </c>
      <c r="R192" s="1250" t="e">
        <f>VLOOKUP(#REF!,Итоговая!C195:I622,6,FALSE)</f>
        <v>#REF!</v>
      </c>
      <c r="S192" s="1250"/>
      <c r="T192" s="1251" t="e">
        <f>VLOOKUP(#REF!,Итоговая!AA195:AP622,16,FALSE)</f>
        <v>#REF!</v>
      </c>
    </row>
    <row r="193" spans="1:20" x14ac:dyDescent="0.25">
      <c r="A193" s="1248" t="s">
        <v>97</v>
      </c>
      <c r="B193" s="1250" t="s">
        <v>20295</v>
      </c>
      <c r="C193" s="1250" t="s">
        <v>20250</v>
      </c>
      <c r="D193" s="1251">
        <v>1.19</v>
      </c>
      <c r="E193" s="1251">
        <v>1.4350000000000001</v>
      </c>
      <c r="F193" s="1251">
        <v>0.33652173913043482</v>
      </c>
      <c r="G193" s="1251">
        <v>1.1000000000000001</v>
      </c>
      <c r="H193" s="1251">
        <v>1.0984782608695651</v>
      </c>
      <c r="I193" s="1251"/>
      <c r="J193" s="1252" t="s">
        <v>20211</v>
      </c>
      <c r="K193" s="1250" t="s">
        <v>20211</v>
      </c>
      <c r="L193" s="1251">
        <v>56.465882846709498</v>
      </c>
      <c r="M193" s="1251">
        <v>34.035018695647601</v>
      </c>
      <c r="N193" s="1250" t="e">
        <f>VLOOKUP('Интерактивная карта'!#REF!,Итоговая!AA196:AV623,21,FALSE)</f>
        <v>#REF!</v>
      </c>
      <c r="O193" s="1250" t="e">
        <f>VLOOKUP('Интерактивная карта'!#REF!,Итоговая!AA196:AV623,22,FALSE)</f>
        <v>#REF!</v>
      </c>
      <c r="P193" s="1250" t="e">
        <f>VLOOKUP(#REF!,Итоговая!C196:I623,2,FALSE)</f>
        <v>#REF!</v>
      </c>
      <c r="Q193" s="1250" t="e">
        <f>VLOOKUP(#REF!,Итоговая!C196:I623,4,FALSE)</f>
        <v>#REF!</v>
      </c>
      <c r="R193" s="1250" t="e">
        <f>VLOOKUP(#REF!,Итоговая!C196:I623,6,FALSE)</f>
        <v>#REF!</v>
      </c>
      <c r="S193" s="1250"/>
      <c r="T193" s="1251" t="e">
        <f>VLOOKUP(#REF!,Итоговая!AA196:AP623,16,FALSE)</f>
        <v>#REF!</v>
      </c>
    </row>
    <row r="194" spans="1:20" x14ac:dyDescent="0.25">
      <c r="A194" s="1248" t="s">
        <v>98</v>
      </c>
      <c r="B194" s="1250" t="s">
        <v>20305</v>
      </c>
      <c r="C194" s="1250" t="s">
        <v>20235</v>
      </c>
      <c r="D194" s="1251">
        <v>1.25</v>
      </c>
      <c r="E194" s="1251">
        <v>3.97</v>
      </c>
      <c r="F194" s="1251">
        <v>0.24593478260869564</v>
      </c>
      <c r="G194" s="1251">
        <v>0</v>
      </c>
      <c r="H194" s="1251">
        <v>3.7240652173913045</v>
      </c>
      <c r="I194" s="1251"/>
      <c r="J194" s="1252" t="s">
        <v>20211</v>
      </c>
      <c r="K194" s="1250" t="s">
        <v>20211</v>
      </c>
      <c r="L194" s="1251">
        <v>56.265401748841903</v>
      </c>
      <c r="M194" s="1251">
        <v>34.4570924679253</v>
      </c>
      <c r="N194" s="1250" t="e">
        <f>VLOOKUP('Интерактивная карта'!#REF!,Итоговая!AA197:AV624,21,FALSE)</f>
        <v>#REF!</v>
      </c>
      <c r="O194" s="1250" t="e">
        <f>VLOOKUP('Интерактивная карта'!#REF!,Итоговая!AA197:AV624,22,FALSE)</f>
        <v>#REF!</v>
      </c>
      <c r="P194" s="1250" t="e">
        <f>VLOOKUP(#REF!,Итоговая!C197:I624,2,FALSE)</f>
        <v>#REF!</v>
      </c>
      <c r="Q194" s="1250" t="e">
        <f>VLOOKUP(#REF!,Итоговая!C197:I624,4,FALSE)</f>
        <v>#REF!</v>
      </c>
      <c r="R194" s="1250" t="e">
        <f>VLOOKUP(#REF!,Итоговая!C197:I624,6,FALSE)</f>
        <v>#REF!</v>
      </c>
      <c r="S194" s="1250"/>
      <c r="T194" s="1251" t="e">
        <f>VLOOKUP(#REF!,Итоговая!AA197:AP624,16,FALSE)</f>
        <v>#REF!</v>
      </c>
    </row>
    <row r="195" spans="1:20" x14ac:dyDescent="0.25">
      <c r="A195" s="1248" t="s">
        <v>2016</v>
      </c>
      <c r="B195" s="1250" t="s">
        <v>20293</v>
      </c>
      <c r="C195" s="1250" t="s">
        <v>20226</v>
      </c>
      <c r="D195" s="1251">
        <v>14.600000000000001</v>
      </c>
      <c r="E195" s="1251">
        <v>0</v>
      </c>
      <c r="F195" s="1251">
        <v>6.1154039270687228</v>
      </c>
      <c r="G195" s="1251">
        <v>0</v>
      </c>
      <c r="H195" s="1251">
        <v>10.76035767293159</v>
      </c>
      <c r="I195" s="1251"/>
      <c r="J195" s="1252" t="s">
        <v>20211</v>
      </c>
      <c r="K195" s="1250" t="s">
        <v>20211</v>
      </c>
      <c r="L195" s="1251">
        <v>56.172469954641201</v>
      </c>
      <c r="M195" s="1251">
        <v>34.5756604961677</v>
      </c>
      <c r="N195" s="1250" t="e">
        <f>VLOOKUP('Интерактивная карта'!#REF!,Итоговая!AA198:AV625,21,FALSE)</f>
        <v>#REF!</v>
      </c>
      <c r="O195" s="1250" t="e">
        <f>VLOOKUP('Интерактивная карта'!#REF!,Итоговая!AA198:AV625,22,FALSE)</f>
        <v>#REF!</v>
      </c>
      <c r="P195" s="1250" t="e">
        <f>VLOOKUP(#REF!,Итоговая!C198:I625,2,FALSE)</f>
        <v>#REF!</v>
      </c>
      <c r="Q195" s="1250" t="e">
        <f>VLOOKUP(#REF!,Итоговая!C198:I625,4,FALSE)</f>
        <v>#REF!</v>
      </c>
      <c r="R195" s="1250" t="e">
        <f>VLOOKUP(#REF!,Итоговая!C198:I625,6,FALSE)</f>
        <v>#REF!</v>
      </c>
      <c r="S195" s="1250"/>
      <c r="T195" s="1251" t="e">
        <f>VLOOKUP(#REF!,Итоговая!AA198:AP625,16,FALSE)</f>
        <v>#REF!</v>
      </c>
    </row>
    <row r="196" spans="1:20" x14ac:dyDescent="0.25">
      <c r="A196" s="1248" t="s">
        <v>99</v>
      </c>
      <c r="B196" s="1250" t="s">
        <v>20293</v>
      </c>
      <c r="C196" s="1250" t="s">
        <v>20248</v>
      </c>
      <c r="D196" s="1251">
        <v>3.79</v>
      </c>
      <c r="E196" s="1251">
        <v>2.836581500000833</v>
      </c>
      <c r="F196" s="1251">
        <v>2.2307608695652172</v>
      </c>
      <c r="G196" s="1251">
        <v>0.06</v>
      </c>
      <c r="H196" s="1251">
        <v>0.60582063043561529</v>
      </c>
      <c r="I196" s="1251"/>
      <c r="J196" s="1252" t="s">
        <v>20211</v>
      </c>
      <c r="K196" s="1250" t="s">
        <v>20211</v>
      </c>
      <c r="L196" s="1251">
        <v>56.132142444197598</v>
      </c>
      <c r="M196" s="1251">
        <v>34.898052747883298</v>
      </c>
      <c r="N196" s="1250" t="e">
        <f>VLOOKUP('Интерактивная карта'!#REF!,Итоговая!AA199:AV626,21,FALSE)</f>
        <v>#REF!</v>
      </c>
      <c r="O196" s="1250" t="e">
        <f>VLOOKUP('Интерактивная карта'!#REF!,Итоговая!AA199:AV626,22,FALSE)</f>
        <v>#REF!</v>
      </c>
      <c r="P196" s="1250" t="e">
        <f>VLOOKUP(#REF!,Итоговая!C199:I626,2,FALSE)</f>
        <v>#REF!</v>
      </c>
      <c r="Q196" s="1250" t="e">
        <f>VLOOKUP(#REF!,Итоговая!C199:I626,4,FALSE)</f>
        <v>#REF!</v>
      </c>
      <c r="R196" s="1250" t="e">
        <f>VLOOKUP(#REF!,Итоговая!C199:I626,6,FALSE)</f>
        <v>#REF!</v>
      </c>
      <c r="S196" s="1250"/>
      <c r="T196" s="1251" t="e">
        <f>VLOOKUP(#REF!,Итоговая!AA199:AP626,16,FALSE)</f>
        <v>#REF!</v>
      </c>
    </row>
    <row r="197" spans="1:20" x14ac:dyDescent="0.25">
      <c r="A197" s="1248" t="s">
        <v>100</v>
      </c>
      <c r="B197" s="1250" t="s">
        <v>20314</v>
      </c>
      <c r="C197" s="1250" t="s">
        <v>20235</v>
      </c>
      <c r="D197" s="1251">
        <v>1.38</v>
      </c>
      <c r="E197" s="1251">
        <v>2.8200000000000003</v>
      </c>
      <c r="F197" s="1251">
        <v>0.323054347826087</v>
      </c>
      <c r="G197" s="1251">
        <v>0</v>
      </c>
      <c r="H197" s="1251">
        <v>2.4969456521739133</v>
      </c>
      <c r="I197" s="1251"/>
      <c r="J197" s="1252" t="s">
        <v>20211</v>
      </c>
      <c r="K197" s="1250" t="s">
        <v>20211</v>
      </c>
      <c r="L197" s="1251">
        <v>56.394427552252402</v>
      </c>
      <c r="M197" s="1251">
        <v>35.251126767343401</v>
      </c>
      <c r="N197" s="1250" t="e">
        <f>VLOOKUP('Интерактивная карта'!#REF!,Итоговая!AA200:AV627,21,FALSE)</f>
        <v>#REF!</v>
      </c>
      <c r="O197" s="1250" t="e">
        <f>VLOOKUP('Интерактивная карта'!#REF!,Итоговая!AA200:AV627,22,FALSE)</f>
        <v>#REF!</v>
      </c>
      <c r="P197" s="1250" t="e">
        <f>VLOOKUP(#REF!,Итоговая!C200:I627,2,FALSE)</f>
        <v>#REF!</v>
      </c>
      <c r="Q197" s="1250" t="e">
        <f>VLOOKUP(#REF!,Итоговая!C200:I627,4,FALSE)</f>
        <v>#REF!</v>
      </c>
      <c r="R197" s="1250" t="e">
        <f>VLOOKUP(#REF!,Итоговая!C200:I627,6,FALSE)</f>
        <v>#REF!</v>
      </c>
      <c r="S197" s="1250"/>
      <c r="T197" s="1251" t="e">
        <f>VLOOKUP(#REF!,Итоговая!AA200:AP627,16,FALSE)</f>
        <v>#REF!</v>
      </c>
    </row>
    <row r="198" spans="1:20" x14ac:dyDescent="0.25">
      <c r="A198" s="1248" t="s">
        <v>101</v>
      </c>
      <c r="B198" s="1250" t="s">
        <v>20271</v>
      </c>
      <c r="C198" s="1250" t="s">
        <v>20222</v>
      </c>
      <c r="D198" s="1251">
        <v>0.41</v>
      </c>
      <c r="E198" s="1251">
        <v>2.625</v>
      </c>
      <c r="F198" s="1251">
        <v>2.9347826086956522E-2</v>
      </c>
      <c r="G198" s="1251">
        <v>0</v>
      </c>
      <c r="H198" s="1251">
        <v>2.5956521739130434</v>
      </c>
      <c r="I198" s="1251"/>
      <c r="J198" s="1252" t="s">
        <v>20211</v>
      </c>
      <c r="K198" s="1250" t="s">
        <v>20211</v>
      </c>
      <c r="L198" s="1251">
        <v>56.591538770162003</v>
      </c>
      <c r="M198" s="1251">
        <v>34.628120493828902</v>
      </c>
      <c r="N198" s="1250" t="e">
        <f>VLOOKUP('Интерактивная карта'!#REF!,Итоговая!AA201:AV628,21,FALSE)</f>
        <v>#REF!</v>
      </c>
      <c r="O198" s="1250" t="e">
        <f>VLOOKUP('Интерактивная карта'!#REF!,Итоговая!AA201:AV628,22,FALSE)</f>
        <v>#REF!</v>
      </c>
      <c r="P198" s="1250" t="e">
        <f>VLOOKUP(#REF!,Итоговая!C201:I628,2,FALSE)</f>
        <v>#REF!</v>
      </c>
      <c r="Q198" s="1250" t="e">
        <f>VLOOKUP(#REF!,Итоговая!C201:I628,4,FALSE)</f>
        <v>#REF!</v>
      </c>
      <c r="R198" s="1250" t="e">
        <f>VLOOKUP(#REF!,Итоговая!C201:I628,6,FALSE)</f>
        <v>#REF!</v>
      </c>
      <c r="S198" s="1250"/>
      <c r="T198" s="1251" t="e">
        <f>VLOOKUP(#REF!,Итоговая!AA201:AP628,16,FALSE)</f>
        <v>#REF!</v>
      </c>
    </row>
    <row r="199" spans="1:20" x14ac:dyDescent="0.25">
      <c r="A199" s="1248" t="s">
        <v>102</v>
      </c>
      <c r="B199" s="1250" t="s">
        <v>20325</v>
      </c>
      <c r="C199" s="1250" t="s">
        <v>20221</v>
      </c>
      <c r="D199" s="1251">
        <v>1.1000000000000001</v>
      </c>
      <c r="E199" s="1251">
        <v>1.5249999999999999</v>
      </c>
      <c r="F199" s="1251">
        <v>1.1906086956521738</v>
      </c>
      <c r="G199" s="1251">
        <v>0</v>
      </c>
      <c r="H199" s="1251">
        <v>0.33439130434782616</v>
      </c>
      <c r="I199" s="1251"/>
      <c r="J199" s="1252" t="s">
        <v>20211</v>
      </c>
      <c r="K199" s="1250" t="s">
        <v>20211</v>
      </c>
      <c r="L199" s="1251">
        <v>56.652683647502002</v>
      </c>
      <c r="M199" s="1251">
        <v>34.374451510960498</v>
      </c>
      <c r="N199" s="1250" t="e">
        <f>VLOOKUP('Интерактивная карта'!#REF!,Итоговая!AA202:AV629,21,FALSE)</f>
        <v>#REF!</v>
      </c>
      <c r="O199" s="1250" t="e">
        <f>VLOOKUP('Интерактивная карта'!#REF!,Итоговая!AA202:AV629,22,FALSE)</f>
        <v>#REF!</v>
      </c>
      <c r="P199" s="1250" t="e">
        <f>VLOOKUP(#REF!,Итоговая!C202:I629,2,FALSE)</f>
        <v>#REF!</v>
      </c>
      <c r="Q199" s="1250" t="e">
        <f>VLOOKUP(#REF!,Итоговая!C202:I629,4,FALSE)</f>
        <v>#REF!</v>
      </c>
      <c r="R199" s="1250" t="e">
        <f>VLOOKUP(#REF!,Итоговая!C202:I629,6,FALSE)</f>
        <v>#REF!</v>
      </c>
      <c r="S199" s="1250"/>
      <c r="T199" s="1251" t="e">
        <f>VLOOKUP(#REF!,Итоговая!AA202:AP629,16,FALSE)</f>
        <v>#REF!</v>
      </c>
    </row>
    <row r="200" spans="1:20" x14ac:dyDescent="0.25">
      <c r="A200" s="1248" t="s">
        <v>103</v>
      </c>
      <c r="B200" s="1250" t="s">
        <v>20285</v>
      </c>
      <c r="C200" s="1250" t="s">
        <v>20225</v>
      </c>
      <c r="D200" s="1251">
        <v>2.02</v>
      </c>
      <c r="E200" s="1251">
        <v>5.0699888</v>
      </c>
      <c r="F200" s="1251">
        <v>0</v>
      </c>
      <c r="G200" s="1251">
        <v>0</v>
      </c>
      <c r="H200" s="1251">
        <v>5.0699888</v>
      </c>
      <c r="I200" s="1251"/>
      <c r="J200" s="1252" t="s">
        <v>20211</v>
      </c>
      <c r="K200" s="1250" t="s">
        <v>20211</v>
      </c>
      <c r="L200" s="1251">
        <v>56.206704218121203</v>
      </c>
      <c r="M200" s="1251">
        <v>34.214144919244497</v>
      </c>
      <c r="N200" s="1250" t="e">
        <f>VLOOKUP('Интерактивная карта'!#REF!,Итоговая!AA203:AV630,21,FALSE)</f>
        <v>#REF!</v>
      </c>
      <c r="O200" s="1250" t="e">
        <f>VLOOKUP('Интерактивная карта'!#REF!,Итоговая!AA203:AV630,22,FALSE)</f>
        <v>#REF!</v>
      </c>
      <c r="P200" s="1250" t="e">
        <f>VLOOKUP(#REF!,Итоговая!C203:I630,2,FALSE)</f>
        <v>#REF!</v>
      </c>
      <c r="Q200" s="1250" t="e">
        <f>VLOOKUP(#REF!,Итоговая!C203:I630,4,FALSE)</f>
        <v>#REF!</v>
      </c>
      <c r="R200" s="1250" t="e">
        <f>VLOOKUP(#REF!,Итоговая!C203:I630,6,FALSE)</f>
        <v>#REF!</v>
      </c>
      <c r="S200" s="1250"/>
      <c r="T200" s="1251" t="e">
        <f>VLOOKUP(#REF!,Итоговая!AA203:AP630,16,FALSE)</f>
        <v>#REF!</v>
      </c>
    </row>
    <row r="201" spans="1:20" x14ac:dyDescent="0.25">
      <c r="A201" s="1248" t="s">
        <v>104</v>
      </c>
      <c r="B201" s="1250" t="s">
        <v>20297</v>
      </c>
      <c r="C201" s="1250" t="s">
        <v>20225</v>
      </c>
      <c r="D201" s="1251">
        <v>1.3</v>
      </c>
      <c r="E201" s="1251">
        <v>5.7061460800001527</v>
      </c>
      <c r="F201" s="1251">
        <v>0</v>
      </c>
      <c r="G201" s="1251">
        <v>0</v>
      </c>
      <c r="H201" s="1251">
        <v>5.7061460800001527</v>
      </c>
      <c r="I201" s="1251"/>
      <c r="J201" s="1252" t="s">
        <v>20211</v>
      </c>
      <c r="K201" s="1250" t="s">
        <v>20211</v>
      </c>
      <c r="L201" s="1251">
        <v>56.240181355065701</v>
      </c>
      <c r="M201" s="1251">
        <v>33.158507404212401</v>
      </c>
      <c r="N201" s="1250" t="e">
        <f>VLOOKUP('Интерактивная карта'!#REF!,Итоговая!AA204:AV631,21,FALSE)</f>
        <v>#REF!</v>
      </c>
      <c r="O201" s="1250" t="e">
        <f>VLOOKUP('Интерактивная карта'!#REF!,Итоговая!AA204:AV631,22,FALSE)</f>
        <v>#REF!</v>
      </c>
      <c r="P201" s="1250" t="e">
        <f>VLOOKUP(#REF!,Итоговая!C204:I631,2,FALSE)</f>
        <v>#REF!</v>
      </c>
      <c r="Q201" s="1250" t="e">
        <f>VLOOKUP(#REF!,Итоговая!C204:I631,4,FALSE)</f>
        <v>#REF!</v>
      </c>
      <c r="R201" s="1250" t="e">
        <f>VLOOKUP(#REF!,Итоговая!C204:I631,6,FALSE)</f>
        <v>#REF!</v>
      </c>
      <c r="S201" s="1250"/>
      <c r="T201" s="1251" t="e">
        <f>VLOOKUP(#REF!,Итоговая!AA204:AP631,16,FALSE)</f>
        <v>#REF!</v>
      </c>
    </row>
    <row r="202" spans="1:20" x14ac:dyDescent="0.25">
      <c r="A202" s="1248" t="s">
        <v>105</v>
      </c>
      <c r="B202" s="1250" t="s">
        <v>20295</v>
      </c>
      <c r="C202" s="1250" t="s">
        <v>20251</v>
      </c>
      <c r="D202" s="1251">
        <v>29.700000000000003</v>
      </c>
      <c r="E202" s="1251">
        <v>15.881424967998285</v>
      </c>
      <c r="F202" s="1251">
        <v>2.4731086956521739</v>
      </c>
      <c r="G202" s="1251">
        <v>1.1599999999999999</v>
      </c>
      <c r="H202" s="1251">
        <v>13.408316272346111</v>
      </c>
      <c r="I202" s="1251"/>
      <c r="J202" s="1252" t="s">
        <v>20211</v>
      </c>
      <c r="K202" s="1250" t="s">
        <v>20211</v>
      </c>
      <c r="L202" s="1251">
        <v>56.2411116350114</v>
      </c>
      <c r="M202" s="1251">
        <v>34.312113844013503</v>
      </c>
      <c r="N202" s="1250" t="e">
        <f>VLOOKUP('Интерактивная карта'!#REF!,Итоговая!AA205:AV632,21,FALSE)</f>
        <v>#REF!</v>
      </c>
      <c r="O202" s="1250" t="e">
        <f>VLOOKUP('Интерактивная карта'!#REF!,Итоговая!AA205:AV632,22,FALSE)</f>
        <v>#REF!</v>
      </c>
      <c r="P202" s="1250" t="e">
        <f>VLOOKUP(#REF!,Итоговая!C205:I632,2,FALSE)</f>
        <v>#REF!</v>
      </c>
      <c r="Q202" s="1250" t="e">
        <f>VLOOKUP(#REF!,Итоговая!C205:I632,4,FALSE)</f>
        <v>#REF!</v>
      </c>
      <c r="R202" s="1250" t="e">
        <f>VLOOKUP(#REF!,Итоговая!C205:I632,6,FALSE)</f>
        <v>#REF!</v>
      </c>
      <c r="S202" s="1250"/>
      <c r="T202" s="1251" t="e">
        <f>VLOOKUP(#REF!,Итоговая!AA205:AP632,16,FALSE)</f>
        <v>#REF!</v>
      </c>
    </row>
    <row r="203" spans="1:20" x14ac:dyDescent="0.25">
      <c r="A203" s="1248" t="s">
        <v>1745</v>
      </c>
      <c r="B203" s="1250" t="s">
        <v>20285</v>
      </c>
      <c r="C203" s="1250" t="s">
        <v>20244</v>
      </c>
      <c r="D203" s="1251">
        <v>1.37</v>
      </c>
      <c r="E203" s="1251">
        <v>5.1183753600000284</v>
      </c>
      <c r="F203" s="1251">
        <v>0.19721739130434782</v>
      </c>
      <c r="G203" s="1251">
        <v>0</v>
      </c>
      <c r="H203" s="1251">
        <v>4.9211579686956801</v>
      </c>
      <c r="I203" s="1251"/>
      <c r="J203" s="1252" t="s">
        <v>20211</v>
      </c>
      <c r="K203" s="1250" t="s">
        <v>20211</v>
      </c>
      <c r="L203" s="1251">
        <v>56.206891388101397</v>
      </c>
      <c r="M203" s="1251">
        <v>33.892258534506098</v>
      </c>
      <c r="N203" s="1250" t="e">
        <f>VLOOKUP('Интерактивная карта'!#REF!,Итоговая!AA206:AV633,21,FALSE)</f>
        <v>#REF!</v>
      </c>
      <c r="O203" s="1250" t="e">
        <f>VLOOKUP('Интерактивная карта'!#REF!,Итоговая!AA206:AV633,22,FALSE)</f>
        <v>#REF!</v>
      </c>
      <c r="P203" s="1250" t="e">
        <f>VLOOKUP(#REF!,Итоговая!C206:I633,2,FALSE)</f>
        <v>#REF!</v>
      </c>
      <c r="Q203" s="1250" t="e">
        <f>VLOOKUP(#REF!,Итоговая!C206:I633,4,FALSE)</f>
        <v>#REF!</v>
      </c>
      <c r="R203" s="1250" t="e">
        <f>VLOOKUP(#REF!,Итоговая!C206:I633,6,FALSE)</f>
        <v>#REF!</v>
      </c>
      <c r="S203" s="1250"/>
      <c r="T203" s="1251" t="e">
        <f>VLOOKUP(#REF!,Итоговая!AA206:AP633,16,FALSE)</f>
        <v>#REF!</v>
      </c>
    </row>
    <row r="204" spans="1:20" x14ac:dyDescent="0.25">
      <c r="A204" s="1248" t="s">
        <v>106</v>
      </c>
      <c r="B204" s="1250" t="s">
        <v>20277</v>
      </c>
      <c r="C204" s="1250" t="s">
        <v>20249</v>
      </c>
      <c r="D204" s="1251">
        <v>4.37</v>
      </c>
      <c r="E204" s="1251">
        <v>6.3598431421645181</v>
      </c>
      <c r="F204" s="1251">
        <v>0.53804347826086962</v>
      </c>
      <c r="G204" s="1251">
        <v>0</v>
      </c>
      <c r="H204" s="1251">
        <v>5.8217996639036489</v>
      </c>
      <c r="I204" s="1251"/>
      <c r="J204" s="1252" t="s">
        <v>20211</v>
      </c>
      <c r="K204" s="1250" t="s">
        <v>20211</v>
      </c>
      <c r="L204" s="1251">
        <v>56.222590712521701</v>
      </c>
      <c r="M204" s="1251">
        <v>33.502481446068401</v>
      </c>
      <c r="N204" s="1250" t="e">
        <f>VLOOKUP('Интерактивная карта'!#REF!,Итоговая!AA207:AV634,21,FALSE)</f>
        <v>#REF!</v>
      </c>
      <c r="O204" s="1250" t="e">
        <f>VLOOKUP('Интерактивная карта'!#REF!,Итоговая!AA207:AV634,22,FALSE)</f>
        <v>#REF!</v>
      </c>
      <c r="P204" s="1250" t="e">
        <f>VLOOKUP(#REF!,Итоговая!C207:I634,2,FALSE)</f>
        <v>#REF!</v>
      </c>
      <c r="Q204" s="1250" t="e">
        <f>VLOOKUP(#REF!,Итоговая!C207:I634,4,FALSE)</f>
        <v>#REF!</v>
      </c>
      <c r="R204" s="1250" t="e">
        <f>VLOOKUP(#REF!,Итоговая!C207:I634,6,FALSE)</f>
        <v>#REF!</v>
      </c>
      <c r="S204" s="1250"/>
      <c r="T204" s="1251" t="e">
        <f>VLOOKUP(#REF!,Итоговая!AA207:AP634,16,FALSE)</f>
        <v>#REF!</v>
      </c>
    </row>
    <row r="205" spans="1:20" x14ac:dyDescent="0.25">
      <c r="A205" s="1248" t="s">
        <v>107</v>
      </c>
      <c r="B205" s="1250" t="s">
        <v>20292</v>
      </c>
      <c r="C205" s="1250" t="s">
        <v>20243</v>
      </c>
      <c r="D205" s="1251">
        <v>12.32</v>
      </c>
      <c r="E205" s="1251">
        <v>6.7286194000000012</v>
      </c>
      <c r="F205" s="1251">
        <v>4.1537500000000005</v>
      </c>
      <c r="G205" s="1251">
        <v>0.13</v>
      </c>
      <c r="H205" s="1251">
        <v>2.5748694000000008</v>
      </c>
      <c r="I205" s="1251"/>
      <c r="J205" s="1252" t="s">
        <v>20211</v>
      </c>
      <c r="K205" s="1250" t="s">
        <v>20211</v>
      </c>
      <c r="L205" s="1251">
        <v>56.498230498297197</v>
      </c>
      <c r="M205" s="1251">
        <v>34.925430104473897</v>
      </c>
      <c r="N205" s="1250" t="e">
        <f>VLOOKUP('Интерактивная карта'!#REF!,Итоговая!AA208:AV635,21,FALSE)</f>
        <v>#REF!</v>
      </c>
      <c r="O205" s="1250" t="e">
        <f>VLOOKUP('Интерактивная карта'!#REF!,Итоговая!AA208:AV635,22,FALSE)</f>
        <v>#REF!</v>
      </c>
      <c r="P205" s="1250" t="e">
        <f>VLOOKUP(#REF!,Итоговая!C208:I635,2,FALSE)</f>
        <v>#REF!</v>
      </c>
      <c r="Q205" s="1250" t="e">
        <f>VLOOKUP(#REF!,Итоговая!C208:I635,4,FALSE)</f>
        <v>#REF!</v>
      </c>
      <c r="R205" s="1250" t="e">
        <f>VLOOKUP(#REF!,Итоговая!C208:I635,6,FALSE)</f>
        <v>#REF!</v>
      </c>
      <c r="S205" s="1250"/>
      <c r="T205" s="1251" t="e">
        <f>VLOOKUP(#REF!,Итоговая!AA208:AP635,16,FALSE)</f>
        <v>#REF!</v>
      </c>
    </row>
    <row r="206" spans="1:20" x14ac:dyDescent="0.25">
      <c r="A206" s="1248" t="s">
        <v>108</v>
      </c>
      <c r="B206" s="1250" t="s">
        <v>20293</v>
      </c>
      <c r="C206" s="1250" t="s">
        <v>20225</v>
      </c>
      <c r="D206" s="1251">
        <v>3.23</v>
      </c>
      <c r="E206" s="1251">
        <v>3.3850000000000002</v>
      </c>
      <c r="F206" s="1251">
        <v>1.3558478260869566</v>
      </c>
      <c r="G206" s="1251">
        <v>0</v>
      </c>
      <c r="H206" s="1251">
        <v>2.0291521739130438</v>
      </c>
      <c r="I206" s="1251"/>
      <c r="J206" s="1252" t="s">
        <v>20211</v>
      </c>
      <c r="K206" s="1250" t="s">
        <v>20211</v>
      </c>
      <c r="L206" s="1251">
        <v>56.593616507818602</v>
      </c>
      <c r="M206" s="1251">
        <v>35.225638740526897</v>
      </c>
      <c r="N206" s="1250" t="e">
        <f>VLOOKUP('Интерактивная карта'!#REF!,Итоговая!AA209:AV636,21,FALSE)</f>
        <v>#REF!</v>
      </c>
      <c r="O206" s="1250" t="e">
        <f>VLOOKUP('Интерактивная карта'!#REF!,Итоговая!AA209:AV636,22,FALSE)</f>
        <v>#REF!</v>
      </c>
      <c r="P206" s="1250" t="e">
        <f>VLOOKUP(#REF!,Итоговая!C209:I636,2,FALSE)</f>
        <v>#REF!</v>
      </c>
      <c r="Q206" s="1250" t="e">
        <f>VLOOKUP(#REF!,Итоговая!C209:I636,4,FALSE)</f>
        <v>#REF!</v>
      </c>
      <c r="R206" s="1250" t="e">
        <f>VLOOKUP(#REF!,Итоговая!C209:I636,6,FALSE)</f>
        <v>#REF!</v>
      </c>
      <c r="S206" s="1250"/>
      <c r="T206" s="1251" t="e">
        <f>VLOOKUP(#REF!,Итоговая!AA209:AP636,16,FALSE)</f>
        <v>#REF!</v>
      </c>
    </row>
    <row r="207" spans="1:20" x14ac:dyDescent="0.25">
      <c r="A207" s="1248" t="s">
        <v>109</v>
      </c>
      <c r="B207" s="1250" t="s">
        <v>20266</v>
      </c>
      <c r="C207" s="1250" t="s">
        <v>20212</v>
      </c>
      <c r="D207" s="1251">
        <v>1.4433390000000001</v>
      </c>
      <c r="E207" s="1251">
        <v>-0.1333390000000001</v>
      </c>
      <c r="F207" s="1251">
        <v>0.72229891304347826</v>
      </c>
      <c r="G207" s="1251">
        <v>0</v>
      </c>
      <c r="H207" s="1251">
        <v>-0.85563791304347836</v>
      </c>
      <c r="I207" s="1251"/>
      <c r="J207" s="1252" t="s">
        <v>20211</v>
      </c>
      <c r="K207" s="1250" t="s">
        <v>2217</v>
      </c>
      <c r="L207" s="1251">
        <v>56.818146640964599</v>
      </c>
      <c r="M207" s="1251">
        <v>35.940324736067303</v>
      </c>
      <c r="N207" s="1250" t="e">
        <f>VLOOKUP('Интерактивная карта'!#REF!,Итоговая!AA210:AV637,21,FALSE)</f>
        <v>#REF!</v>
      </c>
      <c r="O207" s="1250" t="e">
        <f>VLOOKUP('Интерактивная карта'!#REF!,Итоговая!AA210:AV637,22,FALSE)</f>
        <v>#REF!</v>
      </c>
      <c r="P207" s="1250" t="e">
        <f>VLOOKUP(#REF!,Итоговая!C210:I637,2,FALSE)</f>
        <v>#REF!</v>
      </c>
      <c r="Q207" s="1250" t="e">
        <f>VLOOKUP(#REF!,Итоговая!C210:I637,4,FALSE)</f>
        <v>#REF!</v>
      </c>
      <c r="R207" s="1250" t="e">
        <f>VLOOKUP(#REF!,Итоговая!C210:I637,6,FALSE)</f>
        <v>#REF!</v>
      </c>
      <c r="S207" s="1250"/>
      <c r="T207" s="1251" t="e">
        <f>VLOOKUP(#REF!,Итоговая!AA210:AP637,16,FALSE)</f>
        <v>#REF!</v>
      </c>
    </row>
    <row r="208" spans="1:20" x14ac:dyDescent="0.25">
      <c r="A208" s="1248" t="s">
        <v>110</v>
      </c>
      <c r="B208" s="1250" t="s">
        <v>20312</v>
      </c>
      <c r="C208" s="1250" t="s">
        <v>20210</v>
      </c>
      <c r="D208" s="1251">
        <v>1.32345</v>
      </c>
      <c r="E208" s="1251">
        <v>-1.32345</v>
      </c>
      <c r="F208" s="1251">
        <v>1.6745217391304346</v>
      </c>
      <c r="G208" s="1251">
        <v>0</v>
      </c>
      <c r="H208" s="1251">
        <v>-2.6981745652173914</v>
      </c>
      <c r="I208" s="1251"/>
      <c r="J208" s="1252" t="s">
        <v>20211</v>
      </c>
      <c r="K208" s="1250" t="s">
        <v>2217</v>
      </c>
      <c r="L208" s="1251">
        <v>56.713710650261802</v>
      </c>
      <c r="M208" s="1251">
        <v>35.606964689512203</v>
      </c>
      <c r="N208" s="1250" t="e">
        <f>VLOOKUP('Интерактивная карта'!#REF!,Итоговая!AA211:AV638,21,FALSE)</f>
        <v>#REF!</v>
      </c>
      <c r="O208" s="1250" t="e">
        <f>VLOOKUP('Интерактивная карта'!#REF!,Итоговая!AA211:AV638,22,FALSE)</f>
        <v>#REF!</v>
      </c>
      <c r="P208" s="1250" t="e">
        <f>VLOOKUP(#REF!,Итоговая!C211:I638,2,FALSE)</f>
        <v>#REF!</v>
      </c>
      <c r="Q208" s="1250" t="e">
        <f>VLOOKUP(#REF!,Итоговая!C211:I638,4,FALSE)</f>
        <v>#REF!</v>
      </c>
      <c r="R208" s="1250" t="e">
        <f>VLOOKUP(#REF!,Итоговая!C211:I638,6,FALSE)</f>
        <v>#REF!</v>
      </c>
      <c r="S208" s="1250"/>
      <c r="T208" s="1251" t="e">
        <f>VLOOKUP(#REF!,Итоговая!AA211:AP638,16,FALSE)</f>
        <v>#REF!</v>
      </c>
    </row>
    <row r="209" spans="1:20" x14ac:dyDescent="0.25">
      <c r="A209" s="1248" t="s">
        <v>111</v>
      </c>
      <c r="B209" s="1250" t="s">
        <v>20298</v>
      </c>
      <c r="C209" s="1250" t="s">
        <v>20212</v>
      </c>
      <c r="D209" s="1251">
        <v>1.0085900000000001</v>
      </c>
      <c r="E209" s="1251">
        <v>-1.0085900000000001</v>
      </c>
      <c r="F209" s="1251">
        <v>0.76597826086956522</v>
      </c>
      <c r="G209" s="1251">
        <v>0</v>
      </c>
      <c r="H209" s="1251">
        <v>-1.7745682608695654</v>
      </c>
      <c r="I209" s="1251"/>
      <c r="J209" s="1252" t="s">
        <v>20211</v>
      </c>
      <c r="K209" s="1250" t="s">
        <v>2217</v>
      </c>
      <c r="L209" s="1251">
        <v>56.776487935509401</v>
      </c>
      <c r="M209" s="1251">
        <v>36.343396986997</v>
      </c>
      <c r="N209" s="1250" t="e">
        <f>VLOOKUP('Интерактивная карта'!#REF!,Итоговая!AA212:AV639,21,FALSE)</f>
        <v>#REF!</v>
      </c>
      <c r="O209" s="1250" t="e">
        <f>VLOOKUP('Интерактивная карта'!#REF!,Итоговая!AA212:AV639,22,FALSE)</f>
        <v>#REF!</v>
      </c>
      <c r="P209" s="1250" t="e">
        <f>VLOOKUP(#REF!,Итоговая!C212:I639,2,FALSE)</f>
        <v>#REF!</v>
      </c>
      <c r="Q209" s="1250" t="e">
        <f>VLOOKUP(#REF!,Итоговая!C212:I639,4,FALSE)</f>
        <v>#REF!</v>
      </c>
      <c r="R209" s="1250" t="e">
        <f>VLOOKUP(#REF!,Итоговая!C212:I639,6,FALSE)</f>
        <v>#REF!</v>
      </c>
      <c r="S209" s="1250"/>
      <c r="T209" s="1251" t="e">
        <f>VLOOKUP(#REF!,Итоговая!AA212:AP639,16,FALSE)</f>
        <v>#REF!</v>
      </c>
    </row>
    <row r="210" spans="1:20" x14ac:dyDescent="0.25">
      <c r="A210" s="1248" t="s">
        <v>1958</v>
      </c>
      <c r="B210" s="1250" t="s">
        <v>20326</v>
      </c>
      <c r="C210" s="1250" t="s">
        <v>2043</v>
      </c>
      <c r="D210" s="1251">
        <v>0.11417999999999999</v>
      </c>
      <c r="E210" s="1251">
        <v>-0.11417999999999999</v>
      </c>
      <c r="F210" s="1251">
        <v>0</v>
      </c>
      <c r="G210" s="1251">
        <v>0</v>
      </c>
      <c r="H210" s="1251">
        <v>-0.10276199999999999</v>
      </c>
      <c r="I210" s="1251"/>
      <c r="J210" s="1252" t="s">
        <v>20211</v>
      </c>
      <c r="K210" s="1250" t="s">
        <v>2217</v>
      </c>
      <c r="L210" s="1251">
        <v>57.012558196179903</v>
      </c>
      <c r="M210" s="1251">
        <v>36.154382827292402</v>
      </c>
      <c r="N210" s="1250" t="e">
        <f>VLOOKUP('Интерактивная карта'!#REF!,Итоговая!AA213:AV640,21,FALSE)</f>
        <v>#REF!</v>
      </c>
      <c r="O210" s="1250" t="e">
        <f>VLOOKUP('Интерактивная карта'!#REF!,Итоговая!AA213:AV640,22,FALSE)</f>
        <v>#REF!</v>
      </c>
      <c r="P210" s="1250" t="e">
        <f>VLOOKUP(#REF!,Итоговая!C213:I640,2,FALSE)</f>
        <v>#REF!</v>
      </c>
      <c r="Q210" s="1250" t="e">
        <f>VLOOKUP(#REF!,Итоговая!C213:I640,4,FALSE)</f>
        <v>#REF!</v>
      </c>
      <c r="R210" s="1250" t="e">
        <f>VLOOKUP(#REF!,Итоговая!C213:I640,6,FALSE)</f>
        <v>#REF!</v>
      </c>
      <c r="S210" s="1250"/>
      <c r="T210" s="1251" t="e">
        <f>VLOOKUP(#REF!,Итоговая!AA213:AP640,16,FALSE)</f>
        <v>#REF!</v>
      </c>
    </row>
    <row r="211" spans="1:20" x14ac:dyDescent="0.25">
      <c r="A211" s="1248" t="s">
        <v>112</v>
      </c>
      <c r="B211" s="1250" t="s">
        <v>20327</v>
      </c>
      <c r="C211" s="1250" t="s">
        <v>2043</v>
      </c>
      <c r="D211" s="1251">
        <v>0.88575999999999999</v>
      </c>
      <c r="E211" s="1251">
        <v>-0.88575999999999999</v>
      </c>
      <c r="F211" s="1251">
        <v>0.13500000000000001</v>
      </c>
      <c r="G211" s="1251">
        <v>0.61</v>
      </c>
      <c r="H211" s="1251">
        <v>-0.91868400000000017</v>
      </c>
      <c r="I211" s="1251"/>
      <c r="J211" s="1252" t="s">
        <v>20211</v>
      </c>
      <c r="K211" s="1250" t="s">
        <v>2217</v>
      </c>
      <c r="L211" s="1251">
        <v>56.951338158261699</v>
      </c>
      <c r="M211" s="1251">
        <v>35.883388459522102</v>
      </c>
      <c r="N211" s="1250" t="e">
        <f>VLOOKUP('Интерактивная карта'!#REF!,Итоговая!AA214:AV641,21,FALSE)</f>
        <v>#REF!</v>
      </c>
      <c r="O211" s="1250" t="e">
        <f>VLOOKUP('Интерактивная карта'!#REF!,Итоговая!AA214:AV641,22,FALSE)</f>
        <v>#REF!</v>
      </c>
      <c r="P211" s="1250" t="e">
        <f>VLOOKUP(#REF!,Итоговая!C214:I641,2,FALSE)</f>
        <v>#REF!</v>
      </c>
      <c r="Q211" s="1250" t="e">
        <f>VLOOKUP(#REF!,Итоговая!C214:I641,4,FALSE)</f>
        <v>#REF!</v>
      </c>
      <c r="R211" s="1250" t="e">
        <f>VLOOKUP(#REF!,Итоговая!C214:I641,6,FALSE)</f>
        <v>#REF!</v>
      </c>
      <c r="S211" s="1250"/>
      <c r="T211" s="1251" t="e">
        <f>VLOOKUP(#REF!,Итоговая!AA214:AP641,16,FALSE)</f>
        <v>#REF!</v>
      </c>
    </row>
    <row r="212" spans="1:20" x14ac:dyDescent="0.25">
      <c r="A212" s="1248" t="s">
        <v>113</v>
      </c>
      <c r="B212" s="1250" t="s">
        <v>20328</v>
      </c>
      <c r="C212" s="1250" t="s">
        <v>20213</v>
      </c>
      <c r="D212" s="1251">
        <v>1.96</v>
      </c>
      <c r="E212" s="1251">
        <v>-1.96</v>
      </c>
      <c r="F212" s="1251">
        <v>3.9210652173913041</v>
      </c>
      <c r="G212" s="1251">
        <v>0.03</v>
      </c>
      <c r="H212" s="1251">
        <v>-5.2929586956521746</v>
      </c>
      <c r="I212" s="1251"/>
      <c r="J212" s="1252" t="s">
        <v>20211</v>
      </c>
      <c r="K212" s="1250" t="s">
        <v>2217</v>
      </c>
      <c r="L212" s="1251">
        <v>56.951338158261699</v>
      </c>
      <c r="M212" s="1251">
        <v>35.883388459522102</v>
      </c>
      <c r="N212" s="1250" t="e">
        <f>VLOOKUP('Интерактивная карта'!#REF!,Итоговая!AA215:AV642,21,FALSE)</f>
        <v>#REF!</v>
      </c>
      <c r="O212" s="1250" t="e">
        <f>VLOOKUP('Интерактивная карта'!#REF!,Итоговая!AA215:AV642,22,FALSE)</f>
        <v>#REF!</v>
      </c>
      <c r="P212" s="1250" t="e">
        <f>VLOOKUP(#REF!,Итоговая!C215:I642,2,FALSE)</f>
        <v>#REF!</v>
      </c>
      <c r="Q212" s="1250" t="e">
        <f>VLOOKUP(#REF!,Итоговая!C215:I642,4,FALSE)</f>
        <v>#REF!</v>
      </c>
      <c r="R212" s="1250" t="e">
        <f>VLOOKUP(#REF!,Итоговая!C215:I642,6,FALSE)</f>
        <v>#REF!</v>
      </c>
      <c r="S212" s="1250"/>
      <c r="T212" s="1251" t="e">
        <f>VLOOKUP(#REF!,Итоговая!AA215:AP642,16,FALSE)</f>
        <v>#REF!</v>
      </c>
    </row>
    <row r="213" spans="1:20" x14ac:dyDescent="0.25">
      <c r="A213" s="1248" t="s">
        <v>114</v>
      </c>
      <c r="B213" s="1250" t="s">
        <v>20329</v>
      </c>
      <c r="C213" s="1250" t="s">
        <v>2043</v>
      </c>
      <c r="D213" s="1251">
        <v>0.23597200000000002</v>
      </c>
      <c r="E213" s="1251">
        <v>-0.23597200000000002</v>
      </c>
      <c r="F213" s="1251">
        <v>0.22940217391304349</v>
      </c>
      <c r="G213" s="1251">
        <v>0</v>
      </c>
      <c r="H213" s="1251">
        <v>-0.46537417391304348</v>
      </c>
      <c r="I213" s="1251"/>
      <c r="J213" s="1252" t="s">
        <v>20211</v>
      </c>
      <c r="K213" s="1250" t="s">
        <v>2217</v>
      </c>
      <c r="L213" s="1251">
        <v>56.623882070000903</v>
      </c>
      <c r="M213" s="1251">
        <v>35.571417481976802</v>
      </c>
      <c r="N213" s="1250" t="e">
        <f>VLOOKUP('Интерактивная карта'!#REF!,Итоговая!AA216:AV643,21,FALSE)</f>
        <v>#REF!</v>
      </c>
      <c r="O213" s="1250" t="e">
        <f>VLOOKUP('Интерактивная карта'!#REF!,Итоговая!AA216:AV643,22,FALSE)</f>
        <v>#REF!</v>
      </c>
      <c r="P213" s="1250" t="e">
        <f>VLOOKUP(#REF!,Итоговая!C216:I643,2,FALSE)</f>
        <v>#REF!</v>
      </c>
      <c r="Q213" s="1250" t="e">
        <f>VLOOKUP(#REF!,Итоговая!C216:I643,4,FALSE)</f>
        <v>#REF!</v>
      </c>
      <c r="R213" s="1250" t="e">
        <f>VLOOKUP(#REF!,Итоговая!C216:I643,6,FALSE)</f>
        <v>#REF!</v>
      </c>
      <c r="S213" s="1250"/>
      <c r="T213" s="1251" t="e">
        <f>VLOOKUP(#REF!,Итоговая!AA216:AP643,16,FALSE)</f>
        <v>#REF!</v>
      </c>
    </row>
    <row r="214" spans="1:20" x14ac:dyDescent="0.25">
      <c r="A214" s="1248" t="s">
        <v>115</v>
      </c>
      <c r="B214" s="1250" t="s">
        <v>20329</v>
      </c>
      <c r="C214" s="1250" t="s">
        <v>20212</v>
      </c>
      <c r="D214" s="1251">
        <v>1.583296</v>
      </c>
      <c r="E214" s="1251">
        <v>-1.583296</v>
      </c>
      <c r="F214" s="1251">
        <v>0.39055434782608694</v>
      </c>
      <c r="G214" s="1251">
        <v>0</v>
      </c>
      <c r="H214" s="1251">
        <v>-1.7764653130434782</v>
      </c>
      <c r="I214" s="1251"/>
      <c r="J214" s="1252" t="s">
        <v>20211</v>
      </c>
      <c r="K214" s="1250" t="s">
        <v>2217</v>
      </c>
      <c r="L214" s="1251">
        <v>56.623882070000903</v>
      </c>
      <c r="M214" s="1251">
        <v>35.571417481976802</v>
      </c>
      <c r="N214" s="1250" t="e">
        <f>VLOOKUP('Интерактивная карта'!#REF!,Итоговая!AA217:AV644,21,FALSE)</f>
        <v>#REF!</v>
      </c>
      <c r="O214" s="1250" t="e">
        <f>VLOOKUP('Интерактивная карта'!#REF!,Итоговая!AA217:AV644,22,FALSE)</f>
        <v>#REF!</v>
      </c>
      <c r="P214" s="1250" t="e">
        <f>VLOOKUP(#REF!,Итоговая!C217:I644,2,FALSE)</f>
        <v>#REF!</v>
      </c>
      <c r="Q214" s="1250" t="e">
        <f>VLOOKUP(#REF!,Итоговая!C217:I644,4,FALSE)</f>
        <v>#REF!</v>
      </c>
      <c r="R214" s="1250" t="e">
        <f>VLOOKUP(#REF!,Итоговая!C217:I644,6,FALSE)</f>
        <v>#REF!</v>
      </c>
      <c r="S214" s="1250"/>
      <c r="T214" s="1251" t="e">
        <f>VLOOKUP(#REF!,Итоговая!AA217:AP644,16,FALSE)</f>
        <v>#REF!</v>
      </c>
    </row>
    <row r="215" spans="1:20" x14ac:dyDescent="0.25">
      <c r="A215" s="1248" t="s">
        <v>116</v>
      </c>
      <c r="B215" s="1250" t="s">
        <v>20271</v>
      </c>
      <c r="C215" s="1250" t="s">
        <v>20212</v>
      </c>
      <c r="D215" s="1251">
        <v>0.87001699999999993</v>
      </c>
      <c r="E215" s="1251">
        <v>-1.6999999999933735E-5</v>
      </c>
      <c r="F215" s="1251">
        <v>6.8478260869565225E-2</v>
      </c>
      <c r="G215" s="1251">
        <v>0</v>
      </c>
      <c r="H215" s="1251">
        <v>-6.8495260869565158E-2</v>
      </c>
      <c r="I215" s="1251"/>
      <c r="J215" s="1252" t="s">
        <v>20211</v>
      </c>
      <c r="K215" s="1250" t="s">
        <v>2217</v>
      </c>
      <c r="L215" s="1251">
        <v>57.230938044061901</v>
      </c>
      <c r="M215" s="1251">
        <v>35.6042475573933</v>
      </c>
      <c r="N215" s="1250" t="e">
        <f>VLOOKUP('Интерактивная карта'!#REF!,Итоговая!AA218:AV645,21,FALSE)</f>
        <v>#REF!</v>
      </c>
      <c r="O215" s="1250" t="e">
        <f>VLOOKUP('Интерактивная карта'!#REF!,Итоговая!AA218:AV645,22,FALSE)</f>
        <v>#REF!</v>
      </c>
      <c r="P215" s="1250" t="e">
        <f>VLOOKUP(#REF!,Итоговая!C218:I645,2,FALSE)</f>
        <v>#REF!</v>
      </c>
      <c r="Q215" s="1250" t="e">
        <f>VLOOKUP(#REF!,Итоговая!C218:I645,4,FALSE)</f>
        <v>#REF!</v>
      </c>
      <c r="R215" s="1250" t="e">
        <f>VLOOKUP(#REF!,Итоговая!C218:I645,6,FALSE)</f>
        <v>#REF!</v>
      </c>
      <c r="S215" s="1250"/>
      <c r="T215" s="1251" t="e">
        <f>VLOOKUP(#REF!,Итоговая!AA218:AP645,16,FALSE)</f>
        <v>#REF!</v>
      </c>
    </row>
    <row r="216" spans="1:20" x14ac:dyDescent="0.25">
      <c r="A216" s="1248" t="s">
        <v>117</v>
      </c>
      <c r="B216" s="1250" t="s">
        <v>20294</v>
      </c>
      <c r="C216" s="1250" t="s">
        <v>20212</v>
      </c>
      <c r="D216" s="1251">
        <v>0.33008399999999993</v>
      </c>
      <c r="E216" s="1251">
        <v>-0.33008399999999993</v>
      </c>
      <c r="F216" s="1251">
        <v>1.2717391304347826E-2</v>
      </c>
      <c r="G216" s="1251">
        <v>0</v>
      </c>
      <c r="H216" s="1251">
        <v>-0.30852125217391302</v>
      </c>
      <c r="I216" s="1251"/>
      <c r="J216" s="1252" t="s">
        <v>20211</v>
      </c>
      <c r="K216" s="1250" t="s">
        <v>2217</v>
      </c>
      <c r="L216" s="1251">
        <v>57.385620055900503</v>
      </c>
      <c r="M216" s="1251">
        <v>35.437352096305403</v>
      </c>
      <c r="N216" s="1250" t="e">
        <f>VLOOKUP('Интерактивная карта'!#REF!,Итоговая!AA219:AV646,21,FALSE)</f>
        <v>#REF!</v>
      </c>
      <c r="O216" s="1250" t="e">
        <f>VLOOKUP('Интерактивная карта'!#REF!,Итоговая!AA219:AV646,22,FALSE)</f>
        <v>#REF!</v>
      </c>
      <c r="P216" s="1250" t="e">
        <f>VLOOKUP(#REF!,Итоговая!C219:I646,2,FALSE)</f>
        <v>#REF!</v>
      </c>
      <c r="Q216" s="1250" t="e">
        <f>VLOOKUP(#REF!,Итоговая!C219:I646,4,FALSE)</f>
        <v>#REF!</v>
      </c>
      <c r="R216" s="1250" t="e">
        <f>VLOOKUP(#REF!,Итоговая!C219:I646,6,FALSE)</f>
        <v>#REF!</v>
      </c>
      <c r="S216" s="1250"/>
      <c r="T216" s="1251" t="e">
        <f>VLOOKUP(#REF!,Итоговая!AA219:AP646,16,FALSE)</f>
        <v>#REF!</v>
      </c>
    </row>
    <row r="217" spans="1:20" x14ac:dyDescent="0.25">
      <c r="A217" s="1248" t="s">
        <v>118</v>
      </c>
      <c r="B217" s="1250" t="s">
        <v>20271</v>
      </c>
      <c r="C217" s="1250" t="s">
        <v>20212</v>
      </c>
      <c r="D217" s="1251">
        <v>0.73351999999999995</v>
      </c>
      <c r="E217" s="1251">
        <v>-3.5199999999999676E-3</v>
      </c>
      <c r="F217" s="1251">
        <v>0.73129347826086954</v>
      </c>
      <c r="G217" s="1251">
        <v>0</v>
      </c>
      <c r="H217" s="1251">
        <v>-0.73481347826086951</v>
      </c>
      <c r="I217" s="1251"/>
      <c r="J217" s="1252" t="s">
        <v>20211</v>
      </c>
      <c r="K217" s="1250" t="s">
        <v>2217</v>
      </c>
      <c r="L217" s="1251">
        <v>56.956849369037897</v>
      </c>
      <c r="M217" s="1251">
        <v>35.519790738799003</v>
      </c>
      <c r="N217" s="1250" t="e">
        <f>VLOOKUP('Интерактивная карта'!#REF!,Итоговая!AA220:AV647,21,FALSE)</f>
        <v>#REF!</v>
      </c>
      <c r="O217" s="1250" t="e">
        <f>VLOOKUP('Интерактивная карта'!#REF!,Итоговая!AA220:AV647,22,FALSE)</f>
        <v>#REF!</v>
      </c>
      <c r="P217" s="1250" t="e">
        <f>VLOOKUP(#REF!,Итоговая!C220:I647,2,FALSE)</f>
        <v>#REF!</v>
      </c>
      <c r="Q217" s="1250" t="e">
        <f>VLOOKUP(#REF!,Итоговая!C220:I647,4,FALSE)</f>
        <v>#REF!</v>
      </c>
      <c r="R217" s="1250" t="e">
        <f>VLOOKUP(#REF!,Итоговая!C220:I647,6,FALSE)</f>
        <v>#REF!</v>
      </c>
      <c r="S217" s="1250"/>
      <c r="T217" s="1251" t="e">
        <f>VLOOKUP(#REF!,Итоговая!AA220:AP647,16,FALSE)</f>
        <v>#REF!</v>
      </c>
    </row>
    <row r="218" spans="1:20" x14ac:dyDescent="0.25">
      <c r="A218" s="1248" t="s">
        <v>119</v>
      </c>
      <c r="B218" s="1250" t="s">
        <v>20302</v>
      </c>
      <c r="C218" s="1250" t="s">
        <v>20210</v>
      </c>
      <c r="D218" s="1251">
        <v>0.32056899999999999</v>
      </c>
      <c r="E218" s="1251">
        <v>-0.32056899999999999</v>
      </c>
      <c r="F218" s="1251">
        <v>8.7456521739130419E-2</v>
      </c>
      <c r="G218" s="1251">
        <v>0</v>
      </c>
      <c r="H218" s="1251">
        <v>-0.36722296956521738</v>
      </c>
      <c r="I218" s="1251"/>
      <c r="J218" s="1252" t="s">
        <v>20211</v>
      </c>
      <c r="K218" s="1250" t="s">
        <v>2217</v>
      </c>
      <c r="L218" s="1251">
        <v>57.125073809915101</v>
      </c>
      <c r="M218" s="1251">
        <v>35.672753228089903</v>
      </c>
      <c r="N218" s="1250" t="e">
        <f>VLOOKUP('Интерактивная карта'!#REF!,Итоговая!AA221:AV648,21,FALSE)</f>
        <v>#REF!</v>
      </c>
      <c r="O218" s="1250" t="e">
        <f>VLOOKUP('Интерактивная карта'!#REF!,Итоговая!AA221:AV648,22,FALSE)</f>
        <v>#REF!</v>
      </c>
      <c r="P218" s="1250" t="e">
        <f>VLOOKUP(#REF!,Итоговая!C221:I648,2,FALSE)</f>
        <v>#REF!</v>
      </c>
      <c r="Q218" s="1250" t="e">
        <f>VLOOKUP(#REF!,Итоговая!C221:I648,4,FALSE)</f>
        <v>#REF!</v>
      </c>
      <c r="R218" s="1250" t="e">
        <f>VLOOKUP(#REF!,Итоговая!C221:I648,6,FALSE)</f>
        <v>#REF!</v>
      </c>
      <c r="S218" s="1250"/>
      <c r="T218" s="1251" t="e">
        <f>VLOOKUP(#REF!,Итоговая!AA221:AP648,16,FALSE)</f>
        <v>#REF!</v>
      </c>
    </row>
    <row r="219" spans="1:20" x14ac:dyDescent="0.25">
      <c r="A219" s="1248" t="s">
        <v>120</v>
      </c>
      <c r="B219" s="1250" t="s">
        <v>20287</v>
      </c>
      <c r="C219" s="1250" t="s">
        <v>20212</v>
      </c>
      <c r="D219" s="1251">
        <v>0.55013999999999996</v>
      </c>
      <c r="E219" s="1251">
        <v>-0.55013999999999996</v>
      </c>
      <c r="F219" s="1251">
        <v>1.5847826086956521E-2</v>
      </c>
      <c r="G219" s="1251">
        <v>0</v>
      </c>
      <c r="H219" s="1251">
        <v>-0.50938904347826086</v>
      </c>
      <c r="I219" s="1251"/>
      <c r="J219" s="1252" t="s">
        <v>20211</v>
      </c>
      <c r="K219" s="1250" t="s">
        <v>2217</v>
      </c>
      <c r="L219" s="1251">
        <v>56.662698208776298</v>
      </c>
      <c r="M219" s="1251">
        <v>36.6972146769468</v>
      </c>
      <c r="N219" s="1250" t="e">
        <f>VLOOKUP('Интерактивная карта'!#REF!,Итоговая!AA222:AV649,21,FALSE)</f>
        <v>#REF!</v>
      </c>
      <c r="O219" s="1250" t="e">
        <f>VLOOKUP('Интерактивная карта'!#REF!,Итоговая!AA222:AV649,22,FALSE)</f>
        <v>#REF!</v>
      </c>
      <c r="P219" s="1250" t="e">
        <f>VLOOKUP(#REF!,Итоговая!C222:I649,2,FALSE)</f>
        <v>#REF!</v>
      </c>
      <c r="Q219" s="1250" t="e">
        <f>VLOOKUP(#REF!,Итоговая!C222:I649,4,FALSE)</f>
        <v>#REF!</v>
      </c>
      <c r="R219" s="1250" t="e">
        <f>VLOOKUP(#REF!,Итоговая!C222:I649,6,FALSE)</f>
        <v>#REF!</v>
      </c>
      <c r="S219" s="1250"/>
      <c r="T219" s="1251" t="e">
        <f>VLOOKUP(#REF!,Итоговая!AA222:AP649,16,FALSE)</f>
        <v>#REF!</v>
      </c>
    </row>
    <row r="220" spans="1:20" x14ac:dyDescent="0.25">
      <c r="A220" s="1248" t="s">
        <v>121</v>
      </c>
      <c r="B220" s="1250" t="s">
        <v>20330</v>
      </c>
      <c r="C220" s="1250" t="s">
        <v>20212</v>
      </c>
      <c r="D220" s="1251">
        <v>1.44801</v>
      </c>
      <c r="E220" s="1251">
        <v>-1.44801</v>
      </c>
      <c r="F220" s="1251">
        <v>0.20295652173913042</v>
      </c>
      <c r="G220" s="1251">
        <v>0</v>
      </c>
      <c r="H220" s="1251">
        <v>-1.4858698695652175</v>
      </c>
      <c r="I220" s="1251"/>
      <c r="J220" s="1252" t="s">
        <v>20211</v>
      </c>
      <c r="K220" s="1250" t="s">
        <v>2217</v>
      </c>
      <c r="L220" s="1251">
        <v>56.768694136898397</v>
      </c>
      <c r="M220" s="1251">
        <v>36.275502863553797</v>
      </c>
      <c r="N220" s="1250" t="e">
        <f>VLOOKUP('Интерактивная карта'!#REF!,Итоговая!AA223:AV650,21,FALSE)</f>
        <v>#REF!</v>
      </c>
      <c r="O220" s="1250" t="e">
        <f>VLOOKUP('Интерактивная карта'!#REF!,Итоговая!AA223:AV650,22,FALSE)</f>
        <v>#REF!</v>
      </c>
      <c r="P220" s="1250" t="e">
        <f>VLOOKUP(#REF!,Итоговая!C223:I650,2,FALSE)</f>
        <v>#REF!</v>
      </c>
      <c r="Q220" s="1250" t="e">
        <f>VLOOKUP(#REF!,Итоговая!C223:I650,4,FALSE)</f>
        <v>#REF!</v>
      </c>
      <c r="R220" s="1250" t="e">
        <f>VLOOKUP(#REF!,Итоговая!C223:I650,6,FALSE)</f>
        <v>#REF!</v>
      </c>
      <c r="S220" s="1250"/>
      <c r="T220" s="1251" t="e">
        <f>VLOOKUP(#REF!,Итоговая!AA223:AP650,16,FALSE)</f>
        <v>#REF!</v>
      </c>
    </row>
    <row r="221" spans="1:20" x14ac:dyDescent="0.25">
      <c r="A221" s="1248" t="s">
        <v>122</v>
      </c>
      <c r="B221" s="1250" t="s">
        <v>20331</v>
      </c>
      <c r="C221" s="1250" t="s">
        <v>20213</v>
      </c>
      <c r="D221" s="1251">
        <v>1.41168</v>
      </c>
      <c r="E221" s="1251">
        <v>-1.41168</v>
      </c>
      <c r="F221" s="1251">
        <v>1.036413043478261</v>
      </c>
      <c r="G221" s="1251">
        <v>0.19</v>
      </c>
      <c r="H221" s="1251">
        <v>-2.4480930434782611</v>
      </c>
      <c r="I221" s="1251"/>
      <c r="J221" s="1252" t="s">
        <v>20211</v>
      </c>
      <c r="K221" s="1250" t="s">
        <v>2217</v>
      </c>
      <c r="L221" s="1251">
        <v>56.587896602222003</v>
      </c>
      <c r="M221" s="1251">
        <v>36.4910108207308</v>
      </c>
      <c r="N221" s="1250" t="e">
        <f>VLOOKUP('Интерактивная карта'!#REF!,Итоговая!AA224:AV651,21,FALSE)</f>
        <v>#REF!</v>
      </c>
      <c r="O221" s="1250" t="e">
        <f>VLOOKUP('Интерактивная карта'!#REF!,Итоговая!AA224:AV651,22,FALSE)</f>
        <v>#REF!</v>
      </c>
      <c r="P221" s="1250" t="e">
        <f>VLOOKUP(#REF!,Итоговая!C224:I651,2,FALSE)</f>
        <v>#REF!</v>
      </c>
      <c r="Q221" s="1250" t="e">
        <f>VLOOKUP(#REF!,Итоговая!C224:I651,4,FALSE)</f>
        <v>#REF!</v>
      </c>
      <c r="R221" s="1250" t="e">
        <f>VLOOKUP(#REF!,Итоговая!C224:I651,6,FALSE)</f>
        <v>#REF!</v>
      </c>
      <c r="S221" s="1250"/>
      <c r="T221" s="1251" t="e">
        <f>VLOOKUP(#REF!,Итоговая!AA224:AP651,16,FALSE)</f>
        <v>#REF!</v>
      </c>
    </row>
    <row r="222" spans="1:20" x14ac:dyDescent="0.25">
      <c r="A222" s="1248" t="s">
        <v>123</v>
      </c>
      <c r="B222" s="1250" t="s">
        <v>20271</v>
      </c>
      <c r="C222" s="1250" t="s">
        <v>20212</v>
      </c>
      <c r="D222" s="1251">
        <v>0.51830799999999988</v>
      </c>
      <c r="E222" s="1251">
        <v>-0.1683079999999999</v>
      </c>
      <c r="F222" s="1251">
        <v>0.2999347826086956</v>
      </c>
      <c r="G222" s="1251">
        <v>0.06</v>
      </c>
      <c r="H222" s="1251">
        <v>-0.46824278260869551</v>
      </c>
      <c r="I222" s="1251"/>
      <c r="J222" s="1252" t="s">
        <v>20211</v>
      </c>
      <c r="K222" s="1250" t="s">
        <v>2217</v>
      </c>
      <c r="L222" s="1251">
        <v>57.205603589896803</v>
      </c>
      <c r="M222" s="1251">
        <v>36.369147383304998</v>
      </c>
      <c r="N222" s="1250" t="e">
        <f>VLOOKUP('Интерактивная карта'!#REF!,Итоговая!AA225:AV652,21,FALSE)</f>
        <v>#REF!</v>
      </c>
      <c r="O222" s="1250" t="e">
        <f>VLOOKUP('Интерактивная карта'!#REF!,Итоговая!AA225:AV652,22,FALSE)</f>
        <v>#REF!</v>
      </c>
      <c r="P222" s="1250" t="e">
        <f>VLOOKUP(#REF!,Итоговая!C225:I652,2,FALSE)</f>
        <v>#REF!</v>
      </c>
      <c r="Q222" s="1250" t="e">
        <f>VLOOKUP(#REF!,Итоговая!C225:I652,4,FALSE)</f>
        <v>#REF!</v>
      </c>
      <c r="R222" s="1250" t="e">
        <f>VLOOKUP(#REF!,Итоговая!C225:I652,6,FALSE)</f>
        <v>#REF!</v>
      </c>
      <c r="S222" s="1250"/>
      <c r="T222" s="1251" t="e">
        <f>VLOOKUP(#REF!,Итоговая!AA225:AP652,16,FALSE)</f>
        <v>#REF!</v>
      </c>
    </row>
    <row r="223" spans="1:20" x14ac:dyDescent="0.25">
      <c r="A223" s="1248" t="s">
        <v>1931</v>
      </c>
      <c r="B223" s="1250" t="s">
        <v>20277</v>
      </c>
      <c r="C223" s="1250" t="s">
        <v>20212</v>
      </c>
      <c r="D223" s="1251">
        <v>0.53976000000000002</v>
      </c>
      <c r="E223" s="1251">
        <v>-0.53976000000000002</v>
      </c>
      <c r="F223" s="1251">
        <v>6.4565217391304344E-2</v>
      </c>
      <c r="G223" s="1251">
        <v>0</v>
      </c>
      <c r="H223" s="1251">
        <v>-0.54389269565217402</v>
      </c>
      <c r="I223" s="1251"/>
      <c r="J223" s="1252" t="s">
        <v>20211</v>
      </c>
      <c r="K223" s="1250" t="s">
        <v>2217</v>
      </c>
      <c r="L223" s="1251">
        <v>57.363755430550597</v>
      </c>
      <c r="M223" s="1251">
        <v>36.599152638130299</v>
      </c>
      <c r="N223" s="1250" t="e">
        <f>VLOOKUP('Интерактивная карта'!#REF!,Итоговая!AA226:AV653,21,FALSE)</f>
        <v>#REF!</v>
      </c>
      <c r="O223" s="1250" t="e">
        <f>VLOOKUP('Интерактивная карта'!#REF!,Итоговая!AA226:AV653,22,FALSE)</f>
        <v>#REF!</v>
      </c>
      <c r="P223" s="1250" t="e">
        <f>VLOOKUP(#REF!,Итоговая!C226:I653,2,FALSE)</f>
        <v>#REF!</v>
      </c>
      <c r="Q223" s="1250" t="e">
        <f>VLOOKUP(#REF!,Итоговая!C226:I653,4,FALSE)</f>
        <v>#REF!</v>
      </c>
      <c r="R223" s="1250" t="e">
        <f>VLOOKUP(#REF!,Итоговая!C226:I653,6,FALSE)</f>
        <v>#REF!</v>
      </c>
      <c r="S223" s="1250"/>
      <c r="T223" s="1251" t="e">
        <f>VLOOKUP(#REF!,Итоговая!AA226:AP653,16,FALSE)</f>
        <v>#REF!</v>
      </c>
    </row>
    <row r="224" spans="1:20" x14ac:dyDescent="0.25">
      <c r="A224" s="1248" t="s">
        <v>124</v>
      </c>
      <c r="B224" s="1250" t="s">
        <v>20272</v>
      </c>
      <c r="C224" s="1250" t="s">
        <v>20212</v>
      </c>
      <c r="D224" s="1251">
        <v>0.16504199999999997</v>
      </c>
      <c r="E224" s="1251">
        <v>4.9580000000000457E-3</v>
      </c>
      <c r="F224" s="1251">
        <v>7.3369565217391297E-3</v>
      </c>
      <c r="G224" s="1251">
        <v>0</v>
      </c>
      <c r="H224" s="1251">
        <v>-2.378956521739084E-3</v>
      </c>
      <c r="I224" s="1251"/>
      <c r="J224" s="1252" t="s">
        <v>20211</v>
      </c>
      <c r="K224" s="1250" t="s">
        <v>2217</v>
      </c>
      <c r="L224" s="1251">
        <v>57.391124969442103</v>
      </c>
      <c r="M224" s="1251">
        <v>36.379972885451103</v>
      </c>
      <c r="N224" s="1250" t="e">
        <f>VLOOKUP('Интерактивная карта'!#REF!,Итоговая!AA227:AV654,21,FALSE)</f>
        <v>#REF!</v>
      </c>
      <c r="O224" s="1250" t="e">
        <f>VLOOKUP('Интерактивная карта'!#REF!,Итоговая!AA227:AV654,22,FALSE)</f>
        <v>#REF!</v>
      </c>
      <c r="P224" s="1250" t="e">
        <f>VLOOKUP(#REF!,Итоговая!C227:I654,2,FALSE)</f>
        <v>#REF!</v>
      </c>
      <c r="Q224" s="1250" t="e">
        <f>VLOOKUP(#REF!,Итоговая!C227:I654,4,FALSE)</f>
        <v>#REF!</v>
      </c>
      <c r="R224" s="1250" t="e">
        <f>VLOOKUP(#REF!,Итоговая!C227:I654,6,FALSE)</f>
        <v>#REF!</v>
      </c>
      <c r="S224" s="1250"/>
      <c r="T224" s="1251" t="e">
        <f>VLOOKUP(#REF!,Итоговая!AA227:AP654,16,FALSE)</f>
        <v>#REF!</v>
      </c>
    </row>
    <row r="225" spans="1:20" x14ac:dyDescent="0.25">
      <c r="A225" s="1248" t="s">
        <v>125</v>
      </c>
      <c r="B225" s="1250" t="s">
        <v>20268</v>
      </c>
      <c r="C225" s="1250" t="s">
        <v>20235</v>
      </c>
      <c r="D225" s="1251">
        <v>1.5072624999999999</v>
      </c>
      <c r="E225" s="1251">
        <v>2.6927375000000002</v>
      </c>
      <c r="F225" s="1251">
        <v>0.41086956521739126</v>
      </c>
      <c r="G225" s="1251">
        <v>0</v>
      </c>
      <c r="H225" s="1251">
        <v>2.2818679347826087</v>
      </c>
      <c r="I225" s="1251"/>
      <c r="J225" s="1252" t="s">
        <v>20211</v>
      </c>
      <c r="K225" s="1250" t="s">
        <v>20211</v>
      </c>
      <c r="L225" s="1251">
        <v>56.912094781366399</v>
      </c>
      <c r="M225" s="1251">
        <v>36.230996697867603</v>
      </c>
      <c r="N225" s="1250" t="e">
        <f>VLOOKUP('Интерактивная карта'!#REF!,Итоговая!AA228:AV655,21,FALSE)</f>
        <v>#REF!</v>
      </c>
      <c r="O225" s="1250" t="e">
        <f>VLOOKUP('Интерактивная карта'!#REF!,Итоговая!AA228:AV655,22,FALSE)</f>
        <v>#REF!</v>
      </c>
      <c r="P225" s="1250" t="e">
        <f>VLOOKUP(#REF!,Итоговая!C228:I655,2,FALSE)</f>
        <v>#REF!</v>
      </c>
      <c r="Q225" s="1250" t="e">
        <f>VLOOKUP(#REF!,Итоговая!C228:I655,4,FALSE)</f>
        <v>#REF!</v>
      </c>
      <c r="R225" s="1250" t="e">
        <f>VLOOKUP(#REF!,Итоговая!C228:I655,6,FALSE)</f>
        <v>#REF!</v>
      </c>
      <c r="S225" s="1250"/>
      <c r="T225" s="1251" t="e">
        <f>VLOOKUP(#REF!,Итоговая!AA228:AP655,16,FALSE)</f>
        <v>#REF!</v>
      </c>
    </row>
    <row r="226" spans="1:20" x14ac:dyDescent="0.25">
      <c r="A226" s="1248" t="s">
        <v>2240</v>
      </c>
      <c r="B226" s="1250" t="s">
        <v>20289</v>
      </c>
      <c r="C226" s="1250" t="s">
        <v>20252</v>
      </c>
      <c r="D226" s="1251">
        <v>1.3397120000000002</v>
      </c>
      <c r="E226" s="1251">
        <v>1.2852879999999998</v>
      </c>
      <c r="F226" s="1251">
        <v>1.6294891304347827</v>
      </c>
      <c r="G226" s="1251">
        <v>0.26</v>
      </c>
      <c r="H226" s="1251">
        <v>-0.30978101739130465</v>
      </c>
      <c r="I226" s="1251"/>
      <c r="J226" s="1252" t="s">
        <v>20211</v>
      </c>
      <c r="K226" s="1250" t="s">
        <v>2217</v>
      </c>
      <c r="L226" s="1251">
        <v>56.791632844852899</v>
      </c>
      <c r="M226" s="1251">
        <v>35.7139339625055</v>
      </c>
      <c r="N226" s="1250" t="e">
        <f>VLOOKUP('Интерактивная карта'!#REF!,Итоговая!AA229:AV656,21,FALSE)</f>
        <v>#REF!</v>
      </c>
      <c r="O226" s="1250" t="e">
        <f>VLOOKUP('Интерактивная карта'!#REF!,Итоговая!AA229:AV656,22,FALSE)</f>
        <v>#REF!</v>
      </c>
      <c r="P226" s="1250" t="e">
        <f>VLOOKUP(#REF!,Итоговая!C229:I656,2,FALSE)</f>
        <v>#REF!</v>
      </c>
      <c r="Q226" s="1250" t="e">
        <f>VLOOKUP(#REF!,Итоговая!C229:I656,4,FALSE)</f>
        <v>#REF!</v>
      </c>
      <c r="R226" s="1250" t="e">
        <f>VLOOKUP(#REF!,Итоговая!C229:I656,6,FALSE)</f>
        <v>#REF!</v>
      </c>
      <c r="S226" s="1250"/>
      <c r="T226" s="1251" t="e">
        <f>VLOOKUP(#REF!,Итоговая!AA229:AP656,16,FALSE)</f>
        <v>#REF!</v>
      </c>
    </row>
    <row r="227" spans="1:20" x14ac:dyDescent="0.25">
      <c r="A227" s="1248" t="s">
        <v>126</v>
      </c>
      <c r="B227" s="1250" t="s">
        <v>20314</v>
      </c>
      <c r="C227" s="1250" t="s">
        <v>20222</v>
      </c>
      <c r="D227" s="1251">
        <v>1.8888140000000002</v>
      </c>
      <c r="E227" s="1251">
        <v>0.73618599999999979</v>
      </c>
      <c r="F227" s="1251">
        <v>0.32693478260869568</v>
      </c>
      <c r="G227" s="1251">
        <v>0</v>
      </c>
      <c r="H227" s="1251">
        <v>0.4092512173913041</v>
      </c>
      <c r="I227" s="1251"/>
      <c r="J227" s="1252" t="s">
        <v>20211</v>
      </c>
      <c r="K227" s="1250" t="s">
        <v>20211</v>
      </c>
      <c r="L227" s="1251">
        <v>57.130553877386397</v>
      </c>
      <c r="M227" s="1251">
        <v>36.075326147215897</v>
      </c>
      <c r="N227" s="1250" t="e">
        <f>VLOOKUP('Интерактивная карта'!#REF!,Итоговая!AA230:AV657,21,FALSE)</f>
        <v>#REF!</v>
      </c>
      <c r="O227" s="1250" t="e">
        <f>VLOOKUP('Интерактивная карта'!#REF!,Итоговая!AA230:AV657,22,FALSE)</f>
        <v>#REF!</v>
      </c>
      <c r="P227" s="1250" t="e">
        <f>VLOOKUP(#REF!,Итоговая!C230:I657,2,FALSE)</f>
        <v>#REF!</v>
      </c>
      <c r="Q227" s="1250" t="e">
        <f>VLOOKUP(#REF!,Итоговая!C230:I657,4,FALSE)</f>
        <v>#REF!</v>
      </c>
      <c r="R227" s="1250" t="e">
        <f>VLOOKUP(#REF!,Итоговая!C230:I657,6,FALSE)</f>
        <v>#REF!</v>
      </c>
      <c r="S227" s="1250"/>
      <c r="T227" s="1251" t="e">
        <f>VLOOKUP(#REF!,Итоговая!AA230:AP657,16,FALSE)</f>
        <v>#REF!</v>
      </c>
    </row>
    <row r="228" spans="1:20" x14ac:dyDescent="0.25">
      <c r="A228" s="1248" t="s">
        <v>127</v>
      </c>
      <c r="B228" s="1250" t="s">
        <v>20292</v>
      </c>
      <c r="C228" s="1250" t="s">
        <v>20248</v>
      </c>
      <c r="D228" s="1251">
        <v>2.463174</v>
      </c>
      <c r="E228" s="1251">
        <v>3.4168259999999999</v>
      </c>
      <c r="F228" s="1251">
        <v>0</v>
      </c>
      <c r="G228" s="1251">
        <v>0</v>
      </c>
      <c r="H228" s="1251">
        <v>3.4168259999999999</v>
      </c>
      <c r="I228" s="1251"/>
      <c r="J228" s="1252" t="s">
        <v>20211</v>
      </c>
      <c r="K228" s="1250" t="s">
        <v>20211</v>
      </c>
      <c r="L228" s="1251">
        <v>56.798377183551999</v>
      </c>
      <c r="M228" s="1251">
        <v>36.042172374705899</v>
      </c>
      <c r="N228" s="1250" t="e">
        <f>VLOOKUP('Интерактивная карта'!#REF!,Итоговая!AA231:AV658,21,FALSE)</f>
        <v>#REF!</v>
      </c>
      <c r="O228" s="1250" t="e">
        <f>VLOOKUP('Интерактивная карта'!#REF!,Итоговая!AA231:AV658,22,FALSE)</f>
        <v>#REF!</v>
      </c>
      <c r="P228" s="1250" t="e">
        <f>VLOOKUP(#REF!,Итоговая!C231:I658,2,FALSE)</f>
        <v>#REF!</v>
      </c>
      <c r="Q228" s="1250" t="e">
        <f>VLOOKUP(#REF!,Итоговая!C231:I658,4,FALSE)</f>
        <v>#REF!</v>
      </c>
      <c r="R228" s="1250" t="e">
        <f>VLOOKUP(#REF!,Итоговая!C231:I658,6,FALSE)</f>
        <v>#REF!</v>
      </c>
      <c r="S228" s="1250"/>
      <c r="T228" s="1251" t="e">
        <f>VLOOKUP(#REF!,Итоговая!AA231:AP658,16,FALSE)</f>
        <v>#REF!</v>
      </c>
    </row>
    <row r="229" spans="1:20" x14ac:dyDescent="0.25">
      <c r="A229" s="1248" t="s">
        <v>128</v>
      </c>
      <c r="B229" s="1250" t="s">
        <v>20332</v>
      </c>
      <c r="C229" s="1250" t="s">
        <v>20232</v>
      </c>
      <c r="D229" s="1251">
        <v>1.5149609999999998</v>
      </c>
      <c r="E229" s="1251">
        <v>1.8450390000000005</v>
      </c>
      <c r="F229" s="1251">
        <v>1.6434782608695651E-2</v>
      </c>
      <c r="G229" s="1251">
        <v>0</v>
      </c>
      <c r="H229" s="1251">
        <v>1.8286042173913049</v>
      </c>
      <c r="I229" s="1251"/>
      <c r="J229" s="1252" t="s">
        <v>20211</v>
      </c>
      <c r="K229" s="1250" t="s">
        <v>20211</v>
      </c>
      <c r="L229" s="1251">
        <v>56.812938241620103</v>
      </c>
      <c r="M229" s="1251">
        <v>35.997714520066801</v>
      </c>
      <c r="N229" s="1250" t="e">
        <f>VLOOKUP('Интерактивная карта'!#REF!,Итоговая!AA232:AV659,21,FALSE)</f>
        <v>#REF!</v>
      </c>
      <c r="O229" s="1250" t="e">
        <f>VLOOKUP('Интерактивная карта'!#REF!,Итоговая!AA232:AV659,22,FALSE)</f>
        <v>#REF!</v>
      </c>
      <c r="P229" s="1250" t="e">
        <f>VLOOKUP(#REF!,Итоговая!C232:I659,2,FALSE)</f>
        <v>#REF!</v>
      </c>
      <c r="Q229" s="1250" t="e">
        <f>VLOOKUP(#REF!,Итоговая!C232:I659,4,FALSE)</f>
        <v>#REF!</v>
      </c>
      <c r="R229" s="1250" t="e">
        <f>VLOOKUP(#REF!,Итоговая!C232:I659,6,FALSE)</f>
        <v>#REF!</v>
      </c>
      <c r="S229" s="1250"/>
      <c r="T229" s="1251" t="e">
        <f>VLOOKUP(#REF!,Итоговая!AA232:AP659,16,FALSE)</f>
        <v>#REF!</v>
      </c>
    </row>
    <row r="230" spans="1:20" x14ac:dyDescent="0.25">
      <c r="A230" s="1248" t="s">
        <v>129</v>
      </c>
      <c r="B230" s="1250" t="s">
        <v>20277</v>
      </c>
      <c r="C230" s="1250" t="s">
        <v>20227</v>
      </c>
      <c r="D230" s="1251">
        <v>11.91624</v>
      </c>
      <c r="E230" s="1251">
        <v>-1.4162400000000002</v>
      </c>
      <c r="F230" s="1251">
        <v>0</v>
      </c>
      <c r="G230" s="1251">
        <v>0</v>
      </c>
      <c r="H230" s="1251">
        <v>-1.4162400000000002</v>
      </c>
      <c r="I230" s="1251"/>
      <c r="J230" s="1252" t="s">
        <v>2217</v>
      </c>
      <c r="K230" s="1250" t="s">
        <v>2217</v>
      </c>
      <c r="L230" s="1251">
        <v>56.840788825628401</v>
      </c>
      <c r="M230" s="1251">
        <v>35.936698991917602</v>
      </c>
      <c r="N230" s="1250" t="e">
        <f>VLOOKUP('Интерактивная карта'!#REF!,Итоговая!AA233:AV660,21,FALSE)</f>
        <v>#REF!</v>
      </c>
      <c r="O230" s="1250" t="e">
        <f>VLOOKUP('Интерактивная карта'!#REF!,Итоговая!AA233:AV660,22,FALSE)</f>
        <v>#REF!</v>
      </c>
      <c r="P230" s="1250" t="e">
        <f>VLOOKUP(#REF!,Итоговая!C233:I660,2,FALSE)</f>
        <v>#REF!</v>
      </c>
      <c r="Q230" s="1250" t="e">
        <f>VLOOKUP(#REF!,Итоговая!C233:I660,4,FALSE)</f>
        <v>#REF!</v>
      </c>
      <c r="R230" s="1250" t="e">
        <f>VLOOKUP(#REF!,Итоговая!C233:I660,6,FALSE)</f>
        <v>#REF!</v>
      </c>
      <c r="S230" s="1250"/>
      <c r="T230" s="1251" t="e">
        <f>VLOOKUP(#REF!,Итоговая!AA233:AP660,16,FALSE)</f>
        <v>#REF!</v>
      </c>
    </row>
    <row r="231" spans="1:20" x14ac:dyDescent="0.25">
      <c r="A231" s="1248" t="s">
        <v>130</v>
      </c>
      <c r="B231" s="1250" t="s">
        <v>20316</v>
      </c>
      <c r="C231" s="1250" t="s">
        <v>20243</v>
      </c>
      <c r="D231" s="1251">
        <v>17.106240000000003</v>
      </c>
      <c r="E231" s="1251">
        <v>-0.30624000000000251</v>
      </c>
      <c r="F231" s="1251">
        <v>0</v>
      </c>
      <c r="G231" s="1251">
        <v>0</v>
      </c>
      <c r="H231" s="1251">
        <v>-0.30624000000000251</v>
      </c>
      <c r="I231" s="1251"/>
      <c r="J231" s="1252" t="s">
        <v>2217</v>
      </c>
      <c r="K231" s="1250" t="s">
        <v>2217</v>
      </c>
      <c r="L231" s="1251">
        <v>56.846172344953601</v>
      </c>
      <c r="M231" s="1251">
        <v>35.883674610695302</v>
      </c>
      <c r="N231" s="1250" t="e">
        <f>VLOOKUP('Интерактивная карта'!#REF!,Итоговая!AA234:AV661,21,FALSE)</f>
        <v>#REF!</v>
      </c>
      <c r="O231" s="1250" t="e">
        <f>VLOOKUP('Интерактивная карта'!#REF!,Итоговая!AA234:AV661,22,FALSE)</f>
        <v>#REF!</v>
      </c>
      <c r="P231" s="1250" t="e">
        <f>VLOOKUP(#REF!,Итоговая!C234:I661,2,FALSE)</f>
        <v>#REF!</v>
      </c>
      <c r="Q231" s="1250" t="e">
        <f>VLOOKUP(#REF!,Итоговая!C234:I661,4,FALSE)</f>
        <v>#REF!</v>
      </c>
      <c r="R231" s="1250" t="e">
        <f>VLOOKUP(#REF!,Итоговая!C234:I661,6,FALSE)</f>
        <v>#REF!</v>
      </c>
      <c r="S231" s="1250"/>
      <c r="T231" s="1251" t="e">
        <f>VLOOKUP(#REF!,Итоговая!AA234:AP661,16,FALSE)</f>
        <v>#REF!</v>
      </c>
    </row>
    <row r="232" spans="1:20" x14ac:dyDescent="0.25">
      <c r="A232" s="1248" t="s">
        <v>131</v>
      </c>
      <c r="B232" s="1250" t="s">
        <v>20287</v>
      </c>
      <c r="C232" s="1250" t="s">
        <v>20227</v>
      </c>
      <c r="D232" s="1251">
        <v>3.9028800000000001</v>
      </c>
      <c r="E232" s="1251">
        <v>6.5971200000000003</v>
      </c>
      <c r="F232" s="1251">
        <v>0</v>
      </c>
      <c r="G232" s="1251">
        <v>0</v>
      </c>
      <c r="H232" s="1251">
        <v>6.5971200000000003</v>
      </c>
      <c r="I232" s="1251"/>
      <c r="J232" s="1252" t="s">
        <v>20211</v>
      </c>
      <c r="K232" s="1250" t="s">
        <v>20211</v>
      </c>
      <c r="L232" s="1251">
        <v>56.851808784363598</v>
      </c>
      <c r="M232" s="1251">
        <v>35.871821031209599</v>
      </c>
      <c r="N232" s="1250" t="e">
        <f>VLOOKUP('Интерактивная карта'!#REF!,Итоговая!AA235:AV662,21,FALSE)</f>
        <v>#REF!</v>
      </c>
      <c r="O232" s="1250" t="e">
        <f>VLOOKUP('Интерактивная карта'!#REF!,Итоговая!AA235:AV662,22,FALSE)</f>
        <v>#REF!</v>
      </c>
      <c r="P232" s="1250" t="e">
        <f>VLOOKUP(#REF!,Итоговая!C235:I662,2,FALSE)</f>
        <v>#REF!</v>
      </c>
      <c r="Q232" s="1250" t="e">
        <f>VLOOKUP(#REF!,Итоговая!C235:I662,4,FALSE)</f>
        <v>#REF!</v>
      </c>
      <c r="R232" s="1250" t="e">
        <f>VLOOKUP(#REF!,Итоговая!C235:I662,6,FALSE)</f>
        <v>#REF!</v>
      </c>
      <c r="S232" s="1250"/>
      <c r="T232" s="1251" t="e">
        <f>VLOOKUP(#REF!,Итоговая!AA235:AP662,16,FALSE)</f>
        <v>#REF!</v>
      </c>
    </row>
    <row r="233" spans="1:20" x14ac:dyDescent="0.25">
      <c r="A233" s="1248" t="s">
        <v>132</v>
      </c>
      <c r="B233" s="1250" t="s">
        <v>20287</v>
      </c>
      <c r="C233" s="1250" t="s">
        <v>20227</v>
      </c>
      <c r="D233" s="1251">
        <v>4.6756709999999995</v>
      </c>
      <c r="E233" s="1251">
        <v>5.8243290000000005</v>
      </c>
      <c r="F233" s="1251">
        <v>0.41615217391304343</v>
      </c>
      <c r="G233" s="1251">
        <v>0</v>
      </c>
      <c r="H233" s="1251">
        <v>5.4081768260869572</v>
      </c>
      <c r="I233" s="1251"/>
      <c r="J233" s="1252" t="s">
        <v>20211</v>
      </c>
      <c r="K233" s="1250" t="s">
        <v>20211</v>
      </c>
      <c r="L233" s="1251">
        <v>56.895222670848298</v>
      </c>
      <c r="M233" s="1251">
        <v>35.8232762968806</v>
      </c>
      <c r="N233" s="1250" t="e">
        <f>VLOOKUP('Интерактивная карта'!#REF!,Итоговая!AA236:AV663,21,FALSE)</f>
        <v>#REF!</v>
      </c>
      <c r="O233" s="1250" t="e">
        <f>VLOOKUP('Интерактивная карта'!#REF!,Итоговая!AA236:AV663,22,FALSE)</f>
        <v>#REF!</v>
      </c>
      <c r="P233" s="1250" t="e">
        <f>VLOOKUP(#REF!,Итоговая!C236:I663,2,FALSE)</f>
        <v>#REF!</v>
      </c>
      <c r="Q233" s="1250" t="e">
        <f>VLOOKUP(#REF!,Итоговая!C236:I663,4,FALSE)</f>
        <v>#REF!</v>
      </c>
      <c r="R233" s="1250" t="e">
        <f>VLOOKUP(#REF!,Итоговая!C236:I663,6,FALSE)</f>
        <v>#REF!</v>
      </c>
      <c r="S233" s="1250"/>
      <c r="T233" s="1251" t="e">
        <f>VLOOKUP(#REF!,Итоговая!AA236:AP663,16,FALSE)</f>
        <v>#REF!</v>
      </c>
    </row>
    <row r="234" spans="1:20" x14ac:dyDescent="0.25">
      <c r="A234" s="1248" t="s">
        <v>133</v>
      </c>
      <c r="B234" s="1250" t="s">
        <v>20310</v>
      </c>
      <c r="C234" s="1250" t="s">
        <v>20243</v>
      </c>
      <c r="D234" s="1251">
        <v>13.529984000000001</v>
      </c>
      <c r="E234" s="1251">
        <v>3.270016</v>
      </c>
      <c r="F234" s="1251">
        <v>1.881195652173913</v>
      </c>
      <c r="G234" s="1251">
        <v>0</v>
      </c>
      <c r="H234" s="1251">
        <v>1.388820347826087</v>
      </c>
      <c r="I234" s="1251"/>
      <c r="J234" s="1252" t="s">
        <v>20211</v>
      </c>
      <c r="K234" s="1250" t="s">
        <v>20211</v>
      </c>
      <c r="L234" s="1251">
        <v>56.888644078821699</v>
      </c>
      <c r="M234" s="1251">
        <v>35.898403986443597</v>
      </c>
      <c r="N234" s="1250" t="e">
        <f>VLOOKUP('Интерактивная карта'!#REF!,Итоговая!AA237:AV664,21,FALSE)</f>
        <v>#REF!</v>
      </c>
      <c r="O234" s="1250" t="e">
        <f>VLOOKUP('Интерактивная карта'!#REF!,Итоговая!AA237:AV664,22,FALSE)</f>
        <v>#REF!</v>
      </c>
      <c r="P234" s="1250" t="e">
        <f>VLOOKUP(#REF!,Итоговая!C237:I664,2,FALSE)</f>
        <v>#REF!</v>
      </c>
      <c r="Q234" s="1250" t="e">
        <f>VLOOKUP(#REF!,Итоговая!C237:I664,4,FALSE)</f>
        <v>#REF!</v>
      </c>
      <c r="R234" s="1250" t="e">
        <f>VLOOKUP(#REF!,Итоговая!C237:I664,6,FALSE)</f>
        <v>#REF!</v>
      </c>
      <c r="S234" s="1250"/>
      <c r="T234" s="1251" t="e">
        <f>VLOOKUP(#REF!,Итоговая!AA237:AP664,16,FALSE)</f>
        <v>#REF!</v>
      </c>
    </row>
    <row r="235" spans="1:20" x14ac:dyDescent="0.25">
      <c r="A235" s="1248" t="s">
        <v>134</v>
      </c>
      <c r="B235" s="1250" t="s">
        <v>20333</v>
      </c>
      <c r="C235" s="1250" t="s">
        <v>20240</v>
      </c>
      <c r="D235" s="1251">
        <v>6.0982500000000002</v>
      </c>
      <c r="E235" s="1251">
        <v>1.7767499999999998</v>
      </c>
      <c r="F235" s="1251">
        <v>0</v>
      </c>
      <c r="G235" s="1251">
        <v>0</v>
      </c>
      <c r="H235" s="1251">
        <v>1.7767499999999998</v>
      </c>
      <c r="I235" s="1251"/>
      <c r="J235" s="1252" t="s">
        <v>20211</v>
      </c>
      <c r="K235" s="1250" t="s">
        <v>20211</v>
      </c>
      <c r="L235" s="1251">
        <v>56.862014870576601</v>
      </c>
      <c r="M235" s="1251">
        <v>35.8548721485312</v>
      </c>
      <c r="N235" s="1250" t="e">
        <f>VLOOKUP('Интерактивная карта'!#REF!,Итоговая!AA238:AV665,21,FALSE)</f>
        <v>#REF!</v>
      </c>
      <c r="O235" s="1250" t="e">
        <f>VLOOKUP('Интерактивная карта'!#REF!,Итоговая!AA238:AV665,22,FALSE)</f>
        <v>#REF!</v>
      </c>
      <c r="P235" s="1250" t="e">
        <f>VLOOKUP(#REF!,Итоговая!C238:I665,2,FALSE)</f>
        <v>#REF!</v>
      </c>
      <c r="Q235" s="1250" t="e">
        <f>VLOOKUP(#REF!,Итоговая!C238:I665,4,FALSE)</f>
        <v>#REF!</v>
      </c>
      <c r="R235" s="1250" t="e">
        <f>VLOOKUP(#REF!,Итоговая!C238:I665,6,FALSE)</f>
        <v>#REF!</v>
      </c>
      <c r="S235" s="1250"/>
      <c r="T235" s="1251" t="e">
        <f>VLOOKUP(#REF!,Итоговая!AA238:AP665,16,FALSE)</f>
        <v>#REF!</v>
      </c>
    </row>
    <row r="236" spans="1:20" x14ac:dyDescent="0.25">
      <c r="A236" s="1248" t="s">
        <v>135</v>
      </c>
      <c r="B236" s="1250" t="s">
        <v>20300</v>
      </c>
      <c r="C236" s="1250" t="s">
        <v>20227</v>
      </c>
      <c r="D236" s="1251">
        <v>11.381669999999998</v>
      </c>
      <c r="E236" s="1251">
        <v>-0.88166999999999796</v>
      </c>
      <c r="F236" s="1251">
        <v>0.33260869565217388</v>
      </c>
      <c r="G236" s="1251">
        <v>0</v>
      </c>
      <c r="H236" s="1251">
        <v>-1.2142786956521718</v>
      </c>
      <c r="I236" s="1251"/>
      <c r="J236" s="1252" t="s">
        <v>2217</v>
      </c>
      <c r="K236" s="1250" t="s">
        <v>2217</v>
      </c>
      <c r="L236" s="1251">
        <v>56.845537273625297</v>
      </c>
      <c r="M236" s="1251">
        <v>35.908624623833397</v>
      </c>
      <c r="N236" s="1250" t="e">
        <f>VLOOKUP('Интерактивная карта'!#REF!,Итоговая!AA239:AV666,21,FALSE)</f>
        <v>#REF!</v>
      </c>
      <c r="O236" s="1250" t="e">
        <f>VLOOKUP('Интерактивная карта'!#REF!,Итоговая!AA239:AV666,22,FALSE)</f>
        <v>#REF!</v>
      </c>
      <c r="P236" s="1250" t="e">
        <f>VLOOKUP(#REF!,Итоговая!C239:I666,2,FALSE)</f>
        <v>#REF!</v>
      </c>
      <c r="Q236" s="1250" t="e">
        <f>VLOOKUP(#REF!,Итоговая!C239:I666,4,FALSE)</f>
        <v>#REF!</v>
      </c>
      <c r="R236" s="1250" t="e">
        <f>VLOOKUP(#REF!,Итоговая!C239:I666,6,FALSE)</f>
        <v>#REF!</v>
      </c>
      <c r="S236" s="1250"/>
      <c r="T236" s="1251" t="e">
        <f>VLOOKUP(#REF!,Итоговая!AA239:AP666,16,FALSE)</f>
        <v>#REF!</v>
      </c>
    </row>
    <row r="237" spans="1:20" x14ac:dyDescent="0.25">
      <c r="A237" s="1248" t="s">
        <v>17349</v>
      </c>
      <c r="B237" s="1250" t="s">
        <v>20319</v>
      </c>
      <c r="C237" s="1250" t="s">
        <v>20226</v>
      </c>
      <c r="D237" s="1251">
        <v>1.4101229999999998</v>
      </c>
      <c r="E237" s="1251">
        <v>24.839877000000001</v>
      </c>
      <c r="F237" s="1251">
        <v>1.7391304347826086</v>
      </c>
      <c r="G237" s="1251">
        <v>1</v>
      </c>
      <c r="H237" s="1251">
        <v>23.100746565217392</v>
      </c>
      <c r="I237" s="1251"/>
      <c r="J237" s="1252" t="s">
        <v>20211</v>
      </c>
      <c r="K237" s="1250" t="s">
        <v>20211</v>
      </c>
      <c r="L237" s="1251">
        <v>56.784230999999998</v>
      </c>
      <c r="M237" s="1251">
        <v>35.865099000000001</v>
      </c>
      <c r="N237" s="1250" t="e">
        <f>VLOOKUP('Интерактивная карта'!#REF!,Итоговая!AA240:AV667,21,FALSE)</f>
        <v>#REF!</v>
      </c>
      <c r="O237" s="1250" t="e">
        <f>VLOOKUP('Интерактивная карта'!#REF!,Итоговая!AA240:AV667,22,FALSE)</f>
        <v>#REF!</v>
      </c>
      <c r="P237" s="1250" t="e">
        <f>VLOOKUP(#REF!,Итоговая!C240:I667,2,FALSE)</f>
        <v>#REF!</v>
      </c>
      <c r="Q237" s="1250" t="e">
        <f>VLOOKUP(#REF!,Итоговая!C240:I667,4,FALSE)</f>
        <v>#REF!</v>
      </c>
      <c r="R237" s="1250" t="e">
        <f>VLOOKUP(#REF!,Итоговая!C240:I667,6,FALSE)</f>
        <v>#REF!</v>
      </c>
      <c r="S237" s="1250"/>
      <c r="T237" s="1251" t="e">
        <f>VLOOKUP(#REF!,Итоговая!AA240:AP667,16,FALSE)</f>
        <v>#REF!</v>
      </c>
    </row>
    <row r="238" spans="1:20" x14ac:dyDescent="0.25">
      <c r="A238" s="1248" t="s">
        <v>136</v>
      </c>
      <c r="B238" s="1250" t="s">
        <v>20282</v>
      </c>
      <c r="C238" s="1250" t="s">
        <v>20225</v>
      </c>
      <c r="D238" s="1251">
        <v>4.882752</v>
      </c>
      <c r="E238" s="1251">
        <v>1.7322480000000002</v>
      </c>
      <c r="F238" s="1251">
        <v>3.4832282608695646</v>
      </c>
      <c r="G238" s="1251">
        <v>2.2000000000000002</v>
      </c>
      <c r="H238" s="1251">
        <v>-1.575882234782608</v>
      </c>
      <c r="I238" s="1251"/>
      <c r="J238" s="1252" t="s">
        <v>20211</v>
      </c>
      <c r="K238" s="1250" t="s">
        <v>2217</v>
      </c>
      <c r="L238" s="1251">
        <v>56.834636330887697</v>
      </c>
      <c r="M238" s="1251">
        <v>35.835950487538099</v>
      </c>
      <c r="N238" s="1250" t="e">
        <f>VLOOKUP('Интерактивная карта'!#REF!,Итоговая!AA241:AV668,21,FALSE)</f>
        <v>#REF!</v>
      </c>
      <c r="O238" s="1250" t="e">
        <f>VLOOKUP('Интерактивная карта'!#REF!,Итоговая!AA241:AV668,22,FALSE)</f>
        <v>#REF!</v>
      </c>
      <c r="P238" s="1250" t="e">
        <f>VLOOKUP(#REF!,Итоговая!C241:I668,2,FALSE)</f>
        <v>#REF!</v>
      </c>
      <c r="Q238" s="1250" t="e">
        <f>VLOOKUP(#REF!,Итоговая!C241:I668,4,FALSE)</f>
        <v>#REF!</v>
      </c>
      <c r="R238" s="1250" t="e">
        <f>VLOOKUP(#REF!,Итоговая!C241:I668,6,FALSE)</f>
        <v>#REF!</v>
      </c>
      <c r="S238" s="1250"/>
      <c r="T238" s="1251" t="e">
        <f>VLOOKUP(#REF!,Итоговая!AA241:AP668,16,FALSE)</f>
        <v>#REF!</v>
      </c>
    </row>
    <row r="239" spans="1:20" x14ac:dyDescent="0.25">
      <c r="A239" s="1248" t="s">
        <v>137</v>
      </c>
      <c r="B239" s="1250" t="s">
        <v>20294</v>
      </c>
      <c r="C239" s="1250" t="s">
        <v>20225</v>
      </c>
      <c r="D239" s="1251">
        <v>4.7088869999999998</v>
      </c>
      <c r="E239" s="1251">
        <v>1.9061130000000004</v>
      </c>
      <c r="F239" s="1251">
        <v>2.0340978260869567</v>
      </c>
      <c r="G239" s="1251">
        <v>0.33</v>
      </c>
      <c r="H239" s="1251">
        <v>-0.12798482608695627</v>
      </c>
      <c r="I239" s="1251"/>
      <c r="J239" s="1252" t="s">
        <v>20211</v>
      </c>
      <c r="K239" s="1250" t="s">
        <v>2217</v>
      </c>
      <c r="L239" s="1251">
        <v>56.897833852421002</v>
      </c>
      <c r="M239" s="1251">
        <v>35.936355035922602</v>
      </c>
      <c r="N239" s="1250" t="e">
        <f>VLOOKUP('Интерактивная карта'!#REF!,Итоговая!AA242:AV669,21,FALSE)</f>
        <v>#REF!</v>
      </c>
      <c r="O239" s="1250" t="e">
        <f>VLOOKUP('Интерактивная карта'!#REF!,Итоговая!AA242:AV669,22,FALSE)</f>
        <v>#REF!</v>
      </c>
      <c r="P239" s="1250" t="e">
        <f>VLOOKUP(#REF!,Итоговая!C242:I669,2,FALSE)</f>
        <v>#REF!</v>
      </c>
      <c r="Q239" s="1250" t="e">
        <f>VLOOKUP(#REF!,Итоговая!C242:I669,4,FALSE)</f>
        <v>#REF!</v>
      </c>
      <c r="R239" s="1250" t="e">
        <f>VLOOKUP(#REF!,Итоговая!C242:I669,6,FALSE)</f>
        <v>#REF!</v>
      </c>
      <c r="S239" s="1250"/>
      <c r="T239" s="1251" t="e">
        <f>VLOOKUP(#REF!,Итоговая!AA242:AP669,16,FALSE)</f>
        <v>#REF!</v>
      </c>
    </row>
    <row r="240" spans="1:20" x14ac:dyDescent="0.25">
      <c r="A240" s="1248" t="s">
        <v>138</v>
      </c>
      <c r="B240" s="1250" t="s">
        <v>20285</v>
      </c>
      <c r="C240" s="1250" t="s">
        <v>20243</v>
      </c>
      <c r="D240" s="1251">
        <v>7.9344720000000004</v>
      </c>
      <c r="E240" s="1251">
        <v>8.8655280000000012</v>
      </c>
      <c r="F240" s="1251">
        <v>1.0552173913043479</v>
      </c>
      <c r="G240" s="1251">
        <v>0.23</v>
      </c>
      <c r="H240" s="1251">
        <v>7.8103106086956533</v>
      </c>
      <c r="I240" s="1251"/>
      <c r="J240" s="1252" t="s">
        <v>20211</v>
      </c>
      <c r="K240" s="1250" t="s">
        <v>20211</v>
      </c>
      <c r="L240" s="1251">
        <v>56.857060398247299</v>
      </c>
      <c r="M240" s="1251">
        <v>35.856128545548501</v>
      </c>
      <c r="N240" s="1250" t="e">
        <f>VLOOKUP('Интерактивная карта'!#REF!,Итоговая!AA243:AV670,21,FALSE)</f>
        <v>#REF!</v>
      </c>
      <c r="O240" s="1250" t="e">
        <f>VLOOKUP('Интерактивная карта'!#REF!,Итоговая!AA243:AV670,22,FALSE)</f>
        <v>#REF!</v>
      </c>
      <c r="P240" s="1250" t="e">
        <f>VLOOKUP(#REF!,Итоговая!C243:I670,2,FALSE)</f>
        <v>#REF!</v>
      </c>
      <c r="Q240" s="1250" t="e">
        <f>VLOOKUP(#REF!,Итоговая!C243:I670,4,FALSE)</f>
        <v>#REF!</v>
      </c>
      <c r="R240" s="1250" t="e">
        <f>VLOOKUP(#REF!,Итоговая!C243:I670,6,FALSE)</f>
        <v>#REF!</v>
      </c>
      <c r="S240" s="1250"/>
      <c r="T240" s="1251" t="e">
        <f>VLOOKUP(#REF!,Итоговая!AA243:AP670,16,FALSE)</f>
        <v>#REF!</v>
      </c>
    </row>
    <row r="241" spans="1:20" x14ac:dyDescent="0.25">
      <c r="A241" s="1248" t="s">
        <v>139</v>
      </c>
      <c r="B241" s="1250" t="s">
        <v>20277</v>
      </c>
      <c r="C241" s="1250" t="s">
        <v>20225</v>
      </c>
      <c r="D241" s="1251">
        <v>4.5351949999999999</v>
      </c>
      <c r="E241" s="1251">
        <v>2.0798050000000003</v>
      </c>
      <c r="F241" s="1251">
        <v>1.7171739130434782</v>
      </c>
      <c r="G241" s="1251">
        <v>0.04</v>
      </c>
      <c r="H241" s="1251">
        <v>0.36263108695652235</v>
      </c>
      <c r="I241" s="1251"/>
      <c r="J241" s="1252" t="s">
        <v>20211</v>
      </c>
      <c r="K241" s="1250" t="s">
        <v>20211</v>
      </c>
      <c r="L241" s="1251">
        <v>56.522345874913398</v>
      </c>
      <c r="M241" s="1251">
        <v>35.965727164471801</v>
      </c>
      <c r="N241" s="1250" t="e">
        <f>VLOOKUP('Интерактивная карта'!#REF!,Итоговая!AA244:AV671,21,FALSE)</f>
        <v>#REF!</v>
      </c>
      <c r="O241" s="1250" t="e">
        <f>VLOOKUP('Интерактивная карта'!#REF!,Итоговая!AA244:AV671,22,FALSE)</f>
        <v>#REF!</v>
      </c>
      <c r="P241" s="1250" t="e">
        <f>VLOOKUP(#REF!,Итоговая!C244:I671,2,FALSE)</f>
        <v>#REF!</v>
      </c>
      <c r="Q241" s="1250" t="e">
        <f>VLOOKUP(#REF!,Итоговая!C244:I671,4,FALSE)</f>
        <v>#REF!</v>
      </c>
      <c r="R241" s="1250" t="e">
        <f>VLOOKUP(#REF!,Итоговая!C244:I671,6,FALSE)</f>
        <v>#REF!</v>
      </c>
      <c r="S241" s="1250"/>
      <c r="T241" s="1251" t="e">
        <f>VLOOKUP(#REF!,Итоговая!AA244:AP671,16,FALSE)</f>
        <v>#REF!</v>
      </c>
    </row>
    <row r="242" spans="1:20" x14ac:dyDescent="0.25">
      <c r="A242" s="1248" t="s">
        <v>140</v>
      </c>
      <c r="B242" s="1250" t="s">
        <v>20291</v>
      </c>
      <c r="C242" s="1250" t="s">
        <v>20235</v>
      </c>
      <c r="D242" s="1251">
        <v>3.2205680000000001</v>
      </c>
      <c r="E242" s="1251">
        <v>0.97943200000000008</v>
      </c>
      <c r="F242" s="1251">
        <v>0.32634782608695651</v>
      </c>
      <c r="G242" s="1251">
        <v>0</v>
      </c>
      <c r="H242" s="1251">
        <v>0.65308417391304374</v>
      </c>
      <c r="I242" s="1251"/>
      <c r="J242" s="1252" t="s">
        <v>20211</v>
      </c>
      <c r="K242" s="1250" t="s">
        <v>20211</v>
      </c>
      <c r="L242" s="1251">
        <v>56.903621345815402</v>
      </c>
      <c r="M242" s="1251">
        <v>36.050582131677899</v>
      </c>
      <c r="N242" s="1250" t="e">
        <f>VLOOKUP('Интерактивная карта'!#REF!,Итоговая!AA245:AV672,21,FALSE)</f>
        <v>#REF!</v>
      </c>
      <c r="O242" s="1250" t="e">
        <f>VLOOKUP('Интерактивная карта'!#REF!,Итоговая!AA245:AV672,22,FALSE)</f>
        <v>#REF!</v>
      </c>
      <c r="P242" s="1250" t="e">
        <f>VLOOKUP(#REF!,Итоговая!C245:I672,2,FALSE)</f>
        <v>#REF!</v>
      </c>
      <c r="Q242" s="1250" t="e">
        <f>VLOOKUP(#REF!,Итоговая!C245:I672,4,FALSE)</f>
        <v>#REF!</v>
      </c>
      <c r="R242" s="1250" t="e">
        <f>VLOOKUP(#REF!,Итоговая!C245:I672,6,FALSE)</f>
        <v>#REF!</v>
      </c>
      <c r="S242" s="1250"/>
      <c r="T242" s="1251" t="e">
        <f>VLOOKUP(#REF!,Итоговая!AA245:AP672,16,FALSE)</f>
        <v>#REF!</v>
      </c>
    </row>
    <row r="243" spans="1:20" x14ac:dyDescent="0.25">
      <c r="A243" s="1248" t="s">
        <v>141</v>
      </c>
      <c r="B243" s="1250" t="s">
        <v>20334</v>
      </c>
      <c r="C243" s="1250" t="s">
        <v>20222</v>
      </c>
      <c r="D243" s="1251">
        <v>1.2642840000000002</v>
      </c>
      <c r="E243" s="1251">
        <v>0.91071599999999986</v>
      </c>
      <c r="F243" s="1251">
        <v>0.43669565217391304</v>
      </c>
      <c r="G243" s="1251">
        <v>0.13</v>
      </c>
      <c r="H243" s="1251">
        <v>0.47402034782608665</v>
      </c>
      <c r="I243" s="1251"/>
      <c r="J243" s="1252" t="s">
        <v>20211</v>
      </c>
      <c r="K243" s="1250" t="s">
        <v>20211</v>
      </c>
      <c r="L243" s="1251">
        <v>56.847192621276001</v>
      </c>
      <c r="M243" s="1251">
        <v>36.591664194611702</v>
      </c>
      <c r="N243" s="1250" t="e">
        <f>VLOOKUP('Интерактивная карта'!#REF!,Итоговая!AA246:AV673,21,FALSE)</f>
        <v>#REF!</v>
      </c>
      <c r="O243" s="1250" t="e">
        <f>VLOOKUP('Интерактивная карта'!#REF!,Итоговая!AA246:AV673,22,FALSE)</f>
        <v>#REF!</v>
      </c>
      <c r="P243" s="1250" t="e">
        <f>VLOOKUP(#REF!,Итоговая!C246:I673,2,FALSE)</f>
        <v>#REF!</v>
      </c>
      <c r="Q243" s="1250" t="e">
        <f>VLOOKUP(#REF!,Итоговая!C246:I673,4,FALSE)</f>
        <v>#REF!</v>
      </c>
      <c r="R243" s="1250" t="e">
        <f>VLOOKUP(#REF!,Итоговая!C246:I673,6,FALSE)</f>
        <v>#REF!</v>
      </c>
      <c r="S243" s="1250"/>
      <c r="T243" s="1251" t="e">
        <f>VLOOKUP(#REF!,Итоговая!AA246:AP673,16,FALSE)</f>
        <v>#REF!</v>
      </c>
    </row>
    <row r="244" spans="1:20" x14ac:dyDescent="0.25">
      <c r="A244" s="1248" t="s">
        <v>1411</v>
      </c>
      <c r="B244" s="1250" t="s">
        <v>20335</v>
      </c>
      <c r="C244" s="1250" t="s">
        <v>20253</v>
      </c>
      <c r="D244" s="1251">
        <v>4.4533659999999999</v>
      </c>
      <c r="E244" s="1251">
        <v>-1.0933659999999996</v>
      </c>
      <c r="F244" s="1251">
        <v>0.76068260869565218</v>
      </c>
      <c r="G244" s="1251">
        <v>0</v>
      </c>
      <c r="H244" s="1251">
        <v>-1.8540486086956518</v>
      </c>
      <c r="I244" s="1251"/>
      <c r="J244" s="1252" t="s">
        <v>2217</v>
      </c>
      <c r="K244" s="1250" t="s">
        <v>2217</v>
      </c>
      <c r="L244" s="1251">
        <v>56.901288048079202</v>
      </c>
      <c r="M244" s="1251">
        <v>35.767399663626499</v>
      </c>
      <c r="N244" s="1250" t="e">
        <f>VLOOKUP('Интерактивная карта'!#REF!,Итоговая!AA247:AV674,21,FALSE)</f>
        <v>#REF!</v>
      </c>
      <c r="O244" s="1250" t="e">
        <f>VLOOKUP('Интерактивная карта'!#REF!,Итоговая!AA247:AV674,22,FALSE)</f>
        <v>#REF!</v>
      </c>
      <c r="P244" s="1250" t="e">
        <f>VLOOKUP(#REF!,Итоговая!C247:I674,2,FALSE)</f>
        <v>#REF!</v>
      </c>
      <c r="Q244" s="1250" t="e">
        <f>VLOOKUP(#REF!,Итоговая!C247:I674,4,FALSE)</f>
        <v>#REF!</v>
      </c>
      <c r="R244" s="1250" t="e">
        <f>VLOOKUP(#REF!,Итоговая!C247:I674,6,FALSE)</f>
        <v>#REF!</v>
      </c>
      <c r="S244" s="1250"/>
      <c r="T244" s="1251" t="e">
        <f>VLOOKUP(#REF!,Итоговая!AA247:AP674,16,FALSE)</f>
        <v>#REF!</v>
      </c>
    </row>
    <row r="245" spans="1:20" x14ac:dyDescent="0.25">
      <c r="A245" s="1248" t="s">
        <v>142</v>
      </c>
      <c r="B245" s="1250" t="s">
        <v>20287</v>
      </c>
      <c r="C245" s="1250" t="s">
        <v>20235</v>
      </c>
      <c r="D245" s="1251">
        <v>1.923414</v>
      </c>
      <c r="E245" s="1251">
        <v>2.276586</v>
      </c>
      <c r="F245" s="1251">
        <v>0.97089130434782611</v>
      </c>
      <c r="G245" s="1251">
        <v>0.11</v>
      </c>
      <c r="H245" s="1251">
        <v>1.305694695652174</v>
      </c>
      <c r="I245" s="1251"/>
      <c r="J245" s="1252" t="s">
        <v>20211</v>
      </c>
      <c r="K245" s="1250" t="s">
        <v>20211</v>
      </c>
      <c r="L245" s="1251">
        <v>56.703857298303703</v>
      </c>
      <c r="M245" s="1251">
        <v>35.841024516208599</v>
      </c>
      <c r="N245" s="1250" t="e">
        <f>VLOOKUP('Интерактивная карта'!#REF!,Итоговая!AA248:AV675,21,FALSE)</f>
        <v>#REF!</v>
      </c>
      <c r="O245" s="1250" t="e">
        <f>VLOOKUP('Интерактивная карта'!#REF!,Итоговая!AA248:AV675,22,FALSE)</f>
        <v>#REF!</v>
      </c>
      <c r="P245" s="1250" t="e">
        <f>VLOOKUP(#REF!,Итоговая!C248:I675,2,FALSE)</f>
        <v>#REF!</v>
      </c>
      <c r="Q245" s="1250" t="e">
        <f>VLOOKUP(#REF!,Итоговая!C248:I675,4,FALSE)</f>
        <v>#REF!</v>
      </c>
      <c r="R245" s="1250" t="e">
        <f>VLOOKUP(#REF!,Итоговая!C248:I675,6,FALSE)</f>
        <v>#REF!</v>
      </c>
      <c r="S245" s="1250"/>
      <c r="T245" s="1251" t="e">
        <f>VLOOKUP(#REF!,Итоговая!AA248:AP675,16,FALSE)</f>
        <v>#REF!</v>
      </c>
    </row>
    <row r="246" spans="1:20" x14ac:dyDescent="0.25">
      <c r="A246" s="1248" t="s">
        <v>143</v>
      </c>
      <c r="B246" s="1250" t="s">
        <v>20336</v>
      </c>
      <c r="C246" s="1250" t="s">
        <v>20225</v>
      </c>
      <c r="D246" s="1251">
        <v>4.129683</v>
      </c>
      <c r="E246" s="1251">
        <v>-0.32468299999999983</v>
      </c>
      <c r="F246" s="1251">
        <v>1.4054782608695651</v>
      </c>
      <c r="G246" s="1251">
        <v>0</v>
      </c>
      <c r="H246" s="1251">
        <v>-1.7301612608695649</v>
      </c>
      <c r="I246" s="1251"/>
      <c r="J246" s="1252" t="s">
        <v>2217</v>
      </c>
      <c r="K246" s="1250" t="s">
        <v>2217</v>
      </c>
      <c r="L246" s="1251">
        <v>56.875332433910998</v>
      </c>
      <c r="M246" s="1251">
        <v>35.684471769877199</v>
      </c>
      <c r="N246" s="1250" t="e">
        <f>VLOOKUP('Интерактивная карта'!#REF!,Итоговая!AA249:AV676,21,FALSE)</f>
        <v>#REF!</v>
      </c>
      <c r="O246" s="1250" t="e">
        <f>VLOOKUP('Интерактивная карта'!#REF!,Итоговая!AA249:AV676,22,FALSE)</f>
        <v>#REF!</v>
      </c>
      <c r="P246" s="1250" t="e">
        <f>VLOOKUP(#REF!,Итоговая!C249:I676,2,FALSE)</f>
        <v>#REF!</v>
      </c>
      <c r="Q246" s="1250" t="e">
        <f>VLOOKUP(#REF!,Итоговая!C249:I676,4,FALSE)</f>
        <v>#REF!</v>
      </c>
      <c r="R246" s="1250" t="e">
        <f>VLOOKUP(#REF!,Итоговая!C249:I676,6,FALSE)</f>
        <v>#REF!</v>
      </c>
      <c r="S246" s="1250"/>
      <c r="T246" s="1251" t="e">
        <f>VLOOKUP(#REF!,Итоговая!AA249:AP676,16,FALSE)</f>
        <v>#REF!</v>
      </c>
    </row>
    <row r="247" spans="1:20" x14ac:dyDescent="0.25">
      <c r="A247" s="1248" t="s">
        <v>144</v>
      </c>
      <c r="B247" s="1250" t="s">
        <v>20293</v>
      </c>
      <c r="C247" s="1250" t="s">
        <v>20235</v>
      </c>
      <c r="D247" s="1251">
        <v>2.5908480000000003</v>
      </c>
      <c r="E247" s="1251">
        <v>0.67915199999999987</v>
      </c>
      <c r="F247" s="1251">
        <v>0.60867391304347818</v>
      </c>
      <c r="G247" s="1251">
        <v>0</v>
      </c>
      <c r="H247" s="1251">
        <v>7.0478086956521691E-2</v>
      </c>
      <c r="I247" s="1251"/>
      <c r="J247" s="1252" t="s">
        <v>20211</v>
      </c>
      <c r="K247" s="1250" t="s">
        <v>20211</v>
      </c>
      <c r="L247" s="1251">
        <v>56.711210032713197</v>
      </c>
      <c r="M247" s="1251">
        <v>35.789848585825297</v>
      </c>
      <c r="N247" s="1250" t="e">
        <f>VLOOKUP('Интерактивная карта'!#REF!,Итоговая!AA250:AV677,21,FALSE)</f>
        <v>#REF!</v>
      </c>
      <c r="O247" s="1250" t="e">
        <f>VLOOKUP('Интерактивная карта'!#REF!,Итоговая!AA250:AV677,22,FALSE)</f>
        <v>#REF!</v>
      </c>
      <c r="P247" s="1250" t="e">
        <f>VLOOKUP(#REF!,Итоговая!C250:I677,2,FALSE)</f>
        <v>#REF!</v>
      </c>
      <c r="Q247" s="1250" t="e">
        <f>VLOOKUP(#REF!,Итоговая!C250:I677,4,FALSE)</f>
        <v>#REF!</v>
      </c>
      <c r="R247" s="1250" t="e">
        <f>VLOOKUP(#REF!,Итоговая!C250:I677,6,FALSE)</f>
        <v>#REF!</v>
      </c>
      <c r="S247" s="1250"/>
      <c r="T247" s="1251" t="e">
        <f>VLOOKUP(#REF!,Итоговая!AA250:AP677,16,FALSE)</f>
        <v>#REF!</v>
      </c>
    </row>
    <row r="248" spans="1:20" x14ac:dyDescent="0.25">
      <c r="A248" s="1248" t="s">
        <v>145</v>
      </c>
      <c r="B248" s="1250" t="s">
        <v>20337</v>
      </c>
      <c r="C248" s="1250" t="s">
        <v>20221</v>
      </c>
      <c r="D248" s="1251">
        <v>1.2829680000000001</v>
      </c>
      <c r="E248" s="1251">
        <v>1.3420319999999999</v>
      </c>
      <c r="F248" s="1251">
        <v>0.47484782608695653</v>
      </c>
      <c r="G248" s="1251">
        <v>0</v>
      </c>
      <c r="H248" s="1251">
        <v>0.86718417391304348</v>
      </c>
      <c r="I248" s="1251"/>
      <c r="J248" s="1252" t="s">
        <v>20211</v>
      </c>
      <c r="K248" s="1250" t="s">
        <v>20211</v>
      </c>
      <c r="L248" s="1251">
        <v>56.841370892934599</v>
      </c>
      <c r="M248" s="1251">
        <v>36.103829043620003</v>
      </c>
      <c r="N248" s="1250" t="e">
        <f>VLOOKUP('Интерактивная карта'!#REF!,Итоговая!AA251:AV678,21,FALSE)</f>
        <v>#REF!</v>
      </c>
      <c r="O248" s="1250" t="e">
        <f>VLOOKUP('Интерактивная карта'!#REF!,Итоговая!AA251:AV678,22,FALSE)</f>
        <v>#REF!</v>
      </c>
      <c r="P248" s="1250" t="e">
        <f>VLOOKUP(#REF!,Итоговая!C251:I678,2,FALSE)</f>
        <v>#REF!</v>
      </c>
      <c r="Q248" s="1250" t="e">
        <f>VLOOKUP(#REF!,Итоговая!C251:I678,4,FALSE)</f>
        <v>#REF!</v>
      </c>
      <c r="R248" s="1250" t="e">
        <f>VLOOKUP(#REF!,Итоговая!C251:I678,6,FALSE)</f>
        <v>#REF!</v>
      </c>
      <c r="S248" s="1250"/>
      <c r="T248" s="1251" t="e">
        <f>VLOOKUP(#REF!,Итоговая!AA251:AP678,16,FALSE)</f>
        <v>#REF!</v>
      </c>
    </row>
    <row r="249" spans="1:20" x14ac:dyDescent="0.25">
      <c r="A249" s="1248" t="s">
        <v>146</v>
      </c>
      <c r="B249" s="1250" t="s">
        <v>20285</v>
      </c>
      <c r="C249" s="1250" t="s">
        <v>20223</v>
      </c>
      <c r="D249" s="1251">
        <v>0.65393999999999997</v>
      </c>
      <c r="E249" s="1251">
        <v>1.0260600000000002</v>
      </c>
      <c r="F249" s="1251">
        <v>0.42561290322580642</v>
      </c>
      <c r="G249" s="1251">
        <v>0</v>
      </c>
      <c r="H249" s="1251">
        <v>0.60044709677419372</v>
      </c>
      <c r="I249" s="1251"/>
      <c r="J249" s="1252" t="s">
        <v>20211</v>
      </c>
      <c r="K249" s="1250" t="s">
        <v>20211</v>
      </c>
      <c r="L249" s="1251">
        <v>56.936792691974098</v>
      </c>
      <c r="M249" s="1251">
        <v>36.140630189038099</v>
      </c>
      <c r="N249" s="1250" t="e">
        <f>VLOOKUP('Интерактивная карта'!#REF!,Итоговая!AA252:AV679,21,FALSE)</f>
        <v>#REF!</v>
      </c>
      <c r="O249" s="1250" t="e">
        <f>VLOOKUP('Интерактивная карта'!#REF!,Итоговая!AA252:AV679,22,FALSE)</f>
        <v>#REF!</v>
      </c>
      <c r="P249" s="1250" t="e">
        <f>VLOOKUP(#REF!,Итоговая!C252:I679,2,FALSE)</f>
        <v>#REF!</v>
      </c>
      <c r="Q249" s="1250" t="e">
        <f>VLOOKUP(#REF!,Итоговая!C252:I679,4,FALSE)</f>
        <v>#REF!</v>
      </c>
      <c r="R249" s="1250" t="e">
        <f>VLOOKUP(#REF!,Итоговая!C252:I679,6,FALSE)</f>
        <v>#REF!</v>
      </c>
      <c r="S249" s="1250"/>
      <c r="T249" s="1251" t="e">
        <f>VLOOKUP(#REF!,Итоговая!AA252:AP679,16,FALSE)</f>
        <v>#REF!</v>
      </c>
    </row>
    <row r="250" spans="1:20" x14ac:dyDescent="0.25">
      <c r="A250" s="1248" t="s">
        <v>147</v>
      </c>
      <c r="B250" s="1250" t="s">
        <v>20266</v>
      </c>
      <c r="C250" s="1250" t="s">
        <v>20222</v>
      </c>
      <c r="D250" s="1251">
        <v>0.39582400000000001</v>
      </c>
      <c r="E250" s="1251">
        <v>1.8891759999999997</v>
      </c>
      <c r="F250" s="1251">
        <v>0.18176086956521739</v>
      </c>
      <c r="G250" s="1251">
        <v>0</v>
      </c>
      <c r="H250" s="1251">
        <v>1.7074151304347824</v>
      </c>
      <c r="I250" s="1251"/>
      <c r="J250" s="1252" t="s">
        <v>20211</v>
      </c>
      <c r="K250" s="1250" t="s">
        <v>20211</v>
      </c>
      <c r="L250" s="1251">
        <v>56.847220438271997</v>
      </c>
      <c r="M250" s="1251">
        <v>36.683607523094999</v>
      </c>
      <c r="N250" s="1250" t="e">
        <f>VLOOKUP('Интерактивная карта'!#REF!,Итоговая!AA253:AV680,21,FALSE)</f>
        <v>#REF!</v>
      </c>
      <c r="O250" s="1250" t="e">
        <f>VLOOKUP('Интерактивная карта'!#REF!,Итоговая!AA253:AV680,22,FALSE)</f>
        <v>#REF!</v>
      </c>
      <c r="P250" s="1250" t="e">
        <f>VLOOKUP(#REF!,Итоговая!C253:I680,2,FALSE)</f>
        <v>#REF!</v>
      </c>
      <c r="Q250" s="1250" t="e">
        <f>VLOOKUP(#REF!,Итоговая!C253:I680,4,FALSE)</f>
        <v>#REF!</v>
      </c>
      <c r="R250" s="1250" t="e">
        <f>VLOOKUP(#REF!,Итоговая!C253:I680,6,FALSE)</f>
        <v>#REF!</v>
      </c>
      <c r="S250" s="1250"/>
      <c r="T250" s="1251" t="e">
        <f>VLOOKUP(#REF!,Итоговая!AA253:AP680,16,FALSE)</f>
        <v>#REF!</v>
      </c>
    </row>
    <row r="251" spans="1:20" x14ac:dyDescent="0.25">
      <c r="A251" s="1248" t="s">
        <v>148</v>
      </c>
      <c r="B251" s="1250" t="s">
        <v>20338</v>
      </c>
      <c r="C251" s="1250" t="s">
        <v>20225</v>
      </c>
      <c r="D251" s="1251">
        <v>6.6921589999999993</v>
      </c>
      <c r="E251" s="1251">
        <v>-7.7158999999999089E-2</v>
      </c>
      <c r="F251" s="1251">
        <v>7.0768173913043482</v>
      </c>
      <c r="G251" s="1251">
        <v>0</v>
      </c>
      <c r="H251" s="1251">
        <v>-7.1539763913043473</v>
      </c>
      <c r="I251" s="1251"/>
      <c r="J251" s="1252" t="s">
        <v>2217</v>
      </c>
      <c r="K251" s="1250" t="s">
        <v>2217</v>
      </c>
      <c r="L251" s="1251">
        <v>56.7419028169504</v>
      </c>
      <c r="M251" s="1251">
        <v>35.909505065937502</v>
      </c>
      <c r="N251" s="1250" t="e">
        <f>VLOOKUP('Интерактивная карта'!#REF!,Итоговая!AA254:AV681,21,FALSE)</f>
        <v>#REF!</v>
      </c>
      <c r="O251" s="1250" t="e">
        <f>VLOOKUP('Интерактивная карта'!#REF!,Итоговая!AA254:AV681,22,FALSE)</f>
        <v>#REF!</v>
      </c>
      <c r="P251" s="1250" t="e">
        <f>VLOOKUP(#REF!,Итоговая!C254:I681,2,FALSE)</f>
        <v>#REF!</v>
      </c>
      <c r="Q251" s="1250" t="e">
        <f>VLOOKUP(#REF!,Итоговая!C254:I681,4,FALSE)</f>
        <v>#REF!</v>
      </c>
      <c r="R251" s="1250" t="e">
        <f>VLOOKUP(#REF!,Итоговая!C254:I681,6,FALSE)</f>
        <v>#REF!</v>
      </c>
      <c r="S251" s="1250"/>
      <c r="T251" s="1251" t="e">
        <f>VLOOKUP(#REF!,Итоговая!AA254:AP681,16,FALSE)</f>
        <v>#REF!</v>
      </c>
    </row>
    <row r="252" spans="1:20" x14ac:dyDescent="0.25">
      <c r="A252" s="1248" t="s">
        <v>149</v>
      </c>
      <c r="B252" s="1250" t="s">
        <v>20327</v>
      </c>
      <c r="C252" s="1250" t="s">
        <v>20218</v>
      </c>
      <c r="D252" s="1251">
        <v>1.4150188999999997</v>
      </c>
      <c r="E252" s="1251">
        <v>-0.3650188999999997</v>
      </c>
      <c r="F252" s="1251">
        <v>0</v>
      </c>
      <c r="G252" s="1251">
        <v>0</v>
      </c>
      <c r="H252" s="1251">
        <v>-0.3650188999999997</v>
      </c>
      <c r="I252" s="1251"/>
      <c r="J252" s="1252" t="s">
        <v>2217</v>
      </c>
      <c r="K252" s="1250" t="s">
        <v>2217</v>
      </c>
      <c r="L252" s="1251">
        <v>57.011190305104897</v>
      </c>
      <c r="M252" s="1251">
        <v>35.931930719504798</v>
      </c>
      <c r="N252" s="1250" t="e">
        <f>VLOOKUP('Интерактивная карта'!#REF!,Итоговая!AA255:AV682,21,FALSE)</f>
        <v>#REF!</v>
      </c>
      <c r="O252" s="1250" t="e">
        <f>VLOOKUP('Интерактивная карта'!#REF!,Итоговая!AA255:AV682,22,FALSE)</f>
        <v>#REF!</v>
      </c>
      <c r="P252" s="1250" t="e">
        <f>VLOOKUP(#REF!,Итоговая!C255:I682,2,FALSE)</f>
        <v>#REF!</v>
      </c>
      <c r="Q252" s="1250" t="e">
        <f>VLOOKUP(#REF!,Итоговая!C255:I682,4,FALSE)</f>
        <v>#REF!</v>
      </c>
      <c r="R252" s="1250" t="e">
        <f>VLOOKUP(#REF!,Итоговая!C255:I682,6,FALSE)</f>
        <v>#REF!</v>
      </c>
      <c r="S252" s="1250"/>
      <c r="T252" s="1251" t="e">
        <f>VLOOKUP(#REF!,Итоговая!AA255:AP682,16,FALSE)</f>
        <v>#REF!</v>
      </c>
    </row>
    <row r="253" spans="1:20" x14ac:dyDescent="0.25">
      <c r="A253" s="1248" t="s">
        <v>150</v>
      </c>
      <c r="B253" s="1250" t="s">
        <v>20284</v>
      </c>
      <c r="C253" s="1250" t="s">
        <v>20254</v>
      </c>
      <c r="D253" s="1251">
        <v>2.1950240000000001</v>
      </c>
      <c r="E253" s="1251">
        <v>2.0049760000000001</v>
      </c>
      <c r="F253" s="1251">
        <v>0.22597849462365591</v>
      </c>
      <c r="G253" s="1251">
        <v>0</v>
      </c>
      <c r="H253" s="1251">
        <v>1.7789975053763443</v>
      </c>
      <c r="I253" s="1251"/>
      <c r="J253" s="1252" t="s">
        <v>20211</v>
      </c>
      <c r="K253" s="1250" t="s">
        <v>20211</v>
      </c>
      <c r="L253" s="1251">
        <v>56.970566408483101</v>
      </c>
      <c r="M253" s="1251">
        <v>35.918041082431003</v>
      </c>
      <c r="N253" s="1250" t="e">
        <f>VLOOKUP('Интерактивная карта'!#REF!,Итоговая!AA256:AV683,21,FALSE)</f>
        <v>#REF!</v>
      </c>
      <c r="O253" s="1250" t="e">
        <f>VLOOKUP('Интерактивная карта'!#REF!,Итоговая!AA256:AV683,22,FALSE)</f>
        <v>#REF!</v>
      </c>
      <c r="P253" s="1250" t="e">
        <f>VLOOKUP(#REF!,Итоговая!C256:I683,2,FALSE)</f>
        <v>#REF!</v>
      </c>
      <c r="Q253" s="1250" t="e">
        <f>VLOOKUP(#REF!,Итоговая!C256:I683,4,FALSE)</f>
        <v>#REF!</v>
      </c>
      <c r="R253" s="1250" t="e">
        <f>VLOOKUP(#REF!,Итоговая!C256:I683,6,FALSE)</f>
        <v>#REF!</v>
      </c>
      <c r="S253" s="1250"/>
      <c r="T253" s="1251" t="e">
        <f>VLOOKUP(#REF!,Итоговая!AA256:AP683,16,FALSE)</f>
        <v>#REF!</v>
      </c>
    </row>
    <row r="254" spans="1:20" x14ac:dyDescent="0.25">
      <c r="A254" s="1248" t="s">
        <v>151</v>
      </c>
      <c r="B254" s="1250" t="s">
        <v>20339</v>
      </c>
      <c r="C254" s="1250" t="s">
        <v>20225</v>
      </c>
      <c r="D254" s="1251">
        <v>3.9558180000000007</v>
      </c>
      <c r="E254" s="1251">
        <v>1.7491819999999993</v>
      </c>
      <c r="F254" s="1251">
        <v>0.94239782608695666</v>
      </c>
      <c r="G254" s="1251">
        <v>0</v>
      </c>
      <c r="H254" s="1251">
        <v>0.80678417391304269</v>
      </c>
      <c r="I254" s="1251"/>
      <c r="J254" s="1252" t="s">
        <v>20211</v>
      </c>
      <c r="K254" s="1250" t="s">
        <v>20211</v>
      </c>
      <c r="L254" s="1251">
        <v>56.928153133407697</v>
      </c>
      <c r="M254" s="1251">
        <v>35.464157955222703</v>
      </c>
      <c r="N254" s="1250" t="e">
        <f>VLOOKUP('Интерактивная карта'!#REF!,Итоговая!AA257:AV684,21,FALSE)</f>
        <v>#REF!</v>
      </c>
      <c r="O254" s="1250" t="e">
        <f>VLOOKUP('Интерактивная карта'!#REF!,Итоговая!AA257:AV684,22,FALSE)</f>
        <v>#REF!</v>
      </c>
      <c r="P254" s="1250" t="e">
        <f>VLOOKUP(#REF!,Итоговая!C257:I684,2,FALSE)</f>
        <v>#REF!</v>
      </c>
      <c r="Q254" s="1250" t="e">
        <f>VLOOKUP(#REF!,Итоговая!C257:I684,4,FALSE)</f>
        <v>#REF!</v>
      </c>
      <c r="R254" s="1250" t="e">
        <f>VLOOKUP(#REF!,Итоговая!C257:I684,6,FALSE)</f>
        <v>#REF!</v>
      </c>
      <c r="S254" s="1250"/>
      <c r="T254" s="1251" t="e">
        <f>VLOOKUP(#REF!,Итоговая!AA257:AP684,16,FALSE)</f>
        <v>#REF!</v>
      </c>
    </row>
    <row r="255" spans="1:20" x14ac:dyDescent="0.25">
      <c r="A255" s="1248" t="s">
        <v>152</v>
      </c>
      <c r="B255" s="1250" t="s">
        <v>20277</v>
      </c>
      <c r="C255" s="1250" t="s">
        <v>20245</v>
      </c>
      <c r="D255" s="1251">
        <v>0.94440700000000011</v>
      </c>
      <c r="E255" s="1251">
        <v>0.94559300000000002</v>
      </c>
      <c r="F255" s="1251">
        <v>0.14576086956521739</v>
      </c>
      <c r="G255" s="1251">
        <v>0</v>
      </c>
      <c r="H255" s="1251">
        <v>0.79983213043478263</v>
      </c>
      <c r="I255" s="1251"/>
      <c r="J255" s="1252" t="s">
        <v>20211</v>
      </c>
      <c r="K255" s="1250" t="s">
        <v>20211</v>
      </c>
      <c r="L255" s="1251">
        <v>57.430023748376698</v>
      </c>
      <c r="M255" s="1251">
        <v>35.6699351592261</v>
      </c>
      <c r="N255" s="1250" t="e">
        <f>VLOOKUP('Интерактивная карта'!#REF!,Итоговая!AA258:AV685,21,FALSE)</f>
        <v>#REF!</v>
      </c>
      <c r="O255" s="1250" t="e">
        <f>VLOOKUP('Интерактивная карта'!#REF!,Итоговая!AA258:AV685,22,FALSE)</f>
        <v>#REF!</v>
      </c>
      <c r="P255" s="1250" t="e">
        <f>VLOOKUP(#REF!,Итоговая!C258:I685,2,FALSE)</f>
        <v>#REF!</v>
      </c>
      <c r="Q255" s="1250" t="e">
        <f>VLOOKUP(#REF!,Итоговая!C258:I685,4,FALSE)</f>
        <v>#REF!</v>
      </c>
      <c r="R255" s="1250" t="e">
        <f>VLOOKUP(#REF!,Итоговая!C258:I685,6,FALSE)</f>
        <v>#REF!</v>
      </c>
      <c r="S255" s="1250"/>
      <c r="T255" s="1251" t="e">
        <f>VLOOKUP(#REF!,Итоговая!AA258:AP685,16,FALSE)</f>
        <v>#REF!</v>
      </c>
    </row>
    <row r="256" spans="1:20" x14ac:dyDescent="0.25">
      <c r="A256" s="1248" t="s">
        <v>153</v>
      </c>
      <c r="B256" s="1250" t="s">
        <v>20294</v>
      </c>
      <c r="C256" s="1250" t="s">
        <v>20223</v>
      </c>
      <c r="D256" s="1251">
        <v>0.62937399999999988</v>
      </c>
      <c r="E256" s="1251">
        <v>1.0506260000000003</v>
      </c>
      <c r="F256" s="1251">
        <v>0.7605326086956522</v>
      </c>
      <c r="G256" s="1251">
        <v>0</v>
      </c>
      <c r="H256" s="1251">
        <v>0.29009339130434819</v>
      </c>
      <c r="I256" s="1251"/>
      <c r="J256" s="1252" t="s">
        <v>20211</v>
      </c>
      <c r="K256" s="1250" t="s">
        <v>20211</v>
      </c>
      <c r="L256" s="1251">
        <v>57.025748742397603</v>
      </c>
      <c r="M256" s="1251">
        <v>35.412136241075999</v>
      </c>
      <c r="N256" s="1250" t="e">
        <f>VLOOKUP('Интерактивная карта'!#REF!,Итоговая!AA259:AV686,21,FALSE)</f>
        <v>#REF!</v>
      </c>
      <c r="O256" s="1250" t="e">
        <f>VLOOKUP('Интерактивная карта'!#REF!,Итоговая!AA259:AV686,22,FALSE)</f>
        <v>#REF!</v>
      </c>
      <c r="P256" s="1250" t="e">
        <f>VLOOKUP(#REF!,Итоговая!C259:I686,2,FALSE)</f>
        <v>#REF!</v>
      </c>
      <c r="Q256" s="1250" t="e">
        <f>VLOOKUP(#REF!,Итоговая!C259:I686,4,FALSE)</f>
        <v>#REF!</v>
      </c>
      <c r="R256" s="1250" t="e">
        <f>VLOOKUP(#REF!,Итоговая!C259:I686,6,FALSE)</f>
        <v>#REF!</v>
      </c>
      <c r="S256" s="1250"/>
      <c r="T256" s="1251" t="e">
        <f>VLOOKUP(#REF!,Итоговая!AA259:AP686,16,FALSE)</f>
        <v>#REF!</v>
      </c>
    </row>
    <row r="257" spans="1:20" x14ac:dyDescent="0.25">
      <c r="A257" s="1248" t="s">
        <v>154</v>
      </c>
      <c r="B257" s="1250" t="s">
        <v>20310</v>
      </c>
      <c r="C257" s="1250" t="s">
        <v>20255</v>
      </c>
      <c r="D257" s="1251">
        <v>1.6947080000000001</v>
      </c>
      <c r="E257" s="1251">
        <v>2.5052919999999999</v>
      </c>
      <c r="F257" s="1251">
        <v>0.12880434782608696</v>
      </c>
      <c r="G257" s="1251">
        <v>0</v>
      </c>
      <c r="H257" s="1251">
        <v>2.3764876521739131</v>
      </c>
      <c r="I257" s="1251"/>
      <c r="J257" s="1252" t="s">
        <v>20211</v>
      </c>
      <c r="K257" s="1250" t="s">
        <v>20211</v>
      </c>
      <c r="L257" s="1251">
        <v>56.644682001823099</v>
      </c>
      <c r="M257" s="1251">
        <v>36.226998063349001</v>
      </c>
      <c r="N257" s="1250" t="e">
        <f>VLOOKUP('Интерактивная карта'!#REF!,Итоговая!AA260:AV687,21,FALSE)</f>
        <v>#REF!</v>
      </c>
      <c r="O257" s="1250" t="e">
        <f>VLOOKUP('Интерактивная карта'!#REF!,Итоговая!AA260:AV687,22,FALSE)</f>
        <v>#REF!</v>
      </c>
      <c r="P257" s="1250" t="e">
        <f>VLOOKUP(#REF!,Итоговая!C260:I687,2,FALSE)</f>
        <v>#REF!</v>
      </c>
      <c r="Q257" s="1250" t="e">
        <f>VLOOKUP(#REF!,Итоговая!C260:I687,4,FALSE)</f>
        <v>#REF!</v>
      </c>
      <c r="R257" s="1250" t="e">
        <f>VLOOKUP(#REF!,Итоговая!C260:I687,6,FALSE)</f>
        <v>#REF!</v>
      </c>
      <c r="S257" s="1250"/>
      <c r="T257" s="1251" t="e">
        <f>VLOOKUP(#REF!,Итоговая!AA260:AP687,16,FALSE)</f>
        <v>#REF!</v>
      </c>
    </row>
    <row r="258" spans="1:20" x14ac:dyDescent="0.25">
      <c r="A258" s="1248" t="s">
        <v>155</v>
      </c>
      <c r="B258" s="1250" t="s">
        <v>20340</v>
      </c>
      <c r="C258" s="1250" t="s">
        <v>20244</v>
      </c>
      <c r="D258" s="1251">
        <v>4.5121859999999998</v>
      </c>
      <c r="E258" s="1251">
        <v>1.3678140000000001</v>
      </c>
      <c r="F258" s="1251">
        <v>1.1606304347826086</v>
      </c>
      <c r="G258" s="1251">
        <v>0</v>
      </c>
      <c r="H258" s="1251">
        <v>0.20718356521739167</v>
      </c>
      <c r="I258" s="1251"/>
      <c r="J258" s="1252" t="s">
        <v>20211</v>
      </c>
      <c r="K258" s="1250" t="s">
        <v>20211</v>
      </c>
      <c r="L258" s="1251">
        <v>56.565187868836702</v>
      </c>
      <c r="M258" s="1251">
        <v>36.444220991006297</v>
      </c>
      <c r="N258" s="1250" t="e">
        <f>VLOOKUP('Интерактивная карта'!#REF!,Итоговая!AA261:AV688,21,FALSE)</f>
        <v>#REF!</v>
      </c>
      <c r="O258" s="1250" t="e">
        <f>VLOOKUP('Интерактивная карта'!#REF!,Итоговая!AA261:AV688,22,FALSE)</f>
        <v>#REF!</v>
      </c>
      <c r="P258" s="1250" t="e">
        <f>VLOOKUP(#REF!,Итоговая!C261:I688,2,FALSE)</f>
        <v>#REF!</v>
      </c>
      <c r="Q258" s="1250" t="e">
        <f>VLOOKUP(#REF!,Итоговая!C261:I688,4,FALSE)</f>
        <v>#REF!</v>
      </c>
      <c r="R258" s="1250" t="e">
        <f>VLOOKUP(#REF!,Итоговая!C261:I688,6,FALSE)</f>
        <v>#REF!</v>
      </c>
      <c r="S258" s="1250"/>
      <c r="T258" s="1251" t="e">
        <f>VLOOKUP(#REF!,Итоговая!AA261:AP688,16,FALSE)</f>
        <v>#REF!</v>
      </c>
    </row>
    <row r="259" spans="1:20" x14ac:dyDescent="0.25">
      <c r="A259" s="1248" t="s">
        <v>156</v>
      </c>
      <c r="B259" s="1250" t="s">
        <v>20341</v>
      </c>
      <c r="C259" s="1250" t="s">
        <v>20225</v>
      </c>
      <c r="D259" s="1251">
        <v>2.8510399999999998</v>
      </c>
      <c r="E259" s="1251">
        <v>3.7639600000000004</v>
      </c>
      <c r="F259" s="1251">
        <v>0.89836956521739142</v>
      </c>
      <c r="G259" s="1251">
        <v>0</v>
      </c>
      <c r="H259" s="1251">
        <v>2.8655904347826091</v>
      </c>
      <c r="I259" s="1251"/>
      <c r="J259" s="1252" t="s">
        <v>20211</v>
      </c>
      <c r="K259" s="1250" t="s">
        <v>20211</v>
      </c>
      <c r="L259" s="1251">
        <v>56.565187868836702</v>
      </c>
      <c r="M259" s="1251">
        <v>36.444220991006297</v>
      </c>
      <c r="N259" s="1250" t="e">
        <f>VLOOKUP('Интерактивная карта'!#REF!,Итоговая!AA262:AV689,21,FALSE)</f>
        <v>#REF!</v>
      </c>
      <c r="O259" s="1250" t="e">
        <f>VLOOKUP('Интерактивная карта'!#REF!,Итоговая!AA262:AV689,22,FALSE)</f>
        <v>#REF!</v>
      </c>
      <c r="P259" s="1250" t="e">
        <f>VLOOKUP(#REF!,Итоговая!C262:I689,2,FALSE)</f>
        <v>#REF!</v>
      </c>
      <c r="Q259" s="1250" t="e">
        <f>VLOOKUP(#REF!,Итоговая!C262:I689,4,FALSE)</f>
        <v>#REF!</v>
      </c>
      <c r="R259" s="1250" t="e">
        <f>VLOOKUP(#REF!,Итоговая!C262:I689,6,FALSE)</f>
        <v>#REF!</v>
      </c>
      <c r="S259" s="1250"/>
      <c r="T259" s="1251" t="e">
        <f>VLOOKUP(#REF!,Итоговая!AA262:AP689,16,FALSE)</f>
        <v>#REF!</v>
      </c>
    </row>
    <row r="260" spans="1:20" x14ac:dyDescent="0.25">
      <c r="A260" s="1248" t="s">
        <v>157</v>
      </c>
      <c r="B260" s="1250" t="s">
        <v>20342</v>
      </c>
      <c r="C260" s="1250" t="s">
        <v>20256</v>
      </c>
      <c r="D260" s="1251">
        <v>1.621875</v>
      </c>
      <c r="E260" s="1251">
        <v>0.26812500000000017</v>
      </c>
      <c r="F260" s="1251">
        <v>0.52192173913043471</v>
      </c>
      <c r="G260" s="1251">
        <v>0</v>
      </c>
      <c r="H260" s="1251">
        <v>-0.22841706521739111</v>
      </c>
      <c r="I260" s="1251"/>
      <c r="J260" s="1252" t="s">
        <v>20211</v>
      </c>
      <c r="K260" s="1250" t="s">
        <v>2217</v>
      </c>
      <c r="L260" s="1251">
        <v>56.667470282490001</v>
      </c>
      <c r="M260" s="1251">
        <v>36.360492447413797</v>
      </c>
      <c r="N260" s="1250" t="e">
        <f>VLOOKUP('Интерактивная карта'!#REF!,Итоговая!AA263:AV690,21,FALSE)</f>
        <v>#REF!</v>
      </c>
      <c r="O260" s="1250" t="e">
        <f>VLOOKUP('Интерактивная карта'!#REF!,Итоговая!AA263:AV690,22,FALSE)</f>
        <v>#REF!</v>
      </c>
      <c r="P260" s="1250" t="e">
        <f>VLOOKUP(#REF!,Итоговая!C263:I690,2,FALSE)</f>
        <v>#REF!</v>
      </c>
      <c r="Q260" s="1250" t="e">
        <f>VLOOKUP(#REF!,Итоговая!C263:I690,4,FALSE)</f>
        <v>#REF!</v>
      </c>
      <c r="R260" s="1250" t="e">
        <f>VLOOKUP(#REF!,Итоговая!C263:I690,6,FALSE)</f>
        <v>#REF!</v>
      </c>
      <c r="S260" s="1250"/>
      <c r="T260" s="1251" t="e">
        <f>VLOOKUP(#REF!,Итоговая!AA263:AP690,16,FALSE)</f>
        <v>#REF!</v>
      </c>
    </row>
    <row r="261" spans="1:20" x14ac:dyDescent="0.25">
      <c r="A261" s="1248" t="s">
        <v>158</v>
      </c>
      <c r="B261" s="1250" t="s">
        <v>20287</v>
      </c>
      <c r="C261" s="1250" t="s">
        <v>20257</v>
      </c>
      <c r="D261" s="1251">
        <v>5.4865219999999999</v>
      </c>
      <c r="E261" s="1251">
        <v>1.1284780000000003</v>
      </c>
      <c r="F261" s="1251">
        <v>0.46389130434782611</v>
      </c>
      <c r="G261" s="1251">
        <v>0</v>
      </c>
      <c r="H261" s="1251">
        <v>0.66458669565217399</v>
      </c>
      <c r="I261" s="1251"/>
      <c r="J261" s="1252" t="s">
        <v>20211</v>
      </c>
      <c r="K261" s="1250" t="s">
        <v>20211</v>
      </c>
      <c r="L261" s="1251">
        <v>56.518573430220897</v>
      </c>
      <c r="M261" s="1251">
        <v>36.284964491609898</v>
      </c>
      <c r="N261" s="1250" t="e">
        <f>VLOOKUP('Интерактивная карта'!#REF!,Итоговая!AA264:AV691,21,FALSE)</f>
        <v>#REF!</v>
      </c>
      <c r="O261" s="1250" t="e">
        <f>VLOOKUP('Интерактивная карта'!#REF!,Итоговая!AA264:AV691,22,FALSE)</f>
        <v>#REF!</v>
      </c>
      <c r="P261" s="1250" t="e">
        <f>VLOOKUP(#REF!,Итоговая!C264:I691,2,FALSE)</f>
        <v>#REF!</v>
      </c>
      <c r="Q261" s="1250" t="e">
        <f>VLOOKUP(#REF!,Итоговая!C264:I691,4,FALSE)</f>
        <v>#REF!</v>
      </c>
      <c r="R261" s="1250" t="e">
        <f>VLOOKUP(#REF!,Итоговая!C264:I691,6,FALSE)</f>
        <v>#REF!</v>
      </c>
      <c r="S261" s="1250"/>
      <c r="T261" s="1251" t="e">
        <f>VLOOKUP(#REF!,Итоговая!AA264:AP691,16,FALSE)</f>
        <v>#REF!</v>
      </c>
    </row>
    <row r="262" spans="1:20" x14ac:dyDescent="0.25">
      <c r="A262" s="1248" t="s">
        <v>159</v>
      </c>
      <c r="B262" s="1250" t="s">
        <v>20343</v>
      </c>
      <c r="C262" s="1250" t="s">
        <v>20227</v>
      </c>
      <c r="D262" s="1251">
        <v>6.2785160000000007</v>
      </c>
      <c r="E262" s="1251">
        <v>0.99148399999999937</v>
      </c>
      <c r="F262" s="1251">
        <v>5.419956521739131</v>
      </c>
      <c r="G262" s="1251">
        <v>0</v>
      </c>
      <c r="H262" s="1251">
        <v>-3.9856252695652183</v>
      </c>
      <c r="I262" s="1251"/>
      <c r="J262" s="1252" t="s">
        <v>20211</v>
      </c>
      <c r="K262" s="1250" t="s">
        <v>2217</v>
      </c>
      <c r="L262" s="1251">
        <v>56.668822529493497</v>
      </c>
      <c r="M262" s="1251">
        <v>36.970460711525803</v>
      </c>
      <c r="N262" s="1250" t="e">
        <f>VLOOKUP('Интерактивная карта'!#REF!,Итоговая!AA265:AV692,21,FALSE)</f>
        <v>#REF!</v>
      </c>
      <c r="O262" s="1250" t="e">
        <f>VLOOKUP('Интерактивная карта'!#REF!,Итоговая!AA265:AV692,22,FALSE)</f>
        <v>#REF!</v>
      </c>
      <c r="P262" s="1250" t="e">
        <f>VLOOKUP(#REF!,Итоговая!C265:I692,2,FALSE)</f>
        <v>#REF!</v>
      </c>
      <c r="Q262" s="1250" t="e">
        <f>VLOOKUP(#REF!,Итоговая!C265:I692,4,FALSE)</f>
        <v>#REF!</v>
      </c>
      <c r="R262" s="1250" t="e">
        <f>VLOOKUP(#REF!,Итоговая!C265:I692,6,FALSE)</f>
        <v>#REF!</v>
      </c>
      <c r="S262" s="1250"/>
      <c r="T262" s="1251" t="e">
        <f>VLOOKUP(#REF!,Итоговая!AA265:AP692,16,FALSE)</f>
        <v>#REF!</v>
      </c>
    </row>
    <row r="263" spans="1:20" x14ac:dyDescent="0.25">
      <c r="A263" s="1248" t="s">
        <v>160</v>
      </c>
      <c r="B263" s="1250" t="s">
        <v>20325</v>
      </c>
      <c r="C263" s="1250" t="s">
        <v>20258</v>
      </c>
      <c r="D263" s="1251">
        <v>2.8112499999999998</v>
      </c>
      <c r="E263" s="1251">
        <v>7.6887500000000006</v>
      </c>
      <c r="F263" s="1251">
        <v>0.21277173913043482</v>
      </c>
      <c r="G263" s="1251">
        <v>0</v>
      </c>
      <c r="H263" s="1251">
        <v>7.4759782608695655</v>
      </c>
      <c r="I263" s="1251"/>
      <c r="J263" s="1252" t="s">
        <v>20211</v>
      </c>
      <c r="K263" s="1250" t="s">
        <v>20211</v>
      </c>
      <c r="L263" s="1251">
        <v>56.7116155893235</v>
      </c>
      <c r="M263" s="1251">
        <v>36.792128917853603</v>
      </c>
      <c r="N263" s="1250" t="e">
        <f>VLOOKUP('Интерактивная карта'!#REF!,Итоговая!AA266:AV693,21,FALSE)</f>
        <v>#REF!</v>
      </c>
      <c r="O263" s="1250" t="e">
        <f>VLOOKUP('Интерактивная карта'!#REF!,Итоговая!AA266:AV693,22,FALSE)</f>
        <v>#REF!</v>
      </c>
      <c r="P263" s="1250" t="e">
        <f>VLOOKUP(#REF!,Итоговая!C266:I693,2,FALSE)</f>
        <v>#REF!</v>
      </c>
      <c r="Q263" s="1250" t="e">
        <f>VLOOKUP(#REF!,Итоговая!C266:I693,4,FALSE)</f>
        <v>#REF!</v>
      </c>
      <c r="R263" s="1250" t="e">
        <f>VLOOKUP(#REF!,Итоговая!C266:I693,6,FALSE)</f>
        <v>#REF!</v>
      </c>
      <c r="S263" s="1250"/>
      <c r="T263" s="1251" t="e">
        <f>VLOOKUP(#REF!,Итоговая!AA266:AP693,16,FALSE)</f>
        <v>#REF!</v>
      </c>
    </row>
    <row r="264" spans="1:20" x14ac:dyDescent="0.25">
      <c r="A264" s="1248" t="s">
        <v>161</v>
      </c>
      <c r="B264" s="1250" t="s">
        <v>20310</v>
      </c>
      <c r="C264" s="1250" t="s">
        <v>20225</v>
      </c>
      <c r="D264" s="1251">
        <v>3.2745439999999997</v>
      </c>
      <c r="E264" s="1251">
        <v>3.3404560000000005</v>
      </c>
      <c r="F264" s="1251">
        <v>3.3078260869565219</v>
      </c>
      <c r="G264" s="1251">
        <v>0</v>
      </c>
      <c r="H264" s="1251">
        <v>3.2629913043479064E-2</v>
      </c>
      <c r="I264" s="1251"/>
      <c r="J264" s="1252" t="s">
        <v>20211</v>
      </c>
      <c r="K264" s="1250" t="s">
        <v>20211</v>
      </c>
      <c r="L264" s="1251">
        <v>56.619970187154699</v>
      </c>
      <c r="M264" s="1251">
        <v>36.200217500076903</v>
      </c>
      <c r="N264" s="1250" t="e">
        <f>VLOOKUP('Интерактивная карта'!#REF!,Итоговая!AA267:AV694,21,FALSE)</f>
        <v>#REF!</v>
      </c>
      <c r="O264" s="1250" t="e">
        <f>VLOOKUP('Интерактивная карта'!#REF!,Итоговая!AA267:AV694,22,FALSE)</f>
        <v>#REF!</v>
      </c>
      <c r="P264" s="1250" t="e">
        <f>VLOOKUP(#REF!,Итоговая!C267:I694,2,FALSE)</f>
        <v>#REF!</v>
      </c>
      <c r="Q264" s="1250" t="e">
        <f>VLOOKUP(#REF!,Итоговая!C267:I694,4,FALSE)</f>
        <v>#REF!</v>
      </c>
      <c r="R264" s="1250" t="e">
        <f>VLOOKUP(#REF!,Итоговая!C267:I694,6,FALSE)</f>
        <v>#REF!</v>
      </c>
      <c r="S264" s="1250"/>
      <c r="T264" s="1251" t="e">
        <f>VLOOKUP(#REF!,Итоговая!AA267:AP694,16,FALSE)</f>
        <v>#REF!</v>
      </c>
    </row>
    <row r="265" spans="1:20" x14ac:dyDescent="0.25">
      <c r="A265" s="1248" t="s">
        <v>2017</v>
      </c>
      <c r="B265" s="1250" t="s">
        <v>20293</v>
      </c>
      <c r="C265" s="1250" t="s">
        <v>20254</v>
      </c>
      <c r="D265" s="1251">
        <v>2.1452</v>
      </c>
      <c r="E265" s="1251">
        <v>0.47055999999999987</v>
      </c>
      <c r="F265" s="1251">
        <v>0.61845652173913046</v>
      </c>
      <c r="G265" s="1251">
        <v>0.2</v>
      </c>
      <c r="H265" s="1251">
        <v>-0.14789652173913059</v>
      </c>
      <c r="I265" s="1251"/>
      <c r="J265" s="1252" t="s">
        <v>20211</v>
      </c>
      <c r="K265" s="1250" t="s">
        <v>2217</v>
      </c>
      <c r="L265" s="1251">
        <v>56.6755897009702</v>
      </c>
      <c r="M265" s="1251">
        <v>36.694632804300497</v>
      </c>
      <c r="N265" s="1250" t="e">
        <f>VLOOKUP('Интерактивная карта'!#REF!,Итоговая!AA268:AV695,21,FALSE)</f>
        <v>#REF!</v>
      </c>
      <c r="O265" s="1250" t="e">
        <f>VLOOKUP('Интерактивная карта'!#REF!,Итоговая!AA268:AV695,22,FALSE)</f>
        <v>#REF!</v>
      </c>
      <c r="P265" s="1250" t="e">
        <f>VLOOKUP(#REF!,Итоговая!C268:I695,2,FALSE)</f>
        <v>#REF!</v>
      </c>
      <c r="Q265" s="1250" t="e">
        <f>VLOOKUP(#REF!,Итоговая!C268:I695,4,FALSE)</f>
        <v>#REF!</v>
      </c>
      <c r="R265" s="1250" t="e">
        <f>VLOOKUP(#REF!,Итоговая!C268:I695,6,FALSE)</f>
        <v>#REF!</v>
      </c>
      <c r="S265" s="1250"/>
      <c r="T265" s="1251" t="e">
        <f>VLOOKUP(#REF!,Итоговая!AA268:AP695,16,FALSE)</f>
        <v>#REF!</v>
      </c>
    </row>
    <row r="266" spans="1:20" x14ac:dyDescent="0.25">
      <c r="A266" s="1248" t="s">
        <v>162</v>
      </c>
      <c r="B266" s="1250" t="s">
        <v>20285</v>
      </c>
      <c r="C266" s="1250" t="s">
        <v>20250</v>
      </c>
      <c r="D266" s="1251">
        <v>2.6266590000000001</v>
      </c>
      <c r="E266" s="1251">
        <v>-0.17465900000000006</v>
      </c>
      <c r="F266" s="1251">
        <v>0.87583695652173921</v>
      </c>
      <c r="G266" s="1251">
        <v>1.1599999999999999</v>
      </c>
      <c r="H266" s="1251">
        <v>-1.0504959565217393</v>
      </c>
      <c r="I266" s="1251"/>
      <c r="J266" s="1252" t="s">
        <v>2217</v>
      </c>
      <c r="K266" s="1250" t="s">
        <v>2217</v>
      </c>
      <c r="L266" s="1251">
        <v>56.698820872395601</v>
      </c>
      <c r="M266" s="1251">
        <v>36.307776077415099</v>
      </c>
      <c r="N266" s="1250" t="e">
        <f>VLOOKUP('Интерактивная карта'!#REF!,Итоговая!AA269:AV696,21,FALSE)</f>
        <v>#REF!</v>
      </c>
      <c r="O266" s="1250" t="e">
        <f>VLOOKUP('Интерактивная карта'!#REF!,Итоговая!AA269:AV696,22,FALSE)</f>
        <v>#REF!</v>
      </c>
      <c r="P266" s="1250" t="e">
        <f>VLOOKUP(#REF!,Итоговая!C269:I696,2,FALSE)</f>
        <v>#REF!</v>
      </c>
      <c r="Q266" s="1250" t="e">
        <f>VLOOKUP(#REF!,Итоговая!C269:I696,4,FALSE)</f>
        <v>#REF!</v>
      </c>
      <c r="R266" s="1250" t="e">
        <f>VLOOKUP(#REF!,Итоговая!C269:I696,6,FALSE)</f>
        <v>#REF!</v>
      </c>
      <c r="S266" s="1250"/>
      <c r="T266" s="1251" t="e">
        <f>VLOOKUP(#REF!,Итоговая!AA269:AP696,16,FALSE)</f>
        <v>#REF!</v>
      </c>
    </row>
    <row r="267" spans="1:20" x14ac:dyDescent="0.25">
      <c r="A267" s="1248" t="s">
        <v>163</v>
      </c>
      <c r="B267" s="1250" t="s">
        <v>20285</v>
      </c>
      <c r="C267" s="1250" t="s">
        <v>20223</v>
      </c>
      <c r="D267" s="1251">
        <v>1.19889</v>
      </c>
      <c r="E267" s="1251">
        <v>0.48111000000000015</v>
      </c>
      <c r="F267" s="1251">
        <v>0.21110869565217391</v>
      </c>
      <c r="G267" s="1251">
        <v>0</v>
      </c>
      <c r="H267" s="1251">
        <v>0.27000130434782621</v>
      </c>
      <c r="I267" s="1251"/>
      <c r="J267" s="1252" t="s">
        <v>20211</v>
      </c>
      <c r="K267" s="1250" t="s">
        <v>20211</v>
      </c>
      <c r="L267" s="1251">
        <v>56.645054053303902</v>
      </c>
      <c r="M267" s="1251">
        <v>36.441536564170796</v>
      </c>
      <c r="N267" s="1250" t="e">
        <f>VLOOKUP('Интерактивная карта'!#REF!,Итоговая!AA270:AV697,21,FALSE)</f>
        <v>#REF!</v>
      </c>
      <c r="O267" s="1250" t="e">
        <f>VLOOKUP('Интерактивная карта'!#REF!,Итоговая!AA270:AV697,22,FALSE)</f>
        <v>#REF!</v>
      </c>
      <c r="P267" s="1250" t="e">
        <f>VLOOKUP(#REF!,Итоговая!C270:I697,2,FALSE)</f>
        <v>#REF!</v>
      </c>
      <c r="Q267" s="1250" t="e">
        <f>VLOOKUP(#REF!,Итоговая!C270:I697,4,FALSE)</f>
        <v>#REF!</v>
      </c>
      <c r="R267" s="1250" t="e">
        <f>VLOOKUP(#REF!,Итоговая!C270:I697,6,FALSE)</f>
        <v>#REF!</v>
      </c>
      <c r="S267" s="1250"/>
      <c r="T267" s="1251" t="e">
        <f>VLOOKUP(#REF!,Итоговая!AA270:AP697,16,FALSE)</f>
        <v>#REF!</v>
      </c>
    </row>
    <row r="268" spans="1:20" x14ac:dyDescent="0.25">
      <c r="A268" s="1248" t="s">
        <v>14886</v>
      </c>
      <c r="B268" s="1250" t="s">
        <v>20283</v>
      </c>
      <c r="C268" s="1250" t="s">
        <v>20222</v>
      </c>
      <c r="D268" s="1251">
        <v>1.9621660000000001</v>
      </c>
      <c r="E268" s="1251">
        <v>0.66283399999999992</v>
      </c>
      <c r="F268" s="1251">
        <v>0.7135869565217392</v>
      </c>
      <c r="G268" s="1251">
        <v>0</v>
      </c>
      <c r="H268" s="1251">
        <v>-4.5677660869565352E-2</v>
      </c>
      <c r="I268" s="1251"/>
      <c r="J268" s="1252" t="s">
        <v>20211</v>
      </c>
      <c r="K268" s="1250" t="s">
        <v>2217</v>
      </c>
      <c r="L268" s="1251">
        <v>56.663088887268501</v>
      </c>
      <c r="M268" s="1251">
        <v>36.803259794991298</v>
      </c>
      <c r="N268" s="1250" t="e">
        <f>VLOOKUP('Интерактивная карта'!#REF!,Итоговая!AA271:AV698,21,FALSE)</f>
        <v>#REF!</v>
      </c>
      <c r="O268" s="1250" t="e">
        <f>VLOOKUP('Интерактивная карта'!#REF!,Итоговая!AA271:AV698,22,FALSE)</f>
        <v>#REF!</v>
      </c>
      <c r="P268" s="1250" t="e">
        <f>VLOOKUP(#REF!,Итоговая!C271:I698,2,FALSE)</f>
        <v>#REF!</v>
      </c>
      <c r="Q268" s="1250" t="e">
        <f>VLOOKUP(#REF!,Итоговая!C271:I698,4,FALSE)</f>
        <v>#REF!</v>
      </c>
      <c r="R268" s="1250" t="e">
        <f>VLOOKUP(#REF!,Итоговая!C271:I698,6,FALSE)</f>
        <v>#REF!</v>
      </c>
      <c r="S268" s="1250"/>
      <c r="T268" s="1251" t="e">
        <f>VLOOKUP(#REF!,Итоговая!AA271:AP698,16,FALSE)</f>
        <v>#REF!</v>
      </c>
    </row>
    <row r="269" spans="1:20" x14ac:dyDescent="0.25">
      <c r="A269" s="1248" t="s">
        <v>164</v>
      </c>
      <c r="B269" s="1250" t="s">
        <v>20344</v>
      </c>
      <c r="C269" s="1250" t="s">
        <v>20227</v>
      </c>
      <c r="D269" s="1251">
        <v>4.5775800000000002</v>
      </c>
      <c r="E269" s="1251">
        <v>2.6924199999999998</v>
      </c>
      <c r="F269" s="1251">
        <v>6.306304347826087</v>
      </c>
      <c r="G269" s="1251">
        <v>0.19</v>
      </c>
      <c r="H269" s="1251">
        <v>-3.6138843478260871</v>
      </c>
      <c r="I269" s="1251"/>
      <c r="J269" s="1252" t="s">
        <v>20211</v>
      </c>
      <c r="K269" s="1250" t="s">
        <v>2217</v>
      </c>
      <c r="L269" s="1251">
        <v>56.583273284638203</v>
      </c>
      <c r="M269" s="1251">
        <v>36.504831719835202</v>
      </c>
      <c r="N269" s="1250" t="e">
        <f>VLOOKUP('Интерактивная карта'!#REF!,Итоговая!AA272:AV699,21,FALSE)</f>
        <v>#REF!</v>
      </c>
      <c r="O269" s="1250" t="e">
        <f>VLOOKUP('Интерактивная карта'!#REF!,Итоговая!AA272:AV699,22,FALSE)</f>
        <v>#REF!</v>
      </c>
      <c r="P269" s="1250" t="e">
        <f>VLOOKUP(#REF!,Итоговая!C272:I699,2,FALSE)</f>
        <v>#REF!</v>
      </c>
      <c r="Q269" s="1250" t="e">
        <f>VLOOKUP(#REF!,Итоговая!C272:I699,4,FALSE)</f>
        <v>#REF!</v>
      </c>
      <c r="R269" s="1250" t="e">
        <f>VLOOKUP(#REF!,Итоговая!C272:I699,6,FALSE)</f>
        <v>#REF!</v>
      </c>
      <c r="S269" s="1250"/>
      <c r="T269" s="1251" t="e">
        <f>VLOOKUP(#REF!,Итоговая!AA272:AP699,16,FALSE)</f>
        <v>#REF!</v>
      </c>
    </row>
    <row r="270" spans="1:20" x14ac:dyDescent="0.25">
      <c r="A270" s="1248" t="s">
        <v>165</v>
      </c>
      <c r="B270" s="1250" t="s">
        <v>20309</v>
      </c>
      <c r="C270" s="1250" t="s">
        <v>20221</v>
      </c>
      <c r="D270" s="1251">
        <v>2.8110423999999998</v>
      </c>
      <c r="E270" s="1251">
        <v>0</v>
      </c>
      <c r="F270" s="1251">
        <v>0.17393478260869563</v>
      </c>
      <c r="G270" s="1251">
        <v>0</v>
      </c>
      <c r="H270" s="1251">
        <v>-0.32397946434782593</v>
      </c>
      <c r="I270" s="1251"/>
      <c r="J270" s="1252" t="s">
        <v>2217</v>
      </c>
      <c r="K270" s="1250" t="s">
        <v>2217</v>
      </c>
      <c r="L270" s="1251">
        <v>56.675776138183203</v>
      </c>
      <c r="M270" s="1251">
        <v>36.681326282337302</v>
      </c>
      <c r="N270" s="1250" t="e">
        <f>VLOOKUP('Интерактивная карта'!#REF!,Итоговая!AA273:AV700,21,FALSE)</f>
        <v>#REF!</v>
      </c>
      <c r="O270" s="1250" t="e">
        <f>VLOOKUP('Интерактивная карта'!#REF!,Итоговая!AA273:AV700,22,FALSE)</f>
        <v>#REF!</v>
      </c>
      <c r="P270" s="1250" t="e">
        <f>VLOOKUP(#REF!,Итоговая!C273:I700,2,FALSE)</f>
        <v>#REF!</v>
      </c>
      <c r="Q270" s="1250" t="e">
        <f>VLOOKUP(#REF!,Итоговая!C273:I700,4,FALSE)</f>
        <v>#REF!</v>
      </c>
      <c r="R270" s="1250" t="e">
        <f>VLOOKUP(#REF!,Итоговая!C273:I700,6,FALSE)</f>
        <v>#REF!</v>
      </c>
      <c r="S270" s="1250"/>
      <c r="T270" s="1251" t="e">
        <f>VLOOKUP(#REF!,Итоговая!AA273:AP700,16,FALSE)</f>
        <v>#REF!</v>
      </c>
    </row>
    <row r="271" spans="1:20" x14ac:dyDescent="0.25">
      <c r="A271" s="1248" t="s">
        <v>166</v>
      </c>
      <c r="B271" s="1250" t="s">
        <v>20280</v>
      </c>
      <c r="C271" s="1250" t="s">
        <v>20235</v>
      </c>
      <c r="D271" s="1251">
        <v>3.319178</v>
      </c>
      <c r="E271" s="1251">
        <v>0.88082200000000022</v>
      </c>
      <c r="F271" s="1251">
        <v>1.3144565217391304</v>
      </c>
      <c r="G271" s="1251">
        <v>0</v>
      </c>
      <c r="H271" s="1251">
        <v>-0.39027106956521718</v>
      </c>
      <c r="I271" s="1251"/>
      <c r="J271" s="1252" t="s">
        <v>20211</v>
      </c>
      <c r="K271" s="1250" t="s">
        <v>2217</v>
      </c>
      <c r="L271" s="1251">
        <v>56.771001100550897</v>
      </c>
      <c r="M271" s="1251">
        <v>36.1039893659825</v>
      </c>
      <c r="N271" s="1250" t="e">
        <f>VLOOKUP('Интерактивная карта'!#REF!,Итоговая!AA274:AV701,21,FALSE)</f>
        <v>#REF!</v>
      </c>
      <c r="O271" s="1250" t="e">
        <f>VLOOKUP('Интерактивная карта'!#REF!,Итоговая!AA274:AV701,22,FALSE)</f>
        <v>#REF!</v>
      </c>
      <c r="P271" s="1250" t="e">
        <f>VLOOKUP(#REF!,Итоговая!C274:I701,2,FALSE)</f>
        <v>#REF!</v>
      </c>
      <c r="Q271" s="1250" t="e">
        <f>VLOOKUP(#REF!,Итоговая!C274:I701,4,FALSE)</f>
        <v>#REF!</v>
      </c>
      <c r="R271" s="1250" t="e">
        <f>VLOOKUP(#REF!,Итоговая!C274:I701,6,FALSE)</f>
        <v>#REF!</v>
      </c>
      <c r="S271" s="1250"/>
      <c r="T271" s="1251" t="e">
        <f>VLOOKUP(#REF!,Итоговая!AA274:AP701,16,FALSE)</f>
        <v>#REF!</v>
      </c>
    </row>
    <row r="272" spans="1:20" x14ac:dyDescent="0.25">
      <c r="A272" s="1248" t="s">
        <v>167</v>
      </c>
      <c r="B272" s="1250" t="s">
        <v>20345</v>
      </c>
      <c r="C272" s="1250" t="s">
        <v>20220</v>
      </c>
      <c r="D272" s="1251">
        <v>2.6858249999999999</v>
      </c>
      <c r="E272" s="1251">
        <v>1.5141750000000003</v>
      </c>
      <c r="F272" s="1251">
        <v>0.33495652173913043</v>
      </c>
      <c r="G272" s="1251">
        <v>0</v>
      </c>
      <c r="H272" s="1251">
        <v>1.1792184782608697</v>
      </c>
      <c r="I272" s="1251"/>
      <c r="J272" s="1252" t="s">
        <v>20211</v>
      </c>
      <c r="K272" s="1250" t="s">
        <v>20211</v>
      </c>
      <c r="L272" s="1251">
        <v>56.711062762274103</v>
      </c>
      <c r="M272" s="1251">
        <v>36.653319898019397</v>
      </c>
      <c r="N272" s="1250" t="e">
        <f>VLOOKUP('Интерактивная карта'!#REF!,Итоговая!AA275:AV702,21,FALSE)</f>
        <v>#REF!</v>
      </c>
      <c r="O272" s="1250" t="e">
        <f>VLOOKUP('Интерактивная карта'!#REF!,Итоговая!AA275:AV702,22,FALSE)</f>
        <v>#REF!</v>
      </c>
      <c r="P272" s="1250" t="e">
        <f>VLOOKUP(#REF!,Итоговая!C275:I702,2,FALSE)</f>
        <v>#REF!</v>
      </c>
      <c r="Q272" s="1250" t="e">
        <f>VLOOKUP(#REF!,Итоговая!C275:I702,4,FALSE)</f>
        <v>#REF!</v>
      </c>
      <c r="R272" s="1250" t="e">
        <f>VLOOKUP(#REF!,Итоговая!C275:I702,6,FALSE)</f>
        <v>#REF!</v>
      </c>
      <c r="S272" s="1250"/>
      <c r="T272" s="1251" t="e">
        <f>VLOOKUP(#REF!,Итоговая!AA275:AP702,16,FALSE)</f>
        <v>#REF!</v>
      </c>
    </row>
    <row r="273" spans="1:20" x14ac:dyDescent="0.25">
      <c r="A273" s="1248" t="s">
        <v>168</v>
      </c>
      <c r="B273" s="1250" t="s">
        <v>20346</v>
      </c>
      <c r="C273" s="1250" t="s">
        <v>20259</v>
      </c>
      <c r="D273" s="1251">
        <v>15.175559999999999</v>
      </c>
      <c r="E273" s="1251">
        <v>1.6244400000000017</v>
      </c>
      <c r="F273" s="1251">
        <v>0</v>
      </c>
      <c r="G273" s="1251">
        <v>0</v>
      </c>
      <c r="H273" s="1251">
        <v>1.6244400000000017</v>
      </c>
      <c r="I273" s="1251"/>
      <c r="J273" s="1252" t="s">
        <v>20211</v>
      </c>
      <c r="K273" s="1250" t="s">
        <v>20211</v>
      </c>
      <c r="L273" s="1251">
        <v>56.837688982167201</v>
      </c>
      <c r="M273" s="1251">
        <v>35.913463446160598</v>
      </c>
      <c r="N273" s="1250" t="e">
        <f>VLOOKUP('Интерактивная карта'!#REF!,Итоговая!AA276:AV703,21,FALSE)</f>
        <v>#REF!</v>
      </c>
      <c r="O273" s="1250" t="e">
        <f>VLOOKUP('Интерактивная карта'!#REF!,Итоговая!AA276:AV703,22,FALSE)</f>
        <v>#REF!</v>
      </c>
      <c r="P273" s="1250" t="e">
        <f>VLOOKUP(#REF!,Итоговая!C276:I703,2,FALSE)</f>
        <v>#REF!</v>
      </c>
      <c r="Q273" s="1250" t="e">
        <f>VLOOKUP(#REF!,Итоговая!C276:I703,4,FALSE)</f>
        <v>#REF!</v>
      </c>
      <c r="R273" s="1250" t="e">
        <f>VLOOKUP(#REF!,Итоговая!C276:I703,6,FALSE)</f>
        <v>#REF!</v>
      </c>
      <c r="S273" s="1250">
        <v>10</v>
      </c>
      <c r="T273" s="1251" t="e">
        <f>VLOOKUP(#REF!,Итоговая!AA276:AP703,16,FALSE)</f>
        <v>#REF!</v>
      </c>
    </row>
    <row r="274" spans="1:20" x14ac:dyDescent="0.25">
      <c r="A274" s="1248" t="s">
        <v>169</v>
      </c>
      <c r="B274" s="1250" t="s">
        <v>20347</v>
      </c>
      <c r="C274" s="1250" t="s">
        <v>20260</v>
      </c>
      <c r="D274" s="1251">
        <v>13.275673999999999</v>
      </c>
      <c r="E274" s="1251">
        <v>7.7243260000000014</v>
      </c>
      <c r="F274" s="1251">
        <v>4.0472934782608698</v>
      </c>
      <c r="G274" s="1251">
        <v>0</v>
      </c>
      <c r="H274" s="1251">
        <v>3.6770325217391315</v>
      </c>
      <c r="I274" s="1251"/>
      <c r="J274" s="1252" t="s">
        <v>20211</v>
      </c>
      <c r="K274" s="1250" t="s">
        <v>20211</v>
      </c>
      <c r="L274" s="1251">
        <v>56.872738067369099</v>
      </c>
      <c r="M274" s="1251">
        <v>35.962227415706899</v>
      </c>
      <c r="N274" s="1250" t="e">
        <f>VLOOKUP('Интерактивная карта'!#REF!,Итоговая!AA277:AV704,21,FALSE)</f>
        <v>#REF!</v>
      </c>
      <c r="O274" s="1250" t="e">
        <f>VLOOKUP('Интерактивная карта'!#REF!,Итоговая!AA277:AV704,22,FALSE)</f>
        <v>#REF!</v>
      </c>
      <c r="P274" s="1250" t="e">
        <f>VLOOKUP(#REF!,Итоговая!C277:I704,2,FALSE)</f>
        <v>#REF!</v>
      </c>
      <c r="Q274" s="1250" t="e">
        <f>VLOOKUP(#REF!,Итоговая!C277:I704,4,FALSE)</f>
        <v>#REF!</v>
      </c>
      <c r="R274" s="1250" t="e">
        <f>VLOOKUP(#REF!,Итоговая!C277:I704,6,FALSE)</f>
        <v>#REF!</v>
      </c>
      <c r="S274" s="1250">
        <v>10</v>
      </c>
      <c r="T274" s="1251" t="e">
        <f>VLOOKUP(#REF!,Итоговая!AA277:AP704,16,FALSE)</f>
        <v>#REF!</v>
      </c>
    </row>
    <row r="275" spans="1:20" x14ac:dyDescent="0.25">
      <c r="A275" s="1248" t="s">
        <v>170</v>
      </c>
      <c r="B275" s="1250" t="s">
        <v>20302</v>
      </c>
      <c r="C275" s="1250" t="s">
        <v>2429</v>
      </c>
      <c r="D275" s="1251">
        <v>1.8867380000000002</v>
      </c>
      <c r="E275" s="1251">
        <v>-0.23673800000000034</v>
      </c>
      <c r="F275" s="1251">
        <v>2.0408804347826086</v>
      </c>
      <c r="G275" s="1251">
        <v>0.04</v>
      </c>
      <c r="H275" s="1251">
        <v>-2.2776184347826089</v>
      </c>
      <c r="I275" s="1251"/>
      <c r="J275" s="1252" t="s">
        <v>20211</v>
      </c>
      <c r="K275" s="1250" t="s">
        <v>2217</v>
      </c>
      <c r="L275" s="1251">
        <v>56.5843719695498</v>
      </c>
      <c r="M275" s="1251">
        <v>35.7619123136638</v>
      </c>
      <c r="N275" s="1250" t="e">
        <f>VLOOKUP('Интерактивная карта'!#REF!,Итоговая!AA278:AV705,21,FALSE)</f>
        <v>#REF!</v>
      </c>
      <c r="O275" s="1250" t="e">
        <f>VLOOKUP('Интерактивная карта'!#REF!,Итоговая!AA278:AV705,22,FALSE)</f>
        <v>#REF!</v>
      </c>
      <c r="P275" s="1250" t="e">
        <f>VLOOKUP(#REF!,Итоговая!C278:I705,2,FALSE)</f>
        <v>#REF!</v>
      </c>
      <c r="Q275" s="1250" t="e">
        <f>VLOOKUP(#REF!,Итоговая!C278:I705,4,FALSE)</f>
        <v>#REF!</v>
      </c>
      <c r="R275" s="1250" t="e">
        <f>VLOOKUP(#REF!,Итоговая!C278:I705,6,FALSE)</f>
        <v>#REF!</v>
      </c>
      <c r="S275" s="1250"/>
      <c r="T275" s="1251" t="e">
        <f>VLOOKUP(#REF!,Итоговая!AA278:AP705,16,FALSE)</f>
        <v>#REF!</v>
      </c>
    </row>
    <row r="276" spans="1:20" x14ac:dyDescent="0.25">
      <c r="A276" s="1248" t="s">
        <v>171</v>
      </c>
      <c r="B276" s="1250" t="s">
        <v>20276</v>
      </c>
      <c r="C276" s="1250" t="s">
        <v>20241</v>
      </c>
      <c r="D276" s="1251">
        <v>19.256976000000002</v>
      </c>
      <c r="E276" s="1251">
        <v>11.260791999999999</v>
      </c>
      <c r="F276" s="1251">
        <v>5.8695652173913047</v>
      </c>
      <c r="G276" s="1251">
        <v>0</v>
      </c>
      <c r="H276" s="1251">
        <v>5.3912267826086939</v>
      </c>
      <c r="I276" s="1251"/>
      <c r="J276" s="1252" t="s">
        <v>20211</v>
      </c>
      <c r="K276" s="1250" t="s">
        <v>20211</v>
      </c>
      <c r="L276" s="1251">
        <v>56.838444047844298</v>
      </c>
      <c r="M276" s="1251">
        <v>35.791613740737702</v>
      </c>
      <c r="N276" s="1250" t="e">
        <f>VLOOKUP('Интерактивная карта'!#REF!,Итоговая!AA279:AV706,21,FALSE)</f>
        <v>#REF!</v>
      </c>
      <c r="O276" s="1250" t="e">
        <f>VLOOKUP('Интерактивная карта'!#REF!,Итоговая!AA279:AV706,22,FALSE)</f>
        <v>#REF!</v>
      </c>
      <c r="P276" s="1250" t="e">
        <f>VLOOKUP(#REF!,Итоговая!C279:I706,2,FALSE)</f>
        <v>#REF!</v>
      </c>
      <c r="Q276" s="1250" t="e">
        <f>VLOOKUP(#REF!,Итоговая!C279:I706,4,FALSE)</f>
        <v>#REF!</v>
      </c>
      <c r="R276" s="1250" t="e">
        <f>VLOOKUP(#REF!,Итоговая!C279:I706,6,FALSE)</f>
        <v>#REF!</v>
      </c>
      <c r="S276" s="1250"/>
      <c r="T276" s="1251" t="e">
        <f>VLOOKUP(#REF!,Итоговая!AA279:AP706,16,FALSE)</f>
        <v>#REF!</v>
      </c>
    </row>
    <row r="277" spans="1:20" x14ac:dyDescent="0.25">
      <c r="A277" s="1248" t="s">
        <v>172</v>
      </c>
      <c r="B277" s="1250" t="s">
        <v>20348</v>
      </c>
      <c r="C277" s="1250" t="s">
        <v>20262</v>
      </c>
      <c r="D277" s="1251">
        <v>49.88109</v>
      </c>
      <c r="E277" s="1251">
        <v>40.268909999999998</v>
      </c>
      <c r="F277" s="1251">
        <v>16.067722826086957</v>
      </c>
      <c r="G277" s="1251">
        <v>4.26</v>
      </c>
      <c r="H277" s="1251">
        <v>24.201187173913034</v>
      </c>
      <c r="I277" s="1251"/>
      <c r="J277" s="1252" t="s">
        <v>20211</v>
      </c>
      <c r="K277" s="1250" t="s">
        <v>20211</v>
      </c>
      <c r="L277" s="1251">
        <v>56.812352864856102</v>
      </c>
      <c r="M277" s="1251">
        <v>35.875389292921398</v>
      </c>
      <c r="N277" s="1250" t="e">
        <f>VLOOKUP('Интерактивная карта'!#REF!,Итоговая!AA280:AV707,21,FALSE)</f>
        <v>#REF!</v>
      </c>
      <c r="O277" s="1250" t="e">
        <f>VLOOKUP('Интерактивная карта'!#REF!,Итоговая!AA280:AV707,22,FALSE)</f>
        <v>#REF!</v>
      </c>
      <c r="P277" s="1250" t="e">
        <f>VLOOKUP(#REF!,Итоговая!C280:I707,2,FALSE)</f>
        <v>#REF!</v>
      </c>
      <c r="Q277" s="1250" t="e">
        <f>VLOOKUP(#REF!,Итоговая!C280:I707,4,FALSE)</f>
        <v>#REF!</v>
      </c>
      <c r="R277" s="1250" t="e">
        <f>VLOOKUP(#REF!,Итоговая!C280:I707,6,FALSE)</f>
        <v>#REF!</v>
      </c>
      <c r="S277" s="1250">
        <v>40</v>
      </c>
      <c r="T277" s="1251" t="e">
        <f>VLOOKUP(#REF!,Итоговая!AA280:AP707,16,FALSE)</f>
        <v>#REF!</v>
      </c>
    </row>
    <row r="278" spans="1:20" x14ac:dyDescent="0.25">
      <c r="A278" s="1248" t="s">
        <v>173</v>
      </c>
      <c r="B278" s="1250" t="s">
        <v>20325</v>
      </c>
      <c r="C278" s="1250" t="s">
        <v>20241</v>
      </c>
      <c r="D278" s="1251">
        <v>30.085910999999999</v>
      </c>
      <c r="E278" s="1251">
        <v>10.538814</v>
      </c>
      <c r="F278" s="1251">
        <v>2.460391304347826</v>
      </c>
      <c r="G278" s="1251">
        <v>0.03</v>
      </c>
      <c r="H278" s="1251">
        <v>10.375770521739129</v>
      </c>
      <c r="I278" s="1251"/>
      <c r="J278" s="1252" t="s">
        <v>20211</v>
      </c>
      <c r="K278" s="1250" t="s">
        <v>20211</v>
      </c>
      <c r="L278" s="1251">
        <v>56.8824720048164</v>
      </c>
      <c r="M278" s="1251">
        <v>35.868557292290099</v>
      </c>
      <c r="N278" s="1250" t="e">
        <f>VLOOKUP('Интерактивная карта'!#REF!,Итоговая!AA281:AV708,21,FALSE)</f>
        <v>#REF!</v>
      </c>
      <c r="O278" s="1250" t="e">
        <f>VLOOKUP('Интерактивная карта'!#REF!,Итоговая!AA281:AV708,22,FALSE)</f>
        <v>#REF!</v>
      </c>
      <c r="P278" s="1250" t="e">
        <f>VLOOKUP(#REF!,Итоговая!C281:I708,2,FALSE)</f>
        <v>#REF!</v>
      </c>
      <c r="Q278" s="1250" t="e">
        <f>VLOOKUP(#REF!,Итоговая!C281:I708,4,FALSE)</f>
        <v>#REF!</v>
      </c>
      <c r="R278" s="1250" t="e">
        <f>VLOOKUP(#REF!,Итоговая!C281:I708,6,FALSE)</f>
        <v>#REF!</v>
      </c>
      <c r="S278" s="1250"/>
      <c r="T278" s="1251" t="e">
        <f>VLOOKUP(#REF!,Итоговая!AA281:AP708,16,FALSE)</f>
        <v>#REF!</v>
      </c>
    </row>
    <row r="279" spans="1:20" x14ac:dyDescent="0.25">
      <c r="A279" s="1248" t="s">
        <v>174</v>
      </c>
      <c r="B279" s="1250" t="s">
        <v>20325</v>
      </c>
      <c r="C279" s="1250" t="s">
        <v>20241</v>
      </c>
      <c r="D279" s="1251">
        <v>38.325727999999998</v>
      </c>
      <c r="E279" s="1251">
        <v>11.210159999999998</v>
      </c>
      <c r="F279" s="1251">
        <v>12.077426086956521</v>
      </c>
      <c r="G279" s="1251">
        <v>0.14000000000000001</v>
      </c>
      <c r="H279" s="1251">
        <v>-0.86726608695652274</v>
      </c>
      <c r="I279" s="1251"/>
      <c r="J279" s="1252" t="s">
        <v>20211</v>
      </c>
      <c r="K279" s="1250" t="s">
        <v>2217</v>
      </c>
      <c r="L279" s="1251">
        <v>56.817318062913998</v>
      </c>
      <c r="M279" s="1251">
        <v>36.000321125689503</v>
      </c>
      <c r="N279" s="1250" t="e">
        <f>VLOOKUP('Интерактивная карта'!#REF!,Итоговая!AA282:AV709,21,FALSE)</f>
        <v>#REF!</v>
      </c>
      <c r="O279" s="1250" t="e">
        <f>VLOOKUP('Интерактивная карта'!#REF!,Итоговая!AA282:AV709,22,FALSE)</f>
        <v>#REF!</v>
      </c>
      <c r="P279" s="1250" t="e">
        <f>VLOOKUP(#REF!,Итоговая!C282:I709,2,FALSE)</f>
        <v>#REF!</v>
      </c>
      <c r="Q279" s="1250" t="e">
        <f>VLOOKUP(#REF!,Итоговая!C282:I709,4,FALSE)</f>
        <v>#REF!</v>
      </c>
      <c r="R279" s="1250" t="e">
        <f>VLOOKUP(#REF!,Итоговая!C282:I709,6,FALSE)</f>
        <v>#REF!</v>
      </c>
      <c r="S279" s="1250"/>
      <c r="T279" s="1251" t="e">
        <f>VLOOKUP(#REF!,Итоговая!AA282:AP709,16,FALSE)</f>
        <v>#REF!</v>
      </c>
    </row>
    <row r="280" spans="1:20" x14ac:dyDescent="0.25">
      <c r="A280" s="1248" t="s">
        <v>175</v>
      </c>
      <c r="B280" s="1250" t="s">
        <v>20283</v>
      </c>
      <c r="C280" s="1250" t="s">
        <v>20241</v>
      </c>
      <c r="D280" s="1251">
        <v>18.439031999999997</v>
      </c>
      <c r="E280" s="1251">
        <v>7.3772880000000001</v>
      </c>
      <c r="F280" s="1251">
        <v>0</v>
      </c>
      <c r="G280" s="1251">
        <v>0</v>
      </c>
      <c r="H280" s="1251">
        <v>7.3772880000000001</v>
      </c>
      <c r="I280" s="1251"/>
      <c r="J280" s="1252" t="s">
        <v>20211</v>
      </c>
      <c r="K280" s="1250" t="s">
        <v>20211</v>
      </c>
      <c r="L280" s="1251">
        <v>56.846325926478499</v>
      </c>
      <c r="M280" s="1251">
        <v>35.943401629587001</v>
      </c>
      <c r="N280" s="1250" t="e">
        <f>VLOOKUP('Интерактивная карта'!#REF!,Итоговая!AA283:AV710,21,FALSE)</f>
        <v>#REF!</v>
      </c>
      <c r="O280" s="1250" t="e">
        <f>VLOOKUP('Интерактивная карта'!#REF!,Итоговая!AA283:AV710,22,FALSE)</f>
        <v>#REF!</v>
      </c>
      <c r="P280" s="1250" t="e">
        <f>VLOOKUP(#REF!,Итоговая!C283:I710,2,FALSE)</f>
        <v>#REF!</v>
      </c>
      <c r="Q280" s="1250" t="e">
        <f>VLOOKUP(#REF!,Итоговая!C283:I710,4,FALSE)</f>
        <v>#REF!</v>
      </c>
      <c r="R280" s="1250" t="e">
        <f>VLOOKUP(#REF!,Итоговая!C283:I710,6,FALSE)</f>
        <v>#REF!</v>
      </c>
      <c r="S280" s="1250"/>
      <c r="T280" s="1251" t="e">
        <f>VLOOKUP(#REF!,Итоговая!AA283:AP710,16,FALSE)</f>
        <v>#REF!</v>
      </c>
    </row>
    <row r="281" spans="1:20" x14ac:dyDescent="0.25">
      <c r="A281" s="1248" t="s">
        <v>176</v>
      </c>
      <c r="B281" s="1250" t="s">
        <v>20309</v>
      </c>
      <c r="C281" s="1250" t="s">
        <v>20227</v>
      </c>
      <c r="D281" s="1251">
        <v>7.2688544999999998</v>
      </c>
      <c r="E281" s="1251">
        <v>7.7551455000000002</v>
      </c>
      <c r="F281" s="1251">
        <v>3.5178630434782612</v>
      </c>
      <c r="G281" s="1251">
        <v>0</v>
      </c>
      <c r="H281" s="1251">
        <v>4.2372824565217391</v>
      </c>
      <c r="I281" s="1251"/>
      <c r="J281" s="1252" t="s">
        <v>20211</v>
      </c>
      <c r="K281" s="1250" t="s">
        <v>20211</v>
      </c>
      <c r="L281" s="1251">
        <v>56.940839497052899</v>
      </c>
      <c r="M281" s="1251">
        <v>35.624450234615701</v>
      </c>
      <c r="N281" s="1250" t="e">
        <f>VLOOKUP('Интерактивная карта'!#REF!,Итоговая!AA284:AV711,21,FALSE)</f>
        <v>#REF!</v>
      </c>
      <c r="O281" s="1250" t="e">
        <f>VLOOKUP('Интерактивная карта'!#REF!,Итоговая!AA284:AV711,22,FALSE)</f>
        <v>#REF!</v>
      </c>
      <c r="P281" s="1250" t="e">
        <f>VLOOKUP(#REF!,Итоговая!C284:I711,2,FALSE)</f>
        <v>#REF!</v>
      </c>
      <c r="Q281" s="1250" t="e">
        <f>VLOOKUP(#REF!,Итоговая!C284:I711,4,FALSE)</f>
        <v>#REF!</v>
      </c>
      <c r="R281" s="1250" t="e">
        <f>VLOOKUP(#REF!,Итоговая!C284:I711,6,FALSE)</f>
        <v>#REF!</v>
      </c>
      <c r="S281" s="1250"/>
      <c r="T281" s="1251" t="e">
        <f>VLOOKUP(#REF!,Итоговая!AA284:AP711,16,FALSE)</f>
        <v>#REF!</v>
      </c>
    </row>
    <row r="282" spans="1:20" x14ac:dyDescent="0.25">
      <c r="A282" s="1248" t="s">
        <v>177</v>
      </c>
      <c r="B282" s="1250" t="s">
        <v>20314</v>
      </c>
      <c r="C282" s="1250" t="s">
        <v>20226</v>
      </c>
      <c r="D282" s="1251">
        <v>16.237780000000001</v>
      </c>
      <c r="E282" s="1251">
        <v>10.149909999999998</v>
      </c>
      <c r="F282" s="1251">
        <v>2.1266914446002803</v>
      </c>
      <c r="G282" s="1251">
        <v>0</v>
      </c>
      <c r="H282" s="1251">
        <v>8.0232185553997191</v>
      </c>
      <c r="I282" s="1251"/>
      <c r="J282" s="1252" t="s">
        <v>20211</v>
      </c>
      <c r="K282" s="1250" t="s">
        <v>20211</v>
      </c>
      <c r="L282" s="1251">
        <v>57.117744196011202</v>
      </c>
      <c r="M282" s="1251">
        <v>35.474582720060397</v>
      </c>
      <c r="N282" s="1250" t="e">
        <f>VLOOKUP('Интерактивная карта'!#REF!,Итоговая!AA285:AV712,21,FALSE)</f>
        <v>#REF!</v>
      </c>
      <c r="O282" s="1250" t="e">
        <f>VLOOKUP('Интерактивная карта'!#REF!,Итоговая!AA285:AV712,22,FALSE)</f>
        <v>#REF!</v>
      </c>
      <c r="P282" s="1250" t="e">
        <f>VLOOKUP(#REF!,Итоговая!C285:I712,2,FALSE)</f>
        <v>#REF!</v>
      </c>
      <c r="Q282" s="1250" t="e">
        <f>VLOOKUP(#REF!,Итоговая!C285:I712,4,FALSE)</f>
        <v>#REF!</v>
      </c>
      <c r="R282" s="1250" t="e">
        <f>VLOOKUP(#REF!,Итоговая!C285:I712,6,FALSE)</f>
        <v>#REF!</v>
      </c>
      <c r="S282" s="1250"/>
      <c r="T282" s="1251" t="e">
        <f>VLOOKUP(#REF!,Итоговая!AA285:AP712,16,FALSE)</f>
        <v>#REF!</v>
      </c>
    </row>
    <row r="283" spans="1:20" x14ac:dyDescent="0.25">
      <c r="A283" s="1248" t="s">
        <v>178</v>
      </c>
      <c r="B283" s="1250" t="s">
        <v>20283</v>
      </c>
      <c r="C283" s="1250" t="s">
        <v>20226</v>
      </c>
      <c r="D283" s="1251">
        <v>15.221232000000001</v>
      </c>
      <c r="E283" s="1251">
        <v>13.828768</v>
      </c>
      <c r="F283" s="1251">
        <v>8.0177173913043482</v>
      </c>
      <c r="G283" s="1251">
        <v>0.19</v>
      </c>
      <c r="H283" s="1251">
        <v>5.8110506086956519</v>
      </c>
      <c r="I283" s="1251"/>
      <c r="J283" s="1252" t="s">
        <v>20211</v>
      </c>
      <c r="K283" s="1250" t="s">
        <v>20211</v>
      </c>
      <c r="L283" s="1251">
        <v>56.587896602222003</v>
      </c>
      <c r="M283" s="1251">
        <v>36.4910108207308</v>
      </c>
      <c r="N283" s="1250" t="e">
        <f>VLOOKUP('Интерактивная карта'!#REF!,Итоговая!AA286:AV713,21,FALSE)</f>
        <v>#REF!</v>
      </c>
      <c r="O283" s="1250" t="e">
        <f>VLOOKUP('Интерактивная карта'!#REF!,Итоговая!AA286:AV713,22,FALSE)</f>
        <v>#REF!</v>
      </c>
      <c r="P283" s="1250" t="e">
        <f>VLOOKUP(#REF!,Итоговая!C286:I713,2,FALSE)</f>
        <v>#REF!</v>
      </c>
      <c r="Q283" s="1250" t="e">
        <f>VLOOKUP(#REF!,Итоговая!C286:I713,4,FALSE)</f>
        <v>#REF!</v>
      </c>
      <c r="R283" s="1250" t="e">
        <f>VLOOKUP(#REF!,Итоговая!C286:I713,6,FALSE)</f>
        <v>#REF!</v>
      </c>
      <c r="S283" s="1250"/>
      <c r="T283" s="1251" t="e">
        <f>VLOOKUP(#REF!,Итоговая!AA286:AP713,16,FALSE)</f>
        <v>#REF!</v>
      </c>
    </row>
    <row r="284" spans="1:20" x14ac:dyDescent="0.25">
      <c r="A284" s="1248" t="s">
        <v>179</v>
      </c>
      <c r="B284" s="1250" t="s">
        <v>20311</v>
      </c>
      <c r="C284" s="1250" t="s">
        <v>20263</v>
      </c>
      <c r="D284" s="1251">
        <v>28.446563000000001</v>
      </c>
      <c r="E284" s="1251">
        <v>5.6351670000000027</v>
      </c>
      <c r="F284" s="1251">
        <v>7.5854760869565228</v>
      </c>
      <c r="G284" s="1251">
        <v>1.47</v>
      </c>
      <c r="H284" s="1251">
        <v>-1.7552781782608682</v>
      </c>
      <c r="I284" s="1251"/>
      <c r="J284" s="1252" t="s">
        <v>20211</v>
      </c>
      <c r="K284" s="1250" t="s">
        <v>2217</v>
      </c>
      <c r="L284" s="1251">
        <v>56.652821284373097</v>
      </c>
      <c r="M284" s="1251">
        <v>36.286133958084797</v>
      </c>
      <c r="N284" s="1250" t="e">
        <f>VLOOKUP('Интерактивная карта'!#REF!,Итоговая!AA287:AV714,21,FALSE)</f>
        <v>#REF!</v>
      </c>
      <c r="O284" s="1250" t="e">
        <f>VLOOKUP('Интерактивная карта'!#REF!,Итоговая!AA287:AV714,22,FALSE)</f>
        <v>#REF!</v>
      </c>
      <c r="P284" s="1250" t="e">
        <f>VLOOKUP(#REF!,Итоговая!C287:I714,2,FALSE)</f>
        <v>#REF!</v>
      </c>
      <c r="Q284" s="1250" t="e">
        <f>VLOOKUP(#REF!,Итоговая!C287:I714,4,FALSE)</f>
        <v>#REF!</v>
      </c>
      <c r="R284" s="1250" t="e">
        <f>VLOOKUP(#REF!,Итоговая!C287:I714,6,FALSE)</f>
        <v>#REF!</v>
      </c>
      <c r="S284" s="1250"/>
      <c r="T284" s="1251" t="e">
        <f>VLOOKUP(#REF!,Итоговая!AA287:AP714,16,FALSE)</f>
        <v>#REF!</v>
      </c>
    </row>
    <row r="285" spans="1:20" x14ac:dyDescent="0.25">
      <c r="A285" s="1248" t="s">
        <v>180</v>
      </c>
      <c r="B285" s="1250" t="s">
        <v>20277</v>
      </c>
      <c r="C285" s="1250" t="s">
        <v>20258</v>
      </c>
      <c r="D285" s="1251">
        <v>6.439406</v>
      </c>
      <c r="E285" s="1251">
        <v>5.8505940000000001</v>
      </c>
      <c r="F285" s="1251">
        <v>0.83259782608695665</v>
      </c>
      <c r="G285" s="1251">
        <v>0</v>
      </c>
      <c r="H285" s="1251">
        <v>5.0179961739130432</v>
      </c>
      <c r="I285" s="1251"/>
      <c r="J285" s="1252" t="s">
        <v>20211</v>
      </c>
      <c r="K285" s="1250" t="s">
        <v>20211</v>
      </c>
      <c r="L285" s="1251">
        <v>57.3406360797293</v>
      </c>
      <c r="M285" s="1251">
        <v>36.047738987915402</v>
      </c>
      <c r="N285" s="1250" t="e">
        <f>VLOOKUP('Интерактивная карта'!#REF!,Итоговая!AA288:AV715,21,FALSE)</f>
        <v>#REF!</v>
      </c>
      <c r="O285" s="1250" t="e">
        <f>VLOOKUP('Интерактивная карта'!#REF!,Итоговая!AA288:AV715,22,FALSE)</f>
        <v>#REF!</v>
      </c>
      <c r="P285" s="1250" t="e">
        <f>VLOOKUP(#REF!,Итоговая!C288:I715,2,FALSE)</f>
        <v>#REF!</v>
      </c>
      <c r="Q285" s="1250" t="e">
        <f>VLOOKUP(#REF!,Итоговая!C288:I715,4,FALSE)</f>
        <v>#REF!</v>
      </c>
      <c r="R285" s="1250" t="e">
        <f>VLOOKUP(#REF!,Итоговая!C288:I715,6,FALSE)</f>
        <v>#REF!</v>
      </c>
      <c r="S285" s="1250"/>
      <c r="T285" s="1251" t="e">
        <f>VLOOKUP(#REF!,Итоговая!AA288:AP715,16,FALSE)</f>
        <v>#REF!</v>
      </c>
    </row>
    <row r="286" spans="1:20" x14ac:dyDescent="0.25">
      <c r="A286" s="1248" t="s">
        <v>181</v>
      </c>
      <c r="B286" s="1250" t="s">
        <v>20270</v>
      </c>
      <c r="C286" s="1250" t="s">
        <v>20226</v>
      </c>
      <c r="D286" s="1251">
        <v>0.48439999999999994</v>
      </c>
      <c r="E286" s="1251">
        <v>14.433670000000001</v>
      </c>
      <c r="F286" s="1251">
        <v>8.7456521739130419E-2</v>
      </c>
      <c r="G286" s="1251">
        <v>0</v>
      </c>
      <c r="H286" s="1251">
        <v>14.346213478260871</v>
      </c>
      <c r="I286" s="1251"/>
      <c r="J286" s="1252" t="s">
        <v>20211</v>
      </c>
      <c r="K286" s="1250" t="s">
        <v>20211</v>
      </c>
      <c r="L286" s="1251">
        <v>57.187139393143099</v>
      </c>
      <c r="M286" s="1251">
        <v>35.854838183759199</v>
      </c>
      <c r="N286" s="1250" t="e">
        <f>VLOOKUP('Интерактивная карта'!#REF!,Итоговая!AA289:AV716,21,FALSE)</f>
        <v>#REF!</v>
      </c>
      <c r="O286" s="1250" t="e">
        <f>VLOOKUP('Интерактивная карта'!#REF!,Итоговая!AA289:AV716,22,FALSE)</f>
        <v>#REF!</v>
      </c>
      <c r="P286" s="1250" t="e">
        <f>VLOOKUP(#REF!,Итоговая!C289:I716,2,FALSE)</f>
        <v>#REF!</v>
      </c>
      <c r="Q286" s="1250" t="e">
        <f>VLOOKUP(#REF!,Итоговая!C289:I716,4,FALSE)</f>
        <v>#REF!</v>
      </c>
      <c r="R286" s="1250" t="e">
        <f>VLOOKUP(#REF!,Итоговая!C289:I716,6,FALSE)</f>
        <v>#REF!</v>
      </c>
      <c r="S286" s="1250"/>
      <c r="T286" s="1251" t="e">
        <f>VLOOKUP(#REF!,Итоговая!AA289:AP716,16,FALSE)</f>
        <v>#REF!</v>
      </c>
    </row>
    <row r="287" spans="1:20" x14ac:dyDescent="0.25">
      <c r="A287" s="1248" t="s">
        <v>182</v>
      </c>
      <c r="B287" s="1250" t="s">
        <v>20349</v>
      </c>
      <c r="C287" s="1250" t="s">
        <v>20212</v>
      </c>
      <c r="D287" s="1251">
        <v>0.99</v>
      </c>
      <c r="E287" s="1251">
        <v>0</v>
      </c>
      <c r="F287" s="1251">
        <v>2.8173913043478261E-2</v>
      </c>
      <c r="G287" s="1251">
        <v>0</v>
      </c>
      <c r="H287" s="1251">
        <v>-2.8173913043478261E-2</v>
      </c>
      <c r="I287" s="1251"/>
      <c r="J287" s="1252" t="s">
        <v>20211</v>
      </c>
      <c r="K287" s="1250" t="s">
        <v>2217</v>
      </c>
      <c r="L287" s="1251">
        <v>56.8301746418446</v>
      </c>
      <c r="M287" s="1251">
        <v>34.607680731350698</v>
      </c>
      <c r="N287" s="1250" t="e">
        <f>VLOOKUP('Интерактивная карта'!#REF!,Итоговая!AA290:AV717,21,FALSE)</f>
        <v>#REF!</v>
      </c>
      <c r="O287" s="1250" t="e">
        <f>VLOOKUP('Интерактивная карта'!#REF!,Итоговая!AA290:AV717,22,FALSE)</f>
        <v>#REF!</v>
      </c>
      <c r="P287" s="1250" t="e">
        <f>VLOOKUP(#REF!,Итоговая!C290:I717,2,FALSE)</f>
        <v>#REF!</v>
      </c>
      <c r="Q287" s="1250" t="e">
        <f>VLOOKUP(#REF!,Итоговая!C290:I717,4,FALSE)</f>
        <v>#REF!</v>
      </c>
      <c r="R287" s="1250" t="e">
        <f>VLOOKUP(#REF!,Итоговая!C290:I717,6,FALSE)</f>
        <v>#REF!</v>
      </c>
      <c r="S287" s="1250"/>
      <c r="T287" s="1251" t="e">
        <f>VLOOKUP(#REF!,Итоговая!AA290:AP717,16,FALSE)</f>
        <v>#REF!</v>
      </c>
    </row>
    <row r="288" spans="1:20" x14ac:dyDescent="0.25">
      <c r="A288" s="1248" t="s">
        <v>183</v>
      </c>
      <c r="B288" s="1250" t="s">
        <v>20289</v>
      </c>
      <c r="C288" s="1250" t="s">
        <v>20212</v>
      </c>
      <c r="D288" s="1251">
        <v>0.31</v>
      </c>
      <c r="E288" s="1251">
        <v>0</v>
      </c>
      <c r="F288" s="1251">
        <v>0.56386956521739129</v>
      </c>
      <c r="G288" s="1251">
        <v>0</v>
      </c>
      <c r="H288" s="1251">
        <v>-0.56386956521739129</v>
      </c>
      <c r="I288" s="1251"/>
      <c r="J288" s="1252" t="s">
        <v>20211</v>
      </c>
      <c r="K288" s="1250" t="s">
        <v>2217</v>
      </c>
      <c r="L288" s="1251">
        <v>56.890550852858198</v>
      </c>
      <c r="M288" s="1251">
        <v>34.736810070502301</v>
      </c>
      <c r="N288" s="1250" t="e">
        <f>VLOOKUP('Интерактивная карта'!#REF!,Итоговая!AA291:AV718,21,FALSE)</f>
        <v>#REF!</v>
      </c>
      <c r="O288" s="1250" t="e">
        <f>VLOOKUP('Интерактивная карта'!#REF!,Итоговая!AA291:AV718,22,FALSE)</f>
        <v>#REF!</v>
      </c>
      <c r="P288" s="1250" t="e">
        <f>VLOOKUP(#REF!,Итоговая!C291:I718,2,FALSE)</f>
        <v>#REF!</v>
      </c>
      <c r="Q288" s="1250" t="e">
        <f>VLOOKUP(#REF!,Итоговая!C291:I718,4,FALSE)</f>
        <v>#REF!</v>
      </c>
      <c r="R288" s="1250" t="e">
        <f>VLOOKUP(#REF!,Итоговая!C291:I718,6,FALSE)</f>
        <v>#REF!</v>
      </c>
      <c r="S288" s="1250"/>
      <c r="T288" s="1251" t="e">
        <f>VLOOKUP(#REF!,Итоговая!AA291:AP718,16,FALSE)</f>
        <v>#REF!</v>
      </c>
    </row>
    <row r="289" spans="1:20" x14ac:dyDescent="0.25">
      <c r="A289" s="1248" t="s">
        <v>184</v>
      </c>
      <c r="B289" s="1250" t="s">
        <v>20298</v>
      </c>
      <c r="C289" s="1250" t="s">
        <v>20264</v>
      </c>
      <c r="D289" s="1251">
        <v>0.02</v>
      </c>
      <c r="E289" s="1251">
        <v>-0.02</v>
      </c>
      <c r="F289" s="1251">
        <v>0</v>
      </c>
      <c r="G289" s="1251">
        <v>0</v>
      </c>
      <c r="H289" s="1251">
        <v>-1.8000000000000002E-2</v>
      </c>
      <c r="I289" s="1251"/>
      <c r="J289" s="1252" t="s">
        <v>20211</v>
      </c>
      <c r="K289" s="1250" t="s">
        <v>2217</v>
      </c>
      <c r="L289" s="1251">
        <v>57.178198819369499</v>
      </c>
      <c r="M289" s="1251">
        <v>33.725861625238501</v>
      </c>
      <c r="N289" s="1250" t="e">
        <f>VLOOKUP('Интерактивная карта'!#REF!,Итоговая!AA292:AV719,21,FALSE)</f>
        <v>#REF!</v>
      </c>
      <c r="O289" s="1250" t="e">
        <f>VLOOKUP('Интерактивная карта'!#REF!,Итоговая!AA292:AV719,22,FALSE)</f>
        <v>#REF!</v>
      </c>
      <c r="P289" s="1250" t="e">
        <f>VLOOKUP(#REF!,Итоговая!C292:I719,2,FALSE)</f>
        <v>#REF!</v>
      </c>
      <c r="Q289" s="1250" t="e">
        <f>VLOOKUP(#REF!,Итоговая!C292:I719,4,FALSE)</f>
        <v>#REF!</v>
      </c>
      <c r="R289" s="1250" t="e">
        <f>VLOOKUP(#REF!,Итоговая!C292:I719,6,FALSE)</f>
        <v>#REF!</v>
      </c>
      <c r="S289" s="1250"/>
      <c r="T289" s="1251" t="e">
        <f>VLOOKUP(#REF!,Итоговая!AA292:AP719,16,FALSE)</f>
        <v>#REF!</v>
      </c>
    </row>
    <row r="290" spans="1:20" x14ac:dyDescent="0.25">
      <c r="A290" s="1248" t="s">
        <v>185</v>
      </c>
      <c r="B290" s="1250" t="s">
        <v>20279</v>
      </c>
      <c r="C290" s="1250" t="s">
        <v>20212</v>
      </c>
      <c r="D290" s="1251">
        <v>1.1299999999999999</v>
      </c>
      <c r="E290" s="1251">
        <v>0</v>
      </c>
      <c r="F290" s="1251">
        <v>4.9304347826086954E-2</v>
      </c>
      <c r="G290" s="1251">
        <v>0</v>
      </c>
      <c r="H290" s="1251">
        <v>-4.4373913043478257E-2</v>
      </c>
      <c r="I290" s="1251"/>
      <c r="J290" s="1252" t="s">
        <v>20211</v>
      </c>
      <c r="K290" s="1250" t="s">
        <v>2217</v>
      </c>
      <c r="L290" s="1251">
        <v>56.9354846584773</v>
      </c>
      <c r="M290" s="1251">
        <v>34.451795016160503</v>
      </c>
      <c r="N290" s="1250" t="e">
        <f>VLOOKUP('Интерактивная карта'!#REF!,Итоговая!AA293:AV720,21,FALSE)</f>
        <v>#REF!</v>
      </c>
      <c r="O290" s="1250" t="e">
        <f>VLOOKUP('Интерактивная карта'!#REF!,Итоговая!AA293:AV720,22,FALSE)</f>
        <v>#REF!</v>
      </c>
      <c r="P290" s="1250" t="e">
        <f>VLOOKUP(#REF!,Итоговая!C293:I720,2,FALSE)</f>
        <v>#REF!</v>
      </c>
      <c r="Q290" s="1250" t="e">
        <f>VLOOKUP(#REF!,Итоговая!C293:I720,4,FALSE)</f>
        <v>#REF!</v>
      </c>
      <c r="R290" s="1250" t="e">
        <f>VLOOKUP(#REF!,Итоговая!C293:I720,6,FALSE)</f>
        <v>#REF!</v>
      </c>
      <c r="S290" s="1250"/>
      <c r="T290" s="1251" t="e">
        <f>VLOOKUP(#REF!,Итоговая!AA293:AP720,16,FALSE)</f>
        <v>#REF!</v>
      </c>
    </row>
    <row r="291" spans="1:20" x14ac:dyDescent="0.25">
      <c r="A291" s="1248" t="s">
        <v>186</v>
      </c>
      <c r="B291" s="1250" t="s">
        <v>20288</v>
      </c>
      <c r="C291" s="1250" t="s">
        <v>20210</v>
      </c>
      <c r="D291" s="1251">
        <v>0.18</v>
      </c>
      <c r="E291" s="1251">
        <v>-0.18</v>
      </c>
      <c r="F291" s="1251">
        <v>3.2282608695652172E-2</v>
      </c>
      <c r="G291" s="1251">
        <v>0</v>
      </c>
      <c r="H291" s="1251">
        <v>-0.19105434782608693</v>
      </c>
      <c r="I291" s="1251"/>
      <c r="J291" s="1252" t="s">
        <v>20211</v>
      </c>
      <c r="K291" s="1250" t="s">
        <v>2217</v>
      </c>
      <c r="L291" s="1251">
        <v>57.0901837567651</v>
      </c>
      <c r="M291" s="1251">
        <v>34.158526964322803</v>
      </c>
      <c r="N291" s="1250" t="e">
        <f>VLOOKUP('Интерактивная карта'!#REF!,Итоговая!AA294:AV721,21,FALSE)</f>
        <v>#REF!</v>
      </c>
      <c r="O291" s="1250" t="e">
        <f>VLOOKUP('Интерактивная карта'!#REF!,Итоговая!AA294:AV721,22,FALSE)</f>
        <v>#REF!</v>
      </c>
      <c r="P291" s="1250" t="e">
        <f>VLOOKUP(#REF!,Итоговая!C294:I721,2,FALSE)</f>
        <v>#REF!</v>
      </c>
      <c r="Q291" s="1250" t="e">
        <f>VLOOKUP(#REF!,Итоговая!C294:I721,4,FALSE)</f>
        <v>#REF!</v>
      </c>
      <c r="R291" s="1250" t="e">
        <f>VLOOKUP(#REF!,Итоговая!C294:I721,6,FALSE)</f>
        <v>#REF!</v>
      </c>
      <c r="S291" s="1250"/>
      <c r="T291" s="1251" t="e">
        <f>VLOOKUP(#REF!,Итоговая!AA294:AP721,16,FALSE)</f>
        <v>#REF!</v>
      </c>
    </row>
    <row r="292" spans="1:20" x14ac:dyDescent="0.25">
      <c r="A292" s="1248" t="s">
        <v>187</v>
      </c>
      <c r="B292" s="1250" t="s">
        <v>20350</v>
      </c>
      <c r="C292" s="1250" t="s">
        <v>20212</v>
      </c>
      <c r="D292" s="1251">
        <v>0.05</v>
      </c>
      <c r="E292" s="1251">
        <v>-3.0000000000000002E-2</v>
      </c>
      <c r="F292" s="1251">
        <v>0.1141304347826087</v>
      </c>
      <c r="G292" s="1251">
        <v>0</v>
      </c>
      <c r="H292" s="1251">
        <v>-0.1441304347826087</v>
      </c>
      <c r="I292" s="1251"/>
      <c r="J292" s="1252" t="s">
        <v>20211</v>
      </c>
      <c r="K292" s="1250" t="s">
        <v>2217</v>
      </c>
      <c r="L292" s="1251">
        <v>57.109680251436501</v>
      </c>
      <c r="M292" s="1251">
        <v>33.772291400337799</v>
      </c>
      <c r="N292" s="1250" t="e">
        <f>VLOOKUP('Интерактивная карта'!#REF!,Итоговая!AA295:AV722,21,FALSE)</f>
        <v>#REF!</v>
      </c>
      <c r="O292" s="1250" t="e">
        <f>VLOOKUP('Интерактивная карта'!#REF!,Итоговая!AA295:AV722,22,FALSE)</f>
        <v>#REF!</v>
      </c>
      <c r="P292" s="1250" t="e">
        <f>VLOOKUP(#REF!,Итоговая!C295:I722,2,FALSE)</f>
        <v>#REF!</v>
      </c>
      <c r="Q292" s="1250" t="e">
        <f>VLOOKUP(#REF!,Итоговая!C295:I722,4,FALSE)</f>
        <v>#REF!</v>
      </c>
      <c r="R292" s="1250" t="e">
        <f>VLOOKUP(#REF!,Итоговая!C295:I722,6,FALSE)</f>
        <v>#REF!</v>
      </c>
      <c r="S292" s="1250"/>
      <c r="T292" s="1251" t="e">
        <f>VLOOKUP(#REF!,Итоговая!AA295:AP722,16,FALSE)</f>
        <v>#REF!</v>
      </c>
    </row>
    <row r="293" spans="1:20" x14ac:dyDescent="0.25">
      <c r="A293" s="1248" t="s">
        <v>188</v>
      </c>
      <c r="B293" s="1250" t="s">
        <v>20288</v>
      </c>
      <c r="C293" s="1250" t="s">
        <v>20212</v>
      </c>
      <c r="D293" s="1251">
        <v>0.43</v>
      </c>
      <c r="E293" s="1251">
        <v>-0.22</v>
      </c>
      <c r="F293" s="1251">
        <v>2.9347826086956522E-2</v>
      </c>
      <c r="G293" s="1251">
        <v>0</v>
      </c>
      <c r="H293" s="1251">
        <v>-0.24934782608695652</v>
      </c>
      <c r="I293" s="1251"/>
      <c r="J293" s="1252" t="s">
        <v>20211</v>
      </c>
      <c r="K293" s="1250" t="s">
        <v>2217</v>
      </c>
      <c r="L293" s="1251">
        <v>56.655166180638801</v>
      </c>
      <c r="M293" s="1251">
        <v>33.265810048735098</v>
      </c>
      <c r="N293" s="1250" t="e">
        <f>VLOOKUP('Интерактивная карта'!#REF!,Итоговая!AA296:AV723,21,FALSE)</f>
        <v>#REF!</v>
      </c>
      <c r="O293" s="1250" t="e">
        <f>VLOOKUP('Интерактивная карта'!#REF!,Итоговая!AA296:AV723,22,FALSE)</f>
        <v>#REF!</v>
      </c>
      <c r="P293" s="1250" t="e">
        <f>VLOOKUP(#REF!,Итоговая!C296:I723,2,FALSE)</f>
        <v>#REF!</v>
      </c>
      <c r="Q293" s="1250" t="e">
        <f>VLOOKUP(#REF!,Итоговая!C296:I723,4,FALSE)</f>
        <v>#REF!</v>
      </c>
      <c r="R293" s="1250" t="e">
        <f>VLOOKUP(#REF!,Итоговая!C296:I723,6,FALSE)</f>
        <v>#REF!</v>
      </c>
      <c r="S293" s="1250"/>
      <c r="T293" s="1251" t="e">
        <f>VLOOKUP(#REF!,Итоговая!AA296:AP723,16,FALSE)</f>
        <v>#REF!</v>
      </c>
    </row>
    <row r="294" spans="1:20" x14ac:dyDescent="0.25">
      <c r="A294" s="1248" t="s">
        <v>189</v>
      </c>
      <c r="B294" s="1250" t="s">
        <v>20300</v>
      </c>
      <c r="C294" s="1250" t="s">
        <v>20210</v>
      </c>
      <c r="D294" s="1251">
        <v>0.11</v>
      </c>
      <c r="E294" s="1251">
        <v>0</v>
      </c>
      <c r="F294" s="1251">
        <v>0</v>
      </c>
      <c r="G294" s="1251">
        <v>0</v>
      </c>
      <c r="H294" s="1251">
        <v>0</v>
      </c>
      <c r="I294" s="1251"/>
      <c r="J294" s="1252" t="s">
        <v>20211</v>
      </c>
      <c r="K294" s="1250" t="s">
        <v>20211</v>
      </c>
      <c r="L294" s="1251">
        <v>56.799069622315798</v>
      </c>
      <c r="M294" s="1251">
        <v>33.365244784147997</v>
      </c>
      <c r="N294" s="1250" t="e">
        <f>VLOOKUP('Интерактивная карта'!#REF!,Итоговая!AA297:AV724,21,FALSE)</f>
        <v>#REF!</v>
      </c>
      <c r="O294" s="1250" t="e">
        <f>VLOOKUP('Интерактивная карта'!#REF!,Итоговая!AA297:AV724,22,FALSE)</f>
        <v>#REF!</v>
      </c>
      <c r="P294" s="1250" t="e">
        <f>VLOOKUP(#REF!,Итоговая!C297:I724,2,FALSE)</f>
        <v>#REF!</v>
      </c>
      <c r="Q294" s="1250" t="e">
        <f>VLOOKUP(#REF!,Итоговая!C297:I724,4,FALSE)</f>
        <v>#REF!</v>
      </c>
      <c r="R294" s="1250" t="e">
        <f>VLOOKUP(#REF!,Итоговая!C297:I724,6,FALSE)</f>
        <v>#REF!</v>
      </c>
      <c r="S294" s="1250"/>
      <c r="T294" s="1251" t="e">
        <f>VLOOKUP(#REF!,Итоговая!AA297:AP724,16,FALSE)</f>
        <v>#REF!</v>
      </c>
    </row>
    <row r="295" spans="1:20" x14ac:dyDescent="0.25">
      <c r="A295" s="1248" t="s">
        <v>190</v>
      </c>
      <c r="B295" s="1250" t="s">
        <v>20279</v>
      </c>
      <c r="C295" s="1250" t="s">
        <v>2043</v>
      </c>
      <c r="D295" s="1251">
        <v>0.2</v>
      </c>
      <c r="E295" s="1251">
        <v>-7.0000000000000007E-2</v>
      </c>
      <c r="F295" s="1251">
        <v>2.4456521739130436E-2</v>
      </c>
      <c r="G295" s="1251">
        <v>0</v>
      </c>
      <c r="H295" s="1251">
        <v>-9.4456521739130439E-2</v>
      </c>
      <c r="I295" s="1251"/>
      <c r="J295" s="1252" t="s">
        <v>20211</v>
      </c>
      <c r="K295" s="1250" t="s">
        <v>2217</v>
      </c>
      <c r="L295" s="1251">
        <v>56.6577175697605</v>
      </c>
      <c r="M295" s="1251">
        <v>33.471842528405297</v>
      </c>
      <c r="N295" s="1250" t="e">
        <f>VLOOKUP('Интерактивная карта'!#REF!,Итоговая!AA298:AV725,21,FALSE)</f>
        <v>#REF!</v>
      </c>
      <c r="O295" s="1250" t="e">
        <f>VLOOKUP('Интерактивная карта'!#REF!,Итоговая!AA298:AV725,22,FALSE)</f>
        <v>#REF!</v>
      </c>
      <c r="P295" s="1250" t="e">
        <f>VLOOKUP(#REF!,Итоговая!C298:I725,2,FALSE)</f>
        <v>#REF!</v>
      </c>
      <c r="Q295" s="1250" t="e">
        <f>VLOOKUP(#REF!,Итоговая!C298:I725,4,FALSE)</f>
        <v>#REF!</v>
      </c>
      <c r="R295" s="1250" t="e">
        <f>VLOOKUP(#REF!,Итоговая!C298:I725,6,FALSE)</f>
        <v>#REF!</v>
      </c>
      <c r="S295" s="1250"/>
      <c r="T295" s="1251" t="e">
        <f>VLOOKUP(#REF!,Итоговая!AA298:AP725,16,FALSE)</f>
        <v>#REF!</v>
      </c>
    </row>
    <row r="296" spans="1:20" x14ac:dyDescent="0.25">
      <c r="A296" s="1248" t="s">
        <v>191</v>
      </c>
      <c r="B296" s="1250" t="s">
        <v>20318</v>
      </c>
      <c r="C296" s="1250" t="s">
        <v>20215</v>
      </c>
      <c r="D296" s="1251">
        <v>3.67</v>
      </c>
      <c r="E296" s="1251">
        <v>-3.67</v>
      </c>
      <c r="F296" s="1251">
        <v>0.61082608695652174</v>
      </c>
      <c r="G296" s="1251">
        <v>0</v>
      </c>
      <c r="H296" s="1251">
        <v>-3.8527434782608694</v>
      </c>
      <c r="I296" s="1251"/>
      <c r="J296" s="1252" t="s">
        <v>20211</v>
      </c>
      <c r="K296" s="1250" t="s">
        <v>2217</v>
      </c>
      <c r="L296" s="1251">
        <v>57.282362313331902</v>
      </c>
      <c r="M296" s="1251">
        <v>32.919448251431298</v>
      </c>
      <c r="N296" s="1250" t="e">
        <f>VLOOKUP('Интерактивная карта'!#REF!,Итоговая!AA299:AV726,21,FALSE)</f>
        <v>#REF!</v>
      </c>
      <c r="O296" s="1250" t="e">
        <f>VLOOKUP('Интерактивная карта'!#REF!,Итоговая!AA299:AV726,22,FALSE)</f>
        <v>#REF!</v>
      </c>
      <c r="P296" s="1250" t="e">
        <f>VLOOKUP(#REF!,Итоговая!C299:I726,2,FALSE)</f>
        <v>#REF!</v>
      </c>
      <c r="Q296" s="1250" t="e">
        <f>VLOOKUP(#REF!,Итоговая!C299:I726,4,FALSE)</f>
        <v>#REF!</v>
      </c>
      <c r="R296" s="1250" t="e">
        <f>VLOOKUP(#REF!,Итоговая!C299:I726,6,FALSE)</f>
        <v>#REF!</v>
      </c>
      <c r="S296" s="1250"/>
      <c r="T296" s="1251" t="e">
        <f>VLOOKUP(#REF!,Итоговая!AA299:AP726,16,FALSE)</f>
        <v>#REF!</v>
      </c>
    </row>
    <row r="297" spans="1:20" x14ac:dyDescent="0.25">
      <c r="A297" s="1248" t="s">
        <v>192</v>
      </c>
      <c r="B297" s="1250" t="s">
        <v>20310</v>
      </c>
      <c r="C297" s="1250" t="s">
        <v>20210</v>
      </c>
      <c r="D297" s="1251">
        <v>0.12</v>
      </c>
      <c r="E297" s="1251">
        <v>-0.12</v>
      </c>
      <c r="F297" s="1251">
        <v>0</v>
      </c>
      <c r="G297" s="1251">
        <v>0</v>
      </c>
      <c r="H297" s="1251">
        <v>-0.12</v>
      </c>
      <c r="I297" s="1251"/>
      <c r="J297" s="1252" t="s">
        <v>20211</v>
      </c>
      <c r="K297" s="1250" t="s">
        <v>2217</v>
      </c>
      <c r="L297" s="1251">
        <v>56.641229897302701</v>
      </c>
      <c r="M297" s="1251">
        <v>32.847676704850599</v>
      </c>
      <c r="N297" s="1250" t="e">
        <f>VLOOKUP('Интерактивная карта'!#REF!,Итоговая!AA300:AV727,21,FALSE)</f>
        <v>#REF!</v>
      </c>
      <c r="O297" s="1250" t="e">
        <f>VLOOKUP('Интерактивная карта'!#REF!,Итоговая!AA300:AV727,22,FALSE)</f>
        <v>#REF!</v>
      </c>
      <c r="P297" s="1250" t="e">
        <f>VLOOKUP(#REF!,Итоговая!C300:I727,2,FALSE)</f>
        <v>#REF!</v>
      </c>
      <c r="Q297" s="1250" t="e">
        <f>VLOOKUP(#REF!,Итоговая!C300:I727,4,FALSE)</f>
        <v>#REF!</v>
      </c>
      <c r="R297" s="1250" t="e">
        <f>VLOOKUP(#REF!,Итоговая!C300:I727,6,FALSE)</f>
        <v>#REF!</v>
      </c>
      <c r="S297" s="1250"/>
      <c r="T297" s="1251" t="e">
        <f>VLOOKUP(#REF!,Итоговая!AA300:AP727,16,FALSE)</f>
        <v>#REF!</v>
      </c>
    </row>
    <row r="298" spans="1:20" x14ac:dyDescent="0.25">
      <c r="A298" s="1248" t="s">
        <v>193</v>
      </c>
      <c r="B298" s="1250" t="s">
        <v>20322</v>
      </c>
      <c r="C298" s="1250" t="s">
        <v>20212</v>
      </c>
      <c r="D298" s="1251">
        <v>0.31</v>
      </c>
      <c r="E298" s="1251">
        <v>-0.31</v>
      </c>
      <c r="F298" s="1251">
        <v>4.6141304347826088E-2</v>
      </c>
      <c r="G298" s="1251">
        <v>0</v>
      </c>
      <c r="H298" s="1251">
        <v>-0.32052717391304347</v>
      </c>
      <c r="I298" s="1251"/>
      <c r="J298" s="1252" t="s">
        <v>20211</v>
      </c>
      <c r="K298" s="1250" t="s">
        <v>2217</v>
      </c>
      <c r="L298" s="1251">
        <v>56.959279923887401</v>
      </c>
      <c r="M298" s="1251">
        <v>32.248864062105298</v>
      </c>
      <c r="N298" s="1250" t="e">
        <f>VLOOKUP('Интерактивная карта'!#REF!,Итоговая!AA301:AV728,21,FALSE)</f>
        <v>#REF!</v>
      </c>
      <c r="O298" s="1250" t="e">
        <f>VLOOKUP('Интерактивная карта'!#REF!,Итоговая!AA301:AV728,22,FALSE)</f>
        <v>#REF!</v>
      </c>
      <c r="P298" s="1250" t="e">
        <f>VLOOKUP(#REF!,Итоговая!C301:I728,2,FALSE)</f>
        <v>#REF!</v>
      </c>
      <c r="Q298" s="1250" t="e">
        <f>VLOOKUP(#REF!,Итоговая!C301:I728,4,FALSE)</f>
        <v>#REF!</v>
      </c>
      <c r="R298" s="1250" t="e">
        <f>VLOOKUP(#REF!,Итоговая!C301:I728,6,FALSE)</f>
        <v>#REF!</v>
      </c>
      <c r="S298" s="1250"/>
      <c r="T298" s="1251" t="e">
        <f>VLOOKUP(#REF!,Итоговая!AA301:AP728,16,FALSE)</f>
        <v>#REF!</v>
      </c>
    </row>
    <row r="299" spans="1:20" x14ac:dyDescent="0.25">
      <c r="A299" s="1248" t="s">
        <v>194</v>
      </c>
      <c r="B299" s="1250" t="s">
        <v>20273</v>
      </c>
      <c r="C299" s="1250" t="s">
        <v>20210</v>
      </c>
      <c r="D299" s="1251">
        <v>0.35</v>
      </c>
      <c r="E299" s="1251">
        <v>-0.35</v>
      </c>
      <c r="F299" s="1251">
        <v>0.15014347826086957</v>
      </c>
      <c r="G299" s="1251">
        <v>0</v>
      </c>
      <c r="H299" s="1251">
        <v>-0.50014347826086958</v>
      </c>
      <c r="I299" s="1251"/>
      <c r="J299" s="1252" t="s">
        <v>20211</v>
      </c>
      <c r="K299" s="1250" t="s">
        <v>2217</v>
      </c>
      <c r="L299" s="1251">
        <v>57.0576360351549</v>
      </c>
      <c r="M299" s="1251">
        <v>32.331043312724397</v>
      </c>
      <c r="N299" s="1250" t="e">
        <f>VLOOKUP('Интерактивная карта'!#REF!,Итоговая!AA302:AV729,21,FALSE)</f>
        <v>#REF!</v>
      </c>
      <c r="O299" s="1250" t="e">
        <f>VLOOKUP('Интерактивная карта'!#REF!,Итоговая!AA302:AV729,22,FALSE)</f>
        <v>#REF!</v>
      </c>
      <c r="P299" s="1250" t="e">
        <f>VLOOKUP(#REF!,Итоговая!C302:I729,2,FALSE)</f>
        <v>#REF!</v>
      </c>
      <c r="Q299" s="1250" t="e">
        <f>VLOOKUP(#REF!,Итоговая!C302:I729,4,FALSE)</f>
        <v>#REF!</v>
      </c>
      <c r="R299" s="1250" t="e">
        <f>VLOOKUP(#REF!,Итоговая!C302:I729,6,FALSE)</f>
        <v>#REF!</v>
      </c>
      <c r="S299" s="1250"/>
      <c r="T299" s="1251" t="e">
        <f>VLOOKUP(#REF!,Итоговая!AA302:AP729,16,FALSE)</f>
        <v>#REF!</v>
      </c>
    </row>
    <row r="300" spans="1:20" x14ac:dyDescent="0.25">
      <c r="A300" s="1248" t="s">
        <v>195</v>
      </c>
      <c r="B300" s="1250" t="s">
        <v>20298</v>
      </c>
      <c r="C300" s="1250" t="s">
        <v>20233</v>
      </c>
      <c r="D300" s="1251">
        <v>1.6</v>
      </c>
      <c r="E300" s="1251">
        <v>8.0000000000000071E-2</v>
      </c>
      <c r="F300" s="1251">
        <v>0.17866304347826087</v>
      </c>
      <c r="G300" s="1251">
        <v>0</v>
      </c>
      <c r="H300" s="1251">
        <v>-8.8796739130434718E-2</v>
      </c>
      <c r="I300" s="1251"/>
      <c r="J300" s="1252" t="s">
        <v>20211</v>
      </c>
      <c r="K300" s="1250" t="s">
        <v>2217</v>
      </c>
      <c r="L300" s="1251">
        <v>56.835124665264999</v>
      </c>
      <c r="M300" s="1251">
        <v>35.036505971403898</v>
      </c>
      <c r="N300" s="1250" t="e">
        <f>VLOOKUP('Интерактивная карта'!#REF!,Итоговая!AA303:AV730,21,FALSE)</f>
        <v>#REF!</v>
      </c>
      <c r="O300" s="1250" t="e">
        <f>VLOOKUP('Интерактивная карта'!#REF!,Итоговая!AA303:AV730,22,FALSE)</f>
        <v>#REF!</v>
      </c>
      <c r="P300" s="1250" t="e">
        <f>VLOOKUP(#REF!,Итоговая!C303:I730,2,FALSE)</f>
        <v>#REF!</v>
      </c>
      <c r="Q300" s="1250" t="e">
        <f>VLOOKUP(#REF!,Итоговая!C303:I730,4,FALSE)</f>
        <v>#REF!</v>
      </c>
      <c r="R300" s="1250" t="e">
        <f>VLOOKUP(#REF!,Итоговая!C303:I730,6,FALSE)</f>
        <v>#REF!</v>
      </c>
      <c r="S300" s="1250"/>
      <c r="T300" s="1251" t="e">
        <f>VLOOKUP(#REF!,Итоговая!AA303:AP730,16,FALSE)</f>
        <v>#REF!</v>
      </c>
    </row>
    <row r="301" spans="1:20" x14ac:dyDescent="0.25">
      <c r="A301" s="1248" t="s">
        <v>196</v>
      </c>
      <c r="B301" s="1250" t="s">
        <v>20273</v>
      </c>
      <c r="C301" s="1250" t="s">
        <v>20221</v>
      </c>
      <c r="D301" s="1251">
        <v>1.23</v>
      </c>
      <c r="E301" s="1251">
        <v>1.395</v>
      </c>
      <c r="F301" s="1251">
        <v>0.27782608695652172</v>
      </c>
      <c r="G301" s="1251">
        <v>0</v>
      </c>
      <c r="H301" s="1251">
        <v>1.1171739130434784</v>
      </c>
      <c r="I301" s="1251"/>
      <c r="J301" s="1252" t="s">
        <v>20211</v>
      </c>
      <c r="K301" s="1250" t="s">
        <v>20211</v>
      </c>
      <c r="L301" s="1251">
        <v>56.697932251352903</v>
      </c>
      <c r="M301" s="1251">
        <v>34.906360128343799</v>
      </c>
      <c r="N301" s="1250" t="e">
        <f>VLOOKUP('Интерактивная карта'!#REF!,Итоговая!AA304:AV731,21,FALSE)</f>
        <v>#REF!</v>
      </c>
      <c r="O301" s="1250" t="e">
        <f>VLOOKUP('Интерактивная карта'!#REF!,Итоговая!AA304:AV731,22,FALSE)</f>
        <v>#REF!</v>
      </c>
      <c r="P301" s="1250" t="e">
        <f>VLOOKUP(#REF!,Итоговая!C304:I731,2,FALSE)</f>
        <v>#REF!</v>
      </c>
      <c r="Q301" s="1250" t="e">
        <f>VLOOKUP(#REF!,Итоговая!C304:I731,4,FALSE)</f>
        <v>#REF!</v>
      </c>
      <c r="R301" s="1250" t="e">
        <f>VLOOKUP(#REF!,Итоговая!C304:I731,6,FALSE)</f>
        <v>#REF!</v>
      </c>
      <c r="S301" s="1250"/>
      <c r="T301" s="1251" t="e">
        <f>VLOOKUP(#REF!,Итоговая!AA304:AP731,16,FALSE)</f>
        <v>#REF!</v>
      </c>
    </row>
    <row r="302" spans="1:20" x14ac:dyDescent="0.25">
      <c r="A302" s="1248" t="s">
        <v>197</v>
      </c>
      <c r="B302" s="1250" t="s">
        <v>20285</v>
      </c>
      <c r="C302" s="1250" t="s">
        <v>20235</v>
      </c>
      <c r="D302" s="1251">
        <v>2.84</v>
      </c>
      <c r="E302" s="1251">
        <v>1.3600000000000003</v>
      </c>
      <c r="F302" s="1251">
        <v>0.81890217391304343</v>
      </c>
      <c r="G302" s="1251">
        <v>0</v>
      </c>
      <c r="H302" s="1251">
        <v>0.54109782608695678</v>
      </c>
      <c r="I302" s="1251"/>
      <c r="J302" s="1252" t="s">
        <v>20211</v>
      </c>
      <c r="K302" s="1250" t="s">
        <v>20211</v>
      </c>
      <c r="L302" s="1251">
        <v>56.981818912281</v>
      </c>
      <c r="M302" s="1251">
        <v>35.104686451727297</v>
      </c>
      <c r="N302" s="1250" t="e">
        <f>VLOOKUP('Интерактивная карта'!#REF!,Итоговая!AA305:AV732,21,FALSE)</f>
        <v>#REF!</v>
      </c>
      <c r="O302" s="1250" t="e">
        <f>VLOOKUP('Интерактивная карта'!#REF!,Итоговая!AA305:AV732,22,FALSE)</f>
        <v>#REF!</v>
      </c>
      <c r="P302" s="1250" t="e">
        <f>VLOOKUP(#REF!,Итоговая!C305:I732,2,FALSE)</f>
        <v>#REF!</v>
      </c>
      <c r="Q302" s="1250" t="e">
        <f>VLOOKUP(#REF!,Итоговая!C305:I732,4,FALSE)</f>
        <v>#REF!</v>
      </c>
      <c r="R302" s="1250" t="e">
        <f>VLOOKUP(#REF!,Итоговая!C305:I732,6,FALSE)</f>
        <v>#REF!</v>
      </c>
      <c r="S302" s="1250"/>
      <c r="T302" s="1251" t="e">
        <f>VLOOKUP(#REF!,Итоговая!AA305:AP732,16,FALSE)</f>
        <v>#REF!</v>
      </c>
    </row>
    <row r="303" spans="1:20" x14ac:dyDescent="0.25">
      <c r="A303" s="1248" t="s">
        <v>198</v>
      </c>
      <c r="B303" s="1250" t="s">
        <v>20292</v>
      </c>
      <c r="C303" s="1250" t="s">
        <v>20222</v>
      </c>
      <c r="D303" s="1251">
        <v>1.04</v>
      </c>
      <c r="E303" s="1251">
        <v>1.585</v>
      </c>
      <c r="F303" s="1251">
        <v>0.2089565217391304</v>
      </c>
      <c r="G303" s="1251">
        <v>0</v>
      </c>
      <c r="H303" s="1251">
        <v>1.3760434782608695</v>
      </c>
      <c r="I303" s="1251"/>
      <c r="J303" s="1252" t="s">
        <v>20211</v>
      </c>
      <c r="K303" s="1250" t="s">
        <v>20211</v>
      </c>
      <c r="L303" s="1251">
        <v>57.133121923718498</v>
      </c>
      <c r="M303" s="1251">
        <v>34.672485597217602</v>
      </c>
      <c r="N303" s="1250" t="e">
        <f>VLOOKUP('Интерактивная карта'!#REF!,Итоговая!AA306:AV733,21,FALSE)</f>
        <v>#REF!</v>
      </c>
      <c r="O303" s="1250" t="e">
        <f>VLOOKUP('Интерактивная карта'!#REF!,Итоговая!AA306:AV733,22,FALSE)</f>
        <v>#REF!</v>
      </c>
      <c r="P303" s="1250" t="e">
        <f>VLOOKUP(#REF!,Итоговая!C306:I733,2,FALSE)</f>
        <v>#REF!</v>
      </c>
      <c r="Q303" s="1250" t="e">
        <f>VLOOKUP(#REF!,Итоговая!C306:I733,4,FALSE)</f>
        <v>#REF!</v>
      </c>
      <c r="R303" s="1250" t="e">
        <f>VLOOKUP(#REF!,Итоговая!C306:I733,6,FALSE)</f>
        <v>#REF!</v>
      </c>
      <c r="S303" s="1250"/>
      <c r="T303" s="1251" t="e">
        <f>VLOOKUP(#REF!,Итоговая!AA306:AP733,16,FALSE)</f>
        <v>#REF!</v>
      </c>
    </row>
    <row r="304" spans="1:20" x14ac:dyDescent="0.25">
      <c r="A304" s="1248" t="s">
        <v>199</v>
      </c>
      <c r="B304" s="1250" t="s">
        <v>20351</v>
      </c>
      <c r="C304" s="1250" t="s">
        <v>20225</v>
      </c>
      <c r="D304" s="1251">
        <v>1.67</v>
      </c>
      <c r="E304" s="1251">
        <v>4.9450000000000003</v>
      </c>
      <c r="F304" s="1251">
        <v>1.2141989247311828</v>
      </c>
      <c r="G304" s="1251">
        <v>0</v>
      </c>
      <c r="H304" s="1251">
        <v>3.7308010752688174</v>
      </c>
      <c r="I304" s="1251"/>
      <c r="J304" s="1252" t="s">
        <v>20211</v>
      </c>
      <c r="K304" s="1250" t="s">
        <v>20211</v>
      </c>
      <c r="L304" s="1251">
        <v>57.204716539039701</v>
      </c>
      <c r="M304" s="1251">
        <v>34.9455300087211</v>
      </c>
      <c r="N304" s="1250" t="e">
        <f>VLOOKUP('Интерактивная карта'!#REF!,Итоговая!AA307:AV734,21,FALSE)</f>
        <v>#REF!</v>
      </c>
      <c r="O304" s="1250" t="e">
        <f>VLOOKUP('Интерактивная карта'!#REF!,Итоговая!AA307:AV734,22,FALSE)</f>
        <v>#REF!</v>
      </c>
      <c r="P304" s="1250" t="e">
        <f>VLOOKUP(#REF!,Итоговая!C307:I734,2,FALSE)</f>
        <v>#REF!</v>
      </c>
      <c r="Q304" s="1250" t="e">
        <f>VLOOKUP(#REF!,Итоговая!C307:I734,4,FALSE)</f>
        <v>#REF!</v>
      </c>
      <c r="R304" s="1250" t="e">
        <f>VLOOKUP(#REF!,Итоговая!C307:I734,6,FALSE)</f>
        <v>#REF!</v>
      </c>
      <c r="S304" s="1250"/>
      <c r="T304" s="1251" t="e">
        <f>VLOOKUP(#REF!,Итоговая!AA307:AP734,16,FALSE)</f>
        <v>#REF!</v>
      </c>
    </row>
    <row r="305" spans="1:20" x14ac:dyDescent="0.25">
      <c r="A305" s="1248" t="s">
        <v>200</v>
      </c>
      <c r="B305" s="1250" t="s">
        <v>20314</v>
      </c>
      <c r="C305" s="1250" t="s">
        <v>20235</v>
      </c>
      <c r="D305" s="1251">
        <v>0.37</v>
      </c>
      <c r="E305" s="1251">
        <v>3.83</v>
      </c>
      <c r="F305" s="1251">
        <v>9.3913043478260877E-2</v>
      </c>
      <c r="G305" s="1251">
        <v>0</v>
      </c>
      <c r="H305" s="1251">
        <v>3.7360869565217394</v>
      </c>
      <c r="I305" s="1251"/>
      <c r="J305" s="1252" t="s">
        <v>20211</v>
      </c>
      <c r="K305" s="1250" t="s">
        <v>20211</v>
      </c>
      <c r="L305" s="1251">
        <v>56.665454737939299</v>
      </c>
      <c r="M305" s="1251">
        <v>33.8508383047499</v>
      </c>
      <c r="N305" s="1250" t="e">
        <f>VLOOKUP('Интерактивная карта'!#REF!,Итоговая!AA308:AV735,21,FALSE)</f>
        <v>#REF!</v>
      </c>
      <c r="O305" s="1250" t="e">
        <f>VLOOKUP('Интерактивная карта'!#REF!,Итоговая!AA308:AV735,22,FALSE)</f>
        <v>#REF!</v>
      </c>
      <c r="P305" s="1250" t="e">
        <f>VLOOKUP(#REF!,Итоговая!C308:I735,2,FALSE)</f>
        <v>#REF!</v>
      </c>
      <c r="Q305" s="1250" t="e">
        <f>VLOOKUP(#REF!,Итоговая!C308:I735,4,FALSE)</f>
        <v>#REF!</v>
      </c>
      <c r="R305" s="1250" t="e">
        <f>VLOOKUP(#REF!,Итоговая!C308:I735,6,FALSE)</f>
        <v>#REF!</v>
      </c>
      <c r="S305" s="1250"/>
      <c r="T305" s="1251" t="e">
        <f>VLOOKUP(#REF!,Итоговая!AA308:AP735,16,FALSE)</f>
        <v>#REF!</v>
      </c>
    </row>
    <row r="306" spans="1:20" x14ac:dyDescent="0.25">
      <c r="A306" s="1248" t="s">
        <v>201</v>
      </c>
      <c r="B306" s="1250" t="s">
        <v>20288</v>
      </c>
      <c r="C306" s="1250" t="s">
        <v>20235</v>
      </c>
      <c r="D306" s="1251">
        <v>1.2</v>
      </c>
      <c r="E306" s="1251">
        <v>3</v>
      </c>
      <c r="F306" s="1251">
        <v>0.35823913043478256</v>
      </c>
      <c r="G306" s="1251">
        <v>0</v>
      </c>
      <c r="H306" s="1251">
        <v>2.6417608695652177</v>
      </c>
      <c r="I306" s="1251"/>
      <c r="J306" s="1252" t="s">
        <v>20211</v>
      </c>
      <c r="K306" s="1250" t="s">
        <v>20211</v>
      </c>
      <c r="L306" s="1251">
        <v>56.887111041744703</v>
      </c>
      <c r="M306" s="1251">
        <v>33.302604380725498</v>
      </c>
      <c r="N306" s="1250" t="e">
        <f>VLOOKUP('Интерактивная карта'!#REF!,Итоговая!AA309:AV736,21,FALSE)</f>
        <v>#REF!</v>
      </c>
      <c r="O306" s="1250" t="e">
        <f>VLOOKUP('Интерактивная карта'!#REF!,Итоговая!AA309:AV736,22,FALSE)</f>
        <v>#REF!</v>
      </c>
      <c r="P306" s="1250" t="e">
        <f>VLOOKUP(#REF!,Итоговая!C309:I736,2,FALSE)</f>
        <v>#REF!</v>
      </c>
      <c r="Q306" s="1250" t="e">
        <f>VLOOKUP(#REF!,Итоговая!C309:I736,4,FALSE)</f>
        <v>#REF!</v>
      </c>
      <c r="R306" s="1250" t="e">
        <f>VLOOKUP(#REF!,Итоговая!C309:I736,6,FALSE)</f>
        <v>#REF!</v>
      </c>
      <c r="S306" s="1250"/>
      <c r="T306" s="1251" t="e">
        <f>VLOOKUP(#REF!,Итоговая!AA309:AP736,16,FALSE)</f>
        <v>#REF!</v>
      </c>
    </row>
    <row r="307" spans="1:20" x14ac:dyDescent="0.25">
      <c r="A307" s="1248" t="s">
        <v>202</v>
      </c>
      <c r="B307" s="1250" t="s">
        <v>20305</v>
      </c>
      <c r="C307" s="1250" t="s">
        <v>20233</v>
      </c>
      <c r="D307" s="1251">
        <v>0.85</v>
      </c>
      <c r="E307" s="1251">
        <v>0.83000000000000018</v>
      </c>
      <c r="F307" s="1251">
        <v>0.5304130434782609</v>
      </c>
      <c r="G307" s="1251">
        <v>0</v>
      </c>
      <c r="H307" s="1251">
        <v>0.29958695652173928</v>
      </c>
      <c r="I307" s="1251"/>
      <c r="J307" s="1252" t="s">
        <v>20211</v>
      </c>
      <c r="K307" s="1250" t="s">
        <v>20211</v>
      </c>
      <c r="L307" s="1251">
        <v>57.262977423873402</v>
      </c>
      <c r="M307" s="1251">
        <v>33.360615571515098</v>
      </c>
      <c r="N307" s="1250" t="e">
        <f>VLOOKUP('Интерактивная карта'!#REF!,Итоговая!AA310:AV737,21,FALSE)</f>
        <v>#REF!</v>
      </c>
      <c r="O307" s="1250" t="e">
        <f>VLOOKUP('Интерактивная карта'!#REF!,Итоговая!AA310:AV737,22,FALSE)</f>
        <v>#REF!</v>
      </c>
      <c r="P307" s="1250" t="e">
        <f>VLOOKUP(#REF!,Итоговая!C310:I737,2,FALSE)</f>
        <v>#REF!</v>
      </c>
      <c r="Q307" s="1250" t="e">
        <f>VLOOKUP(#REF!,Итоговая!C310:I737,4,FALSE)</f>
        <v>#REF!</v>
      </c>
      <c r="R307" s="1250" t="e">
        <f>VLOOKUP(#REF!,Итоговая!C310:I737,6,FALSE)</f>
        <v>#REF!</v>
      </c>
      <c r="S307" s="1250"/>
      <c r="T307" s="1251" t="e">
        <f>VLOOKUP(#REF!,Итоговая!AA310:AP737,16,FALSE)</f>
        <v>#REF!</v>
      </c>
    </row>
    <row r="308" spans="1:20" x14ac:dyDescent="0.25">
      <c r="A308" s="1248" t="s">
        <v>203</v>
      </c>
      <c r="B308" s="1250" t="s">
        <v>20271</v>
      </c>
      <c r="C308" s="1250" t="s">
        <v>20222</v>
      </c>
      <c r="D308" s="1251">
        <v>0.46</v>
      </c>
      <c r="E308" s="1251">
        <v>2.165</v>
      </c>
      <c r="F308" s="1251">
        <v>0.34932608695652173</v>
      </c>
      <c r="G308" s="1251">
        <v>0</v>
      </c>
      <c r="H308" s="1251">
        <v>1.8156739130434782</v>
      </c>
      <c r="I308" s="1251"/>
      <c r="J308" s="1252" t="s">
        <v>20211</v>
      </c>
      <c r="K308" s="1250" t="s">
        <v>20211</v>
      </c>
      <c r="L308" s="1251">
        <v>57.0472711405613</v>
      </c>
      <c r="M308" s="1251">
        <v>33.375103516095102</v>
      </c>
      <c r="N308" s="1250" t="e">
        <f>VLOOKUP('Интерактивная карта'!#REF!,Итоговая!AA311:AV738,21,FALSE)</f>
        <v>#REF!</v>
      </c>
      <c r="O308" s="1250" t="e">
        <f>VLOOKUP('Интерактивная карта'!#REF!,Итоговая!AA311:AV738,22,FALSE)</f>
        <v>#REF!</v>
      </c>
      <c r="P308" s="1250" t="e">
        <f>VLOOKUP(#REF!,Итоговая!C311:I738,2,FALSE)</f>
        <v>#REF!</v>
      </c>
      <c r="Q308" s="1250" t="e">
        <f>VLOOKUP(#REF!,Итоговая!C311:I738,4,FALSE)</f>
        <v>#REF!</v>
      </c>
      <c r="R308" s="1250" t="e">
        <f>VLOOKUP(#REF!,Итоговая!C311:I738,6,FALSE)</f>
        <v>#REF!</v>
      </c>
      <c r="S308" s="1250"/>
      <c r="T308" s="1251" t="e">
        <f>VLOOKUP(#REF!,Итоговая!AA311:AP738,16,FALSE)</f>
        <v>#REF!</v>
      </c>
    </row>
    <row r="309" spans="1:20" x14ac:dyDescent="0.25">
      <c r="A309" s="1248" t="s">
        <v>204</v>
      </c>
      <c r="B309" s="1250" t="s">
        <v>20302</v>
      </c>
      <c r="C309" s="1250" t="s">
        <v>20222</v>
      </c>
      <c r="D309" s="1251">
        <v>1.48</v>
      </c>
      <c r="E309" s="1251">
        <v>1.145</v>
      </c>
      <c r="F309" s="1251">
        <v>0.37004347826086953</v>
      </c>
      <c r="G309" s="1251">
        <v>0</v>
      </c>
      <c r="H309" s="1251">
        <v>0.77495652173913054</v>
      </c>
      <c r="I309" s="1251"/>
      <c r="J309" s="1252" t="s">
        <v>20211</v>
      </c>
      <c r="K309" s="1250" t="s">
        <v>20211</v>
      </c>
      <c r="L309" s="1251">
        <v>57.242949227255899</v>
      </c>
      <c r="M309" s="1251">
        <v>33.090655910757498</v>
      </c>
      <c r="N309" s="1250" t="e">
        <f>VLOOKUP('Интерактивная карта'!#REF!,Итоговая!AA312:AV739,21,FALSE)</f>
        <v>#REF!</v>
      </c>
      <c r="O309" s="1250" t="e">
        <f>VLOOKUP('Интерактивная карта'!#REF!,Итоговая!AA312:AV739,22,FALSE)</f>
        <v>#REF!</v>
      </c>
      <c r="P309" s="1250" t="e">
        <f>VLOOKUP(#REF!,Итоговая!C312:I739,2,FALSE)</f>
        <v>#REF!</v>
      </c>
      <c r="Q309" s="1250" t="e">
        <f>VLOOKUP(#REF!,Итоговая!C312:I739,4,FALSE)</f>
        <v>#REF!</v>
      </c>
      <c r="R309" s="1250" t="e">
        <f>VLOOKUP(#REF!,Итоговая!C312:I739,6,FALSE)</f>
        <v>#REF!</v>
      </c>
      <c r="S309" s="1250"/>
      <c r="T309" s="1251" t="e">
        <f>VLOOKUP(#REF!,Итоговая!AA312:AP739,16,FALSE)</f>
        <v>#REF!</v>
      </c>
    </row>
    <row r="310" spans="1:20" x14ac:dyDescent="0.25">
      <c r="A310" s="1248" t="s">
        <v>205</v>
      </c>
      <c r="B310" s="1250" t="s">
        <v>20283</v>
      </c>
      <c r="C310" s="1250" t="s">
        <v>20265</v>
      </c>
      <c r="D310" s="1251">
        <v>10.220000000000001</v>
      </c>
      <c r="E310" s="1251">
        <v>55.930000000000007</v>
      </c>
      <c r="F310" s="1251">
        <v>0</v>
      </c>
      <c r="G310" s="1251">
        <v>0</v>
      </c>
      <c r="H310" s="1251">
        <v>55.930000000000007</v>
      </c>
      <c r="I310" s="1251"/>
      <c r="J310" s="1252" t="s">
        <v>20211</v>
      </c>
      <c r="K310" s="1250" t="s">
        <v>20211</v>
      </c>
      <c r="L310" s="1251">
        <v>57.022266394424797</v>
      </c>
      <c r="M310" s="1251">
        <v>35.013846333166498</v>
      </c>
      <c r="N310" s="1250" t="e">
        <f>VLOOKUP('Интерактивная карта'!#REF!,Итоговая!AA313:AV740,21,FALSE)</f>
        <v>#REF!</v>
      </c>
      <c r="O310" s="1250" t="e">
        <f>VLOOKUP('Интерактивная карта'!#REF!,Итоговая!AA313:AV740,22,FALSE)</f>
        <v>#REF!</v>
      </c>
      <c r="P310" s="1250" t="e">
        <f>VLOOKUP(#REF!,Итоговая!C313:I740,2,FALSE)</f>
        <v>#REF!</v>
      </c>
      <c r="Q310" s="1250" t="e">
        <f>VLOOKUP(#REF!,Итоговая!C313:I740,4,FALSE)</f>
        <v>#REF!</v>
      </c>
      <c r="R310" s="1250" t="e">
        <f>VLOOKUP(#REF!,Итоговая!C313:I740,6,FALSE)</f>
        <v>#REF!</v>
      </c>
      <c r="S310" s="1250"/>
      <c r="T310" s="1251" t="e">
        <f>VLOOKUP(#REF!,Итоговая!AA313:AP740,16,FALSE)</f>
        <v>#REF!</v>
      </c>
    </row>
    <row r="311" spans="1:20" x14ac:dyDescent="0.25">
      <c r="A311" s="1248" t="s">
        <v>206</v>
      </c>
      <c r="B311" s="1250" t="s">
        <v>20273</v>
      </c>
      <c r="C311" s="1250" t="s">
        <v>20227</v>
      </c>
      <c r="D311" s="1251">
        <v>6.8</v>
      </c>
      <c r="E311" s="1251">
        <v>3.7</v>
      </c>
      <c r="F311" s="1251">
        <v>0.30391304347826081</v>
      </c>
      <c r="G311" s="1251">
        <v>0.1</v>
      </c>
      <c r="H311" s="1251">
        <v>3.3960869565217395</v>
      </c>
      <c r="I311" s="1251"/>
      <c r="J311" s="1252" t="s">
        <v>20211</v>
      </c>
      <c r="K311" s="1250" t="s">
        <v>20211</v>
      </c>
      <c r="L311" s="1251">
        <v>57.014514502104603</v>
      </c>
      <c r="M311" s="1251">
        <v>34.987797025961598</v>
      </c>
      <c r="N311" s="1250" t="e">
        <f>VLOOKUP('Интерактивная карта'!#REF!,Итоговая!AA314:AV741,21,FALSE)</f>
        <v>#REF!</v>
      </c>
      <c r="O311" s="1250" t="e">
        <f>VLOOKUP('Интерактивная карта'!#REF!,Итоговая!AA314:AV741,22,FALSE)</f>
        <v>#REF!</v>
      </c>
      <c r="P311" s="1250" t="e">
        <f>VLOOKUP(#REF!,Итоговая!C314:I741,2,FALSE)</f>
        <v>#REF!</v>
      </c>
      <c r="Q311" s="1250" t="e">
        <f>VLOOKUP(#REF!,Итоговая!C314:I741,4,FALSE)</f>
        <v>#REF!</v>
      </c>
      <c r="R311" s="1250" t="e">
        <f>VLOOKUP(#REF!,Итоговая!C314:I741,6,FALSE)</f>
        <v>#REF!</v>
      </c>
      <c r="S311" s="1250"/>
      <c r="T311" s="1251" t="e">
        <f>VLOOKUP(#REF!,Итоговая!AA314:AP741,16,FALSE)</f>
        <v>#REF!</v>
      </c>
    </row>
    <row r="312" spans="1:20" x14ac:dyDescent="0.25">
      <c r="A312" s="1248" t="s">
        <v>207</v>
      </c>
      <c r="B312" s="1250" t="s">
        <v>20302</v>
      </c>
      <c r="C312" s="1250" t="s">
        <v>20226</v>
      </c>
      <c r="D312" s="1251">
        <v>0.6</v>
      </c>
      <c r="E312" s="1251">
        <v>25.65</v>
      </c>
      <c r="F312" s="1251">
        <v>0</v>
      </c>
      <c r="G312" s="1251">
        <v>0</v>
      </c>
      <c r="H312" s="1251">
        <v>25.65</v>
      </c>
      <c r="I312" s="1251"/>
      <c r="J312" s="1252" t="s">
        <v>20211</v>
      </c>
      <c r="K312" s="1250" t="s">
        <v>20211</v>
      </c>
      <c r="L312" s="1251">
        <v>56.9466971165782</v>
      </c>
      <c r="M312" s="1251">
        <v>34.866265535717403</v>
      </c>
      <c r="N312" s="1250" t="e">
        <f>VLOOKUP('Интерактивная карта'!#REF!,Итоговая!AA315:AV742,21,FALSE)</f>
        <v>#REF!</v>
      </c>
      <c r="O312" s="1250" t="e">
        <f>VLOOKUP('Интерактивная карта'!#REF!,Итоговая!AA315:AV742,22,FALSE)</f>
        <v>#REF!</v>
      </c>
      <c r="P312" s="1250" t="e">
        <f>VLOOKUP(#REF!,Итоговая!C315:I742,2,FALSE)</f>
        <v>#REF!</v>
      </c>
      <c r="Q312" s="1250" t="e">
        <f>VLOOKUP(#REF!,Итоговая!C315:I742,4,FALSE)</f>
        <v>#REF!</v>
      </c>
      <c r="R312" s="1250" t="e">
        <f>VLOOKUP(#REF!,Итоговая!C315:I742,6,FALSE)</f>
        <v>#REF!</v>
      </c>
      <c r="S312" s="1250"/>
      <c r="T312" s="1251" t="e">
        <f>VLOOKUP(#REF!,Итоговая!AA315:AP742,16,FALSE)</f>
        <v>#REF!</v>
      </c>
    </row>
    <row r="313" spans="1:20" x14ac:dyDescent="0.25">
      <c r="A313" s="1248" t="s">
        <v>208</v>
      </c>
      <c r="B313" s="1250" t="s">
        <v>20285</v>
      </c>
      <c r="C313" s="1250" t="s">
        <v>20222</v>
      </c>
      <c r="D313" s="1251">
        <v>0.7</v>
      </c>
      <c r="E313" s="1251">
        <v>1.925</v>
      </c>
      <c r="F313" s="1251">
        <v>0.35657608695652171</v>
      </c>
      <c r="G313" s="1251">
        <v>0</v>
      </c>
      <c r="H313" s="1251">
        <v>1.5684239130434783</v>
      </c>
      <c r="I313" s="1251"/>
      <c r="J313" s="1252" t="s">
        <v>20211</v>
      </c>
      <c r="K313" s="1250" t="s">
        <v>20211</v>
      </c>
      <c r="L313" s="1251">
        <v>57.0263069308048</v>
      </c>
      <c r="M313" s="1251">
        <v>34.638122713710501</v>
      </c>
      <c r="N313" s="1250" t="e">
        <f>VLOOKUP('Интерактивная карта'!#REF!,Итоговая!AA316:AV743,21,FALSE)</f>
        <v>#REF!</v>
      </c>
      <c r="O313" s="1250" t="e">
        <f>VLOOKUP('Интерактивная карта'!#REF!,Итоговая!AA316:AV743,22,FALSE)</f>
        <v>#REF!</v>
      </c>
      <c r="P313" s="1250" t="e">
        <f>VLOOKUP(#REF!,Итоговая!C316:I743,2,FALSE)</f>
        <v>#REF!</v>
      </c>
      <c r="Q313" s="1250" t="e">
        <f>VLOOKUP(#REF!,Итоговая!C316:I743,4,FALSE)</f>
        <v>#REF!</v>
      </c>
      <c r="R313" s="1250" t="e">
        <f>VLOOKUP(#REF!,Итоговая!C316:I743,6,FALSE)</f>
        <v>#REF!</v>
      </c>
      <c r="S313" s="1250"/>
      <c r="T313" s="1251" t="e">
        <f>VLOOKUP(#REF!,Итоговая!AA316:AP743,16,FALSE)</f>
        <v>#REF!</v>
      </c>
    </row>
    <row r="314" spans="1:20" x14ac:dyDescent="0.25">
      <c r="A314" s="1248" t="s">
        <v>209</v>
      </c>
      <c r="B314" s="1250" t="s">
        <v>20288</v>
      </c>
      <c r="C314" s="1250" t="s">
        <v>20225</v>
      </c>
      <c r="D314" s="1251">
        <v>3.45</v>
      </c>
      <c r="E314" s="1251">
        <v>3.165</v>
      </c>
      <c r="F314" s="1251">
        <v>1.9617782608695653</v>
      </c>
      <c r="G314" s="1251">
        <v>0</v>
      </c>
      <c r="H314" s="1251">
        <v>1.2032217391304343</v>
      </c>
      <c r="I314" s="1251"/>
      <c r="J314" s="1252" t="s">
        <v>20211</v>
      </c>
      <c r="K314" s="1250" t="s">
        <v>20211</v>
      </c>
      <c r="L314" s="1251">
        <v>56.899474218355699</v>
      </c>
      <c r="M314" s="1251">
        <v>32.731618663198198</v>
      </c>
      <c r="N314" s="1250" t="e">
        <f>VLOOKUP('Интерактивная карта'!#REF!,Итоговая!AA317:AV744,21,FALSE)</f>
        <v>#REF!</v>
      </c>
      <c r="O314" s="1250" t="e">
        <f>VLOOKUP('Интерактивная карта'!#REF!,Итоговая!AA317:AV744,22,FALSE)</f>
        <v>#REF!</v>
      </c>
      <c r="P314" s="1250" t="e">
        <f>VLOOKUP(#REF!,Итоговая!C317:I744,2,FALSE)</f>
        <v>#REF!</v>
      </c>
      <c r="Q314" s="1250" t="e">
        <f>VLOOKUP(#REF!,Итоговая!C317:I744,4,FALSE)</f>
        <v>#REF!</v>
      </c>
      <c r="R314" s="1250" t="e">
        <f>VLOOKUP(#REF!,Итоговая!C317:I744,6,FALSE)</f>
        <v>#REF!</v>
      </c>
      <c r="S314" s="1250"/>
      <c r="T314" s="1251" t="e">
        <f>VLOOKUP(#REF!,Итоговая!AA317:AP744,16,FALSE)</f>
        <v>#REF!</v>
      </c>
    </row>
    <row r="315" spans="1:20" x14ac:dyDescent="0.25">
      <c r="A315" s="1248" t="s">
        <v>210</v>
      </c>
      <c r="B315" s="1250" t="s">
        <v>20352</v>
      </c>
      <c r="C315" s="1250" t="s">
        <v>20241</v>
      </c>
      <c r="D315" s="1251">
        <v>21.76</v>
      </c>
      <c r="E315" s="1251">
        <v>24.02</v>
      </c>
      <c r="F315" s="1251">
        <v>4.7561771856007482</v>
      </c>
      <c r="G315" s="1251">
        <v>0.08</v>
      </c>
      <c r="H315" s="1251">
        <v>19.263822814399251</v>
      </c>
      <c r="I315" s="1251"/>
      <c r="J315" s="1252" t="s">
        <v>20211</v>
      </c>
      <c r="K315" s="1250" t="s">
        <v>20211</v>
      </c>
      <c r="L315" s="1251">
        <v>57.074295205234499</v>
      </c>
      <c r="M315" s="1251">
        <v>35.000555290347997</v>
      </c>
      <c r="N315" s="1250" t="e">
        <f>VLOOKUP('Интерактивная карта'!#REF!,Итоговая!AA318:AV745,21,FALSE)</f>
        <v>#REF!</v>
      </c>
      <c r="O315" s="1250" t="e">
        <f>VLOOKUP('Интерактивная карта'!#REF!,Итоговая!AA318:AV745,22,FALSE)</f>
        <v>#REF!</v>
      </c>
      <c r="P315" s="1250" t="e">
        <f>VLOOKUP(#REF!,Итоговая!C318:I745,2,FALSE)</f>
        <v>#REF!</v>
      </c>
      <c r="Q315" s="1250" t="e">
        <f>VLOOKUP(#REF!,Итоговая!C318:I745,4,FALSE)</f>
        <v>#REF!</v>
      </c>
      <c r="R315" s="1250" t="e">
        <f>VLOOKUP(#REF!,Итоговая!C318:I745,6,FALSE)</f>
        <v>#REF!</v>
      </c>
      <c r="S315" s="1250"/>
      <c r="T315" s="1251" t="e">
        <f>VLOOKUP(#REF!,Итоговая!AA318:AP745,16,FALSE)</f>
        <v>#REF!</v>
      </c>
    </row>
    <row r="316" spans="1:20" x14ac:dyDescent="0.25">
      <c r="A316" s="1248" t="s">
        <v>211</v>
      </c>
      <c r="B316" s="1250" t="s">
        <v>20271</v>
      </c>
      <c r="C316" s="1250" t="s">
        <v>20226</v>
      </c>
      <c r="D316" s="1251">
        <v>7.99</v>
      </c>
      <c r="E316" s="1251">
        <v>18.48</v>
      </c>
      <c r="F316" s="1251">
        <v>1.4039184782608696</v>
      </c>
      <c r="G316" s="1251">
        <v>0.63</v>
      </c>
      <c r="H316" s="1251">
        <v>17.07608152173913</v>
      </c>
      <c r="I316" s="1251"/>
      <c r="J316" s="1252" t="s">
        <v>20211</v>
      </c>
      <c r="K316" s="1250" t="s">
        <v>20211</v>
      </c>
      <c r="L316" s="1251">
        <v>57.0221461517501</v>
      </c>
      <c r="M316" s="1251">
        <v>34.952349550117397</v>
      </c>
      <c r="N316" s="1250" t="e">
        <f>VLOOKUP('Интерактивная карта'!#REF!,Итоговая!AA319:AV746,21,FALSE)</f>
        <v>#REF!</v>
      </c>
      <c r="O316" s="1250" t="e">
        <f>VLOOKUP('Интерактивная карта'!#REF!,Итоговая!AA319:AV746,22,FALSE)</f>
        <v>#REF!</v>
      </c>
      <c r="P316" s="1250" t="e">
        <f>VLOOKUP(#REF!,Итоговая!C319:I746,2,FALSE)</f>
        <v>#REF!</v>
      </c>
      <c r="Q316" s="1250" t="e">
        <f>VLOOKUP(#REF!,Итоговая!C319:I746,4,FALSE)</f>
        <v>#REF!</v>
      </c>
      <c r="R316" s="1250" t="e">
        <f>VLOOKUP(#REF!,Итоговая!C319:I746,6,FALSE)</f>
        <v>#REF!</v>
      </c>
      <c r="S316" s="1250"/>
      <c r="T316" s="1251" t="e">
        <f>VLOOKUP(#REF!,Итоговая!AA319:AP746,16,FALSE)</f>
        <v>#REF!</v>
      </c>
    </row>
    <row r="317" spans="1:20" x14ac:dyDescent="0.25">
      <c r="A317" s="1248" t="s">
        <v>212</v>
      </c>
      <c r="B317" s="1250" t="s">
        <v>20353</v>
      </c>
      <c r="C317" s="1250" t="s">
        <v>20246</v>
      </c>
      <c r="D317" s="1251">
        <v>27</v>
      </c>
      <c r="E317" s="1251">
        <v>1.620000000000001</v>
      </c>
      <c r="F317" s="1251">
        <v>1.066695652173913</v>
      </c>
      <c r="G317" s="1251">
        <v>0</v>
      </c>
      <c r="H317" s="1251">
        <v>0.56330434782608663</v>
      </c>
      <c r="I317" s="1251"/>
      <c r="J317" s="1252" t="s">
        <v>20211</v>
      </c>
      <c r="K317" s="1250" t="s">
        <v>20211</v>
      </c>
      <c r="L317" s="1251">
        <v>57.007873237507198</v>
      </c>
      <c r="M317" s="1251">
        <v>34.173895079503602</v>
      </c>
      <c r="N317" s="1250" t="e">
        <f>VLOOKUP('Интерактивная карта'!#REF!,Итоговая!AA320:AV747,21,FALSE)</f>
        <v>#REF!</v>
      </c>
      <c r="O317" s="1250" t="e">
        <f>VLOOKUP('Интерактивная карта'!#REF!,Итоговая!AA320:AV747,22,FALSE)</f>
        <v>#REF!</v>
      </c>
      <c r="P317" s="1250" t="e">
        <f>VLOOKUP(#REF!,Итоговая!C320:I747,2,FALSE)</f>
        <v>#REF!</v>
      </c>
      <c r="Q317" s="1250" t="e">
        <f>VLOOKUP(#REF!,Итоговая!C320:I747,4,FALSE)</f>
        <v>#REF!</v>
      </c>
      <c r="R317" s="1250" t="e">
        <f>VLOOKUP(#REF!,Итоговая!C320:I747,6,FALSE)</f>
        <v>#REF!</v>
      </c>
      <c r="S317" s="1250"/>
      <c r="T317" s="1251" t="e">
        <f>VLOOKUP(#REF!,Итоговая!AA320:AP747,16,FALSE)</f>
        <v>#REF!</v>
      </c>
    </row>
    <row r="318" spans="1:20" x14ac:dyDescent="0.25">
      <c r="A318" s="1248" t="s">
        <v>213</v>
      </c>
      <c r="B318" s="1250" t="s">
        <v>20285</v>
      </c>
      <c r="C318" s="1250" t="s">
        <v>20249</v>
      </c>
      <c r="D318" s="1251">
        <v>6.57</v>
      </c>
      <c r="E318" s="1251">
        <v>3.9299999999999997</v>
      </c>
      <c r="F318" s="1251">
        <v>9.1923913043478259E-2</v>
      </c>
      <c r="G318" s="1251">
        <v>0</v>
      </c>
      <c r="H318" s="1251">
        <v>3.8380760869565211</v>
      </c>
      <c r="I318" s="1251"/>
      <c r="J318" s="1252" t="s">
        <v>20211</v>
      </c>
      <c r="K318" s="1250" t="s">
        <v>20211</v>
      </c>
      <c r="L318" s="1251">
        <v>56.853146924655697</v>
      </c>
      <c r="M318" s="1251">
        <v>33.4977328072369</v>
      </c>
      <c r="N318" s="1250" t="e">
        <f>VLOOKUP('Интерактивная карта'!#REF!,Итоговая!AA321:AV748,21,FALSE)</f>
        <v>#REF!</v>
      </c>
      <c r="O318" s="1250" t="e">
        <f>VLOOKUP('Интерактивная карта'!#REF!,Итоговая!AA321:AV748,22,FALSE)</f>
        <v>#REF!</v>
      </c>
      <c r="P318" s="1250" t="e">
        <f>VLOOKUP(#REF!,Итоговая!C321:I748,2,FALSE)</f>
        <v>#REF!</v>
      </c>
      <c r="Q318" s="1250" t="e">
        <f>VLOOKUP(#REF!,Итоговая!C321:I748,4,FALSE)</f>
        <v>#REF!</v>
      </c>
      <c r="R318" s="1250" t="e">
        <f>VLOOKUP(#REF!,Итоговая!C321:I748,6,FALSE)</f>
        <v>#REF!</v>
      </c>
      <c r="S318" s="1250"/>
      <c r="T318" s="1251" t="e">
        <f>VLOOKUP(#REF!,Итоговая!AA321:AP748,16,FALSE)</f>
        <v>#REF!</v>
      </c>
    </row>
    <row r="319" spans="1:20" x14ac:dyDescent="0.25">
      <c r="A319" s="1248" t="s">
        <v>214</v>
      </c>
      <c r="B319" s="1250" t="s">
        <v>20278</v>
      </c>
      <c r="C319" s="1250" t="s">
        <v>20226</v>
      </c>
      <c r="D319" s="1251">
        <v>1.28</v>
      </c>
      <c r="E319" s="1251">
        <v>25.3</v>
      </c>
      <c r="F319" s="1251">
        <v>0.11836956521739131</v>
      </c>
      <c r="G319" s="1251">
        <v>0</v>
      </c>
      <c r="H319" s="1251">
        <v>25.181630434782608</v>
      </c>
      <c r="I319" s="1251"/>
      <c r="J319" s="1252" t="s">
        <v>20211</v>
      </c>
      <c r="K319" s="1250" t="s">
        <v>20211</v>
      </c>
      <c r="L319" s="1251">
        <v>56.7828357560401</v>
      </c>
      <c r="M319" s="1251">
        <v>33.525905056328497</v>
      </c>
      <c r="N319" s="1250" t="e">
        <f>VLOOKUP('Интерактивная карта'!#REF!,Итоговая!AA322:AV749,21,FALSE)</f>
        <v>#REF!</v>
      </c>
      <c r="O319" s="1250" t="e">
        <f>VLOOKUP('Интерактивная карта'!#REF!,Итоговая!AA322:AV749,22,FALSE)</f>
        <v>#REF!</v>
      </c>
      <c r="P319" s="1250" t="e">
        <f>VLOOKUP(#REF!,Итоговая!C322:I749,2,FALSE)</f>
        <v>#REF!</v>
      </c>
      <c r="Q319" s="1250" t="e">
        <f>VLOOKUP(#REF!,Итоговая!C322:I749,4,FALSE)</f>
        <v>#REF!</v>
      </c>
      <c r="R319" s="1250" t="e">
        <f>VLOOKUP(#REF!,Итоговая!C322:I749,6,FALSE)</f>
        <v>#REF!</v>
      </c>
      <c r="S319" s="1250"/>
      <c r="T319" s="1251" t="e">
        <f>VLOOKUP(#REF!,Итоговая!AA322:AP749,16,FALSE)</f>
        <v>#REF!</v>
      </c>
    </row>
    <row r="320" spans="1:20" x14ac:dyDescent="0.25">
      <c r="A320" s="1248" t="s">
        <v>215</v>
      </c>
      <c r="B320" s="1250" t="s">
        <v>20272</v>
      </c>
      <c r="C320" s="1250" t="s">
        <v>20226</v>
      </c>
      <c r="D320" s="1251">
        <v>16.34</v>
      </c>
      <c r="E320" s="1251">
        <v>9.91</v>
      </c>
      <c r="F320" s="1251">
        <v>1.3910434782608694</v>
      </c>
      <c r="G320" s="1251">
        <v>0</v>
      </c>
      <c r="H320" s="1251">
        <v>8.5189565217391312</v>
      </c>
      <c r="I320" s="1251"/>
      <c r="J320" s="1252" t="s">
        <v>20211</v>
      </c>
      <c r="K320" s="1250" t="s">
        <v>20211</v>
      </c>
      <c r="L320" s="1251">
        <v>57.137287048507098</v>
      </c>
      <c r="M320" s="1251">
        <v>33.1036333908744</v>
      </c>
      <c r="N320" s="1250" t="e">
        <f>VLOOKUP('Интерактивная карта'!#REF!,Итоговая!AA323:AV750,21,FALSE)</f>
        <v>#REF!</v>
      </c>
      <c r="O320" s="1250" t="e">
        <f>VLOOKUP('Интерактивная карта'!#REF!,Итоговая!AA323:AV750,22,FALSE)</f>
        <v>#REF!</v>
      </c>
      <c r="P320" s="1250" t="e">
        <f>VLOOKUP(#REF!,Итоговая!C323:I750,2,FALSE)</f>
        <v>#REF!</v>
      </c>
      <c r="Q320" s="1250" t="e">
        <f>VLOOKUP(#REF!,Итоговая!C323:I750,4,FALSE)</f>
        <v>#REF!</v>
      </c>
      <c r="R320" s="1250" t="e">
        <f>VLOOKUP(#REF!,Итоговая!C323:I750,6,FALSE)</f>
        <v>#REF!</v>
      </c>
      <c r="S320" s="1250"/>
      <c r="T320" s="1251" t="e">
        <f>VLOOKUP(#REF!,Итоговая!AA323:AP750,16,FALSE)</f>
        <v>#REF!</v>
      </c>
    </row>
    <row r="321" spans="1:20" x14ac:dyDescent="0.25">
      <c r="A321" s="1248" t="s">
        <v>216</v>
      </c>
      <c r="B321" s="1250" t="s">
        <v>20288</v>
      </c>
      <c r="C321" s="1250" t="s">
        <v>20227</v>
      </c>
      <c r="D321" s="1251">
        <v>7.04</v>
      </c>
      <c r="E321" s="1251">
        <v>3.46</v>
      </c>
      <c r="F321" s="1251">
        <v>1.0970217391304349</v>
      </c>
      <c r="G321" s="1251">
        <v>0</v>
      </c>
      <c r="H321" s="1251">
        <v>2.3629782608695642</v>
      </c>
      <c r="I321" s="1251"/>
      <c r="J321" s="1252" t="s">
        <v>20211</v>
      </c>
      <c r="K321" s="1250" t="s">
        <v>20211</v>
      </c>
      <c r="L321" s="1251">
        <v>57.193513743186898</v>
      </c>
      <c r="M321" s="1251">
        <v>33.014034325895501</v>
      </c>
      <c r="N321" s="1250" t="e">
        <f>VLOOKUP('Интерактивная карта'!#REF!,Итоговая!AA324:AV751,21,FALSE)</f>
        <v>#REF!</v>
      </c>
      <c r="O321" s="1250" t="e">
        <f>VLOOKUP('Интерактивная карта'!#REF!,Итоговая!AA324:AV751,22,FALSE)</f>
        <v>#REF!</v>
      </c>
      <c r="P321" s="1250" t="e">
        <f>VLOOKUP(#REF!,Итоговая!C324:I751,2,FALSE)</f>
        <v>#REF!</v>
      </c>
      <c r="Q321" s="1250" t="e">
        <f>VLOOKUP(#REF!,Итоговая!C324:I751,4,FALSE)</f>
        <v>#REF!</v>
      </c>
      <c r="R321" s="1250" t="e">
        <f>VLOOKUP(#REF!,Итоговая!C324:I751,6,FALSE)</f>
        <v>#REF!</v>
      </c>
      <c r="S321" s="1250"/>
      <c r="T321" s="1251" t="e">
        <f>VLOOKUP(#REF!,Итоговая!AA324:AP751,16,FALSE)</f>
        <v>#REF!</v>
      </c>
    </row>
    <row r="322" spans="1:20" x14ac:dyDescent="0.25">
      <c r="D322" s="196"/>
      <c r="F322" s="196"/>
      <c r="G322" s="196"/>
      <c r="H322" s="196"/>
      <c r="I322" s="196"/>
    </row>
    <row r="323" spans="1:20" ht="178.5" x14ac:dyDescent="0.25">
      <c r="A323" s="1254" t="s">
        <v>20360</v>
      </c>
    </row>
  </sheetData>
  <autoFilter ref="A5:T321"/>
  <mergeCells count="1">
    <mergeCell ref="A1:M4"/>
  </mergeCells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pageSetUpPr fitToPage="1"/>
  </sheetPr>
  <dimension ref="A1:H10813"/>
  <sheetViews>
    <sheetView zoomScale="85" zoomScaleNormal="85" workbookViewId="0">
      <pane ySplit="2" topLeftCell="A10576" activePane="bottomLeft" state="frozen"/>
      <selection pane="bottomLeft" activeCell="A10590" sqref="A10590:C10590"/>
    </sheetView>
  </sheetViews>
  <sheetFormatPr defaultRowHeight="15" x14ac:dyDescent="0.25"/>
  <cols>
    <col min="1" max="3" width="15.7109375" style="856" customWidth="1"/>
    <col min="4" max="6" width="35.7109375" style="856" customWidth="1"/>
    <col min="7" max="16" width="35.7109375" style="11" customWidth="1"/>
    <col min="17" max="16384" width="9.140625" style="11"/>
  </cols>
  <sheetData>
    <row r="1" spans="1:7" ht="48" customHeight="1" x14ac:dyDescent="0.25">
      <c r="A1" s="981" t="s">
        <v>20191</v>
      </c>
      <c r="B1" s="982"/>
      <c r="C1" s="982"/>
      <c r="D1" s="982"/>
      <c r="E1" s="982"/>
      <c r="F1" s="983"/>
      <c r="G1" s="201"/>
    </row>
    <row r="2" spans="1:7" ht="69" customHeight="1" x14ac:dyDescent="0.25">
      <c r="A2" s="141" t="s">
        <v>2430</v>
      </c>
      <c r="B2" s="141" t="s">
        <v>2431</v>
      </c>
      <c r="C2" s="141" t="s">
        <v>2432</v>
      </c>
      <c r="D2" s="141" t="s">
        <v>2433</v>
      </c>
      <c r="E2" s="141" t="s">
        <v>2434</v>
      </c>
      <c r="F2" s="141" t="s">
        <v>2435</v>
      </c>
      <c r="G2" s="201"/>
    </row>
    <row r="3" spans="1:7" s="172" customFormat="1" ht="15" customHeight="1" x14ac:dyDescent="0.25">
      <c r="A3" s="805" t="s">
        <v>19798</v>
      </c>
      <c r="B3" s="805" t="s">
        <v>7122</v>
      </c>
      <c r="C3" s="805" t="s">
        <v>7122</v>
      </c>
      <c r="D3" s="805" t="s">
        <v>7123</v>
      </c>
      <c r="E3" s="805">
        <v>160</v>
      </c>
      <c r="F3" s="805">
        <v>75</v>
      </c>
      <c r="G3" s="202" t="str">
        <f>IF(E3=F3,"не загружен","")</f>
        <v/>
      </c>
    </row>
    <row r="4" spans="1:7" s="172" customFormat="1" ht="15" customHeight="1" x14ac:dyDescent="0.25">
      <c r="A4" s="805" t="s">
        <v>19798</v>
      </c>
      <c r="B4" s="805" t="s">
        <v>7122</v>
      </c>
      <c r="C4" s="805" t="s">
        <v>7122</v>
      </c>
      <c r="D4" s="805" t="s">
        <v>7124</v>
      </c>
      <c r="E4" s="805">
        <v>250</v>
      </c>
      <c r="F4" s="805">
        <v>12</v>
      </c>
      <c r="G4" s="202" t="str">
        <f t="shared" ref="G4:G67" si="0">IF(E4=F4,"не загружен","")</f>
        <v/>
      </c>
    </row>
    <row r="5" spans="1:7" s="172" customFormat="1" ht="15" customHeight="1" x14ac:dyDescent="0.25">
      <c r="A5" s="805" t="s">
        <v>19798</v>
      </c>
      <c r="B5" s="805" t="s">
        <v>7122</v>
      </c>
      <c r="C5" s="805" t="s">
        <v>7122</v>
      </c>
      <c r="D5" s="805" t="s">
        <v>7125</v>
      </c>
      <c r="E5" s="805">
        <v>60</v>
      </c>
      <c r="F5" s="805">
        <v>21</v>
      </c>
      <c r="G5" s="202" t="str">
        <f t="shared" si="0"/>
        <v/>
      </c>
    </row>
    <row r="6" spans="1:7" s="172" customFormat="1" ht="15" customHeight="1" x14ac:dyDescent="0.25">
      <c r="A6" s="805" t="s">
        <v>7880</v>
      </c>
      <c r="B6" s="805" t="s">
        <v>7122</v>
      </c>
      <c r="C6" s="805" t="s">
        <v>7122</v>
      </c>
      <c r="D6" s="805" t="s">
        <v>7126</v>
      </c>
      <c r="E6" s="805">
        <v>30</v>
      </c>
      <c r="F6" s="805">
        <v>25</v>
      </c>
      <c r="G6" s="202" t="str">
        <f t="shared" si="0"/>
        <v/>
      </c>
    </row>
    <row r="7" spans="1:7" s="172" customFormat="1" ht="15" customHeight="1" x14ac:dyDescent="0.25">
      <c r="A7" s="805" t="s">
        <v>8898</v>
      </c>
      <c r="B7" s="805" t="s">
        <v>7122</v>
      </c>
      <c r="C7" s="805" t="s">
        <v>7122</v>
      </c>
      <c r="D7" s="805" t="s">
        <v>7127</v>
      </c>
      <c r="E7" s="805">
        <v>30</v>
      </c>
      <c r="F7" s="805">
        <v>8</v>
      </c>
      <c r="G7" s="202" t="str">
        <f t="shared" si="0"/>
        <v/>
      </c>
    </row>
    <row r="8" spans="1:7" s="172" customFormat="1" ht="15" customHeight="1" x14ac:dyDescent="0.25">
      <c r="A8" s="805" t="s">
        <v>19798</v>
      </c>
      <c r="B8" s="805" t="s">
        <v>7122</v>
      </c>
      <c r="C8" s="805" t="s">
        <v>7122</v>
      </c>
      <c r="D8" s="805" t="s">
        <v>19799</v>
      </c>
      <c r="E8" s="805">
        <v>250</v>
      </c>
      <c r="F8" s="805">
        <v>10</v>
      </c>
      <c r="G8" s="202" t="str">
        <f t="shared" si="0"/>
        <v/>
      </c>
    </row>
    <row r="9" spans="1:7" s="172" customFormat="1" ht="15" customHeight="1" x14ac:dyDescent="0.25">
      <c r="A9" s="805" t="s">
        <v>19798</v>
      </c>
      <c r="B9" s="805" t="s">
        <v>7122</v>
      </c>
      <c r="C9" s="805" t="s">
        <v>7122</v>
      </c>
      <c r="D9" s="805" t="s">
        <v>7128</v>
      </c>
      <c r="E9" s="805">
        <v>250</v>
      </c>
      <c r="F9" s="805">
        <v>60</v>
      </c>
      <c r="G9" s="202" t="str">
        <f t="shared" si="0"/>
        <v/>
      </c>
    </row>
    <row r="10" spans="1:7" s="172" customFormat="1" ht="15" customHeight="1" x14ac:dyDescent="0.25">
      <c r="A10" s="805" t="s">
        <v>7130</v>
      </c>
      <c r="B10" s="805" t="s">
        <v>7122</v>
      </c>
      <c r="C10" s="805" t="s">
        <v>7122</v>
      </c>
      <c r="D10" s="805" t="s">
        <v>7129</v>
      </c>
      <c r="E10" s="805">
        <v>160</v>
      </c>
      <c r="F10" s="805">
        <v>20</v>
      </c>
      <c r="G10" s="202" t="str">
        <f t="shared" si="0"/>
        <v/>
      </c>
    </row>
    <row r="11" spans="1:7" s="172" customFormat="1" ht="15" customHeight="1" x14ac:dyDescent="0.25">
      <c r="A11" s="805" t="s">
        <v>7130</v>
      </c>
      <c r="B11" s="805" t="s">
        <v>7122</v>
      </c>
      <c r="C11" s="805" t="s">
        <v>7122</v>
      </c>
      <c r="D11" s="805" t="s">
        <v>7131</v>
      </c>
      <c r="E11" s="805">
        <v>100</v>
      </c>
      <c r="F11" s="805">
        <v>45</v>
      </c>
      <c r="G11" s="202" t="str">
        <f t="shared" si="0"/>
        <v/>
      </c>
    </row>
    <row r="12" spans="1:7" s="172" customFormat="1" ht="15" customHeight="1" x14ac:dyDescent="0.25">
      <c r="A12" s="805" t="s">
        <v>12513</v>
      </c>
      <c r="B12" s="805" t="s">
        <v>7122</v>
      </c>
      <c r="C12" s="805" t="s">
        <v>7122</v>
      </c>
      <c r="D12" s="805" t="s">
        <v>7132</v>
      </c>
      <c r="E12" s="805">
        <v>100</v>
      </c>
      <c r="F12" s="805">
        <v>50</v>
      </c>
      <c r="G12" s="202" t="str">
        <f t="shared" si="0"/>
        <v/>
      </c>
    </row>
    <row r="13" spans="1:7" s="172" customFormat="1" ht="15" customHeight="1" x14ac:dyDescent="0.25">
      <c r="A13" s="805" t="s">
        <v>12513</v>
      </c>
      <c r="B13" s="805" t="s">
        <v>7122</v>
      </c>
      <c r="C13" s="805" t="s">
        <v>7122</v>
      </c>
      <c r="D13" s="805" t="s">
        <v>7133</v>
      </c>
      <c r="E13" s="805">
        <v>100</v>
      </c>
      <c r="F13" s="805">
        <v>43</v>
      </c>
      <c r="G13" s="202" t="str">
        <f t="shared" si="0"/>
        <v/>
      </c>
    </row>
    <row r="14" spans="1:7" s="172" customFormat="1" ht="15" customHeight="1" x14ac:dyDescent="0.25">
      <c r="A14" s="805" t="s">
        <v>12513</v>
      </c>
      <c r="B14" s="805" t="s">
        <v>7122</v>
      </c>
      <c r="C14" s="805" t="s">
        <v>7122</v>
      </c>
      <c r="D14" s="805" t="s">
        <v>7134</v>
      </c>
      <c r="E14" s="805">
        <v>100</v>
      </c>
      <c r="F14" s="805">
        <v>40</v>
      </c>
      <c r="G14" s="202" t="str">
        <f t="shared" si="0"/>
        <v/>
      </c>
    </row>
    <row r="15" spans="1:7" s="172" customFormat="1" ht="15" customHeight="1" x14ac:dyDescent="0.25">
      <c r="A15" s="805" t="s">
        <v>12513</v>
      </c>
      <c r="B15" s="805" t="s">
        <v>7122</v>
      </c>
      <c r="C15" s="805" t="s">
        <v>7122</v>
      </c>
      <c r="D15" s="805" t="s">
        <v>7135</v>
      </c>
      <c r="E15" s="805">
        <v>250</v>
      </c>
      <c r="F15" s="805">
        <v>118</v>
      </c>
      <c r="G15" s="202" t="str">
        <f t="shared" si="0"/>
        <v/>
      </c>
    </row>
    <row r="16" spans="1:7" s="172" customFormat="1" ht="15" customHeight="1" x14ac:dyDescent="0.25">
      <c r="A16" s="805" t="s">
        <v>4812</v>
      </c>
      <c r="B16" s="805" t="s">
        <v>7122</v>
      </c>
      <c r="C16" s="805" t="s">
        <v>7122</v>
      </c>
      <c r="D16" s="805" t="s">
        <v>7136</v>
      </c>
      <c r="E16" s="805">
        <v>30</v>
      </c>
      <c r="F16" s="805">
        <v>25</v>
      </c>
      <c r="G16" s="202" t="str">
        <f t="shared" si="0"/>
        <v/>
      </c>
    </row>
    <row r="17" spans="1:7" s="172" customFormat="1" ht="15" customHeight="1" x14ac:dyDescent="0.25">
      <c r="A17" s="805" t="s">
        <v>12305</v>
      </c>
      <c r="B17" s="805" t="s">
        <v>7122</v>
      </c>
      <c r="C17" s="805" t="s">
        <v>7122</v>
      </c>
      <c r="D17" s="805" t="s">
        <v>7137</v>
      </c>
      <c r="E17" s="805">
        <v>63</v>
      </c>
      <c r="F17" s="805">
        <v>25</v>
      </c>
      <c r="G17" s="202" t="str">
        <f t="shared" si="0"/>
        <v/>
      </c>
    </row>
    <row r="18" spans="1:7" s="172" customFormat="1" ht="15" customHeight="1" x14ac:dyDescent="0.25">
      <c r="A18" s="805" t="s">
        <v>12514</v>
      </c>
      <c r="B18" s="805" t="s">
        <v>7122</v>
      </c>
      <c r="C18" s="805" t="s">
        <v>7122</v>
      </c>
      <c r="D18" s="805" t="s">
        <v>7138</v>
      </c>
      <c r="E18" s="805">
        <v>63</v>
      </c>
      <c r="F18" s="805">
        <v>28</v>
      </c>
      <c r="G18" s="202" t="str">
        <f t="shared" si="0"/>
        <v/>
      </c>
    </row>
    <row r="19" spans="1:7" s="172" customFormat="1" ht="15" customHeight="1" x14ac:dyDescent="0.25">
      <c r="A19" s="805" t="s">
        <v>12515</v>
      </c>
      <c r="B19" s="805" t="s">
        <v>7122</v>
      </c>
      <c r="C19" s="805" t="s">
        <v>7122</v>
      </c>
      <c r="D19" s="805" t="s">
        <v>7139</v>
      </c>
      <c r="E19" s="805">
        <v>30</v>
      </c>
      <c r="F19" s="805">
        <v>25</v>
      </c>
      <c r="G19" s="202" t="str">
        <f t="shared" si="0"/>
        <v/>
      </c>
    </row>
    <row r="20" spans="1:7" s="172" customFormat="1" ht="15" customHeight="1" x14ac:dyDescent="0.25">
      <c r="A20" s="805" t="s">
        <v>12516</v>
      </c>
      <c r="B20" s="805" t="s">
        <v>7122</v>
      </c>
      <c r="C20" s="805" t="s">
        <v>7122</v>
      </c>
      <c r="D20" s="805" t="s">
        <v>7140</v>
      </c>
      <c r="E20" s="805">
        <v>40</v>
      </c>
      <c r="F20" s="805">
        <v>0</v>
      </c>
      <c r="G20" s="202" t="str">
        <f t="shared" si="0"/>
        <v/>
      </c>
    </row>
    <row r="21" spans="1:7" s="172" customFormat="1" ht="15" customHeight="1" x14ac:dyDescent="0.25">
      <c r="A21" s="805" t="s">
        <v>12512</v>
      </c>
      <c r="B21" s="805" t="s">
        <v>7122</v>
      </c>
      <c r="C21" s="805" t="s">
        <v>7122</v>
      </c>
      <c r="D21" s="805" t="s">
        <v>7141</v>
      </c>
      <c r="E21" s="805">
        <v>60</v>
      </c>
      <c r="F21" s="805">
        <v>20</v>
      </c>
      <c r="G21" s="202" t="str">
        <f t="shared" si="0"/>
        <v/>
      </c>
    </row>
    <row r="22" spans="1:7" s="172" customFormat="1" ht="15" customHeight="1" x14ac:dyDescent="0.25">
      <c r="A22" s="805" t="s">
        <v>12512</v>
      </c>
      <c r="B22" s="805" t="s">
        <v>7122</v>
      </c>
      <c r="C22" s="805" t="s">
        <v>7122</v>
      </c>
      <c r="D22" s="805" t="s">
        <v>7142</v>
      </c>
      <c r="E22" s="805">
        <v>100</v>
      </c>
      <c r="F22" s="805">
        <v>68</v>
      </c>
      <c r="G22" s="202" t="str">
        <f t="shared" si="0"/>
        <v/>
      </c>
    </row>
    <row r="23" spans="1:7" s="172" customFormat="1" ht="15" customHeight="1" x14ac:dyDescent="0.25">
      <c r="A23" s="805" t="s">
        <v>12512</v>
      </c>
      <c r="B23" s="805" t="s">
        <v>7122</v>
      </c>
      <c r="C23" s="805" t="s">
        <v>7122</v>
      </c>
      <c r="D23" s="805" t="s">
        <v>7143</v>
      </c>
      <c r="E23" s="805">
        <v>63</v>
      </c>
      <c r="F23" s="805">
        <v>22</v>
      </c>
      <c r="G23" s="202" t="str">
        <f t="shared" si="0"/>
        <v/>
      </c>
    </row>
    <row r="24" spans="1:7" s="172" customFormat="1" ht="15" customHeight="1" x14ac:dyDescent="0.25">
      <c r="A24" s="805" t="s">
        <v>12512</v>
      </c>
      <c r="B24" s="805" t="s">
        <v>7122</v>
      </c>
      <c r="C24" s="805" t="s">
        <v>7122</v>
      </c>
      <c r="D24" s="805" t="s">
        <v>7144</v>
      </c>
      <c r="E24" s="805">
        <v>100</v>
      </c>
      <c r="F24" s="805">
        <v>46</v>
      </c>
      <c r="G24" s="202" t="str">
        <f t="shared" si="0"/>
        <v/>
      </c>
    </row>
    <row r="25" spans="1:7" s="172" customFormat="1" ht="15" customHeight="1" x14ac:dyDescent="0.25">
      <c r="A25" s="805" t="s">
        <v>12512</v>
      </c>
      <c r="B25" s="805" t="s">
        <v>7122</v>
      </c>
      <c r="C25" s="805" t="s">
        <v>7122</v>
      </c>
      <c r="D25" s="805" t="s">
        <v>7145</v>
      </c>
      <c r="E25" s="805">
        <v>160</v>
      </c>
      <c r="F25" s="805">
        <v>116</v>
      </c>
      <c r="G25" s="202" t="str">
        <f t="shared" si="0"/>
        <v/>
      </c>
    </row>
    <row r="26" spans="1:7" s="172" customFormat="1" ht="15" customHeight="1" x14ac:dyDescent="0.25">
      <c r="A26" s="805" t="s">
        <v>7719</v>
      </c>
      <c r="B26" s="805" t="s">
        <v>7122</v>
      </c>
      <c r="C26" s="805" t="s">
        <v>7122</v>
      </c>
      <c r="D26" s="805" t="s">
        <v>7146</v>
      </c>
      <c r="E26" s="805">
        <v>100</v>
      </c>
      <c r="F26" s="805">
        <v>50</v>
      </c>
      <c r="G26" s="202" t="str">
        <f t="shared" si="0"/>
        <v/>
      </c>
    </row>
    <row r="27" spans="1:7" s="172" customFormat="1" ht="15" customHeight="1" x14ac:dyDescent="0.25">
      <c r="A27" s="805" t="s">
        <v>7719</v>
      </c>
      <c r="B27" s="805" t="s">
        <v>7122</v>
      </c>
      <c r="C27" s="805" t="s">
        <v>7122</v>
      </c>
      <c r="D27" s="805" t="s">
        <v>7147</v>
      </c>
      <c r="E27" s="805">
        <v>100</v>
      </c>
      <c r="F27" s="805">
        <v>45</v>
      </c>
      <c r="G27" s="202" t="str">
        <f t="shared" si="0"/>
        <v/>
      </c>
    </row>
    <row r="28" spans="1:7" s="172" customFormat="1" ht="15" customHeight="1" x14ac:dyDescent="0.25">
      <c r="A28" s="805" t="s">
        <v>9949</v>
      </c>
      <c r="B28" s="805" t="s">
        <v>7122</v>
      </c>
      <c r="C28" s="805" t="s">
        <v>7122</v>
      </c>
      <c r="D28" s="805" t="s">
        <v>7148</v>
      </c>
      <c r="E28" s="805">
        <v>63</v>
      </c>
      <c r="F28" s="805">
        <v>29</v>
      </c>
      <c r="G28" s="202" t="str">
        <f t="shared" si="0"/>
        <v/>
      </c>
    </row>
    <row r="29" spans="1:7" s="172" customFormat="1" ht="15" customHeight="1" x14ac:dyDescent="0.25">
      <c r="A29" s="805" t="s">
        <v>12517</v>
      </c>
      <c r="B29" s="805" t="s">
        <v>7122</v>
      </c>
      <c r="C29" s="805" t="s">
        <v>7122</v>
      </c>
      <c r="D29" s="805" t="s">
        <v>7149</v>
      </c>
      <c r="E29" s="805">
        <v>63</v>
      </c>
      <c r="F29" s="805">
        <v>26</v>
      </c>
      <c r="G29" s="202" t="str">
        <f t="shared" si="0"/>
        <v/>
      </c>
    </row>
    <row r="30" spans="1:7" s="172" customFormat="1" ht="15" customHeight="1" x14ac:dyDescent="0.25">
      <c r="A30" s="805" t="s">
        <v>11880</v>
      </c>
      <c r="B30" s="805" t="s">
        <v>7122</v>
      </c>
      <c r="C30" s="805" t="s">
        <v>7122</v>
      </c>
      <c r="D30" s="805" t="s">
        <v>7150</v>
      </c>
      <c r="E30" s="805">
        <v>60</v>
      </c>
      <c r="F30" s="805">
        <v>25</v>
      </c>
      <c r="G30" s="202" t="str">
        <f t="shared" si="0"/>
        <v/>
      </c>
    </row>
    <row r="31" spans="1:7" s="172" customFormat="1" ht="15" customHeight="1" x14ac:dyDescent="0.25">
      <c r="A31" s="805" t="s">
        <v>11880</v>
      </c>
      <c r="B31" s="805" t="s">
        <v>7122</v>
      </c>
      <c r="C31" s="805" t="s">
        <v>7122</v>
      </c>
      <c r="D31" s="805" t="s">
        <v>7151</v>
      </c>
      <c r="E31" s="805">
        <v>100</v>
      </c>
      <c r="F31" s="805">
        <v>43</v>
      </c>
      <c r="G31" s="202" t="str">
        <f t="shared" si="0"/>
        <v/>
      </c>
    </row>
    <row r="32" spans="1:7" s="172" customFormat="1" ht="15" customHeight="1" x14ac:dyDescent="0.25">
      <c r="A32" s="805" t="s">
        <v>11880</v>
      </c>
      <c r="B32" s="805" t="s">
        <v>7122</v>
      </c>
      <c r="C32" s="805" t="s">
        <v>7122</v>
      </c>
      <c r="D32" s="805" t="s">
        <v>7152</v>
      </c>
      <c r="E32" s="805">
        <v>100</v>
      </c>
      <c r="F32" s="805">
        <v>45</v>
      </c>
      <c r="G32" s="202" t="str">
        <f t="shared" si="0"/>
        <v/>
      </c>
    </row>
    <row r="33" spans="1:7" s="172" customFormat="1" ht="15" customHeight="1" x14ac:dyDescent="0.25">
      <c r="A33" s="805" t="s">
        <v>11880</v>
      </c>
      <c r="B33" s="805" t="s">
        <v>7122</v>
      </c>
      <c r="C33" s="805" t="s">
        <v>7122</v>
      </c>
      <c r="D33" s="805" t="s">
        <v>7153</v>
      </c>
      <c r="E33" s="805">
        <v>160</v>
      </c>
      <c r="F33" s="805">
        <v>64</v>
      </c>
      <c r="G33" s="202" t="str">
        <f t="shared" si="0"/>
        <v/>
      </c>
    </row>
    <row r="34" spans="1:7" s="172" customFormat="1" ht="15" customHeight="1" x14ac:dyDescent="0.25">
      <c r="A34" s="805" t="s">
        <v>12518</v>
      </c>
      <c r="B34" s="805" t="s">
        <v>7122</v>
      </c>
      <c r="C34" s="805" t="s">
        <v>7122</v>
      </c>
      <c r="D34" s="805" t="s">
        <v>7154</v>
      </c>
      <c r="E34" s="805">
        <v>100</v>
      </c>
      <c r="F34" s="805">
        <v>38</v>
      </c>
      <c r="G34" s="202" t="str">
        <f t="shared" si="0"/>
        <v/>
      </c>
    </row>
    <row r="35" spans="1:7" s="172" customFormat="1" ht="15" customHeight="1" x14ac:dyDescent="0.25">
      <c r="A35" s="805" t="s">
        <v>12518</v>
      </c>
      <c r="B35" s="805" t="s">
        <v>7122</v>
      </c>
      <c r="C35" s="805" t="s">
        <v>7122</v>
      </c>
      <c r="D35" s="805" t="s">
        <v>7155</v>
      </c>
      <c r="E35" s="805">
        <v>60</v>
      </c>
      <c r="F35" s="805">
        <v>21</v>
      </c>
      <c r="G35" s="202" t="str">
        <f t="shared" si="0"/>
        <v/>
      </c>
    </row>
    <row r="36" spans="1:7" s="172" customFormat="1" ht="15" customHeight="1" x14ac:dyDescent="0.25">
      <c r="A36" s="805" t="s">
        <v>2739</v>
      </c>
      <c r="B36" s="805" t="s">
        <v>7122</v>
      </c>
      <c r="C36" s="805" t="s">
        <v>7122</v>
      </c>
      <c r="D36" s="805" t="s">
        <v>7156</v>
      </c>
      <c r="E36" s="805">
        <v>160</v>
      </c>
      <c r="F36" s="805">
        <v>19</v>
      </c>
      <c r="G36" s="202" t="str">
        <f t="shared" si="0"/>
        <v/>
      </c>
    </row>
    <row r="37" spans="1:7" s="172" customFormat="1" ht="15" customHeight="1" x14ac:dyDescent="0.25">
      <c r="A37" s="805" t="s">
        <v>2739</v>
      </c>
      <c r="B37" s="805" t="s">
        <v>7122</v>
      </c>
      <c r="C37" s="805" t="s">
        <v>7122</v>
      </c>
      <c r="D37" s="805" t="s">
        <v>7157</v>
      </c>
      <c r="E37" s="805">
        <v>250</v>
      </c>
      <c r="F37" s="805">
        <v>136</v>
      </c>
      <c r="G37" s="202" t="str">
        <f t="shared" si="0"/>
        <v/>
      </c>
    </row>
    <row r="38" spans="1:7" s="172" customFormat="1" ht="15" customHeight="1" x14ac:dyDescent="0.25">
      <c r="A38" s="805" t="s">
        <v>2739</v>
      </c>
      <c r="B38" s="805" t="s">
        <v>7122</v>
      </c>
      <c r="C38" s="805" t="s">
        <v>7122</v>
      </c>
      <c r="D38" s="805" t="s">
        <v>7158</v>
      </c>
      <c r="E38" s="805">
        <v>60</v>
      </c>
      <c r="F38" s="805">
        <v>19</v>
      </c>
      <c r="G38" s="202" t="str">
        <f t="shared" si="0"/>
        <v/>
      </c>
    </row>
    <row r="39" spans="1:7" s="172" customFormat="1" ht="15" customHeight="1" x14ac:dyDescent="0.25">
      <c r="A39" s="805" t="s">
        <v>3249</v>
      </c>
      <c r="B39" s="805" t="s">
        <v>7122</v>
      </c>
      <c r="C39" s="805" t="s">
        <v>7122</v>
      </c>
      <c r="D39" s="805" t="s">
        <v>7159</v>
      </c>
      <c r="E39" s="805">
        <v>63</v>
      </c>
      <c r="F39" s="805">
        <v>24</v>
      </c>
      <c r="G39" s="202" t="str">
        <f t="shared" si="0"/>
        <v/>
      </c>
    </row>
    <row r="40" spans="1:7" s="172" customFormat="1" ht="15" customHeight="1" x14ac:dyDescent="0.25">
      <c r="A40" s="805" t="s">
        <v>12519</v>
      </c>
      <c r="B40" s="805" t="s">
        <v>7122</v>
      </c>
      <c r="C40" s="805" t="s">
        <v>7122</v>
      </c>
      <c r="D40" s="805" t="s">
        <v>7160</v>
      </c>
      <c r="E40" s="805">
        <v>30</v>
      </c>
      <c r="F40" s="805">
        <v>5</v>
      </c>
      <c r="G40" s="202" t="str">
        <f t="shared" si="0"/>
        <v/>
      </c>
    </row>
    <row r="41" spans="1:7" s="172" customFormat="1" ht="15" customHeight="1" x14ac:dyDescent="0.25">
      <c r="A41" s="805" t="s">
        <v>3677</v>
      </c>
      <c r="B41" s="805" t="s">
        <v>7122</v>
      </c>
      <c r="C41" s="805" t="s">
        <v>7122</v>
      </c>
      <c r="D41" s="805" t="s">
        <v>7161</v>
      </c>
      <c r="E41" s="805">
        <v>100</v>
      </c>
      <c r="F41" s="805">
        <v>48</v>
      </c>
      <c r="G41" s="202" t="str">
        <f t="shared" si="0"/>
        <v/>
      </c>
    </row>
    <row r="42" spans="1:7" s="172" customFormat="1" ht="15" customHeight="1" x14ac:dyDescent="0.25">
      <c r="A42" s="805" t="s">
        <v>12520</v>
      </c>
      <c r="B42" s="805" t="s">
        <v>7122</v>
      </c>
      <c r="C42" s="805" t="s">
        <v>7122</v>
      </c>
      <c r="D42" s="805" t="s">
        <v>7162</v>
      </c>
      <c r="E42" s="805">
        <v>30</v>
      </c>
      <c r="F42" s="805">
        <v>5</v>
      </c>
      <c r="G42" s="202" t="str">
        <f t="shared" si="0"/>
        <v/>
      </c>
    </row>
    <row r="43" spans="1:7" s="172" customFormat="1" ht="15" customHeight="1" x14ac:dyDescent="0.25">
      <c r="A43" s="805" t="s">
        <v>2691</v>
      </c>
      <c r="B43" s="805" t="s">
        <v>7122</v>
      </c>
      <c r="C43" s="805" t="s">
        <v>7122</v>
      </c>
      <c r="D43" s="805" t="s">
        <v>7163</v>
      </c>
      <c r="E43" s="805">
        <v>10</v>
      </c>
      <c r="F43" s="805">
        <v>5</v>
      </c>
      <c r="G43" s="202" t="str">
        <f t="shared" si="0"/>
        <v/>
      </c>
    </row>
    <row r="44" spans="1:7" s="172" customFormat="1" ht="15" customHeight="1" x14ac:dyDescent="0.25">
      <c r="A44" s="805" t="s">
        <v>12521</v>
      </c>
      <c r="B44" s="805" t="s">
        <v>7122</v>
      </c>
      <c r="C44" s="805" t="s">
        <v>7122</v>
      </c>
      <c r="D44" s="805" t="s">
        <v>7164</v>
      </c>
      <c r="E44" s="805">
        <v>30</v>
      </c>
      <c r="F44" s="805">
        <v>10</v>
      </c>
      <c r="G44" s="202" t="str">
        <f t="shared" si="0"/>
        <v/>
      </c>
    </row>
    <row r="45" spans="1:7" s="172" customFormat="1" ht="15" customHeight="1" x14ac:dyDescent="0.25">
      <c r="A45" s="805" t="s">
        <v>12522</v>
      </c>
      <c r="B45" s="805" t="s">
        <v>7122</v>
      </c>
      <c r="C45" s="805" t="s">
        <v>7122</v>
      </c>
      <c r="D45" s="805" t="s">
        <v>7165</v>
      </c>
      <c r="E45" s="805">
        <v>160</v>
      </c>
      <c r="F45" s="805">
        <v>76</v>
      </c>
      <c r="G45" s="202" t="str">
        <f t="shared" si="0"/>
        <v/>
      </c>
    </row>
    <row r="46" spans="1:7" s="172" customFormat="1" ht="15" customHeight="1" x14ac:dyDescent="0.25">
      <c r="A46" s="805" t="s">
        <v>12523</v>
      </c>
      <c r="B46" s="805" t="s">
        <v>7122</v>
      </c>
      <c r="C46" s="805" t="s">
        <v>7122</v>
      </c>
      <c r="D46" s="805" t="s">
        <v>7166</v>
      </c>
      <c r="E46" s="805">
        <v>10</v>
      </c>
      <c r="F46" s="805">
        <v>6</v>
      </c>
      <c r="G46" s="202" t="str">
        <f t="shared" si="0"/>
        <v/>
      </c>
    </row>
    <row r="47" spans="1:7" s="172" customFormat="1" ht="15" customHeight="1" x14ac:dyDescent="0.25">
      <c r="A47" s="805" t="s">
        <v>12524</v>
      </c>
      <c r="B47" s="805" t="s">
        <v>7122</v>
      </c>
      <c r="C47" s="805" t="s">
        <v>7122</v>
      </c>
      <c r="D47" s="805" t="s">
        <v>7167</v>
      </c>
      <c r="E47" s="805">
        <v>60</v>
      </c>
      <c r="F47" s="805">
        <v>21</v>
      </c>
      <c r="G47" s="202" t="str">
        <f t="shared" si="0"/>
        <v/>
      </c>
    </row>
    <row r="48" spans="1:7" s="172" customFormat="1" ht="15" customHeight="1" x14ac:dyDescent="0.25">
      <c r="A48" s="805" t="s">
        <v>4869</v>
      </c>
      <c r="B48" s="805" t="s">
        <v>7122</v>
      </c>
      <c r="C48" s="805" t="s">
        <v>7122</v>
      </c>
      <c r="D48" s="805" t="s">
        <v>7168</v>
      </c>
      <c r="E48" s="805">
        <v>160</v>
      </c>
      <c r="F48" s="805">
        <v>69</v>
      </c>
      <c r="G48" s="202" t="str">
        <f t="shared" si="0"/>
        <v/>
      </c>
    </row>
    <row r="49" spans="1:7" s="172" customFormat="1" ht="15" customHeight="1" x14ac:dyDescent="0.25">
      <c r="A49" s="805" t="s">
        <v>4869</v>
      </c>
      <c r="B49" s="805" t="s">
        <v>7122</v>
      </c>
      <c r="C49" s="805" t="s">
        <v>7122</v>
      </c>
      <c r="D49" s="805" t="s">
        <v>7169</v>
      </c>
      <c r="E49" s="805">
        <v>250</v>
      </c>
      <c r="F49" s="805">
        <v>110</v>
      </c>
      <c r="G49" s="202" t="str">
        <f t="shared" si="0"/>
        <v/>
      </c>
    </row>
    <row r="50" spans="1:7" s="172" customFormat="1" ht="15" customHeight="1" x14ac:dyDescent="0.25">
      <c r="A50" s="805" t="s">
        <v>10498</v>
      </c>
      <c r="B50" s="805" t="s">
        <v>7122</v>
      </c>
      <c r="C50" s="805" t="s">
        <v>7122</v>
      </c>
      <c r="D50" s="805" t="s">
        <v>7170</v>
      </c>
      <c r="E50" s="805">
        <v>160</v>
      </c>
      <c r="F50" s="805">
        <v>65</v>
      </c>
      <c r="G50" s="202" t="str">
        <f t="shared" si="0"/>
        <v/>
      </c>
    </row>
    <row r="51" spans="1:7" s="172" customFormat="1" ht="15" customHeight="1" x14ac:dyDescent="0.25">
      <c r="A51" s="805" t="s">
        <v>12526</v>
      </c>
      <c r="B51" s="805" t="s">
        <v>7122</v>
      </c>
      <c r="C51" s="805" t="s">
        <v>7122</v>
      </c>
      <c r="D51" s="805" t="s">
        <v>7171</v>
      </c>
      <c r="E51" s="805">
        <v>40</v>
      </c>
      <c r="F51" s="805">
        <v>15</v>
      </c>
      <c r="G51" s="202" t="str">
        <f t="shared" si="0"/>
        <v/>
      </c>
    </row>
    <row r="52" spans="1:7" s="172" customFormat="1" ht="15" customHeight="1" x14ac:dyDescent="0.25">
      <c r="A52" s="805" t="s">
        <v>12527</v>
      </c>
      <c r="B52" s="805" t="s">
        <v>7122</v>
      </c>
      <c r="C52" s="805" t="s">
        <v>7122</v>
      </c>
      <c r="D52" s="805" t="s">
        <v>7172</v>
      </c>
      <c r="E52" s="805">
        <v>250</v>
      </c>
      <c r="F52" s="805">
        <v>123</v>
      </c>
      <c r="G52" s="202" t="str">
        <f t="shared" si="0"/>
        <v/>
      </c>
    </row>
    <row r="53" spans="1:7" s="172" customFormat="1" ht="15" customHeight="1" x14ac:dyDescent="0.25">
      <c r="A53" s="805" t="s">
        <v>12527</v>
      </c>
      <c r="B53" s="805" t="s">
        <v>7122</v>
      </c>
      <c r="C53" s="805" t="s">
        <v>7122</v>
      </c>
      <c r="D53" s="805" t="s">
        <v>7173</v>
      </c>
      <c r="E53" s="805">
        <v>250</v>
      </c>
      <c r="F53" s="805">
        <v>38</v>
      </c>
      <c r="G53" s="202" t="str">
        <f t="shared" si="0"/>
        <v/>
      </c>
    </row>
    <row r="54" spans="1:7" s="172" customFormat="1" ht="15" customHeight="1" x14ac:dyDescent="0.25">
      <c r="A54" s="805" t="s">
        <v>12527</v>
      </c>
      <c r="B54" s="805" t="s">
        <v>7122</v>
      </c>
      <c r="C54" s="805" t="s">
        <v>7122</v>
      </c>
      <c r="D54" s="805" t="s">
        <v>7174</v>
      </c>
      <c r="E54" s="805">
        <v>60</v>
      </c>
      <c r="F54" s="805">
        <v>16</v>
      </c>
      <c r="G54" s="202" t="str">
        <f t="shared" si="0"/>
        <v/>
      </c>
    </row>
    <row r="55" spans="1:7" s="172" customFormat="1" ht="15" customHeight="1" x14ac:dyDescent="0.25">
      <c r="A55" s="805" t="s">
        <v>12527</v>
      </c>
      <c r="B55" s="805" t="s">
        <v>7122</v>
      </c>
      <c r="C55" s="805" t="s">
        <v>7122</v>
      </c>
      <c r="D55" s="805" t="s">
        <v>7175</v>
      </c>
      <c r="E55" s="805">
        <v>63</v>
      </c>
      <c r="F55" s="805">
        <v>19</v>
      </c>
      <c r="G55" s="202" t="str">
        <f t="shared" si="0"/>
        <v/>
      </c>
    </row>
    <row r="56" spans="1:7" s="172" customFormat="1" ht="15" customHeight="1" x14ac:dyDescent="0.25">
      <c r="A56" s="805" t="s">
        <v>12527</v>
      </c>
      <c r="B56" s="805" t="s">
        <v>7122</v>
      </c>
      <c r="C56" s="805" t="s">
        <v>7122</v>
      </c>
      <c r="D56" s="805" t="s">
        <v>7176</v>
      </c>
      <c r="E56" s="805">
        <v>100</v>
      </c>
      <c r="F56" s="805">
        <v>26</v>
      </c>
      <c r="G56" s="202" t="str">
        <f t="shared" si="0"/>
        <v/>
      </c>
    </row>
    <row r="57" spans="1:7" s="172" customFormat="1" ht="15" customHeight="1" x14ac:dyDescent="0.25">
      <c r="A57" s="805" t="s">
        <v>3557</v>
      </c>
      <c r="B57" s="805" t="s">
        <v>7122</v>
      </c>
      <c r="C57" s="805" t="s">
        <v>7122</v>
      </c>
      <c r="D57" s="805" t="s">
        <v>7177</v>
      </c>
      <c r="E57" s="805">
        <v>63</v>
      </c>
      <c r="F57" s="805">
        <v>14</v>
      </c>
      <c r="G57" s="202" t="str">
        <f t="shared" si="0"/>
        <v/>
      </c>
    </row>
    <row r="58" spans="1:7" s="172" customFormat="1" ht="15" customHeight="1" x14ac:dyDescent="0.25">
      <c r="A58" s="805" t="s">
        <v>12528</v>
      </c>
      <c r="B58" s="805" t="s">
        <v>7122</v>
      </c>
      <c r="C58" s="805" t="s">
        <v>7122</v>
      </c>
      <c r="D58" s="805" t="s">
        <v>7178</v>
      </c>
      <c r="E58" s="805">
        <v>40</v>
      </c>
      <c r="F58" s="805">
        <v>29</v>
      </c>
      <c r="G58" s="202" t="str">
        <f t="shared" si="0"/>
        <v/>
      </c>
    </row>
    <row r="59" spans="1:7" s="172" customFormat="1" ht="15" customHeight="1" x14ac:dyDescent="0.25">
      <c r="A59" s="805" t="s">
        <v>12529</v>
      </c>
      <c r="B59" s="805" t="s">
        <v>7122</v>
      </c>
      <c r="C59" s="805" t="s">
        <v>7122</v>
      </c>
      <c r="D59" s="805" t="s">
        <v>7179</v>
      </c>
      <c r="E59" s="805">
        <v>100</v>
      </c>
      <c r="F59" s="805">
        <v>52</v>
      </c>
      <c r="G59" s="202" t="str">
        <f t="shared" si="0"/>
        <v/>
      </c>
    </row>
    <row r="60" spans="1:7" s="172" customFormat="1" ht="15" customHeight="1" x14ac:dyDescent="0.25">
      <c r="A60" s="805" t="s">
        <v>12530</v>
      </c>
      <c r="B60" s="805" t="s">
        <v>7122</v>
      </c>
      <c r="C60" s="805" t="s">
        <v>7122</v>
      </c>
      <c r="D60" s="805" t="s">
        <v>7180</v>
      </c>
      <c r="E60" s="805">
        <v>10</v>
      </c>
      <c r="F60" s="805">
        <v>0</v>
      </c>
      <c r="G60" s="202" t="str">
        <f t="shared" si="0"/>
        <v/>
      </c>
    </row>
    <row r="61" spans="1:7" s="172" customFormat="1" ht="15" customHeight="1" x14ac:dyDescent="0.25">
      <c r="A61" s="805" t="s">
        <v>12531</v>
      </c>
      <c r="B61" s="805" t="s">
        <v>7122</v>
      </c>
      <c r="C61" s="805" t="s">
        <v>7122</v>
      </c>
      <c r="D61" s="805" t="s">
        <v>7181</v>
      </c>
      <c r="E61" s="805">
        <v>60</v>
      </c>
      <c r="F61" s="805">
        <v>5</v>
      </c>
      <c r="G61" s="202" t="str">
        <f t="shared" si="0"/>
        <v/>
      </c>
    </row>
    <row r="62" spans="1:7" s="172" customFormat="1" ht="15" customHeight="1" x14ac:dyDescent="0.25">
      <c r="A62" s="805" t="s">
        <v>12532</v>
      </c>
      <c r="B62" s="805" t="s">
        <v>7122</v>
      </c>
      <c r="C62" s="805" t="s">
        <v>7122</v>
      </c>
      <c r="D62" s="805" t="s">
        <v>7182</v>
      </c>
      <c r="E62" s="805">
        <v>30</v>
      </c>
      <c r="F62" s="805">
        <v>5</v>
      </c>
      <c r="G62" s="202" t="str">
        <f t="shared" si="0"/>
        <v/>
      </c>
    </row>
    <row r="63" spans="1:7" s="172" customFormat="1" ht="15" customHeight="1" x14ac:dyDescent="0.25">
      <c r="A63" s="805" t="s">
        <v>2767</v>
      </c>
      <c r="B63" s="805" t="s">
        <v>7122</v>
      </c>
      <c r="C63" s="805" t="s">
        <v>7122</v>
      </c>
      <c r="D63" s="805" t="s">
        <v>7183</v>
      </c>
      <c r="E63" s="805">
        <v>100</v>
      </c>
      <c r="F63" s="805">
        <v>49</v>
      </c>
      <c r="G63" s="202" t="str">
        <f t="shared" si="0"/>
        <v/>
      </c>
    </row>
    <row r="64" spans="1:7" s="172" customFormat="1" ht="15" customHeight="1" x14ac:dyDescent="0.25">
      <c r="A64" s="805" t="s">
        <v>12533</v>
      </c>
      <c r="B64" s="805" t="s">
        <v>7122</v>
      </c>
      <c r="C64" s="805" t="s">
        <v>7122</v>
      </c>
      <c r="D64" s="805" t="s">
        <v>7184</v>
      </c>
      <c r="E64" s="805">
        <v>25</v>
      </c>
      <c r="F64" s="805">
        <v>12</v>
      </c>
      <c r="G64" s="202" t="str">
        <f t="shared" si="0"/>
        <v/>
      </c>
    </row>
    <row r="65" spans="1:7" s="172" customFormat="1" ht="15" customHeight="1" x14ac:dyDescent="0.25">
      <c r="A65" s="805" t="s">
        <v>12527</v>
      </c>
      <c r="B65" s="805" t="s">
        <v>7122</v>
      </c>
      <c r="C65" s="805" t="s">
        <v>7122</v>
      </c>
      <c r="D65" s="805" t="s">
        <v>7185</v>
      </c>
      <c r="E65" s="805">
        <v>400</v>
      </c>
      <c r="F65" s="805">
        <v>193</v>
      </c>
      <c r="G65" s="202" t="str">
        <f t="shared" si="0"/>
        <v/>
      </c>
    </row>
    <row r="66" spans="1:7" s="172" customFormat="1" ht="15" customHeight="1" x14ac:dyDescent="0.25">
      <c r="A66" s="805" t="s">
        <v>12527</v>
      </c>
      <c r="B66" s="805" t="s">
        <v>7122</v>
      </c>
      <c r="C66" s="805" t="s">
        <v>7122</v>
      </c>
      <c r="D66" s="805" t="s">
        <v>7186</v>
      </c>
      <c r="E66" s="805">
        <v>250</v>
      </c>
      <c r="F66" s="805">
        <v>23</v>
      </c>
      <c r="G66" s="202" t="str">
        <f t="shared" si="0"/>
        <v/>
      </c>
    </row>
    <row r="67" spans="1:7" s="172" customFormat="1" ht="15" customHeight="1" x14ac:dyDescent="0.25">
      <c r="A67" s="805" t="s">
        <v>5777</v>
      </c>
      <c r="B67" s="805" t="s">
        <v>7122</v>
      </c>
      <c r="C67" s="805" t="s">
        <v>7122</v>
      </c>
      <c r="D67" s="805" t="s">
        <v>7187</v>
      </c>
      <c r="E67" s="805">
        <v>160</v>
      </c>
      <c r="F67" s="805">
        <v>79</v>
      </c>
      <c r="G67" s="202" t="str">
        <f t="shared" si="0"/>
        <v/>
      </c>
    </row>
    <row r="68" spans="1:7" s="172" customFormat="1" ht="15" customHeight="1" x14ac:dyDescent="0.25">
      <c r="A68" s="805" t="s">
        <v>5777</v>
      </c>
      <c r="B68" s="805" t="s">
        <v>7122</v>
      </c>
      <c r="C68" s="805" t="s">
        <v>7122</v>
      </c>
      <c r="D68" s="805" t="s">
        <v>7188</v>
      </c>
      <c r="E68" s="805">
        <v>250</v>
      </c>
      <c r="F68" s="805">
        <v>135</v>
      </c>
      <c r="G68" s="202" t="str">
        <f t="shared" ref="G68:G131" si="1">IF(E68=F68,"не загружен","")</f>
        <v/>
      </c>
    </row>
    <row r="69" spans="1:7" s="172" customFormat="1" ht="15" customHeight="1" x14ac:dyDescent="0.25">
      <c r="A69" s="805" t="s">
        <v>4869</v>
      </c>
      <c r="B69" s="805" t="s">
        <v>7122</v>
      </c>
      <c r="C69" s="805" t="s">
        <v>7122</v>
      </c>
      <c r="D69" s="805" t="s">
        <v>7189</v>
      </c>
      <c r="E69" s="805">
        <v>100</v>
      </c>
      <c r="F69" s="805">
        <v>26</v>
      </c>
      <c r="G69" s="202" t="str">
        <f t="shared" si="1"/>
        <v/>
      </c>
    </row>
    <row r="70" spans="1:7" s="172" customFormat="1" ht="15" customHeight="1" x14ac:dyDescent="0.25">
      <c r="A70" s="805" t="s">
        <v>12534</v>
      </c>
      <c r="B70" s="805" t="s">
        <v>7122</v>
      </c>
      <c r="C70" s="805" t="s">
        <v>7122</v>
      </c>
      <c r="D70" s="805" t="s">
        <v>7190</v>
      </c>
      <c r="E70" s="805">
        <v>40</v>
      </c>
      <c r="F70" s="805">
        <v>10</v>
      </c>
      <c r="G70" s="202" t="str">
        <f t="shared" si="1"/>
        <v/>
      </c>
    </row>
    <row r="71" spans="1:7" s="172" customFormat="1" ht="15" customHeight="1" x14ac:dyDescent="0.25">
      <c r="A71" s="805" t="s">
        <v>12535</v>
      </c>
      <c r="B71" s="805" t="s">
        <v>7122</v>
      </c>
      <c r="C71" s="805" t="s">
        <v>7122</v>
      </c>
      <c r="D71" s="805" t="s">
        <v>7191</v>
      </c>
      <c r="E71" s="805">
        <v>60</v>
      </c>
      <c r="F71" s="805">
        <v>10</v>
      </c>
      <c r="G71" s="202" t="str">
        <f t="shared" si="1"/>
        <v/>
      </c>
    </row>
    <row r="72" spans="1:7" s="172" customFormat="1" ht="15" customHeight="1" x14ac:dyDescent="0.25">
      <c r="A72" s="805" t="s">
        <v>12536</v>
      </c>
      <c r="B72" s="805" t="s">
        <v>7122</v>
      </c>
      <c r="C72" s="805" t="s">
        <v>7122</v>
      </c>
      <c r="D72" s="805" t="s">
        <v>19292</v>
      </c>
      <c r="E72" s="805">
        <v>100</v>
      </c>
      <c r="F72" s="805">
        <v>38</v>
      </c>
      <c r="G72" s="202" t="str">
        <f t="shared" si="1"/>
        <v/>
      </c>
    </row>
    <row r="73" spans="1:7" s="172" customFormat="1" ht="15" customHeight="1" x14ac:dyDescent="0.25">
      <c r="A73" s="805" t="s">
        <v>12537</v>
      </c>
      <c r="B73" s="805" t="s">
        <v>7122</v>
      </c>
      <c r="C73" s="805" t="s">
        <v>7122</v>
      </c>
      <c r="D73" s="805" t="s">
        <v>7192</v>
      </c>
      <c r="E73" s="805">
        <v>4</v>
      </c>
      <c r="F73" s="805">
        <v>10</v>
      </c>
      <c r="G73" s="202" t="str">
        <f t="shared" si="1"/>
        <v/>
      </c>
    </row>
    <row r="74" spans="1:7" s="172" customFormat="1" ht="15" customHeight="1" x14ac:dyDescent="0.25">
      <c r="A74" s="805" t="s">
        <v>12538</v>
      </c>
      <c r="B74" s="805" t="s">
        <v>7122</v>
      </c>
      <c r="C74" s="805" t="s">
        <v>7122</v>
      </c>
      <c r="D74" s="805" t="s">
        <v>7193</v>
      </c>
      <c r="E74" s="805">
        <v>63</v>
      </c>
      <c r="F74" s="805">
        <v>19</v>
      </c>
      <c r="G74" s="202" t="str">
        <f t="shared" si="1"/>
        <v/>
      </c>
    </row>
    <row r="75" spans="1:7" s="172" customFormat="1" ht="15" customHeight="1" x14ac:dyDescent="0.25">
      <c r="A75" s="805" t="s">
        <v>4924</v>
      </c>
      <c r="B75" s="805" t="s">
        <v>7122</v>
      </c>
      <c r="C75" s="805" t="s">
        <v>7122</v>
      </c>
      <c r="D75" s="805" t="s">
        <v>7194</v>
      </c>
      <c r="E75" s="805">
        <v>160</v>
      </c>
      <c r="F75" s="805">
        <v>63</v>
      </c>
      <c r="G75" s="202" t="str">
        <f t="shared" si="1"/>
        <v/>
      </c>
    </row>
    <row r="76" spans="1:7" s="172" customFormat="1" ht="15" customHeight="1" x14ac:dyDescent="0.25">
      <c r="A76" s="805" t="s">
        <v>12539</v>
      </c>
      <c r="B76" s="805" t="s">
        <v>7122</v>
      </c>
      <c r="C76" s="805" t="s">
        <v>7122</v>
      </c>
      <c r="D76" s="805" t="s">
        <v>7195</v>
      </c>
      <c r="E76" s="805">
        <v>20</v>
      </c>
      <c r="F76" s="805">
        <v>21</v>
      </c>
      <c r="G76" s="202" t="str">
        <f t="shared" si="1"/>
        <v/>
      </c>
    </row>
    <row r="77" spans="1:7" s="172" customFormat="1" ht="15" customHeight="1" x14ac:dyDescent="0.25">
      <c r="A77" s="805" t="s">
        <v>12540</v>
      </c>
      <c r="B77" s="805" t="s">
        <v>7122</v>
      </c>
      <c r="C77" s="805" t="s">
        <v>7122</v>
      </c>
      <c r="D77" s="805" t="s">
        <v>7196</v>
      </c>
      <c r="E77" s="805">
        <v>10</v>
      </c>
      <c r="F77" s="805">
        <v>0</v>
      </c>
      <c r="G77" s="202" t="str">
        <f t="shared" si="1"/>
        <v/>
      </c>
    </row>
    <row r="78" spans="1:7" s="172" customFormat="1" ht="15" customHeight="1" x14ac:dyDescent="0.25">
      <c r="A78" s="805" t="s">
        <v>12541</v>
      </c>
      <c r="B78" s="805" t="s">
        <v>7122</v>
      </c>
      <c r="C78" s="805" t="s">
        <v>7122</v>
      </c>
      <c r="D78" s="805" t="s">
        <v>7197</v>
      </c>
      <c r="E78" s="805">
        <v>63</v>
      </c>
      <c r="F78" s="805">
        <v>24</v>
      </c>
      <c r="G78" s="202" t="str">
        <f t="shared" si="1"/>
        <v/>
      </c>
    </row>
    <row r="79" spans="1:7" s="172" customFormat="1" ht="15" customHeight="1" x14ac:dyDescent="0.25">
      <c r="A79" s="805" t="s">
        <v>12541</v>
      </c>
      <c r="B79" s="805" t="s">
        <v>7122</v>
      </c>
      <c r="C79" s="805" t="s">
        <v>7122</v>
      </c>
      <c r="D79" s="805" t="s">
        <v>7198</v>
      </c>
      <c r="E79" s="805">
        <v>100</v>
      </c>
      <c r="F79" s="805">
        <v>38</v>
      </c>
      <c r="G79" s="202" t="str">
        <f t="shared" si="1"/>
        <v/>
      </c>
    </row>
    <row r="80" spans="1:7" s="172" customFormat="1" ht="15" customHeight="1" x14ac:dyDescent="0.25">
      <c r="A80" s="805" t="s">
        <v>12541</v>
      </c>
      <c r="B80" s="805" t="s">
        <v>7122</v>
      </c>
      <c r="C80" s="805" t="s">
        <v>7122</v>
      </c>
      <c r="D80" s="805" t="s">
        <v>7199</v>
      </c>
      <c r="E80" s="805">
        <v>160</v>
      </c>
      <c r="F80" s="805">
        <v>62</v>
      </c>
      <c r="G80" s="202" t="str">
        <f t="shared" si="1"/>
        <v/>
      </c>
    </row>
    <row r="81" spans="1:7" s="172" customFormat="1" ht="15" customHeight="1" x14ac:dyDescent="0.25">
      <c r="A81" s="805" t="s">
        <v>12542</v>
      </c>
      <c r="B81" s="805" t="s">
        <v>7122</v>
      </c>
      <c r="C81" s="805" t="s">
        <v>7122</v>
      </c>
      <c r="D81" s="805" t="s">
        <v>7200</v>
      </c>
      <c r="E81" s="805">
        <v>250</v>
      </c>
      <c r="F81" s="805">
        <v>74</v>
      </c>
      <c r="G81" s="202" t="str">
        <f t="shared" si="1"/>
        <v/>
      </c>
    </row>
    <row r="82" spans="1:7" s="172" customFormat="1" ht="15" customHeight="1" x14ac:dyDescent="0.25">
      <c r="A82" s="805" t="s">
        <v>12543</v>
      </c>
      <c r="B82" s="805" t="s">
        <v>7122</v>
      </c>
      <c r="C82" s="805" t="s">
        <v>7122</v>
      </c>
      <c r="D82" s="805" t="s">
        <v>7201</v>
      </c>
      <c r="E82" s="805">
        <v>100</v>
      </c>
      <c r="F82" s="805">
        <v>43</v>
      </c>
      <c r="G82" s="202" t="str">
        <f t="shared" si="1"/>
        <v/>
      </c>
    </row>
    <row r="83" spans="1:7" s="172" customFormat="1" ht="15" customHeight="1" x14ac:dyDescent="0.25">
      <c r="A83" s="805" t="s">
        <v>12544</v>
      </c>
      <c r="B83" s="805" t="s">
        <v>7122</v>
      </c>
      <c r="C83" s="805" t="s">
        <v>7122</v>
      </c>
      <c r="D83" s="805" t="s">
        <v>7202</v>
      </c>
      <c r="E83" s="805">
        <v>63</v>
      </c>
      <c r="F83" s="805">
        <v>18</v>
      </c>
      <c r="G83" s="202" t="str">
        <f t="shared" si="1"/>
        <v/>
      </c>
    </row>
    <row r="84" spans="1:7" s="172" customFormat="1" ht="15" customHeight="1" x14ac:dyDescent="0.25">
      <c r="A84" s="805" t="s">
        <v>4913</v>
      </c>
      <c r="B84" s="805" t="s">
        <v>7122</v>
      </c>
      <c r="C84" s="805" t="s">
        <v>7122</v>
      </c>
      <c r="D84" s="805" t="s">
        <v>7203</v>
      </c>
      <c r="E84" s="805">
        <v>10</v>
      </c>
      <c r="F84" s="805">
        <v>4</v>
      </c>
      <c r="G84" s="202" t="str">
        <f t="shared" si="1"/>
        <v/>
      </c>
    </row>
    <row r="85" spans="1:7" s="172" customFormat="1" ht="15" customHeight="1" x14ac:dyDescent="0.25">
      <c r="A85" s="805" t="s">
        <v>6120</v>
      </c>
      <c r="B85" s="805" t="s">
        <v>7122</v>
      </c>
      <c r="C85" s="805" t="s">
        <v>7122</v>
      </c>
      <c r="D85" s="805" t="s">
        <v>7204</v>
      </c>
      <c r="E85" s="805">
        <v>35</v>
      </c>
      <c r="F85" s="805">
        <v>15</v>
      </c>
      <c r="G85" s="202" t="str">
        <f t="shared" si="1"/>
        <v/>
      </c>
    </row>
    <row r="86" spans="1:7" s="172" customFormat="1" ht="15" customHeight="1" x14ac:dyDescent="0.25">
      <c r="A86" s="805" t="s">
        <v>12545</v>
      </c>
      <c r="B86" s="805" t="s">
        <v>7122</v>
      </c>
      <c r="C86" s="805" t="s">
        <v>7122</v>
      </c>
      <c r="D86" s="805" t="s">
        <v>7205</v>
      </c>
      <c r="E86" s="805">
        <v>30</v>
      </c>
      <c r="F86" s="805">
        <v>15</v>
      </c>
      <c r="G86" s="202" t="str">
        <f t="shared" si="1"/>
        <v/>
      </c>
    </row>
    <row r="87" spans="1:7" s="172" customFormat="1" ht="15" customHeight="1" x14ac:dyDescent="0.25">
      <c r="A87" s="805" t="s">
        <v>12546</v>
      </c>
      <c r="B87" s="805" t="s">
        <v>7122</v>
      </c>
      <c r="C87" s="805" t="s">
        <v>7122</v>
      </c>
      <c r="D87" s="805" t="s">
        <v>7206</v>
      </c>
      <c r="E87" s="805">
        <v>250</v>
      </c>
      <c r="F87" s="805">
        <v>128</v>
      </c>
      <c r="G87" s="202" t="str">
        <f t="shared" si="1"/>
        <v/>
      </c>
    </row>
    <row r="88" spans="1:7" s="172" customFormat="1" ht="15" customHeight="1" x14ac:dyDescent="0.25">
      <c r="A88" s="805" t="s">
        <v>2804</v>
      </c>
      <c r="B88" s="805" t="s">
        <v>7122</v>
      </c>
      <c r="C88" s="805" t="s">
        <v>7122</v>
      </c>
      <c r="D88" s="805" t="s">
        <v>7207</v>
      </c>
      <c r="E88" s="805">
        <v>30</v>
      </c>
      <c r="F88" s="805">
        <v>0</v>
      </c>
      <c r="G88" s="202" t="str">
        <f t="shared" si="1"/>
        <v/>
      </c>
    </row>
    <row r="89" spans="1:7" s="172" customFormat="1" ht="15" customHeight="1" x14ac:dyDescent="0.25">
      <c r="A89" s="805" t="s">
        <v>2791</v>
      </c>
      <c r="B89" s="805" t="s">
        <v>7122</v>
      </c>
      <c r="C89" s="805" t="s">
        <v>7122</v>
      </c>
      <c r="D89" s="805" t="s">
        <v>7208</v>
      </c>
      <c r="E89" s="805">
        <v>60</v>
      </c>
      <c r="F89" s="805">
        <v>29</v>
      </c>
      <c r="G89" s="202" t="str">
        <f t="shared" si="1"/>
        <v/>
      </c>
    </row>
    <row r="90" spans="1:7" s="172" customFormat="1" ht="15" customHeight="1" x14ac:dyDescent="0.25">
      <c r="A90" s="805" t="s">
        <v>12547</v>
      </c>
      <c r="B90" s="805" t="s">
        <v>7122</v>
      </c>
      <c r="C90" s="805" t="s">
        <v>7122</v>
      </c>
      <c r="D90" s="805" t="s">
        <v>7209</v>
      </c>
      <c r="E90" s="805">
        <v>100</v>
      </c>
      <c r="F90" s="805">
        <v>34</v>
      </c>
      <c r="G90" s="202" t="str">
        <f t="shared" si="1"/>
        <v/>
      </c>
    </row>
    <row r="91" spans="1:7" s="172" customFormat="1" ht="15" customHeight="1" x14ac:dyDescent="0.25">
      <c r="A91" s="805" t="s">
        <v>7768</v>
      </c>
      <c r="B91" s="805" t="s">
        <v>7122</v>
      </c>
      <c r="C91" s="805" t="s">
        <v>7122</v>
      </c>
      <c r="D91" s="805" t="s">
        <v>7210</v>
      </c>
      <c r="E91" s="805">
        <v>63</v>
      </c>
      <c r="F91" s="805">
        <v>24</v>
      </c>
      <c r="G91" s="202" t="str">
        <f t="shared" si="1"/>
        <v/>
      </c>
    </row>
    <row r="92" spans="1:7" s="172" customFormat="1" ht="15" customHeight="1" x14ac:dyDescent="0.25">
      <c r="A92" s="805" t="s">
        <v>7768</v>
      </c>
      <c r="B92" s="805" t="s">
        <v>7122</v>
      </c>
      <c r="C92" s="805" t="s">
        <v>7122</v>
      </c>
      <c r="D92" s="805" t="s">
        <v>7211</v>
      </c>
      <c r="E92" s="805">
        <v>100</v>
      </c>
      <c r="F92" s="805">
        <v>19</v>
      </c>
      <c r="G92" s="202" t="str">
        <f t="shared" si="1"/>
        <v/>
      </c>
    </row>
    <row r="93" spans="1:7" s="172" customFormat="1" ht="15" customHeight="1" x14ac:dyDescent="0.25">
      <c r="A93" s="805" t="s">
        <v>12525</v>
      </c>
      <c r="B93" s="805" t="s">
        <v>7122</v>
      </c>
      <c r="C93" s="805" t="s">
        <v>7122</v>
      </c>
      <c r="D93" s="805" t="s">
        <v>7212</v>
      </c>
      <c r="E93" s="805">
        <v>25</v>
      </c>
      <c r="F93" s="805">
        <v>0</v>
      </c>
      <c r="G93" s="202" t="str">
        <f t="shared" si="1"/>
        <v/>
      </c>
    </row>
    <row r="94" spans="1:7" s="172" customFormat="1" ht="15" customHeight="1" x14ac:dyDescent="0.25">
      <c r="A94" s="805" t="s">
        <v>7667</v>
      </c>
      <c r="B94" s="805" t="s">
        <v>7122</v>
      </c>
      <c r="C94" s="805" t="s">
        <v>7122</v>
      </c>
      <c r="D94" s="805" t="s">
        <v>7213</v>
      </c>
      <c r="E94" s="805">
        <v>100</v>
      </c>
      <c r="F94" s="805">
        <v>42</v>
      </c>
      <c r="G94" s="202" t="str">
        <f t="shared" si="1"/>
        <v/>
      </c>
    </row>
    <row r="95" spans="1:7" s="172" customFormat="1" ht="15" customHeight="1" x14ac:dyDescent="0.25">
      <c r="A95" s="805" t="s">
        <v>7667</v>
      </c>
      <c r="B95" s="805" t="s">
        <v>7122</v>
      </c>
      <c r="C95" s="805" t="s">
        <v>7122</v>
      </c>
      <c r="D95" s="805" t="s">
        <v>7214</v>
      </c>
      <c r="E95" s="805">
        <v>250</v>
      </c>
      <c r="F95" s="805">
        <v>109</v>
      </c>
      <c r="G95" s="202" t="str">
        <f t="shared" si="1"/>
        <v/>
      </c>
    </row>
    <row r="96" spans="1:7" s="172" customFormat="1" ht="15" customHeight="1" x14ac:dyDescent="0.25">
      <c r="A96" s="805" t="s">
        <v>12548</v>
      </c>
      <c r="B96" s="805" t="s">
        <v>7122</v>
      </c>
      <c r="C96" s="805" t="s">
        <v>7122</v>
      </c>
      <c r="D96" s="805" t="s">
        <v>7215</v>
      </c>
      <c r="E96" s="805">
        <v>30</v>
      </c>
      <c r="F96" s="805">
        <v>10</v>
      </c>
      <c r="G96" s="202" t="str">
        <f t="shared" si="1"/>
        <v/>
      </c>
    </row>
    <row r="97" spans="1:7" s="172" customFormat="1" ht="15" customHeight="1" x14ac:dyDescent="0.25">
      <c r="A97" s="805" t="s">
        <v>12548</v>
      </c>
      <c r="B97" s="805" t="s">
        <v>7122</v>
      </c>
      <c r="C97" s="805" t="s">
        <v>7122</v>
      </c>
      <c r="D97" s="805" t="s">
        <v>7216</v>
      </c>
      <c r="E97" s="805">
        <v>100</v>
      </c>
      <c r="F97" s="805">
        <v>41</v>
      </c>
      <c r="G97" s="202" t="str">
        <f t="shared" si="1"/>
        <v/>
      </c>
    </row>
    <row r="98" spans="1:7" s="172" customFormat="1" ht="15" customHeight="1" x14ac:dyDescent="0.25">
      <c r="A98" s="805" t="s">
        <v>12549</v>
      </c>
      <c r="B98" s="805" t="s">
        <v>7122</v>
      </c>
      <c r="C98" s="805" t="s">
        <v>7122</v>
      </c>
      <c r="D98" s="805" t="s">
        <v>7217</v>
      </c>
      <c r="E98" s="805">
        <v>63</v>
      </c>
      <c r="F98" s="805">
        <v>27</v>
      </c>
      <c r="G98" s="202" t="str">
        <f t="shared" si="1"/>
        <v/>
      </c>
    </row>
    <row r="99" spans="1:7" s="172" customFormat="1" ht="15" customHeight="1" x14ac:dyDescent="0.25">
      <c r="A99" s="805" t="s">
        <v>12550</v>
      </c>
      <c r="B99" s="805" t="s">
        <v>7122</v>
      </c>
      <c r="C99" s="805" t="s">
        <v>7122</v>
      </c>
      <c r="D99" s="805" t="s">
        <v>7218</v>
      </c>
      <c r="E99" s="805">
        <v>50</v>
      </c>
      <c r="F99" s="805">
        <v>15</v>
      </c>
      <c r="G99" s="202" t="str">
        <f t="shared" si="1"/>
        <v/>
      </c>
    </row>
    <row r="100" spans="1:7" s="172" customFormat="1" ht="15" customHeight="1" x14ac:dyDescent="0.25">
      <c r="A100" s="805" t="s">
        <v>12551</v>
      </c>
      <c r="B100" s="805" t="s">
        <v>7122</v>
      </c>
      <c r="C100" s="805" t="s">
        <v>7122</v>
      </c>
      <c r="D100" s="805" t="s">
        <v>7219</v>
      </c>
      <c r="E100" s="805">
        <v>30</v>
      </c>
      <c r="F100" s="805">
        <v>0</v>
      </c>
      <c r="G100" s="202" t="str">
        <f t="shared" si="1"/>
        <v/>
      </c>
    </row>
    <row r="101" spans="1:7" s="172" customFormat="1" ht="15" customHeight="1" x14ac:dyDescent="0.25">
      <c r="A101" s="805" t="s">
        <v>12552</v>
      </c>
      <c r="B101" s="805" t="s">
        <v>7122</v>
      </c>
      <c r="C101" s="805" t="s">
        <v>7122</v>
      </c>
      <c r="D101" s="805" t="s">
        <v>7220</v>
      </c>
      <c r="E101" s="805">
        <v>30</v>
      </c>
      <c r="F101" s="805">
        <v>5</v>
      </c>
      <c r="G101" s="202" t="str">
        <f t="shared" si="1"/>
        <v/>
      </c>
    </row>
    <row r="102" spans="1:7" s="172" customFormat="1" ht="15" customHeight="1" x14ac:dyDescent="0.25">
      <c r="A102" s="805" t="s">
        <v>12553</v>
      </c>
      <c r="B102" s="805" t="s">
        <v>7122</v>
      </c>
      <c r="C102" s="805" t="s">
        <v>7122</v>
      </c>
      <c r="D102" s="805" t="s">
        <v>7221</v>
      </c>
      <c r="E102" s="805">
        <v>100</v>
      </c>
      <c r="F102" s="805">
        <v>0</v>
      </c>
      <c r="G102" s="202" t="str">
        <f t="shared" si="1"/>
        <v/>
      </c>
    </row>
    <row r="103" spans="1:7" s="172" customFormat="1" ht="15" customHeight="1" x14ac:dyDescent="0.25">
      <c r="A103" s="805" t="s">
        <v>12554</v>
      </c>
      <c r="B103" s="805" t="s">
        <v>7122</v>
      </c>
      <c r="C103" s="805" t="s">
        <v>7122</v>
      </c>
      <c r="D103" s="805" t="s">
        <v>7222</v>
      </c>
      <c r="E103" s="805">
        <v>250</v>
      </c>
      <c r="F103" s="805">
        <v>108</v>
      </c>
      <c r="G103" s="202" t="str">
        <f t="shared" si="1"/>
        <v/>
      </c>
    </row>
    <row r="104" spans="1:7" s="172" customFormat="1" ht="15" customHeight="1" x14ac:dyDescent="0.25">
      <c r="A104" s="805" t="s">
        <v>3557</v>
      </c>
      <c r="B104" s="805" t="s">
        <v>7122</v>
      </c>
      <c r="C104" s="805" t="s">
        <v>7122</v>
      </c>
      <c r="D104" s="805" t="s">
        <v>7177</v>
      </c>
      <c r="E104" s="805">
        <v>50</v>
      </c>
      <c r="F104" s="805">
        <v>10</v>
      </c>
      <c r="G104" s="202" t="str">
        <f t="shared" si="1"/>
        <v/>
      </c>
    </row>
    <row r="105" spans="1:7" s="172" customFormat="1" ht="15" customHeight="1" x14ac:dyDescent="0.25">
      <c r="A105" s="805" t="s">
        <v>12555</v>
      </c>
      <c r="B105" s="805" t="s">
        <v>7122</v>
      </c>
      <c r="C105" s="805" t="s">
        <v>7122</v>
      </c>
      <c r="D105" s="805" t="s">
        <v>7223</v>
      </c>
      <c r="E105" s="805">
        <v>250</v>
      </c>
      <c r="F105" s="805">
        <v>131</v>
      </c>
      <c r="G105" s="202" t="str">
        <f t="shared" si="1"/>
        <v/>
      </c>
    </row>
    <row r="106" spans="1:7" s="172" customFormat="1" ht="15" customHeight="1" x14ac:dyDescent="0.25">
      <c r="A106" s="805" t="s">
        <v>12556</v>
      </c>
      <c r="B106" s="805" t="s">
        <v>7122</v>
      </c>
      <c r="C106" s="805" t="s">
        <v>7122</v>
      </c>
      <c r="D106" s="805" t="s">
        <v>7224</v>
      </c>
      <c r="E106" s="805">
        <v>160</v>
      </c>
      <c r="F106" s="805">
        <v>64</v>
      </c>
      <c r="G106" s="202" t="str">
        <f t="shared" si="1"/>
        <v/>
      </c>
    </row>
    <row r="107" spans="1:7" s="172" customFormat="1" ht="15" customHeight="1" x14ac:dyDescent="0.25">
      <c r="A107" s="805" t="s">
        <v>12556</v>
      </c>
      <c r="B107" s="805" t="s">
        <v>7122</v>
      </c>
      <c r="C107" s="805" t="s">
        <v>7122</v>
      </c>
      <c r="D107" s="805" t="s">
        <v>7225</v>
      </c>
      <c r="E107" s="805">
        <v>160</v>
      </c>
      <c r="F107" s="805">
        <v>68</v>
      </c>
      <c r="G107" s="202" t="str">
        <f t="shared" si="1"/>
        <v/>
      </c>
    </row>
    <row r="108" spans="1:7" s="172" customFormat="1" ht="15" customHeight="1" x14ac:dyDescent="0.25">
      <c r="A108" s="805" t="s">
        <v>12557</v>
      </c>
      <c r="B108" s="805" t="s">
        <v>7122</v>
      </c>
      <c r="C108" s="805" t="s">
        <v>7122</v>
      </c>
      <c r="D108" s="805" t="s">
        <v>7226</v>
      </c>
      <c r="E108" s="805">
        <v>40</v>
      </c>
      <c r="F108" s="805">
        <v>15</v>
      </c>
      <c r="G108" s="202" t="str">
        <f t="shared" si="1"/>
        <v/>
      </c>
    </row>
    <row r="109" spans="1:7" s="172" customFormat="1" ht="15" customHeight="1" x14ac:dyDescent="0.25">
      <c r="A109" s="805" t="s">
        <v>12558</v>
      </c>
      <c r="B109" s="805" t="s">
        <v>7122</v>
      </c>
      <c r="C109" s="805" t="s">
        <v>7122</v>
      </c>
      <c r="D109" s="805" t="s">
        <v>7227</v>
      </c>
      <c r="E109" s="805">
        <v>40</v>
      </c>
      <c r="F109" s="805">
        <v>5</v>
      </c>
      <c r="G109" s="202" t="str">
        <f t="shared" si="1"/>
        <v/>
      </c>
    </row>
    <row r="110" spans="1:7" s="172" customFormat="1" ht="15" customHeight="1" x14ac:dyDescent="0.25">
      <c r="A110" s="805" t="s">
        <v>12559</v>
      </c>
      <c r="B110" s="805" t="s">
        <v>7122</v>
      </c>
      <c r="C110" s="805" t="s">
        <v>7122</v>
      </c>
      <c r="D110" s="805" t="s">
        <v>7228</v>
      </c>
      <c r="E110" s="805">
        <v>10</v>
      </c>
      <c r="F110" s="805">
        <v>0</v>
      </c>
      <c r="G110" s="202" t="str">
        <f t="shared" si="1"/>
        <v/>
      </c>
    </row>
    <row r="111" spans="1:7" s="172" customFormat="1" ht="15" customHeight="1" x14ac:dyDescent="0.25">
      <c r="A111" s="805" t="s">
        <v>12303</v>
      </c>
      <c r="B111" s="805" t="s">
        <v>7122</v>
      </c>
      <c r="C111" s="805" t="s">
        <v>7122</v>
      </c>
      <c r="D111" s="805" t="s">
        <v>7229</v>
      </c>
      <c r="E111" s="805">
        <v>100</v>
      </c>
      <c r="F111" s="805">
        <v>46</v>
      </c>
      <c r="G111" s="202" t="str">
        <f t="shared" si="1"/>
        <v/>
      </c>
    </row>
    <row r="112" spans="1:7" s="172" customFormat="1" ht="15" customHeight="1" x14ac:dyDescent="0.25">
      <c r="A112" s="805" t="s">
        <v>9044</v>
      </c>
      <c r="B112" s="805" t="s">
        <v>7122</v>
      </c>
      <c r="C112" s="805" t="s">
        <v>7122</v>
      </c>
      <c r="D112" s="805" t="s">
        <v>7230</v>
      </c>
      <c r="E112" s="805">
        <v>160</v>
      </c>
      <c r="F112" s="805">
        <v>56</v>
      </c>
      <c r="G112" s="202" t="str">
        <f t="shared" si="1"/>
        <v/>
      </c>
    </row>
    <row r="113" spans="1:7" s="172" customFormat="1" ht="15" customHeight="1" x14ac:dyDescent="0.25">
      <c r="A113" s="805" t="s">
        <v>12560</v>
      </c>
      <c r="B113" s="805" t="s">
        <v>7122</v>
      </c>
      <c r="C113" s="805" t="s">
        <v>7122</v>
      </c>
      <c r="D113" s="805" t="s">
        <v>7231</v>
      </c>
      <c r="E113" s="805">
        <v>160</v>
      </c>
      <c r="F113" s="805">
        <v>74</v>
      </c>
      <c r="G113" s="202" t="str">
        <f t="shared" si="1"/>
        <v/>
      </c>
    </row>
    <row r="114" spans="1:7" s="172" customFormat="1" ht="15" customHeight="1" x14ac:dyDescent="0.25">
      <c r="A114" s="805" t="s">
        <v>2772</v>
      </c>
      <c r="B114" s="805" t="s">
        <v>7122</v>
      </c>
      <c r="C114" s="805" t="s">
        <v>7122</v>
      </c>
      <c r="D114" s="805" t="s">
        <v>7232</v>
      </c>
      <c r="E114" s="805">
        <v>25</v>
      </c>
      <c r="F114" s="805">
        <v>5</v>
      </c>
      <c r="G114" s="202" t="str">
        <f t="shared" si="1"/>
        <v/>
      </c>
    </row>
    <row r="115" spans="1:7" s="172" customFormat="1" ht="15" customHeight="1" x14ac:dyDescent="0.25">
      <c r="A115" s="805" t="s">
        <v>12561</v>
      </c>
      <c r="B115" s="805" t="s">
        <v>7122</v>
      </c>
      <c r="C115" s="805" t="s">
        <v>7122</v>
      </c>
      <c r="D115" s="805" t="s">
        <v>7233</v>
      </c>
      <c r="E115" s="805">
        <v>160</v>
      </c>
      <c r="F115" s="805">
        <v>81</v>
      </c>
      <c r="G115" s="202" t="str">
        <f t="shared" si="1"/>
        <v/>
      </c>
    </row>
    <row r="116" spans="1:7" s="172" customFormat="1" ht="15" customHeight="1" x14ac:dyDescent="0.25">
      <c r="A116" s="805" t="s">
        <v>12561</v>
      </c>
      <c r="B116" s="805" t="s">
        <v>7122</v>
      </c>
      <c r="C116" s="805" t="s">
        <v>7122</v>
      </c>
      <c r="D116" s="805" t="s">
        <v>7234</v>
      </c>
      <c r="E116" s="805">
        <v>160</v>
      </c>
      <c r="F116" s="805">
        <v>72</v>
      </c>
      <c r="G116" s="202" t="str">
        <f t="shared" si="1"/>
        <v/>
      </c>
    </row>
    <row r="117" spans="1:7" s="172" customFormat="1" ht="15" customHeight="1" x14ac:dyDescent="0.25">
      <c r="A117" s="805" t="s">
        <v>12561</v>
      </c>
      <c r="B117" s="805" t="s">
        <v>7122</v>
      </c>
      <c r="C117" s="805" t="s">
        <v>7122</v>
      </c>
      <c r="D117" s="805" t="s">
        <v>7235</v>
      </c>
      <c r="E117" s="805">
        <v>160</v>
      </c>
      <c r="F117" s="805">
        <v>78</v>
      </c>
      <c r="G117" s="202" t="str">
        <f t="shared" si="1"/>
        <v/>
      </c>
    </row>
    <row r="118" spans="1:7" s="172" customFormat="1" ht="15" customHeight="1" x14ac:dyDescent="0.25">
      <c r="A118" s="805" t="s">
        <v>6379</v>
      </c>
      <c r="B118" s="805" t="s">
        <v>7122</v>
      </c>
      <c r="C118" s="805" t="s">
        <v>7122</v>
      </c>
      <c r="D118" s="805" t="s">
        <v>7236</v>
      </c>
      <c r="E118" s="805">
        <v>100</v>
      </c>
      <c r="F118" s="805">
        <v>49</v>
      </c>
      <c r="G118" s="202" t="str">
        <f t="shared" si="1"/>
        <v/>
      </c>
    </row>
    <row r="119" spans="1:7" s="172" customFormat="1" ht="15" customHeight="1" x14ac:dyDescent="0.25">
      <c r="A119" s="805" t="s">
        <v>6379</v>
      </c>
      <c r="B119" s="805" t="s">
        <v>7122</v>
      </c>
      <c r="C119" s="805" t="s">
        <v>7122</v>
      </c>
      <c r="D119" s="805" t="s">
        <v>7237</v>
      </c>
      <c r="E119" s="805">
        <v>100</v>
      </c>
      <c r="F119" s="805">
        <v>43</v>
      </c>
      <c r="G119" s="202" t="str">
        <f t="shared" si="1"/>
        <v/>
      </c>
    </row>
    <row r="120" spans="1:7" s="172" customFormat="1" ht="15" customHeight="1" x14ac:dyDescent="0.25">
      <c r="A120" s="805" t="s">
        <v>5123</v>
      </c>
      <c r="B120" s="805" t="s">
        <v>7122</v>
      </c>
      <c r="C120" s="805" t="s">
        <v>7122</v>
      </c>
      <c r="D120" s="805" t="s">
        <v>7238</v>
      </c>
      <c r="E120" s="805">
        <v>4</v>
      </c>
      <c r="F120" s="805">
        <v>0</v>
      </c>
      <c r="G120" s="202" t="str">
        <f t="shared" si="1"/>
        <v/>
      </c>
    </row>
    <row r="121" spans="1:7" s="172" customFormat="1" ht="15" customHeight="1" x14ac:dyDescent="0.25">
      <c r="A121" s="805" t="s">
        <v>12562</v>
      </c>
      <c r="B121" s="805" t="s">
        <v>7122</v>
      </c>
      <c r="C121" s="805" t="s">
        <v>7122</v>
      </c>
      <c r="D121" s="805" t="s">
        <v>7239</v>
      </c>
      <c r="E121" s="805">
        <v>100</v>
      </c>
      <c r="F121" s="805">
        <v>39</v>
      </c>
      <c r="G121" s="202" t="str">
        <f t="shared" si="1"/>
        <v/>
      </c>
    </row>
    <row r="122" spans="1:7" s="172" customFormat="1" ht="15" customHeight="1" x14ac:dyDescent="0.25">
      <c r="A122" s="805" t="s">
        <v>12563</v>
      </c>
      <c r="B122" s="805" t="s">
        <v>7122</v>
      </c>
      <c r="C122" s="805" t="s">
        <v>7122</v>
      </c>
      <c r="D122" s="805" t="s">
        <v>7240</v>
      </c>
      <c r="E122" s="805">
        <v>4</v>
      </c>
      <c r="F122" s="805">
        <v>0</v>
      </c>
      <c r="G122" s="202" t="str">
        <f t="shared" si="1"/>
        <v/>
      </c>
    </row>
    <row r="123" spans="1:7" s="172" customFormat="1" ht="15" customHeight="1" x14ac:dyDescent="0.25">
      <c r="A123" s="805" t="s">
        <v>12564</v>
      </c>
      <c r="B123" s="805" t="s">
        <v>7122</v>
      </c>
      <c r="C123" s="805" t="s">
        <v>7122</v>
      </c>
      <c r="D123" s="805" t="s">
        <v>7241</v>
      </c>
      <c r="E123" s="805">
        <v>100</v>
      </c>
      <c r="F123" s="805">
        <v>124</v>
      </c>
      <c r="G123" s="202" t="str">
        <f t="shared" si="1"/>
        <v/>
      </c>
    </row>
    <row r="124" spans="1:7" s="172" customFormat="1" ht="15" customHeight="1" x14ac:dyDescent="0.25">
      <c r="A124" s="805" t="s">
        <v>12565</v>
      </c>
      <c r="B124" s="805" t="s">
        <v>7122</v>
      </c>
      <c r="C124" s="805" t="s">
        <v>7122</v>
      </c>
      <c r="D124" s="805" t="s">
        <v>7242</v>
      </c>
      <c r="E124" s="805">
        <v>100</v>
      </c>
      <c r="F124" s="805">
        <v>47</v>
      </c>
      <c r="G124" s="202" t="str">
        <f t="shared" si="1"/>
        <v/>
      </c>
    </row>
    <row r="125" spans="1:7" s="172" customFormat="1" ht="15" customHeight="1" x14ac:dyDescent="0.25">
      <c r="A125" s="805" t="s">
        <v>12566</v>
      </c>
      <c r="B125" s="805" t="s">
        <v>7122</v>
      </c>
      <c r="C125" s="805" t="s">
        <v>7122</v>
      </c>
      <c r="D125" s="805" t="s">
        <v>7243</v>
      </c>
      <c r="E125" s="805">
        <v>4</v>
      </c>
      <c r="F125" s="805">
        <v>0</v>
      </c>
      <c r="G125" s="202" t="str">
        <f t="shared" si="1"/>
        <v/>
      </c>
    </row>
    <row r="126" spans="1:7" s="172" customFormat="1" ht="15" customHeight="1" x14ac:dyDescent="0.25">
      <c r="A126" s="805" t="s">
        <v>12567</v>
      </c>
      <c r="B126" s="805" t="s">
        <v>7122</v>
      </c>
      <c r="C126" s="805" t="s">
        <v>7122</v>
      </c>
      <c r="D126" s="805" t="s">
        <v>7244</v>
      </c>
      <c r="E126" s="805">
        <v>20</v>
      </c>
      <c r="F126" s="805">
        <v>5</v>
      </c>
      <c r="G126" s="202" t="str">
        <f t="shared" si="1"/>
        <v/>
      </c>
    </row>
    <row r="127" spans="1:7" s="172" customFormat="1" ht="15" customHeight="1" x14ac:dyDescent="0.25">
      <c r="A127" s="805" t="s">
        <v>12568</v>
      </c>
      <c r="B127" s="805" t="s">
        <v>7122</v>
      </c>
      <c r="C127" s="805" t="s">
        <v>7122</v>
      </c>
      <c r="D127" s="805" t="s">
        <v>7245</v>
      </c>
      <c r="E127" s="805">
        <v>60</v>
      </c>
      <c r="F127" s="805">
        <v>10</v>
      </c>
      <c r="G127" s="202" t="str">
        <f t="shared" si="1"/>
        <v/>
      </c>
    </row>
    <row r="128" spans="1:7" s="172" customFormat="1" ht="15" customHeight="1" x14ac:dyDescent="0.25">
      <c r="A128" s="805" t="s">
        <v>12569</v>
      </c>
      <c r="B128" s="805" t="s">
        <v>7122</v>
      </c>
      <c r="C128" s="805" t="s">
        <v>7122</v>
      </c>
      <c r="D128" s="805" t="s">
        <v>7246</v>
      </c>
      <c r="E128" s="805">
        <v>160</v>
      </c>
      <c r="F128" s="805">
        <v>47</v>
      </c>
      <c r="G128" s="202" t="str">
        <f t="shared" si="1"/>
        <v/>
      </c>
    </row>
    <row r="129" spans="1:8" s="172" customFormat="1" ht="15" customHeight="1" x14ac:dyDescent="0.25">
      <c r="A129" s="805" t="s">
        <v>12569</v>
      </c>
      <c r="B129" s="805" t="s">
        <v>7122</v>
      </c>
      <c r="C129" s="805" t="s">
        <v>7122</v>
      </c>
      <c r="D129" s="805" t="s">
        <v>7247</v>
      </c>
      <c r="E129" s="805">
        <v>630</v>
      </c>
      <c r="F129" s="805">
        <v>390</v>
      </c>
      <c r="G129" s="202" t="str">
        <f t="shared" si="1"/>
        <v/>
      </c>
    </row>
    <row r="130" spans="1:8" s="172" customFormat="1" ht="15" customHeight="1" x14ac:dyDescent="0.25">
      <c r="A130" s="805" t="s">
        <v>12570</v>
      </c>
      <c r="B130" s="805" t="s">
        <v>7122</v>
      </c>
      <c r="C130" s="805" t="s">
        <v>7122</v>
      </c>
      <c r="D130" s="805" t="s">
        <v>7248</v>
      </c>
      <c r="E130" s="805">
        <v>160</v>
      </c>
      <c r="F130" s="805">
        <v>84</v>
      </c>
      <c r="G130" s="202" t="str">
        <f t="shared" si="1"/>
        <v/>
      </c>
    </row>
    <row r="131" spans="1:8" s="172" customFormat="1" ht="15" customHeight="1" x14ac:dyDescent="0.25">
      <c r="A131" s="805" t="s">
        <v>12570</v>
      </c>
      <c r="B131" s="805" t="s">
        <v>7122</v>
      </c>
      <c r="C131" s="805" t="s">
        <v>7122</v>
      </c>
      <c r="D131" s="805" t="s">
        <v>7249</v>
      </c>
      <c r="E131" s="805">
        <v>400</v>
      </c>
      <c r="F131" s="805">
        <v>216</v>
      </c>
      <c r="G131" s="202" t="str">
        <f t="shared" si="1"/>
        <v/>
      </c>
    </row>
    <row r="132" spans="1:8" s="172" customFormat="1" ht="15" customHeight="1" x14ac:dyDescent="0.25">
      <c r="A132" s="805" t="s">
        <v>3023</v>
      </c>
      <c r="B132" s="805" t="s">
        <v>7122</v>
      </c>
      <c r="C132" s="805" t="s">
        <v>7122</v>
      </c>
      <c r="D132" s="805" t="s">
        <v>7250</v>
      </c>
      <c r="E132" s="805">
        <v>160</v>
      </c>
      <c r="F132" s="805">
        <v>74</v>
      </c>
      <c r="G132" s="202" t="str">
        <f t="shared" ref="G132:G195" si="2">IF(E132=F132,"не загружен","")</f>
        <v/>
      </c>
    </row>
    <row r="133" spans="1:8" s="172" customFormat="1" ht="15" customHeight="1" x14ac:dyDescent="0.25">
      <c r="A133" s="805" t="s">
        <v>12303</v>
      </c>
      <c r="B133" s="805" t="s">
        <v>7122</v>
      </c>
      <c r="C133" s="805" t="s">
        <v>7122</v>
      </c>
      <c r="D133" s="805" t="s">
        <v>7229</v>
      </c>
      <c r="E133" s="805">
        <v>60</v>
      </c>
      <c r="F133" s="805">
        <v>18</v>
      </c>
      <c r="G133" s="202" t="str">
        <f t="shared" si="2"/>
        <v/>
      </c>
    </row>
    <row r="134" spans="1:8" s="172" customFormat="1" ht="15" customHeight="1" x14ac:dyDescent="0.25">
      <c r="A134" s="805" t="s">
        <v>12571</v>
      </c>
      <c r="B134" s="805" t="s">
        <v>7122</v>
      </c>
      <c r="C134" s="805" t="s">
        <v>7122</v>
      </c>
      <c r="D134" s="805" t="s">
        <v>7251</v>
      </c>
      <c r="E134" s="805">
        <v>63</v>
      </c>
      <c r="F134" s="805">
        <v>14</v>
      </c>
      <c r="G134" s="202" t="str">
        <f t="shared" si="2"/>
        <v/>
      </c>
    </row>
    <row r="135" spans="1:8" s="172" customFormat="1" ht="15" customHeight="1" x14ac:dyDescent="0.25">
      <c r="A135" s="805" t="s">
        <v>12572</v>
      </c>
      <c r="B135" s="805" t="s">
        <v>7122</v>
      </c>
      <c r="C135" s="805" t="s">
        <v>7122</v>
      </c>
      <c r="D135" s="805" t="s">
        <v>7252</v>
      </c>
      <c r="E135" s="805">
        <v>60</v>
      </c>
      <c r="F135" s="805">
        <v>21</v>
      </c>
      <c r="G135" s="202" t="str">
        <f t="shared" si="2"/>
        <v/>
      </c>
    </row>
    <row r="136" spans="1:8" s="172" customFormat="1" ht="15" customHeight="1" x14ac:dyDescent="0.25">
      <c r="A136" s="805" t="s">
        <v>12573</v>
      </c>
      <c r="B136" s="805" t="s">
        <v>7122</v>
      </c>
      <c r="C136" s="805" t="s">
        <v>7122</v>
      </c>
      <c r="D136" s="805" t="s">
        <v>7253</v>
      </c>
      <c r="E136" s="805">
        <v>10</v>
      </c>
      <c r="F136" s="805">
        <v>0</v>
      </c>
      <c r="G136" s="202" t="str">
        <f t="shared" si="2"/>
        <v/>
      </c>
    </row>
    <row r="137" spans="1:8" s="172" customFormat="1" ht="15" customHeight="1" x14ac:dyDescent="0.25">
      <c r="A137" s="805" t="s">
        <v>10065</v>
      </c>
      <c r="B137" s="805" t="s">
        <v>7122</v>
      </c>
      <c r="C137" s="805" t="s">
        <v>7122</v>
      </c>
      <c r="D137" s="805" t="s">
        <v>7254</v>
      </c>
      <c r="E137" s="805">
        <v>40</v>
      </c>
      <c r="F137" s="805">
        <v>10</v>
      </c>
      <c r="G137" s="202" t="str">
        <f t="shared" si="2"/>
        <v/>
      </c>
    </row>
    <row r="138" spans="1:8" s="172" customFormat="1" ht="15" customHeight="1" x14ac:dyDescent="0.25">
      <c r="A138" s="805" t="s">
        <v>12574</v>
      </c>
      <c r="B138" s="805" t="s">
        <v>7122</v>
      </c>
      <c r="C138" s="805" t="s">
        <v>7122</v>
      </c>
      <c r="D138" s="805" t="s">
        <v>7255</v>
      </c>
      <c r="E138" s="805">
        <v>100</v>
      </c>
      <c r="F138" s="805">
        <v>47</v>
      </c>
      <c r="G138" s="202" t="str">
        <f t="shared" si="2"/>
        <v/>
      </c>
    </row>
    <row r="139" spans="1:8" s="172" customFormat="1" ht="15" customHeight="1" x14ac:dyDescent="0.25">
      <c r="A139" s="805" t="s">
        <v>12575</v>
      </c>
      <c r="B139" s="805" t="s">
        <v>7122</v>
      </c>
      <c r="C139" s="805" t="s">
        <v>7122</v>
      </c>
      <c r="D139" s="805" t="s">
        <v>7256</v>
      </c>
      <c r="E139" s="805">
        <v>10</v>
      </c>
      <c r="F139" s="805">
        <v>0</v>
      </c>
      <c r="G139" s="202" t="str">
        <f t="shared" si="2"/>
        <v/>
      </c>
    </row>
    <row r="140" spans="1:8" s="172" customFormat="1" ht="15" customHeight="1" x14ac:dyDescent="0.25">
      <c r="A140" s="805" t="s">
        <v>12576</v>
      </c>
      <c r="B140" s="805" t="s">
        <v>7122</v>
      </c>
      <c r="C140" s="805" t="s">
        <v>7122</v>
      </c>
      <c r="D140" s="805" t="s">
        <v>7257</v>
      </c>
      <c r="E140" s="805">
        <v>160</v>
      </c>
      <c r="F140" s="805">
        <v>0</v>
      </c>
      <c r="G140" s="202" t="str">
        <f t="shared" si="2"/>
        <v/>
      </c>
    </row>
    <row r="141" spans="1:8" s="172" customFormat="1" ht="15" customHeight="1" x14ac:dyDescent="0.25">
      <c r="A141" s="805" t="s">
        <v>12577</v>
      </c>
      <c r="B141" s="805" t="s">
        <v>7122</v>
      </c>
      <c r="C141" s="805" t="s">
        <v>7122</v>
      </c>
      <c r="D141" s="805" t="s">
        <v>7258</v>
      </c>
      <c r="E141" s="805">
        <v>100</v>
      </c>
      <c r="F141" s="805">
        <v>43</v>
      </c>
      <c r="G141" s="202" t="str">
        <f t="shared" si="2"/>
        <v/>
      </c>
    </row>
    <row r="142" spans="1:8" s="172" customFormat="1" ht="15" customHeight="1" x14ac:dyDescent="0.25">
      <c r="A142" s="805" t="s">
        <v>12577</v>
      </c>
      <c r="B142" s="805" t="s">
        <v>7122</v>
      </c>
      <c r="C142" s="805" t="s">
        <v>7122</v>
      </c>
      <c r="D142" s="805" t="s">
        <v>7259</v>
      </c>
      <c r="E142" s="805">
        <v>160</v>
      </c>
      <c r="F142" s="805">
        <v>76</v>
      </c>
      <c r="G142" s="202" t="str">
        <f t="shared" si="2"/>
        <v/>
      </c>
    </row>
    <row r="143" spans="1:8" s="172" customFormat="1" ht="15" customHeight="1" x14ac:dyDescent="0.25">
      <c r="A143" s="805" t="s">
        <v>12577</v>
      </c>
      <c r="B143" s="805" t="s">
        <v>7122</v>
      </c>
      <c r="C143" s="805" t="s">
        <v>7122</v>
      </c>
      <c r="D143" s="805" t="s">
        <v>7260</v>
      </c>
      <c r="E143" s="805">
        <v>160</v>
      </c>
      <c r="F143" s="805">
        <v>72</v>
      </c>
      <c r="G143" s="202" t="str">
        <f t="shared" si="2"/>
        <v/>
      </c>
      <c r="H143" s="200"/>
    </row>
    <row r="144" spans="1:8" s="172" customFormat="1" ht="15" customHeight="1" x14ac:dyDescent="0.25">
      <c r="A144" s="805" t="s">
        <v>12578</v>
      </c>
      <c r="B144" s="805" t="s">
        <v>7122</v>
      </c>
      <c r="C144" s="805" t="s">
        <v>7122</v>
      </c>
      <c r="D144" s="805" t="s">
        <v>7261</v>
      </c>
      <c r="E144" s="805">
        <v>30</v>
      </c>
      <c r="F144" s="805">
        <v>0</v>
      </c>
      <c r="G144" s="202" t="str">
        <f t="shared" si="2"/>
        <v/>
      </c>
    </row>
    <row r="145" spans="1:7" s="172" customFormat="1" ht="15" customHeight="1" x14ac:dyDescent="0.25">
      <c r="A145" s="805" t="s">
        <v>12579</v>
      </c>
      <c r="B145" s="805" t="s">
        <v>7122</v>
      </c>
      <c r="C145" s="805" t="s">
        <v>7122</v>
      </c>
      <c r="D145" s="805" t="s">
        <v>7262</v>
      </c>
      <c r="E145" s="805">
        <v>30</v>
      </c>
      <c r="F145" s="805">
        <v>10</v>
      </c>
      <c r="G145" s="202" t="str">
        <f t="shared" si="2"/>
        <v/>
      </c>
    </row>
    <row r="146" spans="1:7" s="172" customFormat="1" ht="15" customHeight="1" x14ac:dyDescent="0.25">
      <c r="A146" s="805" t="s">
        <v>12580</v>
      </c>
      <c r="B146" s="805" t="s">
        <v>7122</v>
      </c>
      <c r="C146" s="805" t="s">
        <v>7122</v>
      </c>
      <c r="D146" s="805" t="s">
        <v>7263</v>
      </c>
      <c r="E146" s="805">
        <v>50</v>
      </c>
      <c r="F146" s="805">
        <v>0</v>
      </c>
      <c r="G146" s="202" t="str">
        <f t="shared" si="2"/>
        <v/>
      </c>
    </row>
    <row r="147" spans="1:7" s="172" customFormat="1" ht="15" customHeight="1" x14ac:dyDescent="0.25">
      <c r="A147" s="805" t="s">
        <v>5530</v>
      </c>
      <c r="B147" s="805" t="s">
        <v>7122</v>
      </c>
      <c r="C147" s="805" t="s">
        <v>7122</v>
      </c>
      <c r="D147" s="805" t="s">
        <v>7264</v>
      </c>
      <c r="E147" s="805">
        <v>160</v>
      </c>
      <c r="F147" s="805">
        <v>62</v>
      </c>
      <c r="G147" s="202" t="str">
        <f t="shared" si="2"/>
        <v/>
      </c>
    </row>
    <row r="148" spans="1:7" s="172" customFormat="1" ht="15" customHeight="1" x14ac:dyDescent="0.25">
      <c r="A148" s="805" t="s">
        <v>5530</v>
      </c>
      <c r="B148" s="805" t="s">
        <v>7122</v>
      </c>
      <c r="C148" s="805" t="s">
        <v>7122</v>
      </c>
      <c r="D148" s="805" t="s">
        <v>7265</v>
      </c>
      <c r="E148" s="805">
        <v>250</v>
      </c>
      <c r="F148" s="805">
        <v>147</v>
      </c>
      <c r="G148" s="202" t="str">
        <f t="shared" si="2"/>
        <v/>
      </c>
    </row>
    <row r="149" spans="1:7" s="172" customFormat="1" ht="15" customHeight="1" x14ac:dyDescent="0.25">
      <c r="A149" s="805" t="s">
        <v>5530</v>
      </c>
      <c r="B149" s="805" t="s">
        <v>7122</v>
      </c>
      <c r="C149" s="805" t="s">
        <v>7122</v>
      </c>
      <c r="D149" s="805" t="s">
        <v>7266</v>
      </c>
      <c r="E149" s="805">
        <v>160</v>
      </c>
      <c r="F149" s="805">
        <v>64</v>
      </c>
      <c r="G149" s="202" t="str">
        <f t="shared" si="2"/>
        <v/>
      </c>
    </row>
    <row r="150" spans="1:7" s="172" customFormat="1" ht="15" customHeight="1" x14ac:dyDescent="0.25">
      <c r="A150" s="805" t="s">
        <v>5530</v>
      </c>
      <c r="B150" s="805" t="s">
        <v>7122</v>
      </c>
      <c r="C150" s="805" t="s">
        <v>7122</v>
      </c>
      <c r="D150" s="805" t="s">
        <v>7267</v>
      </c>
      <c r="E150" s="805">
        <v>160</v>
      </c>
      <c r="F150" s="805">
        <v>71</v>
      </c>
      <c r="G150" s="202" t="str">
        <f t="shared" si="2"/>
        <v/>
      </c>
    </row>
    <row r="151" spans="1:7" s="172" customFormat="1" ht="15" customHeight="1" x14ac:dyDescent="0.25">
      <c r="A151" s="805" t="s">
        <v>5530</v>
      </c>
      <c r="B151" s="805" t="s">
        <v>7122</v>
      </c>
      <c r="C151" s="805" t="s">
        <v>7122</v>
      </c>
      <c r="D151" s="805" t="s">
        <v>7268</v>
      </c>
      <c r="E151" s="805">
        <v>250</v>
      </c>
      <c r="F151" s="805">
        <v>128</v>
      </c>
      <c r="G151" s="202" t="str">
        <f t="shared" si="2"/>
        <v/>
      </c>
    </row>
    <row r="152" spans="1:7" s="172" customFormat="1" ht="15" customHeight="1" x14ac:dyDescent="0.25">
      <c r="A152" s="805" t="s">
        <v>12579</v>
      </c>
      <c r="B152" s="805" t="s">
        <v>7122</v>
      </c>
      <c r="C152" s="805" t="s">
        <v>7122</v>
      </c>
      <c r="D152" s="805" t="s">
        <v>7269</v>
      </c>
      <c r="E152" s="805">
        <v>63</v>
      </c>
      <c r="F152" s="805">
        <v>10</v>
      </c>
      <c r="G152" s="202" t="str">
        <f t="shared" si="2"/>
        <v/>
      </c>
    </row>
    <row r="153" spans="1:7" s="172" customFormat="1" ht="15" customHeight="1" x14ac:dyDescent="0.25">
      <c r="A153" s="805" t="s">
        <v>12579</v>
      </c>
      <c r="B153" s="805" t="s">
        <v>7122</v>
      </c>
      <c r="C153" s="805" t="s">
        <v>7122</v>
      </c>
      <c r="D153" s="805" t="s">
        <v>7270</v>
      </c>
      <c r="E153" s="805">
        <v>30</v>
      </c>
      <c r="F153" s="805">
        <v>15</v>
      </c>
      <c r="G153" s="202" t="str">
        <f t="shared" si="2"/>
        <v/>
      </c>
    </row>
    <row r="154" spans="1:7" s="172" customFormat="1" ht="15" customHeight="1" x14ac:dyDescent="0.25">
      <c r="A154" s="805" t="s">
        <v>12579</v>
      </c>
      <c r="B154" s="805" t="s">
        <v>7122</v>
      </c>
      <c r="C154" s="805" t="s">
        <v>7122</v>
      </c>
      <c r="D154" s="805" t="s">
        <v>7271</v>
      </c>
      <c r="E154" s="805">
        <v>100</v>
      </c>
      <c r="F154" s="805">
        <v>41</v>
      </c>
      <c r="G154" s="202" t="str">
        <f t="shared" si="2"/>
        <v/>
      </c>
    </row>
    <row r="155" spans="1:7" s="172" customFormat="1" ht="15" customHeight="1" x14ac:dyDescent="0.25">
      <c r="A155" s="805" t="s">
        <v>12581</v>
      </c>
      <c r="B155" s="805" t="s">
        <v>7122</v>
      </c>
      <c r="C155" s="805" t="s">
        <v>7122</v>
      </c>
      <c r="D155" s="805" t="s">
        <v>7272</v>
      </c>
      <c r="E155" s="805">
        <v>30</v>
      </c>
      <c r="F155" s="805">
        <v>10</v>
      </c>
      <c r="G155" s="202" t="str">
        <f t="shared" si="2"/>
        <v/>
      </c>
    </row>
    <row r="156" spans="1:7" s="172" customFormat="1" ht="15" customHeight="1" x14ac:dyDescent="0.25">
      <c r="A156" s="805" t="s">
        <v>12582</v>
      </c>
      <c r="B156" s="805" t="s">
        <v>7122</v>
      </c>
      <c r="C156" s="805" t="s">
        <v>7122</v>
      </c>
      <c r="D156" s="805" t="s">
        <v>7273</v>
      </c>
      <c r="E156" s="805">
        <v>250</v>
      </c>
      <c r="F156" s="805">
        <v>110</v>
      </c>
      <c r="G156" s="202" t="str">
        <f t="shared" si="2"/>
        <v/>
      </c>
    </row>
    <row r="157" spans="1:7" s="172" customFormat="1" ht="15" customHeight="1" x14ac:dyDescent="0.25">
      <c r="A157" s="805" t="s">
        <v>12582</v>
      </c>
      <c r="B157" s="805" t="s">
        <v>7122</v>
      </c>
      <c r="C157" s="805" t="s">
        <v>7122</v>
      </c>
      <c r="D157" s="805" t="s">
        <v>7274</v>
      </c>
      <c r="E157" s="805">
        <v>250</v>
      </c>
      <c r="F157" s="805">
        <v>121</v>
      </c>
      <c r="G157" s="202" t="str">
        <f t="shared" si="2"/>
        <v/>
      </c>
    </row>
    <row r="158" spans="1:7" s="172" customFormat="1" ht="15" customHeight="1" x14ac:dyDescent="0.25">
      <c r="A158" s="805" t="s">
        <v>12582</v>
      </c>
      <c r="B158" s="805" t="s">
        <v>7122</v>
      </c>
      <c r="C158" s="805" t="s">
        <v>7122</v>
      </c>
      <c r="D158" s="805" t="s">
        <v>7275</v>
      </c>
      <c r="E158" s="805">
        <v>250</v>
      </c>
      <c r="F158" s="805">
        <v>104</v>
      </c>
      <c r="G158" s="202" t="str">
        <f t="shared" si="2"/>
        <v/>
      </c>
    </row>
    <row r="159" spans="1:7" s="172" customFormat="1" ht="15" customHeight="1" x14ac:dyDescent="0.25">
      <c r="A159" s="805" t="s">
        <v>8957</v>
      </c>
      <c r="B159" s="805" t="s">
        <v>7122</v>
      </c>
      <c r="C159" s="805" t="s">
        <v>7122</v>
      </c>
      <c r="D159" s="805" t="s">
        <v>7276</v>
      </c>
      <c r="E159" s="805">
        <v>10</v>
      </c>
      <c r="F159" s="805">
        <v>10</v>
      </c>
      <c r="G159" s="202" t="str">
        <f t="shared" si="2"/>
        <v>не загружен</v>
      </c>
    </row>
    <row r="160" spans="1:7" s="172" customFormat="1" ht="15" customHeight="1" x14ac:dyDescent="0.25">
      <c r="A160" s="805" t="s">
        <v>12241</v>
      </c>
      <c r="B160" s="805" t="s">
        <v>7122</v>
      </c>
      <c r="C160" s="805" t="s">
        <v>7122</v>
      </c>
      <c r="D160" s="805" t="s">
        <v>7277</v>
      </c>
      <c r="E160" s="805">
        <v>100</v>
      </c>
      <c r="F160" s="805">
        <v>16</v>
      </c>
      <c r="G160" s="202" t="str">
        <f t="shared" si="2"/>
        <v/>
      </c>
    </row>
    <row r="161" spans="1:7" s="172" customFormat="1" ht="15" customHeight="1" x14ac:dyDescent="0.25">
      <c r="A161" s="805" t="s">
        <v>12583</v>
      </c>
      <c r="B161" s="805" t="s">
        <v>7122</v>
      </c>
      <c r="C161" s="805" t="s">
        <v>7122</v>
      </c>
      <c r="D161" s="805" t="s">
        <v>7278</v>
      </c>
      <c r="E161" s="805">
        <v>63</v>
      </c>
      <c r="F161" s="805">
        <v>0</v>
      </c>
      <c r="G161" s="202" t="str">
        <f t="shared" si="2"/>
        <v/>
      </c>
    </row>
    <row r="162" spans="1:7" s="172" customFormat="1" ht="15" customHeight="1" x14ac:dyDescent="0.25">
      <c r="A162" s="805" t="s">
        <v>3747</v>
      </c>
      <c r="B162" s="805" t="s">
        <v>7122</v>
      </c>
      <c r="C162" s="805" t="s">
        <v>7122</v>
      </c>
      <c r="D162" s="805" t="s">
        <v>7279</v>
      </c>
      <c r="E162" s="805">
        <v>63</v>
      </c>
      <c r="F162" s="805">
        <v>13</v>
      </c>
      <c r="G162" s="202" t="str">
        <f t="shared" si="2"/>
        <v/>
      </c>
    </row>
    <row r="163" spans="1:7" s="172" customFormat="1" ht="15" customHeight="1" x14ac:dyDescent="0.25">
      <c r="A163" s="805" t="s">
        <v>12584</v>
      </c>
      <c r="B163" s="805" t="s">
        <v>7122</v>
      </c>
      <c r="C163" s="805" t="s">
        <v>7122</v>
      </c>
      <c r="D163" s="805" t="s">
        <v>19293</v>
      </c>
      <c r="E163" s="805">
        <v>160</v>
      </c>
      <c r="F163" s="805">
        <v>79</v>
      </c>
      <c r="G163" s="202" t="str">
        <f t="shared" si="2"/>
        <v/>
      </c>
    </row>
    <row r="164" spans="1:7" s="172" customFormat="1" ht="15" customHeight="1" x14ac:dyDescent="0.25">
      <c r="A164" s="805" t="s">
        <v>2926</v>
      </c>
      <c r="B164" s="805" t="s">
        <v>7122</v>
      </c>
      <c r="C164" s="805" t="s">
        <v>7122</v>
      </c>
      <c r="D164" s="805" t="s">
        <v>7280</v>
      </c>
      <c r="E164" s="805">
        <v>160</v>
      </c>
      <c r="F164" s="805">
        <v>61</v>
      </c>
      <c r="G164" s="202" t="str">
        <f t="shared" si="2"/>
        <v/>
      </c>
    </row>
    <row r="165" spans="1:7" s="172" customFormat="1" ht="15" customHeight="1" x14ac:dyDescent="0.25">
      <c r="A165" s="805" t="s">
        <v>9187</v>
      </c>
      <c r="B165" s="805" t="s">
        <v>7122</v>
      </c>
      <c r="C165" s="805" t="s">
        <v>7122</v>
      </c>
      <c r="D165" s="805" t="s">
        <v>7281</v>
      </c>
      <c r="E165" s="805">
        <v>10</v>
      </c>
      <c r="F165" s="805">
        <v>0</v>
      </c>
      <c r="G165" s="202" t="str">
        <f t="shared" si="2"/>
        <v/>
      </c>
    </row>
    <row r="166" spans="1:7" s="172" customFormat="1" ht="15" customHeight="1" x14ac:dyDescent="0.25">
      <c r="A166" s="805" t="s">
        <v>12585</v>
      </c>
      <c r="B166" s="805" t="s">
        <v>7122</v>
      </c>
      <c r="C166" s="805" t="s">
        <v>7122</v>
      </c>
      <c r="D166" s="805" t="s">
        <v>7282</v>
      </c>
      <c r="E166" s="805">
        <v>10</v>
      </c>
      <c r="F166" s="805">
        <v>0</v>
      </c>
      <c r="G166" s="202" t="str">
        <f t="shared" si="2"/>
        <v/>
      </c>
    </row>
    <row r="167" spans="1:7" s="172" customFormat="1" ht="15" customHeight="1" x14ac:dyDescent="0.25">
      <c r="A167" s="805" t="s">
        <v>12586</v>
      </c>
      <c r="B167" s="805" t="s">
        <v>7122</v>
      </c>
      <c r="C167" s="805" t="s">
        <v>7122</v>
      </c>
      <c r="D167" s="805" t="s">
        <v>7283</v>
      </c>
      <c r="E167" s="805">
        <v>40</v>
      </c>
      <c r="F167" s="805">
        <v>11</v>
      </c>
      <c r="G167" s="202" t="str">
        <f t="shared" si="2"/>
        <v/>
      </c>
    </row>
    <row r="168" spans="1:7" s="172" customFormat="1" ht="15" customHeight="1" x14ac:dyDescent="0.25">
      <c r="A168" s="805" t="s">
        <v>12508</v>
      </c>
      <c r="B168" s="805" t="s">
        <v>7122</v>
      </c>
      <c r="C168" s="805" t="s">
        <v>7122</v>
      </c>
      <c r="D168" s="805" t="s">
        <v>7284</v>
      </c>
      <c r="E168" s="805">
        <v>63</v>
      </c>
      <c r="F168" s="805">
        <v>16</v>
      </c>
      <c r="G168" s="202" t="str">
        <f t="shared" si="2"/>
        <v/>
      </c>
    </row>
    <row r="169" spans="1:7" s="172" customFormat="1" ht="15" customHeight="1" x14ac:dyDescent="0.25">
      <c r="A169" s="805" t="s">
        <v>12587</v>
      </c>
      <c r="B169" s="805" t="s">
        <v>7122</v>
      </c>
      <c r="C169" s="805" t="s">
        <v>7122</v>
      </c>
      <c r="D169" s="805" t="s">
        <v>7285</v>
      </c>
      <c r="E169" s="805">
        <v>4</v>
      </c>
      <c r="F169" s="805">
        <v>0</v>
      </c>
      <c r="G169" s="202" t="str">
        <f t="shared" si="2"/>
        <v/>
      </c>
    </row>
    <row r="170" spans="1:7" s="172" customFormat="1" ht="15" customHeight="1" x14ac:dyDescent="0.25">
      <c r="A170" s="805" t="s">
        <v>12588</v>
      </c>
      <c r="B170" s="805" t="s">
        <v>7122</v>
      </c>
      <c r="C170" s="805" t="s">
        <v>7122</v>
      </c>
      <c r="D170" s="805" t="s">
        <v>7286</v>
      </c>
      <c r="E170" s="805">
        <v>30</v>
      </c>
      <c r="F170" s="805">
        <v>10</v>
      </c>
      <c r="G170" s="202" t="str">
        <f t="shared" si="2"/>
        <v/>
      </c>
    </row>
    <row r="171" spans="1:7" s="172" customFormat="1" ht="15" customHeight="1" x14ac:dyDescent="0.25">
      <c r="A171" s="805" t="s">
        <v>12589</v>
      </c>
      <c r="B171" s="805" t="s">
        <v>7122</v>
      </c>
      <c r="C171" s="805" t="s">
        <v>7122</v>
      </c>
      <c r="D171" s="805" t="s">
        <v>7287</v>
      </c>
      <c r="E171" s="805">
        <v>20</v>
      </c>
      <c r="F171" s="805">
        <v>0</v>
      </c>
      <c r="G171" s="202" t="str">
        <f t="shared" si="2"/>
        <v/>
      </c>
    </row>
    <row r="172" spans="1:7" s="172" customFormat="1" ht="15" customHeight="1" x14ac:dyDescent="0.25">
      <c r="A172" s="805" t="s">
        <v>7288</v>
      </c>
      <c r="B172" s="805" t="s">
        <v>7122</v>
      </c>
      <c r="C172" s="805" t="s">
        <v>7122</v>
      </c>
      <c r="D172" s="805" t="s">
        <v>7289</v>
      </c>
      <c r="E172" s="805">
        <v>30</v>
      </c>
      <c r="F172" s="805">
        <v>10</v>
      </c>
      <c r="G172" s="202" t="str">
        <f t="shared" si="2"/>
        <v/>
      </c>
    </row>
    <row r="173" spans="1:7" s="172" customFormat="1" ht="15" customHeight="1" x14ac:dyDescent="0.25">
      <c r="A173" s="805" t="s">
        <v>12590</v>
      </c>
      <c r="B173" s="805" t="s">
        <v>7122</v>
      </c>
      <c r="C173" s="805" t="s">
        <v>7122</v>
      </c>
      <c r="D173" s="805" t="s">
        <v>7290</v>
      </c>
      <c r="E173" s="805">
        <v>25</v>
      </c>
      <c r="F173" s="805">
        <v>10</v>
      </c>
      <c r="G173" s="202" t="str">
        <f t="shared" si="2"/>
        <v/>
      </c>
    </row>
    <row r="174" spans="1:7" s="172" customFormat="1" ht="15" customHeight="1" x14ac:dyDescent="0.25">
      <c r="A174" s="805" t="s">
        <v>12591</v>
      </c>
      <c r="B174" s="805" t="s">
        <v>7122</v>
      </c>
      <c r="C174" s="805" t="s">
        <v>7122</v>
      </c>
      <c r="D174" s="805" t="s">
        <v>7291</v>
      </c>
      <c r="E174" s="805">
        <v>100</v>
      </c>
      <c r="F174" s="805">
        <v>39</v>
      </c>
      <c r="G174" s="202" t="str">
        <f t="shared" si="2"/>
        <v/>
      </c>
    </row>
    <row r="175" spans="1:7" s="172" customFormat="1" ht="15" customHeight="1" x14ac:dyDescent="0.25">
      <c r="A175" s="805" t="s">
        <v>4840</v>
      </c>
      <c r="B175" s="805" t="s">
        <v>7122</v>
      </c>
      <c r="C175" s="805" t="s">
        <v>7122</v>
      </c>
      <c r="D175" s="805" t="s">
        <v>7292</v>
      </c>
      <c r="E175" s="805">
        <v>160</v>
      </c>
      <c r="F175" s="805">
        <v>74</v>
      </c>
      <c r="G175" s="202" t="str">
        <f t="shared" si="2"/>
        <v/>
      </c>
    </row>
    <row r="176" spans="1:7" s="172" customFormat="1" ht="15" customHeight="1" x14ac:dyDescent="0.25">
      <c r="A176" s="805" t="s">
        <v>4840</v>
      </c>
      <c r="B176" s="805" t="s">
        <v>7122</v>
      </c>
      <c r="C176" s="805" t="s">
        <v>7122</v>
      </c>
      <c r="D176" s="805" t="s">
        <v>7293</v>
      </c>
      <c r="E176" s="805" t="s">
        <v>19800</v>
      </c>
      <c r="F176" s="805">
        <v>121</v>
      </c>
      <c r="G176" s="202" t="str">
        <f t="shared" si="2"/>
        <v/>
      </c>
    </row>
    <row r="177" spans="1:7" s="172" customFormat="1" ht="15" customHeight="1" x14ac:dyDescent="0.25">
      <c r="A177" s="805" t="s">
        <v>4840</v>
      </c>
      <c r="B177" s="805" t="s">
        <v>7122</v>
      </c>
      <c r="C177" s="805" t="s">
        <v>7122</v>
      </c>
      <c r="D177" s="805" t="s">
        <v>7294</v>
      </c>
      <c r="E177" s="805">
        <v>630</v>
      </c>
      <c r="F177" s="805">
        <v>209</v>
      </c>
      <c r="G177" s="202" t="str">
        <f t="shared" si="2"/>
        <v/>
      </c>
    </row>
    <row r="178" spans="1:7" s="172" customFormat="1" ht="15" customHeight="1" x14ac:dyDescent="0.25">
      <c r="A178" s="805" t="s">
        <v>4840</v>
      </c>
      <c r="B178" s="805" t="s">
        <v>7122</v>
      </c>
      <c r="C178" s="805" t="s">
        <v>7122</v>
      </c>
      <c r="D178" s="805" t="s">
        <v>7295</v>
      </c>
      <c r="E178" s="805">
        <v>250</v>
      </c>
      <c r="F178" s="805">
        <v>62</v>
      </c>
      <c r="G178" s="202" t="str">
        <f t="shared" si="2"/>
        <v/>
      </c>
    </row>
    <row r="179" spans="1:7" s="172" customFormat="1" ht="15" customHeight="1" x14ac:dyDescent="0.25">
      <c r="A179" s="805" t="s">
        <v>4840</v>
      </c>
      <c r="B179" s="805" t="s">
        <v>7122</v>
      </c>
      <c r="C179" s="805" t="s">
        <v>7122</v>
      </c>
      <c r="D179" s="805" t="s">
        <v>7296</v>
      </c>
      <c r="E179" s="805">
        <v>630</v>
      </c>
      <c r="F179" s="805">
        <v>59</v>
      </c>
      <c r="G179" s="202" t="str">
        <f t="shared" si="2"/>
        <v/>
      </c>
    </row>
    <row r="180" spans="1:7" s="172" customFormat="1" ht="15" customHeight="1" x14ac:dyDescent="0.25">
      <c r="A180" s="805" t="s">
        <v>12592</v>
      </c>
      <c r="B180" s="805" t="s">
        <v>7122</v>
      </c>
      <c r="C180" s="805" t="s">
        <v>7122</v>
      </c>
      <c r="D180" s="805" t="s">
        <v>7297</v>
      </c>
      <c r="E180" s="805">
        <v>30</v>
      </c>
      <c r="F180" s="805">
        <v>30</v>
      </c>
      <c r="G180" s="202" t="str">
        <f t="shared" si="2"/>
        <v>не загружен</v>
      </c>
    </row>
    <row r="181" spans="1:7" s="172" customFormat="1" ht="15" customHeight="1" x14ac:dyDescent="0.25">
      <c r="A181" s="805" t="s">
        <v>12593</v>
      </c>
      <c r="B181" s="805" t="s">
        <v>7122</v>
      </c>
      <c r="C181" s="805" t="s">
        <v>7122</v>
      </c>
      <c r="D181" s="805" t="s">
        <v>7298</v>
      </c>
      <c r="E181" s="805">
        <v>100</v>
      </c>
      <c r="F181" s="805">
        <v>39</v>
      </c>
      <c r="G181" s="202" t="str">
        <f t="shared" si="2"/>
        <v/>
      </c>
    </row>
    <row r="182" spans="1:7" s="172" customFormat="1" ht="15" customHeight="1" x14ac:dyDescent="0.25">
      <c r="A182" s="805" t="s">
        <v>7299</v>
      </c>
      <c r="B182" s="805" t="s">
        <v>7122</v>
      </c>
      <c r="C182" s="805" t="s">
        <v>7122</v>
      </c>
      <c r="D182" s="805" t="s">
        <v>7300</v>
      </c>
      <c r="E182" s="805">
        <v>10</v>
      </c>
      <c r="F182" s="805">
        <v>10</v>
      </c>
      <c r="G182" s="202" t="str">
        <f t="shared" si="2"/>
        <v>не загружен</v>
      </c>
    </row>
    <row r="183" spans="1:7" s="172" customFormat="1" ht="15" customHeight="1" x14ac:dyDescent="0.25">
      <c r="A183" s="805" t="s">
        <v>12594</v>
      </c>
      <c r="B183" s="805" t="s">
        <v>7122</v>
      </c>
      <c r="C183" s="805" t="s">
        <v>7122</v>
      </c>
      <c r="D183" s="805" t="s">
        <v>7301</v>
      </c>
      <c r="E183" s="805">
        <v>63</v>
      </c>
      <c r="F183" s="805">
        <v>10</v>
      </c>
      <c r="G183" s="202" t="str">
        <f t="shared" si="2"/>
        <v/>
      </c>
    </row>
    <row r="184" spans="1:7" s="172" customFormat="1" ht="15" customHeight="1" x14ac:dyDescent="0.25">
      <c r="A184" s="805" t="s">
        <v>12595</v>
      </c>
      <c r="B184" s="805" t="s">
        <v>7122</v>
      </c>
      <c r="C184" s="805" t="s">
        <v>7122</v>
      </c>
      <c r="D184" s="805" t="s">
        <v>7302</v>
      </c>
      <c r="E184" s="805">
        <v>30</v>
      </c>
      <c r="F184" s="805">
        <v>15</v>
      </c>
      <c r="G184" s="202" t="str">
        <f t="shared" si="2"/>
        <v/>
      </c>
    </row>
    <row r="185" spans="1:7" s="172" customFormat="1" ht="15" customHeight="1" x14ac:dyDescent="0.25">
      <c r="A185" s="805" t="s">
        <v>12579</v>
      </c>
      <c r="B185" s="805" t="s">
        <v>7122</v>
      </c>
      <c r="C185" s="805" t="s">
        <v>7122</v>
      </c>
      <c r="D185" s="805" t="s">
        <v>7303</v>
      </c>
      <c r="E185" s="805" t="s">
        <v>18197</v>
      </c>
      <c r="F185" s="805">
        <v>105</v>
      </c>
      <c r="G185" s="202" t="str">
        <f t="shared" si="2"/>
        <v/>
      </c>
    </row>
    <row r="186" spans="1:7" s="172" customFormat="1" ht="15" customHeight="1" x14ac:dyDescent="0.25">
      <c r="A186" s="805" t="s">
        <v>12579</v>
      </c>
      <c r="B186" s="805" t="s">
        <v>7122</v>
      </c>
      <c r="C186" s="805" t="s">
        <v>7122</v>
      </c>
      <c r="D186" s="805" t="s">
        <v>7304</v>
      </c>
      <c r="E186" s="805" t="s">
        <v>18196</v>
      </c>
      <c r="F186" s="805">
        <v>164</v>
      </c>
      <c r="G186" s="202" t="str">
        <f t="shared" si="2"/>
        <v/>
      </c>
    </row>
    <row r="187" spans="1:7" s="172" customFormat="1" ht="15" customHeight="1" x14ac:dyDescent="0.25">
      <c r="A187" s="805" t="s">
        <v>12579</v>
      </c>
      <c r="B187" s="805" t="s">
        <v>7122</v>
      </c>
      <c r="C187" s="805" t="s">
        <v>7122</v>
      </c>
      <c r="D187" s="805" t="s">
        <v>7305</v>
      </c>
      <c r="E187" s="805" t="s">
        <v>18197</v>
      </c>
      <c r="F187" s="805">
        <v>108</v>
      </c>
      <c r="G187" s="202" t="str">
        <f t="shared" si="2"/>
        <v/>
      </c>
    </row>
    <row r="188" spans="1:7" s="172" customFormat="1" ht="15" customHeight="1" x14ac:dyDescent="0.25">
      <c r="A188" s="805" t="s">
        <v>12579</v>
      </c>
      <c r="B188" s="805" t="s">
        <v>7122</v>
      </c>
      <c r="C188" s="805" t="s">
        <v>7122</v>
      </c>
      <c r="D188" s="805" t="s">
        <v>7306</v>
      </c>
      <c r="E188" s="805" t="s">
        <v>18197</v>
      </c>
      <c r="F188" s="805">
        <v>98</v>
      </c>
      <c r="G188" s="202" t="str">
        <f t="shared" si="2"/>
        <v/>
      </c>
    </row>
    <row r="189" spans="1:7" s="172" customFormat="1" ht="15" customHeight="1" x14ac:dyDescent="0.25">
      <c r="A189" s="805" t="s">
        <v>12579</v>
      </c>
      <c r="B189" s="805" t="s">
        <v>7122</v>
      </c>
      <c r="C189" s="805" t="s">
        <v>7122</v>
      </c>
      <c r="D189" s="805" t="s">
        <v>19294</v>
      </c>
      <c r="E189" s="805" t="s">
        <v>18197</v>
      </c>
      <c r="F189" s="805">
        <v>92</v>
      </c>
      <c r="G189" s="202" t="str">
        <f t="shared" si="2"/>
        <v/>
      </c>
    </row>
    <row r="190" spans="1:7" s="172" customFormat="1" ht="15" customHeight="1" x14ac:dyDescent="0.25">
      <c r="A190" s="805" t="s">
        <v>12579</v>
      </c>
      <c r="B190" s="805" t="s">
        <v>7122</v>
      </c>
      <c r="C190" s="805" t="s">
        <v>7122</v>
      </c>
      <c r="D190" s="805" t="s">
        <v>7307</v>
      </c>
      <c r="E190" s="805" t="s">
        <v>18197</v>
      </c>
      <c r="F190" s="805">
        <v>103</v>
      </c>
      <c r="G190" s="202" t="str">
        <f t="shared" si="2"/>
        <v/>
      </c>
    </row>
    <row r="191" spans="1:7" s="172" customFormat="1" ht="15" customHeight="1" x14ac:dyDescent="0.25">
      <c r="A191" s="806" t="s">
        <v>2463</v>
      </c>
      <c r="B191" s="807" t="s">
        <v>13792</v>
      </c>
      <c r="C191" s="807" t="s">
        <v>13792</v>
      </c>
      <c r="D191" s="808" t="s">
        <v>13793</v>
      </c>
      <c r="E191" s="808" t="s">
        <v>8876</v>
      </c>
      <c r="F191" s="809">
        <v>30</v>
      </c>
      <c r="G191" s="202" t="str">
        <f t="shared" si="2"/>
        <v/>
      </c>
    </row>
    <row r="192" spans="1:7" s="172" customFormat="1" ht="15" customHeight="1" x14ac:dyDescent="0.25">
      <c r="A192" s="810" t="s">
        <v>13794</v>
      </c>
      <c r="B192" s="807" t="s">
        <v>13792</v>
      </c>
      <c r="C192" s="807" t="s">
        <v>13792</v>
      </c>
      <c r="D192" s="808" t="s">
        <v>13795</v>
      </c>
      <c r="E192" s="808" t="s">
        <v>18462</v>
      </c>
      <c r="F192" s="809">
        <v>15</v>
      </c>
      <c r="G192" s="202" t="str">
        <f t="shared" si="2"/>
        <v/>
      </c>
    </row>
    <row r="193" spans="1:7" s="172" customFormat="1" ht="15" customHeight="1" x14ac:dyDescent="0.25">
      <c r="A193" s="810" t="s">
        <v>13796</v>
      </c>
      <c r="B193" s="807" t="s">
        <v>13792</v>
      </c>
      <c r="C193" s="807" t="s">
        <v>13792</v>
      </c>
      <c r="D193" s="808" t="s">
        <v>13797</v>
      </c>
      <c r="E193" s="808" t="s">
        <v>18463</v>
      </c>
      <c r="F193" s="809">
        <v>230</v>
      </c>
      <c r="G193" s="202" t="str">
        <f t="shared" si="2"/>
        <v/>
      </c>
    </row>
    <row r="194" spans="1:7" s="172" customFormat="1" ht="15" customHeight="1" x14ac:dyDescent="0.25">
      <c r="A194" s="810" t="s">
        <v>13798</v>
      </c>
      <c r="B194" s="807" t="s">
        <v>13792</v>
      </c>
      <c r="C194" s="807" t="s">
        <v>13792</v>
      </c>
      <c r="D194" s="808" t="s">
        <v>13799</v>
      </c>
      <c r="E194" s="808" t="s">
        <v>8765</v>
      </c>
      <c r="F194" s="809">
        <v>40</v>
      </c>
      <c r="G194" s="202" t="str">
        <f t="shared" si="2"/>
        <v/>
      </c>
    </row>
    <row r="195" spans="1:7" s="172" customFormat="1" ht="15" customHeight="1" x14ac:dyDescent="0.25">
      <c r="A195" s="810" t="s">
        <v>12509</v>
      </c>
      <c r="B195" s="807" t="s">
        <v>13792</v>
      </c>
      <c r="C195" s="807" t="s">
        <v>13792</v>
      </c>
      <c r="D195" s="808" t="s">
        <v>13800</v>
      </c>
      <c r="E195" s="808" t="s">
        <v>8763</v>
      </c>
      <c r="F195" s="809">
        <v>350</v>
      </c>
      <c r="G195" s="202" t="str">
        <f t="shared" si="2"/>
        <v/>
      </c>
    </row>
    <row r="196" spans="1:7" s="172" customFormat="1" ht="15" customHeight="1" x14ac:dyDescent="0.25">
      <c r="A196" s="810" t="s">
        <v>13801</v>
      </c>
      <c r="B196" s="807" t="s">
        <v>13792</v>
      </c>
      <c r="C196" s="807" t="s">
        <v>13792</v>
      </c>
      <c r="D196" s="808" t="s">
        <v>13802</v>
      </c>
      <c r="E196" s="808" t="s">
        <v>8763</v>
      </c>
      <c r="F196" s="809">
        <v>300</v>
      </c>
      <c r="G196" s="202" t="str">
        <f t="shared" ref="G196:G259" si="3">IF(E196=F196,"не загружен","")</f>
        <v/>
      </c>
    </row>
    <row r="197" spans="1:7" s="172" customFormat="1" ht="15" customHeight="1" x14ac:dyDescent="0.25">
      <c r="A197" s="810" t="s">
        <v>3545</v>
      </c>
      <c r="B197" s="807" t="s">
        <v>13792</v>
      </c>
      <c r="C197" s="807" t="s">
        <v>13792</v>
      </c>
      <c r="D197" s="808" t="s">
        <v>13803</v>
      </c>
      <c r="E197" s="808" t="s">
        <v>18464</v>
      </c>
      <c r="F197" s="809">
        <v>70</v>
      </c>
      <c r="G197" s="202" t="str">
        <f t="shared" si="3"/>
        <v/>
      </c>
    </row>
    <row r="198" spans="1:7" s="172" customFormat="1" ht="15" customHeight="1" x14ac:dyDescent="0.25">
      <c r="A198" s="810" t="s">
        <v>6578</v>
      </c>
      <c r="B198" s="807" t="s">
        <v>13792</v>
      </c>
      <c r="C198" s="807" t="s">
        <v>13792</v>
      </c>
      <c r="D198" s="808" t="s">
        <v>13804</v>
      </c>
      <c r="E198" s="808" t="s">
        <v>18465</v>
      </c>
      <c r="F198" s="809">
        <v>350</v>
      </c>
      <c r="G198" s="202" t="str">
        <f t="shared" si="3"/>
        <v/>
      </c>
    </row>
    <row r="199" spans="1:7" s="172" customFormat="1" ht="15" customHeight="1" x14ac:dyDescent="0.25">
      <c r="A199" s="810" t="s">
        <v>13805</v>
      </c>
      <c r="B199" s="807" t="s">
        <v>13792</v>
      </c>
      <c r="C199" s="807" t="s">
        <v>13792</v>
      </c>
      <c r="D199" s="808" t="s">
        <v>13806</v>
      </c>
      <c r="E199" s="808" t="s">
        <v>18466</v>
      </c>
      <c r="F199" s="809">
        <v>685</v>
      </c>
      <c r="G199" s="202" t="str">
        <f t="shared" si="3"/>
        <v/>
      </c>
    </row>
    <row r="200" spans="1:7" s="172" customFormat="1" ht="15" customHeight="1" x14ac:dyDescent="0.25">
      <c r="A200" s="810" t="s">
        <v>13807</v>
      </c>
      <c r="B200" s="807" t="s">
        <v>13792</v>
      </c>
      <c r="C200" s="807" t="s">
        <v>13792</v>
      </c>
      <c r="D200" s="808" t="s">
        <v>13808</v>
      </c>
      <c r="E200" s="808" t="s">
        <v>18469</v>
      </c>
      <c r="F200" s="809">
        <v>230</v>
      </c>
      <c r="G200" s="202" t="str">
        <f t="shared" si="3"/>
        <v/>
      </c>
    </row>
    <row r="201" spans="1:7" s="172" customFormat="1" ht="15" customHeight="1" x14ac:dyDescent="0.25">
      <c r="A201" s="810" t="s">
        <v>13809</v>
      </c>
      <c r="B201" s="807" t="s">
        <v>13792</v>
      </c>
      <c r="C201" s="807" t="s">
        <v>13792</v>
      </c>
      <c r="D201" s="808" t="s">
        <v>13810</v>
      </c>
      <c r="E201" s="808" t="s">
        <v>18466</v>
      </c>
      <c r="F201" s="809">
        <v>680</v>
      </c>
      <c r="G201" s="202" t="str">
        <f t="shared" si="3"/>
        <v/>
      </c>
    </row>
    <row r="202" spans="1:7" s="172" customFormat="1" ht="15" customHeight="1" x14ac:dyDescent="0.25">
      <c r="A202" s="810" t="s">
        <v>13811</v>
      </c>
      <c r="B202" s="807" t="s">
        <v>13792</v>
      </c>
      <c r="C202" s="807" t="s">
        <v>13792</v>
      </c>
      <c r="D202" s="808" t="s">
        <v>13812</v>
      </c>
      <c r="E202" s="808" t="s">
        <v>18466</v>
      </c>
      <c r="F202" s="809">
        <v>780</v>
      </c>
      <c r="G202" s="202" t="str">
        <f t="shared" si="3"/>
        <v/>
      </c>
    </row>
    <row r="203" spans="1:7" s="172" customFormat="1" ht="15" customHeight="1" x14ac:dyDescent="0.25">
      <c r="A203" s="810" t="s">
        <v>7635</v>
      </c>
      <c r="B203" s="807" t="s">
        <v>13792</v>
      </c>
      <c r="C203" s="807" t="s">
        <v>13792</v>
      </c>
      <c r="D203" s="808" t="s">
        <v>13813</v>
      </c>
      <c r="E203" s="808" t="s">
        <v>18244</v>
      </c>
      <c r="F203" s="809">
        <v>40</v>
      </c>
      <c r="G203" s="202" t="str">
        <f t="shared" si="3"/>
        <v/>
      </c>
    </row>
    <row r="204" spans="1:7" s="172" customFormat="1" ht="15" customHeight="1" x14ac:dyDescent="0.25">
      <c r="A204" s="810" t="s">
        <v>13814</v>
      </c>
      <c r="B204" s="807" t="s">
        <v>13792</v>
      </c>
      <c r="C204" s="807" t="s">
        <v>13792</v>
      </c>
      <c r="D204" s="808" t="s">
        <v>13815</v>
      </c>
      <c r="E204" s="808" t="s">
        <v>8763</v>
      </c>
      <c r="F204" s="809">
        <v>50</v>
      </c>
      <c r="G204" s="202" t="str">
        <f t="shared" si="3"/>
        <v/>
      </c>
    </row>
    <row r="205" spans="1:7" s="172" customFormat="1" ht="15" customHeight="1" x14ac:dyDescent="0.25">
      <c r="A205" s="810" t="s">
        <v>13816</v>
      </c>
      <c r="B205" s="807" t="s">
        <v>13792</v>
      </c>
      <c r="C205" s="807" t="s">
        <v>13792</v>
      </c>
      <c r="D205" s="808" t="s">
        <v>13817</v>
      </c>
      <c r="E205" s="808" t="s">
        <v>18467</v>
      </c>
      <c r="F205" s="809">
        <v>700</v>
      </c>
      <c r="G205" s="202" t="str">
        <f t="shared" si="3"/>
        <v/>
      </c>
    </row>
    <row r="206" spans="1:7" s="172" customFormat="1" ht="15" customHeight="1" x14ac:dyDescent="0.25">
      <c r="A206" s="810" t="s">
        <v>13818</v>
      </c>
      <c r="B206" s="807" t="s">
        <v>13792</v>
      </c>
      <c r="C206" s="807" t="s">
        <v>13792</v>
      </c>
      <c r="D206" s="808" t="s">
        <v>13819</v>
      </c>
      <c r="E206" s="808" t="s">
        <v>18468</v>
      </c>
      <c r="F206" s="809">
        <v>50</v>
      </c>
      <c r="G206" s="202" t="str">
        <f t="shared" si="3"/>
        <v/>
      </c>
    </row>
    <row r="207" spans="1:7" s="172" customFormat="1" ht="15" customHeight="1" x14ac:dyDescent="0.25">
      <c r="A207" s="810" t="s">
        <v>4855</v>
      </c>
      <c r="B207" s="807" t="s">
        <v>13792</v>
      </c>
      <c r="C207" s="807" t="s">
        <v>13792</v>
      </c>
      <c r="D207" s="808" t="s">
        <v>13820</v>
      </c>
      <c r="E207" s="808" t="s">
        <v>18466</v>
      </c>
      <c r="F207" s="809">
        <v>400</v>
      </c>
      <c r="G207" s="202" t="str">
        <f t="shared" si="3"/>
        <v/>
      </c>
    </row>
    <row r="208" spans="1:7" s="172" customFormat="1" ht="15" customHeight="1" x14ac:dyDescent="0.25">
      <c r="A208" s="810" t="s">
        <v>13821</v>
      </c>
      <c r="B208" s="807" t="s">
        <v>13792</v>
      </c>
      <c r="C208" s="807" t="s">
        <v>13792</v>
      </c>
      <c r="D208" s="808" t="s">
        <v>13822</v>
      </c>
      <c r="E208" s="808" t="s">
        <v>18244</v>
      </c>
      <c r="F208" s="809">
        <v>160</v>
      </c>
      <c r="G208" s="202" t="str">
        <f t="shared" si="3"/>
        <v/>
      </c>
    </row>
    <row r="209" spans="1:7" s="172" customFormat="1" ht="15" customHeight="1" x14ac:dyDescent="0.25">
      <c r="A209" s="810" t="s">
        <v>13821</v>
      </c>
      <c r="B209" s="807" t="s">
        <v>13792</v>
      </c>
      <c r="C209" s="807" t="s">
        <v>13792</v>
      </c>
      <c r="D209" s="808" t="s">
        <v>13823</v>
      </c>
      <c r="E209" s="808" t="s">
        <v>18469</v>
      </c>
      <c r="F209" s="809">
        <v>450</v>
      </c>
      <c r="G209" s="202" t="str">
        <f t="shared" si="3"/>
        <v/>
      </c>
    </row>
    <row r="210" spans="1:7" s="172" customFormat="1" ht="15" customHeight="1" x14ac:dyDescent="0.25">
      <c r="A210" s="810" t="s">
        <v>13824</v>
      </c>
      <c r="B210" s="807" t="s">
        <v>13792</v>
      </c>
      <c r="C210" s="807" t="s">
        <v>13792</v>
      </c>
      <c r="D210" s="808" t="s">
        <v>13825</v>
      </c>
      <c r="E210" s="808" t="s">
        <v>18470</v>
      </c>
      <c r="F210" s="809">
        <v>100</v>
      </c>
      <c r="G210" s="202" t="str">
        <f t="shared" si="3"/>
        <v/>
      </c>
    </row>
    <row r="211" spans="1:7" s="172" customFormat="1" ht="15" customHeight="1" x14ac:dyDescent="0.25">
      <c r="A211" s="810" t="s">
        <v>13824</v>
      </c>
      <c r="B211" s="807" t="s">
        <v>13792</v>
      </c>
      <c r="C211" s="807" t="s">
        <v>13792</v>
      </c>
      <c r="D211" s="808" t="s">
        <v>13826</v>
      </c>
      <c r="E211" s="808" t="s">
        <v>18471</v>
      </c>
      <c r="F211" s="809">
        <v>200</v>
      </c>
      <c r="G211" s="202" t="str">
        <f t="shared" si="3"/>
        <v/>
      </c>
    </row>
    <row r="212" spans="1:7" s="172" customFormat="1" ht="15" customHeight="1" x14ac:dyDescent="0.25">
      <c r="A212" s="810" t="s">
        <v>13824</v>
      </c>
      <c r="B212" s="807" t="s">
        <v>13792</v>
      </c>
      <c r="C212" s="807" t="s">
        <v>13792</v>
      </c>
      <c r="D212" s="808" t="s">
        <v>13827</v>
      </c>
      <c r="E212" s="808" t="s">
        <v>8763</v>
      </c>
      <c r="F212" s="809">
        <v>100</v>
      </c>
      <c r="G212" s="202" t="str">
        <f t="shared" si="3"/>
        <v/>
      </c>
    </row>
    <row r="213" spans="1:7" s="172" customFormat="1" ht="15" customHeight="1" x14ac:dyDescent="0.25">
      <c r="A213" s="810" t="s">
        <v>13828</v>
      </c>
      <c r="B213" s="807" t="s">
        <v>13792</v>
      </c>
      <c r="C213" s="807" t="s">
        <v>13792</v>
      </c>
      <c r="D213" s="808" t="s">
        <v>13829</v>
      </c>
      <c r="E213" s="808" t="s">
        <v>18466</v>
      </c>
      <c r="F213" s="809">
        <v>750</v>
      </c>
      <c r="G213" s="202" t="str">
        <f t="shared" si="3"/>
        <v/>
      </c>
    </row>
    <row r="214" spans="1:7" s="172" customFormat="1" ht="15" customHeight="1" x14ac:dyDescent="0.25">
      <c r="A214" s="810" t="s">
        <v>12509</v>
      </c>
      <c r="B214" s="807" t="s">
        <v>13792</v>
      </c>
      <c r="C214" s="807" t="s">
        <v>13792</v>
      </c>
      <c r="D214" s="808" t="s">
        <v>13830</v>
      </c>
      <c r="E214" s="808" t="s">
        <v>18466</v>
      </c>
      <c r="F214" s="809">
        <v>480</v>
      </c>
      <c r="G214" s="202" t="str">
        <f t="shared" si="3"/>
        <v/>
      </c>
    </row>
    <row r="215" spans="1:7" s="172" customFormat="1" ht="15" customHeight="1" x14ac:dyDescent="0.25">
      <c r="A215" s="810" t="s">
        <v>13831</v>
      </c>
      <c r="B215" s="807" t="s">
        <v>13792</v>
      </c>
      <c r="C215" s="807" t="s">
        <v>13792</v>
      </c>
      <c r="D215" s="808" t="s">
        <v>13832</v>
      </c>
      <c r="E215" s="808" t="s">
        <v>18466</v>
      </c>
      <c r="F215" s="809">
        <v>680</v>
      </c>
      <c r="G215" s="202" t="str">
        <f t="shared" si="3"/>
        <v/>
      </c>
    </row>
    <row r="216" spans="1:7" s="172" customFormat="1" ht="15" customHeight="1" x14ac:dyDescent="0.25">
      <c r="A216" s="810" t="s">
        <v>13831</v>
      </c>
      <c r="B216" s="807" t="s">
        <v>13792</v>
      </c>
      <c r="C216" s="807" t="s">
        <v>13792</v>
      </c>
      <c r="D216" s="808" t="s">
        <v>13833</v>
      </c>
      <c r="E216" s="808" t="s">
        <v>18466</v>
      </c>
      <c r="F216" s="809">
        <v>690</v>
      </c>
      <c r="G216" s="202" t="str">
        <f t="shared" si="3"/>
        <v/>
      </c>
    </row>
    <row r="217" spans="1:7" s="172" customFormat="1" ht="15" customHeight="1" x14ac:dyDescent="0.25">
      <c r="A217" s="810" t="s">
        <v>13831</v>
      </c>
      <c r="B217" s="807" t="s">
        <v>13792</v>
      </c>
      <c r="C217" s="807" t="s">
        <v>13792</v>
      </c>
      <c r="D217" s="808" t="s">
        <v>13834</v>
      </c>
      <c r="E217" s="808" t="s">
        <v>18466</v>
      </c>
      <c r="F217" s="809">
        <v>720</v>
      </c>
      <c r="G217" s="202" t="str">
        <f t="shared" si="3"/>
        <v/>
      </c>
    </row>
    <row r="218" spans="1:7" s="172" customFormat="1" ht="15" customHeight="1" x14ac:dyDescent="0.25">
      <c r="A218" s="810" t="s">
        <v>13835</v>
      </c>
      <c r="B218" s="807" t="s">
        <v>13792</v>
      </c>
      <c r="C218" s="807" t="s">
        <v>13792</v>
      </c>
      <c r="D218" s="808" t="s">
        <v>13836</v>
      </c>
      <c r="E218" s="808" t="s">
        <v>8784</v>
      </c>
      <c r="F218" s="809">
        <v>140</v>
      </c>
      <c r="G218" s="202" t="str">
        <f t="shared" si="3"/>
        <v/>
      </c>
    </row>
    <row r="219" spans="1:7" s="172" customFormat="1" ht="15" customHeight="1" x14ac:dyDescent="0.25">
      <c r="A219" s="810" t="s">
        <v>13837</v>
      </c>
      <c r="B219" s="807" t="s">
        <v>13792</v>
      </c>
      <c r="C219" s="807" t="s">
        <v>13792</v>
      </c>
      <c r="D219" s="808" t="s">
        <v>13838</v>
      </c>
      <c r="E219" s="808" t="s">
        <v>18471</v>
      </c>
      <c r="F219" s="809">
        <v>490</v>
      </c>
      <c r="G219" s="202" t="str">
        <f t="shared" si="3"/>
        <v/>
      </c>
    </row>
    <row r="220" spans="1:7" s="172" customFormat="1" ht="15" customHeight="1" x14ac:dyDescent="0.25">
      <c r="A220" s="810" t="s">
        <v>13839</v>
      </c>
      <c r="B220" s="807" t="s">
        <v>13792</v>
      </c>
      <c r="C220" s="807" t="s">
        <v>13792</v>
      </c>
      <c r="D220" s="808" t="s">
        <v>13840</v>
      </c>
      <c r="E220" s="808" t="s">
        <v>8763</v>
      </c>
      <c r="F220" s="809">
        <v>280</v>
      </c>
      <c r="G220" s="202" t="str">
        <f t="shared" si="3"/>
        <v/>
      </c>
    </row>
    <row r="221" spans="1:7" s="172" customFormat="1" ht="15" customHeight="1" x14ac:dyDescent="0.25">
      <c r="A221" s="810" t="s">
        <v>13839</v>
      </c>
      <c r="B221" s="807" t="s">
        <v>13792</v>
      </c>
      <c r="C221" s="807" t="s">
        <v>13792</v>
      </c>
      <c r="D221" s="808" t="s">
        <v>13841</v>
      </c>
      <c r="E221" s="808" t="s">
        <v>8788</v>
      </c>
      <c r="F221" s="809">
        <v>45</v>
      </c>
      <c r="G221" s="202" t="str">
        <f t="shared" si="3"/>
        <v/>
      </c>
    </row>
    <row r="222" spans="1:7" s="172" customFormat="1" ht="15" customHeight="1" x14ac:dyDescent="0.25">
      <c r="A222" s="810" t="s">
        <v>13842</v>
      </c>
      <c r="B222" s="807" t="s">
        <v>13792</v>
      </c>
      <c r="C222" s="807" t="s">
        <v>13792</v>
      </c>
      <c r="D222" s="808" t="s">
        <v>13843</v>
      </c>
      <c r="E222" s="808" t="s">
        <v>18469</v>
      </c>
      <c r="F222" s="809">
        <v>320</v>
      </c>
      <c r="G222" s="202" t="str">
        <f t="shared" si="3"/>
        <v/>
      </c>
    </row>
    <row r="223" spans="1:7" s="172" customFormat="1" ht="15" customHeight="1" x14ac:dyDescent="0.25">
      <c r="A223" s="810" t="s">
        <v>13811</v>
      </c>
      <c r="B223" s="807" t="s">
        <v>13792</v>
      </c>
      <c r="C223" s="807" t="s">
        <v>13792</v>
      </c>
      <c r="D223" s="808" t="s">
        <v>13844</v>
      </c>
      <c r="E223" s="808" t="s">
        <v>18469</v>
      </c>
      <c r="F223" s="809">
        <v>335</v>
      </c>
      <c r="G223" s="202" t="str">
        <f t="shared" si="3"/>
        <v/>
      </c>
    </row>
    <row r="224" spans="1:7" s="172" customFormat="1" ht="15" customHeight="1" x14ac:dyDescent="0.25">
      <c r="A224" s="810" t="s">
        <v>13811</v>
      </c>
      <c r="B224" s="807" t="s">
        <v>13792</v>
      </c>
      <c r="C224" s="807" t="s">
        <v>13792</v>
      </c>
      <c r="D224" s="808" t="s">
        <v>13845</v>
      </c>
      <c r="E224" s="808" t="s">
        <v>18469</v>
      </c>
      <c r="F224" s="809">
        <v>490</v>
      </c>
      <c r="G224" s="202" t="str">
        <f t="shared" si="3"/>
        <v/>
      </c>
    </row>
    <row r="225" spans="1:7" s="172" customFormat="1" ht="15" customHeight="1" x14ac:dyDescent="0.25">
      <c r="A225" s="810" t="s">
        <v>19801</v>
      </c>
      <c r="B225" s="807" t="s">
        <v>13792</v>
      </c>
      <c r="C225" s="807" t="s">
        <v>13792</v>
      </c>
      <c r="D225" s="808" t="s">
        <v>13846</v>
      </c>
      <c r="E225" s="808" t="s">
        <v>18466</v>
      </c>
      <c r="F225" s="809">
        <v>700</v>
      </c>
      <c r="G225" s="202" t="str">
        <f t="shared" si="3"/>
        <v/>
      </c>
    </row>
    <row r="226" spans="1:7" s="172" customFormat="1" ht="15" customHeight="1" x14ac:dyDescent="0.25">
      <c r="A226" s="810" t="s">
        <v>19801</v>
      </c>
      <c r="B226" s="807" t="s">
        <v>13792</v>
      </c>
      <c r="C226" s="807" t="s">
        <v>13792</v>
      </c>
      <c r="D226" s="808" t="s">
        <v>13847</v>
      </c>
      <c r="E226" s="808" t="s">
        <v>8763</v>
      </c>
      <c r="F226" s="809">
        <v>350</v>
      </c>
      <c r="G226" s="202" t="str">
        <f t="shared" si="3"/>
        <v/>
      </c>
    </row>
    <row r="227" spans="1:7" s="172" customFormat="1" ht="15" customHeight="1" x14ac:dyDescent="0.25">
      <c r="A227" s="810" t="s">
        <v>13848</v>
      </c>
      <c r="B227" s="807" t="s">
        <v>13792</v>
      </c>
      <c r="C227" s="807" t="s">
        <v>13792</v>
      </c>
      <c r="D227" s="808" t="s">
        <v>13849</v>
      </c>
      <c r="E227" s="808" t="s">
        <v>8784</v>
      </c>
      <c r="F227" s="809">
        <v>190</v>
      </c>
      <c r="G227" s="202" t="str">
        <f t="shared" si="3"/>
        <v/>
      </c>
    </row>
    <row r="228" spans="1:7" s="172" customFormat="1" ht="15" customHeight="1" x14ac:dyDescent="0.25">
      <c r="A228" s="810" t="s">
        <v>13848</v>
      </c>
      <c r="B228" s="807" t="s">
        <v>13792</v>
      </c>
      <c r="C228" s="807" t="s">
        <v>13792</v>
      </c>
      <c r="D228" s="808" t="s">
        <v>13850</v>
      </c>
      <c r="E228" s="808" t="s">
        <v>8763</v>
      </c>
      <c r="F228" s="809">
        <v>300</v>
      </c>
      <c r="G228" s="202" t="str">
        <f t="shared" si="3"/>
        <v/>
      </c>
    </row>
    <row r="229" spans="1:7" s="172" customFormat="1" ht="15" customHeight="1" x14ac:dyDescent="0.25">
      <c r="A229" s="810" t="s">
        <v>13851</v>
      </c>
      <c r="B229" s="807" t="s">
        <v>13792</v>
      </c>
      <c r="C229" s="807" t="s">
        <v>13792</v>
      </c>
      <c r="D229" s="808" t="s">
        <v>13852</v>
      </c>
      <c r="E229" s="808" t="s">
        <v>8765</v>
      </c>
      <c r="F229" s="809">
        <v>40</v>
      </c>
      <c r="G229" s="202" t="str">
        <f t="shared" si="3"/>
        <v/>
      </c>
    </row>
    <row r="230" spans="1:7" s="172" customFormat="1" ht="15" customHeight="1" x14ac:dyDescent="0.25">
      <c r="A230" s="810" t="s">
        <v>19802</v>
      </c>
      <c r="B230" s="807" t="s">
        <v>13792</v>
      </c>
      <c r="C230" s="807" t="s">
        <v>13792</v>
      </c>
      <c r="D230" s="808" t="s">
        <v>13853</v>
      </c>
      <c r="E230" s="808" t="s">
        <v>8784</v>
      </c>
      <c r="F230" s="809">
        <v>220</v>
      </c>
      <c r="G230" s="202" t="str">
        <f t="shared" si="3"/>
        <v/>
      </c>
    </row>
    <row r="231" spans="1:7" s="172" customFormat="1" ht="15" customHeight="1" x14ac:dyDescent="0.25">
      <c r="A231" s="810" t="s">
        <v>6578</v>
      </c>
      <c r="B231" s="807" t="s">
        <v>13792</v>
      </c>
      <c r="C231" s="807" t="s">
        <v>13792</v>
      </c>
      <c r="D231" s="808" t="s">
        <v>13854</v>
      </c>
      <c r="E231" s="808" t="s">
        <v>8784</v>
      </c>
      <c r="F231" s="809">
        <v>240</v>
      </c>
      <c r="G231" s="202" t="str">
        <f t="shared" si="3"/>
        <v/>
      </c>
    </row>
    <row r="232" spans="1:7" s="172" customFormat="1" ht="15" customHeight="1" x14ac:dyDescent="0.25">
      <c r="A232" s="810" t="s">
        <v>5030</v>
      </c>
      <c r="B232" s="807" t="s">
        <v>13792</v>
      </c>
      <c r="C232" s="807" t="s">
        <v>13792</v>
      </c>
      <c r="D232" s="808" t="s">
        <v>13855</v>
      </c>
      <c r="E232" s="808" t="s">
        <v>8761</v>
      </c>
      <c r="F232" s="809">
        <v>80</v>
      </c>
      <c r="G232" s="202" t="str">
        <f t="shared" si="3"/>
        <v/>
      </c>
    </row>
    <row r="233" spans="1:7" s="172" customFormat="1" ht="15" customHeight="1" x14ac:dyDescent="0.25">
      <c r="A233" s="810" t="s">
        <v>5715</v>
      </c>
      <c r="B233" s="807" t="s">
        <v>13792</v>
      </c>
      <c r="C233" s="807" t="s">
        <v>13792</v>
      </c>
      <c r="D233" s="808" t="s">
        <v>13856</v>
      </c>
      <c r="E233" s="808" t="s">
        <v>8788</v>
      </c>
      <c r="F233" s="809">
        <v>60</v>
      </c>
      <c r="G233" s="202" t="str">
        <f t="shared" si="3"/>
        <v/>
      </c>
    </row>
    <row r="234" spans="1:7" s="172" customFormat="1" ht="15" customHeight="1" x14ac:dyDescent="0.25">
      <c r="A234" s="810" t="s">
        <v>5715</v>
      </c>
      <c r="B234" s="807" t="s">
        <v>13792</v>
      </c>
      <c r="C234" s="807" t="s">
        <v>13792</v>
      </c>
      <c r="D234" s="808" t="s">
        <v>13857</v>
      </c>
      <c r="E234" s="808" t="s">
        <v>8761</v>
      </c>
      <c r="F234" s="809">
        <v>15</v>
      </c>
      <c r="G234" s="202" t="str">
        <f t="shared" si="3"/>
        <v/>
      </c>
    </row>
    <row r="235" spans="1:7" s="172" customFormat="1" ht="15" customHeight="1" x14ac:dyDescent="0.25">
      <c r="A235" s="810" t="s">
        <v>5715</v>
      </c>
      <c r="B235" s="807" t="s">
        <v>13792</v>
      </c>
      <c r="C235" s="807" t="s">
        <v>13792</v>
      </c>
      <c r="D235" s="808" t="s">
        <v>13858</v>
      </c>
      <c r="E235" s="808" t="s">
        <v>8761</v>
      </c>
      <c r="F235" s="809">
        <v>35</v>
      </c>
      <c r="G235" s="202" t="str">
        <f t="shared" si="3"/>
        <v/>
      </c>
    </row>
    <row r="236" spans="1:7" s="172" customFormat="1" ht="15" customHeight="1" x14ac:dyDescent="0.25">
      <c r="A236" s="810" t="s">
        <v>5715</v>
      </c>
      <c r="B236" s="807" t="s">
        <v>13792</v>
      </c>
      <c r="C236" s="807" t="s">
        <v>13792</v>
      </c>
      <c r="D236" s="808" t="s">
        <v>13859</v>
      </c>
      <c r="E236" s="808" t="s">
        <v>8788</v>
      </c>
      <c r="F236" s="809">
        <v>60</v>
      </c>
      <c r="G236" s="202" t="str">
        <f t="shared" si="3"/>
        <v/>
      </c>
    </row>
    <row r="237" spans="1:7" s="172" customFormat="1" ht="15" customHeight="1" x14ac:dyDescent="0.25">
      <c r="A237" s="810" t="s">
        <v>13860</v>
      </c>
      <c r="B237" s="807" t="s">
        <v>13792</v>
      </c>
      <c r="C237" s="807" t="s">
        <v>13792</v>
      </c>
      <c r="D237" s="808" t="s">
        <v>13861</v>
      </c>
      <c r="E237" s="808" t="s">
        <v>8784</v>
      </c>
      <c r="F237" s="809">
        <v>150</v>
      </c>
      <c r="G237" s="202" t="str">
        <f t="shared" si="3"/>
        <v/>
      </c>
    </row>
    <row r="238" spans="1:7" s="172" customFormat="1" ht="15" customHeight="1" x14ac:dyDescent="0.25">
      <c r="A238" s="810" t="s">
        <v>13862</v>
      </c>
      <c r="B238" s="807" t="s">
        <v>13792</v>
      </c>
      <c r="C238" s="807" t="s">
        <v>13792</v>
      </c>
      <c r="D238" s="808" t="s">
        <v>13863</v>
      </c>
      <c r="E238" s="808" t="s">
        <v>8761</v>
      </c>
      <c r="F238" s="809">
        <v>45</v>
      </c>
      <c r="G238" s="202" t="str">
        <f t="shared" si="3"/>
        <v/>
      </c>
    </row>
    <row r="239" spans="1:7" s="172" customFormat="1" ht="15" customHeight="1" x14ac:dyDescent="0.25">
      <c r="A239" s="810" t="s">
        <v>13864</v>
      </c>
      <c r="B239" s="807" t="s">
        <v>13792</v>
      </c>
      <c r="C239" s="807" t="s">
        <v>13792</v>
      </c>
      <c r="D239" s="808" t="s">
        <v>13865</v>
      </c>
      <c r="E239" s="808" t="s">
        <v>8771</v>
      </c>
      <c r="F239" s="809">
        <v>20</v>
      </c>
      <c r="G239" s="202" t="str">
        <f t="shared" si="3"/>
        <v/>
      </c>
    </row>
    <row r="240" spans="1:7" s="172" customFormat="1" ht="15" customHeight="1" x14ac:dyDescent="0.25">
      <c r="A240" s="810" t="s">
        <v>13866</v>
      </c>
      <c r="B240" s="807" t="s">
        <v>13792</v>
      </c>
      <c r="C240" s="807" t="s">
        <v>13792</v>
      </c>
      <c r="D240" s="808" t="s">
        <v>13867</v>
      </c>
      <c r="E240" s="808" t="s">
        <v>18471</v>
      </c>
      <c r="F240" s="809">
        <v>620</v>
      </c>
      <c r="G240" s="202" t="str">
        <f t="shared" si="3"/>
        <v/>
      </c>
    </row>
    <row r="241" spans="1:7" s="172" customFormat="1" ht="15" customHeight="1" x14ac:dyDescent="0.25">
      <c r="A241" s="810" t="s">
        <v>18906</v>
      </c>
      <c r="B241" s="807" t="s">
        <v>13792</v>
      </c>
      <c r="C241" s="807" t="s">
        <v>13792</v>
      </c>
      <c r="D241" s="808" t="s">
        <v>18907</v>
      </c>
      <c r="E241" s="808" t="s">
        <v>8788</v>
      </c>
      <c r="F241" s="809">
        <v>60</v>
      </c>
      <c r="G241" s="202" t="str">
        <f t="shared" si="3"/>
        <v/>
      </c>
    </row>
    <row r="242" spans="1:7" s="172" customFormat="1" ht="15" customHeight="1" x14ac:dyDescent="0.25">
      <c r="A242" s="810" t="s">
        <v>13868</v>
      </c>
      <c r="B242" s="807" t="s">
        <v>13792</v>
      </c>
      <c r="C242" s="807" t="s">
        <v>13792</v>
      </c>
      <c r="D242" s="808" t="s">
        <v>13869</v>
      </c>
      <c r="E242" s="808" t="s">
        <v>8765</v>
      </c>
      <c r="F242" s="809">
        <v>15</v>
      </c>
      <c r="G242" s="202" t="str">
        <f t="shared" si="3"/>
        <v/>
      </c>
    </row>
    <row r="243" spans="1:7" s="172" customFormat="1" ht="15" customHeight="1" x14ac:dyDescent="0.25">
      <c r="A243" s="810" t="s">
        <v>13870</v>
      </c>
      <c r="B243" s="807" t="s">
        <v>13792</v>
      </c>
      <c r="C243" s="807" t="s">
        <v>13792</v>
      </c>
      <c r="D243" s="808" t="s">
        <v>13871</v>
      </c>
      <c r="E243" s="808" t="s">
        <v>8761</v>
      </c>
      <c r="F243" s="809">
        <v>25</v>
      </c>
      <c r="G243" s="202" t="str">
        <f t="shared" si="3"/>
        <v/>
      </c>
    </row>
    <row r="244" spans="1:7" s="172" customFormat="1" ht="15" customHeight="1" x14ac:dyDescent="0.25">
      <c r="A244" s="810" t="s">
        <v>13870</v>
      </c>
      <c r="B244" s="807" t="s">
        <v>13792</v>
      </c>
      <c r="C244" s="807" t="s">
        <v>13792</v>
      </c>
      <c r="D244" s="808" t="s">
        <v>13872</v>
      </c>
      <c r="E244" s="808" t="s">
        <v>8788</v>
      </c>
      <c r="F244" s="809">
        <v>60</v>
      </c>
      <c r="G244" s="202" t="str">
        <f t="shared" si="3"/>
        <v/>
      </c>
    </row>
    <row r="245" spans="1:7" s="172" customFormat="1" ht="15" customHeight="1" x14ac:dyDescent="0.25">
      <c r="A245" s="810" t="s">
        <v>13824</v>
      </c>
      <c r="B245" s="807" t="s">
        <v>13792</v>
      </c>
      <c r="C245" s="807" t="s">
        <v>13792</v>
      </c>
      <c r="D245" s="808" t="s">
        <v>13873</v>
      </c>
      <c r="E245" s="808" t="s">
        <v>8784</v>
      </c>
      <c r="F245" s="809">
        <v>50</v>
      </c>
      <c r="G245" s="202" t="str">
        <f t="shared" si="3"/>
        <v/>
      </c>
    </row>
    <row r="246" spans="1:7" s="172" customFormat="1" ht="15" customHeight="1" x14ac:dyDescent="0.25">
      <c r="A246" s="810" t="s">
        <v>13824</v>
      </c>
      <c r="B246" s="807" t="s">
        <v>13792</v>
      </c>
      <c r="C246" s="807" t="s">
        <v>13792</v>
      </c>
      <c r="D246" s="808" t="s">
        <v>13874</v>
      </c>
      <c r="E246" s="808" t="s">
        <v>8788</v>
      </c>
      <c r="F246" s="809">
        <v>30</v>
      </c>
      <c r="G246" s="202" t="str">
        <f t="shared" si="3"/>
        <v/>
      </c>
    </row>
    <row r="247" spans="1:7" s="172" customFormat="1" ht="15" customHeight="1" x14ac:dyDescent="0.25">
      <c r="A247" s="810" t="s">
        <v>12725</v>
      </c>
      <c r="B247" s="807" t="s">
        <v>13792</v>
      </c>
      <c r="C247" s="807" t="s">
        <v>13792</v>
      </c>
      <c r="D247" s="808" t="s">
        <v>13875</v>
      </c>
      <c r="E247" s="808" t="s">
        <v>8765</v>
      </c>
      <c r="F247" s="809">
        <v>1</v>
      </c>
      <c r="G247" s="202" t="str">
        <f t="shared" si="3"/>
        <v/>
      </c>
    </row>
    <row r="248" spans="1:7" s="172" customFormat="1" ht="15" customHeight="1" x14ac:dyDescent="0.25">
      <c r="A248" s="810" t="s">
        <v>13876</v>
      </c>
      <c r="B248" s="807" t="s">
        <v>13792</v>
      </c>
      <c r="C248" s="807" t="s">
        <v>13792</v>
      </c>
      <c r="D248" s="808" t="s">
        <v>13877</v>
      </c>
      <c r="E248" s="808" t="s">
        <v>8790</v>
      </c>
      <c r="F248" s="809">
        <v>5</v>
      </c>
      <c r="G248" s="202" t="str">
        <f t="shared" si="3"/>
        <v/>
      </c>
    </row>
    <row r="249" spans="1:7" s="172" customFormat="1" ht="15" customHeight="1" x14ac:dyDescent="0.25">
      <c r="A249" s="810" t="s">
        <v>13878</v>
      </c>
      <c r="B249" s="807" t="s">
        <v>13792</v>
      </c>
      <c r="C249" s="807" t="s">
        <v>13792</v>
      </c>
      <c r="D249" s="808" t="s">
        <v>13879</v>
      </c>
      <c r="E249" s="808" t="s">
        <v>8790</v>
      </c>
      <c r="F249" s="809">
        <v>5</v>
      </c>
      <c r="G249" s="202" t="str">
        <f t="shared" si="3"/>
        <v/>
      </c>
    </row>
    <row r="250" spans="1:7" s="172" customFormat="1" ht="15" customHeight="1" x14ac:dyDescent="0.25">
      <c r="A250" s="810" t="s">
        <v>13880</v>
      </c>
      <c r="B250" s="807" t="s">
        <v>13792</v>
      </c>
      <c r="C250" s="807" t="s">
        <v>13792</v>
      </c>
      <c r="D250" s="808" t="s">
        <v>13881</v>
      </c>
      <c r="E250" s="808" t="s">
        <v>8790</v>
      </c>
      <c r="F250" s="809">
        <v>5</v>
      </c>
      <c r="G250" s="202" t="str">
        <f t="shared" si="3"/>
        <v/>
      </c>
    </row>
    <row r="251" spans="1:7" s="172" customFormat="1" ht="15" customHeight="1" x14ac:dyDescent="0.25">
      <c r="A251" s="810" t="s">
        <v>13882</v>
      </c>
      <c r="B251" s="807" t="s">
        <v>13792</v>
      </c>
      <c r="C251" s="807" t="s">
        <v>13792</v>
      </c>
      <c r="D251" s="808" t="s">
        <v>13883</v>
      </c>
      <c r="E251" s="808" t="s">
        <v>8761</v>
      </c>
      <c r="F251" s="809">
        <v>15</v>
      </c>
      <c r="G251" s="202" t="str">
        <f t="shared" si="3"/>
        <v/>
      </c>
    </row>
    <row r="252" spans="1:7" s="172" customFormat="1" ht="15" customHeight="1" x14ac:dyDescent="0.25">
      <c r="A252" s="810" t="s">
        <v>13884</v>
      </c>
      <c r="B252" s="807" t="s">
        <v>13792</v>
      </c>
      <c r="C252" s="807" t="s">
        <v>13792</v>
      </c>
      <c r="D252" s="808" t="s">
        <v>13885</v>
      </c>
      <c r="E252" s="808" t="s">
        <v>8771</v>
      </c>
      <c r="F252" s="809">
        <v>10</v>
      </c>
      <c r="G252" s="202" t="str">
        <f t="shared" si="3"/>
        <v/>
      </c>
    </row>
    <row r="253" spans="1:7" s="172" customFormat="1" ht="15" customHeight="1" x14ac:dyDescent="0.25">
      <c r="A253" s="810" t="s">
        <v>13886</v>
      </c>
      <c r="B253" s="807" t="s">
        <v>13792</v>
      </c>
      <c r="C253" s="807" t="s">
        <v>13792</v>
      </c>
      <c r="D253" s="808" t="s">
        <v>13887</v>
      </c>
      <c r="E253" s="808" t="s">
        <v>8761</v>
      </c>
      <c r="F253" s="809">
        <v>5</v>
      </c>
      <c r="G253" s="202" t="str">
        <f t="shared" si="3"/>
        <v/>
      </c>
    </row>
    <row r="254" spans="1:7" s="172" customFormat="1" ht="15" customHeight="1" x14ac:dyDescent="0.25">
      <c r="A254" s="810" t="s">
        <v>13886</v>
      </c>
      <c r="B254" s="807" t="s">
        <v>13792</v>
      </c>
      <c r="C254" s="807" t="s">
        <v>13792</v>
      </c>
      <c r="D254" s="808" t="s">
        <v>13888</v>
      </c>
      <c r="E254" s="808" t="s">
        <v>8774</v>
      </c>
      <c r="F254" s="809">
        <v>5</v>
      </c>
      <c r="G254" s="202" t="str">
        <f t="shared" si="3"/>
        <v/>
      </c>
    </row>
    <row r="255" spans="1:7" s="172" customFormat="1" ht="15" customHeight="1" x14ac:dyDescent="0.25">
      <c r="A255" s="810" t="s">
        <v>13889</v>
      </c>
      <c r="B255" s="807" t="s">
        <v>13792</v>
      </c>
      <c r="C255" s="807" t="s">
        <v>13792</v>
      </c>
      <c r="D255" s="808" t="s">
        <v>13890</v>
      </c>
      <c r="E255" s="808" t="s">
        <v>2429</v>
      </c>
      <c r="F255" s="809">
        <v>5</v>
      </c>
      <c r="G255" s="202" t="str">
        <f t="shared" si="3"/>
        <v/>
      </c>
    </row>
    <row r="256" spans="1:7" s="172" customFormat="1" ht="15" customHeight="1" x14ac:dyDescent="0.25">
      <c r="A256" s="810" t="s">
        <v>13891</v>
      </c>
      <c r="B256" s="807" t="s">
        <v>13792</v>
      </c>
      <c r="C256" s="807" t="s">
        <v>13792</v>
      </c>
      <c r="D256" s="808" t="s">
        <v>13892</v>
      </c>
      <c r="E256" s="808" t="s">
        <v>8784</v>
      </c>
      <c r="F256" s="809">
        <v>60</v>
      </c>
      <c r="G256" s="202" t="str">
        <f t="shared" si="3"/>
        <v/>
      </c>
    </row>
    <row r="257" spans="1:7" s="172" customFormat="1" ht="15" customHeight="1" x14ac:dyDescent="0.25">
      <c r="A257" s="810" t="s">
        <v>13893</v>
      </c>
      <c r="B257" s="807" t="s">
        <v>13792</v>
      </c>
      <c r="C257" s="807" t="s">
        <v>13792</v>
      </c>
      <c r="D257" s="808" t="s">
        <v>13894</v>
      </c>
      <c r="E257" s="808" t="s">
        <v>8876</v>
      </c>
      <c r="F257" s="809">
        <v>20</v>
      </c>
      <c r="G257" s="202" t="str">
        <f t="shared" si="3"/>
        <v/>
      </c>
    </row>
    <row r="258" spans="1:7" s="172" customFormat="1" ht="15" customHeight="1" x14ac:dyDescent="0.25">
      <c r="A258" s="810" t="s">
        <v>13895</v>
      </c>
      <c r="B258" s="807" t="s">
        <v>13792</v>
      </c>
      <c r="C258" s="807" t="s">
        <v>13792</v>
      </c>
      <c r="D258" s="808" t="s">
        <v>13896</v>
      </c>
      <c r="E258" s="808" t="s">
        <v>8788</v>
      </c>
      <c r="F258" s="809">
        <v>35</v>
      </c>
      <c r="G258" s="202" t="str">
        <f t="shared" si="3"/>
        <v/>
      </c>
    </row>
    <row r="259" spans="1:7" s="172" customFormat="1" ht="15" customHeight="1" x14ac:dyDescent="0.25">
      <c r="A259" s="810" t="s">
        <v>13895</v>
      </c>
      <c r="B259" s="807" t="s">
        <v>13792</v>
      </c>
      <c r="C259" s="807" t="s">
        <v>13792</v>
      </c>
      <c r="D259" s="808" t="s">
        <v>13897</v>
      </c>
      <c r="E259" s="808" t="s">
        <v>8788</v>
      </c>
      <c r="F259" s="809">
        <v>35</v>
      </c>
      <c r="G259" s="202" t="str">
        <f t="shared" si="3"/>
        <v/>
      </c>
    </row>
    <row r="260" spans="1:7" s="172" customFormat="1" ht="15" customHeight="1" x14ac:dyDescent="0.25">
      <c r="A260" s="810" t="s">
        <v>4861</v>
      </c>
      <c r="B260" s="807" t="s">
        <v>13792</v>
      </c>
      <c r="C260" s="807" t="s">
        <v>13792</v>
      </c>
      <c r="D260" s="808" t="s">
        <v>13898</v>
      </c>
      <c r="E260" s="808" t="s">
        <v>8765</v>
      </c>
      <c r="F260" s="809">
        <v>20</v>
      </c>
      <c r="G260" s="202" t="str">
        <f t="shared" ref="G260:G323" si="4">IF(E260=F260,"не загружен","")</f>
        <v/>
      </c>
    </row>
    <row r="261" spans="1:7" s="172" customFormat="1" ht="15" customHeight="1" x14ac:dyDescent="0.25">
      <c r="A261" s="810" t="s">
        <v>13895</v>
      </c>
      <c r="B261" s="807" t="s">
        <v>13792</v>
      </c>
      <c r="C261" s="807" t="s">
        <v>13792</v>
      </c>
      <c r="D261" s="808" t="s">
        <v>13899</v>
      </c>
      <c r="E261" s="808" t="s">
        <v>8784</v>
      </c>
      <c r="F261" s="809">
        <v>150</v>
      </c>
      <c r="G261" s="202" t="str">
        <f t="shared" si="4"/>
        <v/>
      </c>
    </row>
    <row r="262" spans="1:7" s="172" customFormat="1" ht="15" customHeight="1" x14ac:dyDescent="0.25">
      <c r="A262" s="810" t="s">
        <v>7635</v>
      </c>
      <c r="B262" s="807" t="s">
        <v>13792</v>
      </c>
      <c r="C262" s="807" t="s">
        <v>13792</v>
      </c>
      <c r="D262" s="808" t="s">
        <v>13900</v>
      </c>
      <c r="E262" s="808" t="s">
        <v>8763</v>
      </c>
      <c r="F262" s="809">
        <v>300</v>
      </c>
      <c r="G262" s="202" t="str">
        <f t="shared" si="4"/>
        <v/>
      </c>
    </row>
    <row r="263" spans="1:7" s="172" customFormat="1" ht="15" customHeight="1" x14ac:dyDescent="0.25">
      <c r="A263" s="810" t="s">
        <v>7635</v>
      </c>
      <c r="B263" s="807" t="s">
        <v>13792</v>
      </c>
      <c r="C263" s="807" t="s">
        <v>13792</v>
      </c>
      <c r="D263" s="808" t="s">
        <v>13901</v>
      </c>
      <c r="E263" s="808" t="s">
        <v>8771</v>
      </c>
      <c r="F263" s="809">
        <v>60</v>
      </c>
      <c r="G263" s="202" t="str">
        <f t="shared" si="4"/>
        <v/>
      </c>
    </row>
    <row r="264" spans="1:7" s="172" customFormat="1" ht="15" customHeight="1" x14ac:dyDescent="0.25">
      <c r="A264" s="810" t="s">
        <v>7635</v>
      </c>
      <c r="B264" s="807" t="s">
        <v>13792</v>
      </c>
      <c r="C264" s="807" t="s">
        <v>13792</v>
      </c>
      <c r="D264" s="808" t="s">
        <v>13902</v>
      </c>
      <c r="E264" s="808" t="s">
        <v>8763</v>
      </c>
      <c r="F264" s="809">
        <v>350</v>
      </c>
      <c r="G264" s="202" t="str">
        <f t="shared" si="4"/>
        <v/>
      </c>
    </row>
    <row r="265" spans="1:7" s="172" customFormat="1" ht="15" customHeight="1" x14ac:dyDescent="0.25">
      <c r="A265" s="810" t="s">
        <v>7635</v>
      </c>
      <c r="B265" s="807" t="s">
        <v>13792</v>
      </c>
      <c r="C265" s="807" t="s">
        <v>13792</v>
      </c>
      <c r="D265" s="808" t="s">
        <v>13903</v>
      </c>
      <c r="E265" s="808" t="s">
        <v>8761</v>
      </c>
      <c r="F265" s="809">
        <v>80</v>
      </c>
      <c r="G265" s="202" t="str">
        <f t="shared" si="4"/>
        <v/>
      </c>
    </row>
    <row r="266" spans="1:7" s="172" customFormat="1" ht="15" customHeight="1" x14ac:dyDescent="0.25">
      <c r="A266" s="810" t="s">
        <v>7635</v>
      </c>
      <c r="B266" s="807" t="s">
        <v>13792</v>
      </c>
      <c r="C266" s="807" t="s">
        <v>13792</v>
      </c>
      <c r="D266" s="808" t="s">
        <v>13904</v>
      </c>
      <c r="E266" s="808" t="s">
        <v>18471</v>
      </c>
      <c r="F266" s="809">
        <v>570</v>
      </c>
      <c r="G266" s="202" t="str">
        <f t="shared" si="4"/>
        <v/>
      </c>
    </row>
    <row r="267" spans="1:7" s="172" customFormat="1" ht="15" customHeight="1" x14ac:dyDescent="0.25">
      <c r="A267" s="810" t="s">
        <v>7635</v>
      </c>
      <c r="B267" s="807" t="s">
        <v>13792</v>
      </c>
      <c r="C267" s="807" t="s">
        <v>13792</v>
      </c>
      <c r="D267" s="808" t="s">
        <v>13905</v>
      </c>
      <c r="E267" s="808" t="s">
        <v>8784</v>
      </c>
      <c r="F267" s="809">
        <v>130</v>
      </c>
      <c r="G267" s="202" t="str">
        <f t="shared" si="4"/>
        <v/>
      </c>
    </row>
    <row r="268" spans="1:7" s="172" customFormat="1" ht="15" customHeight="1" x14ac:dyDescent="0.25">
      <c r="A268" s="810" t="s">
        <v>7635</v>
      </c>
      <c r="B268" s="807" t="s">
        <v>13792</v>
      </c>
      <c r="C268" s="807" t="s">
        <v>13792</v>
      </c>
      <c r="D268" s="808" t="s">
        <v>13906</v>
      </c>
      <c r="E268" s="808" t="s">
        <v>8788</v>
      </c>
      <c r="F268" s="809">
        <v>60</v>
      </c>
      <c r="G268" s="202" t="str">
        <f t="shared" si="4"/>
        <v/>
      </c>
    </row>
    <row r="269" spans="1:7" s="172" customFormat="1" ht="15" customHeight="1" x14ac:dyDescent="0.25">
      <c r="A269" s="810" t="s">
        <v>13907</v>
      </c>
      <c r="B269" s="807" t="s">
        <v>13792</v>
      </c>
      <c r="C269" s="807" t="s">
        <v>13792</v>
      </c>
      <c r="D269" s="808" t="s">
        <v>13908</v>
      </c>
      <c r="E269" s="808" t="s">
        <v>8876</v>
      </c>
      <c r="F269" s="809">
        <v>5</v>
      </c>
      <c r="G269" s="202" t="str">
        <f t="shared" si="4"/>
        <v/>
      </c>
    </row>
    <row r="270" spans="1:7" s="172" customFormat="1" ht="15" customHeight="1" x14ac:dyDescent="0.25">
      <c r="A270" s="810" t="s">
        <v>13907</v>
      </c>
      <c r="B270" s="807" t="s">
        <v>13792</v>
      </c>
      <c r="C270" s="807" t="s">
        <v>13792</v>
      </c>
      <c r="D270" s="808" t="s">
        <v>13909</v>
      </c>
      <c r="E270" s="808" t="s">
        <v>8784</v>
      </c>
      <c r="F270" s="809">
        <v>50</v>
      </c>
      <c r="G270" s="202" t="str">
        <f t="shared" si="4"/>
        <v/>
      </c>
    </row>
    <row r="271" spans="1:7" s="172" customFormat="1" ht="15" customHeight="1" x14ac:dyDescent="0.25">
      <c r="A271" s="810" t="s">
        <v>13814</v>
      </c>
      <c r="B271" s="807" t="s">
        <v>13792</v>
      </c>
      <c r="C271" s="807" t="s">
        <v>13792</v>
      </c>
      <c r="D271" s="808" t="s">
        <v>13910</v>
      </c>
      <c r="E271" s="808" t="s">
        <v>8788</v>
      </c>
      <c r="F271" s="809">
        <v>60</v>
      </c>
      <c r="G271" s="202" t="str">
        <f t="shared" si="4"/>
        <v/>
      </c>
    </row>
    <row r="272" spans="1:7" s="172" customFormat="1" ht="15" customHeight="1" x14ac:dyDescent="0.25">
      <c r="A272" s="810" t="s">
        <v>13814</v>
      </c>
      <c r="B272" s="807" t="s">
        <v>13792</v>
      </c>
      <c r="C272" s="807" t="s">
        <v>13792</v>
      </c>
      <c r="D272" s="808" t="s">
        <v>13911</v>
      </c>
      <c r="E272" s="808" t="s">
        <v>8763</v>
      </c>
      <c r="F272" s="809">
        <v>300</v>
      </c>
      <c r="G272" s="202" t="str">
        <f t="shared" si="4"/>
        <v/>
      </c>
    </row>
    <row r="273" spans="1:7" s="172" customFormat="1" ht="15" customHeight="1" x14ac:dyDescent="0.25">
      <c r="A273" s="810" t="s">
        <v>13912</v>
      </c>
      <c r="B273" s="807" t="s">
        <v>13792</v>
      </c>
      <c r="C273" s="807" t="s">
        <v>13792</v>
      </c>
      <c r="D273" s="808" t="s">
        <v>13913</v>
      </c>
      <c r="E273" s="808" t="s">
        <v>8788</v>
      </c>
      <c r="F273" s="809">
        <v>90</v>
      </c>
      <c r="G273" s="202" t="str">
        <f t="shared" si="4"/>
        <v/>
      </c>
    </row>
    <row r="274" spans="1:7" s="172" customFormat="1" ht="15" customHeight="1" x14ac:dyDescent="0.25">
      <c r="A274" s="810" t="s">
        <v>13914</v>
      </c>
      <c r="B274" s="807" t="s">
        <v>13792</v>
      </c>
      <c r="C274" s="807" t="s">
        <v>13792</v>
      </c>
      <c r="D274" s="808" t="s">
        <v>13915</v>
      </c>
      <c r="E274" s="808" t="s">
        <v>8784</v>
      </c>
      <c r="F274" s="809">
        <v>40</v>
      </c>
      <c r="G274" s="202" t="str">
        <f t="shared" si="4"/>
        <v/>
      </c>
    </row>
    <row r="275" spans="1:7" s="172" customFormat="1" ht="15" customHeight="1" x14ac:dyDescent="0.25">
      <c r="A275" s="810" t="s">
        <v>6167</v>
      </c>
      <c r="B275" s="807" t="s">
        <v>13792</v>
      </c>
      <c r="C275" s="807" t="s">
        <v>13792</v>
      </c>
      <c r="D275" s="808" t="s">
        <v>13916</v>
      </c>
      <c r="E275" s="808" t="s">
        <v>8788</v>
      </c>
      <c r="F275" s="809">
        <v>120</v>
      </c>
      <c r="G275" s="202" t="str">
        <f t="shared" si="4"/>
        <v/>
      </c>
    </row>
    <row r="276" spans="1:7" s="172" customFormat="1" ht="15" customHeight="1" x14ac:dyDescent="0.25">
      <c r="A276" s="810" t="s">
        <v>13814</v>
      </c>
      <c r="B276" s="807" t="s">
        <v>13792</v>
      </c>
      <c r="C276" s="807" t="s">
        <v>13792</v>
      </c>
      <c r="D276" s="808" t="s">
        <v>13917</v>
      </c>
      <c r="E276" s="808" t="s">
        <v>8788</v>
      </c>
      <c r="F276" s="809">
        <v>60</v>
      </c>
      <c r="G276" s="202" t="str">
        <f t="shared" si="4"/>
        <v/>
      </c>
    </row>
    <row r="277" spans="1:7" s="172" customFormat="1" ht="15" customHeight="1" x14ac:dyDescent="0.25">
      <c r="A277" s="810" t="s">
        <v>13814</v>
      </c>
      <c r="B277" s="807" t="s">
        <v>13792</v>
      </c>
      <c r="C277" s="807" t="s">
        <v>13792</v>
      </c>
      <c r="D277" s="808" t="s">
        <v>13918</v>
      </c>
      <c r="E277" s="808" t="s">
        <v>8788</v>
      </c>
      <c r="F277" s="809">
        <v>25</v>
      </c>
      <c r="G277" s="202" t="str">
        <f t="shared" si="4"/>
        <v/>
      </c>
    </row>
    <row r="278" spans="1:7" s="172" customFormat="1" ht="15" customHeight="1" x14ac:dyDescent="0.25">
      <c r="A278" s="810" t="s">
        <v>13919</v>
      </c>
      <c r="B278" s="807" t="s">
        <v>13792</v>
      </c>
      <c r="C278" s="807" t="s">
        <v>13792</v>
      </c>
      <c r="D278" s="808" t="s">
        <v>13920</v>
      </c>
      <c r="E278" s="808" t="s">
        <v>8761</v>
      </c>
      <c r="F278" s="809">
        <v>100</v>
      </c>
      <c r="G278" s="202" t="str">
        <f t="shared" si="4"/>
        <v/>
      </c>
    </row>
    <row r="279" spans="1:7" s="172" customFormat="1" ht="15" customHeight="1" x14ac:dyDescent="0.25">
      <c r="A279" s="810" t="s">
        <v>13814</v>
      </c>
      <c r="B279" s="807" t="s">
        <v>13792</v>
      </c>
      <c r="C279" s="807" t="s">
        <v>13792</v>
      </c>
      <c r="D279" s="808" t="s">
        <v>13921</v>
      </c>
      <c r="E279" s="808" t="s">
        <v>8784</v>
      </c>
      <c r="F279" s="809">
        <v>60</v>
      </c>
      <c r="G279" s="202" t="str">
        <f t="shared" si="4"/>
        <v/>
      </c>
    </row>
    <row r="280" spans="1:7" s="172" customFormat="1" ht="15" customHeight="1" x14ac:dyDescent="0.25">
      <c r="A280" s="810" t="s">
        <v>13814</v>
      </c>
      <c r="B280" s="807" t="s">
        <v>13792</v>
      </c>
      <c r="C280" s="807" t="s">
        <v>13792</v>
      </c>
      <c r="D280" s="808" t="s">
        <v>13922</v>
      </c>
      <c r="E280" s="808" t="s">
        <v>8788</v>
      </c>
      <c r="F280" s="809">
        <v>150</v>
      </c>
      <c r="G280" s="202" t="str">
        <f t="shared" si="4"/>
        <v/>
      </c>
    </row>
    <row r="281" spans="1:7" s="172" customFormat="1" ht="15" customHeight="1" x14ac:dyDescent="0.25">
      <c r="A281" s="810" t="s">
        <v>13814</v>
      </c>
      <c r="B281" s="807" t="s">
        <v>13792</v>
      </c>
      <c r="C281" s="807" t="s">
        <v>13792</v>
      </c>
      <c r="D281" s="808" t="s">
        <v>13923</v>
      </c>
      <c r="E281" s="808" t="s">
        <v>8784</v>
      </c>
      <c r="F281" s="809">
        <v>60</v>
      </c>
      <c r="G281" s="202" t="str">
        <f t="shared" si="4"/>
        <v/>
      </c>
    </row>
    <row r="282" spans="1:7" s="172" customFormat="1" ht="15" customHeight="1" x14ac:dyDescent="0.25">
      <c r="A282" s="810" t="s">
        <v>13814</v>
      </c>
      <c r="B282" s="807" t="s">
        <v>13792</v>
      </c>
      <c r="C282" s="807" t="s">
        <v>13792</v>
      </c>
      <c r="D282" s="808" t="s">
        <v>13924</v>
      </c>
      <c r="E282" s="808" t="s">
        <v>8788</v>
      </c>
      <c r="F282" s="809">
        <v>10</v>
      </c>
      <c r="G282" s="202" t="str">
        <f t="shared" si="4"/>
        <v/>
      </c>
    </row>
    <row r="283" spans="1:7" s="172" customFormat="1" ht="15" customHeight="1" x14ac:dyDescent="0.25">
      <c r="A283" s="810" t="s">
        <v>8748</v>
      </c>
      <c r="B283" s="807" t="s">
        <v>13792</v>
      </c>
      <c r="C283" s="807" t="s">
        <v>13792</v>
      </c>
      <c r="D283" s="808" t="s">
        <v>13925</v>
      </c>
      <c r="E283" s="808" t="s">
        <v>8790</v>
      </c>
      <c r="F283" s="809">
        <v>50</v>
      </c>
      <c r="G283" s="202" t="str">
        <f t="shared" si="4"/>
        <v/>
      </c>
    </row>
    <row r="284" spans="1:7" s="172" customFormat="1" ht="15" customHeight="1" x14ac:dyDescent="0.25">
      <c r="A284" s="810" t="s">
        <v>13926</v>
      </c>
      <c r="B284" s="807" t="s">
        <v>13792</v>
      </c>
      <c r="C284" s="807" t="s">
        <v>13792</v>
      </c>
      <c r="D284" s="808" t="s">
        <v>13927</v>
      </c>
      <c r="E284" s="808" t="s">
        <v>8761</v>
      </c>
      <c r="F284" s="809">
        <v>20</v>
      </c>
      <c r="G284" s="202" t="str">
        <f t="shared" si="4"/>
        <v/>
      </c>
    </row>
    <row r="285" spans="1:7" s="172" customFormat="1" ht="15" customHeight="1" x14ac:dyDescent="0.25">
      <c r="A285" s="810" t="s">
        <v>13928</v>
      </c>
      <c r="B285" s="807" t="s">
        <v>13792</v>
      </c>
      <c r="C285" s="807" t="s">
        <v>13792</v>
      </c>
      <c r="D285" s="808" t="s">
        <v>13929</v>
      </c>
      <c r="E285" s="808" t="s">
        <v>8761</v>
      </c>
      <c r="F285" s="809">
        <v>25</v>
      </c>
      <c r="G285" s="202" t="str">
        <f t="shared" si="4"/>
        <v/>
      </c>
    </row>
    <row r="286" spans="1:7" s="172" customFormat="1" ht="15" customHeight="1" x14ac:dyDescent="0.25">
      <c r="A286" s="810" t="s">
        <v>13930</v>
      </c>
      <c r="B286" s="807" t="s">
        <v>13792</v>
      </c>
      <c r="C286" s="807" t="s">
        <v>13792</v>
      </c>
      <c r="D286" s="808" t="s">
        <v>13931</v>
      </c>
      <c r="E286" s="808" t="s">
        <v>8788</v>
      </c>
      <c r="F286" s="809">
        <v>60</v>
      </c>
      <c r="G286" s="202" t="str">
        <f t="shared" si="4"/>
        <v/>
      </c>
    </row>
    <row r="287" spans="1:7" s="172" customFormat="1" ht="15" customHeight="1" x14ac:dyDescent="0.25">
      <c r="A287" s="810" t="s">
        <v>6330</v>
      </c>
      <c r="B287" s="807" t="s">
        <v>13792</v>
      </c>
      <c r="C287" s="807" t="s">
        <v>13792</v>
      </c>
      <c r="D287" s="808" t="s">
        <v>13932</v>
      </c>
      <c r="E287" s="808" t="s">
        <v>8771</v>
      </c>
      <c r="F287" s="809">
        <v>20</v>
      </c>
      <c r="G287" s="202" t="str">
        <f t="shared" si="4"/>
        <v/>
      </c>
    </row>
    <row r="288" spans="1:7" s="172" customFormat="1" ht="15" customHeight="1" x14ac:dyDescent="0.25">
      <c r="A288" s="810" t="s">
        <v>13933</v>
      </c>
      <c r="B288" s="807" t="s">
        <v>13792</v>
      </c>
      <c r="C288" s="807" t="s">
        <v>13792</v>
      </c>
      <c r="D288" s="808" t="s">
        <v>13934</v>
      </c>
      <c r="E288" s="808" t="s">
        <v>8761</v>
      </c>
      <c r="F288" s="809">
        <v>50</v>
      </c>
      <c r="G288" s="202" t="str">
        <f t="shared" si="4"/>
        <v/>
      </c>
    </row>
    <row r="289" spans="1:7" s="172" customFormat="1" ht="15" customHeight="1" x14ac:dyDescent="0.25">
      <c r="A289" s="810" t="s">
        <v>13935</v>
      </c>
      <c r="B289" s="807" t="s">
        <v>13792</v>
      </c>
      <c r="C289" s="807" t="s">
        <v>13792</v>
      </c>
      <c r="D289" s="808" t="s">
        <v>13936</v>
      </c>
      <c r="E289" s="808" t="s">
        <v>8788</v>
      </c>
      <c r="F289" s="809">
        <v>35</v>
      </c>
      <c r="G289" s="202" t="str">
        <f t="shared" si="4"/>
        <v/>
      </c>
    </row>
    <row r="290" spans="1:7" s="172" customFormat="1" ht="15" customHeight="1" x14ac:dyDescent="0.25">
      <c r="A290" s="810" t="s">
        <v>13935</v>
      </c>
      <c r="B290" s="807" t="s">
        <v>13792</v>
      </c>
      <c r="C290" s="807" t="s">
        <v>13792</v>
      </c>
      <c r="D290" s="808" t="s">
        <v>13937</v>
      </c>
      <c r="E290" s="808" t="s">
        <v>8790</v>
      </c>
      <c r="F290" s="809">
        <v>15</v>
      </c>
      <c r="G290" s="202" t="str">
        <f t="shared" si="4"/>
        <v/>
      </c>
    </row>
    <row r="291" spans="1:7" s="172" customFormat="1" ht="15" customHeight="1" x14ac:dyDescent="0.25">
      <c r="A291" s="809" t="s">
        <v>13938</v>
      </c>
      <c r="B291" s="807" t="s">
        <v>13792</v>
      </c>
      <c r="C291" s="807" t="s">
        <v>13792</v>
      </c>
      <c r="D291" s="808" t="s">
        <v>13939</v>
      </c>
      <c r="E291" s="808" t="s">
        <v>8784</v>
      </c>
      <c r="F291" s="811">
        <v>150</v>
      </c>
      <c r="G291" s="202" t="str">
        <f t="shared" si="4"/>
        <v/>
      </c>
    </row>
    <row r="292" spans="1:7" s="172" customFormat="1" ht="15" customHeight="1" x14ac:dyDescent="0.25">
      <c r="A292" s="809" t="s">
        <v>13938</v>
      </c>
      <c r="B292" s="807" t="s">
        <v>13792</v>
      </c>
      <c r="C292" s="807" t="s">
        <v>13792</v>
      </c>
      <c r="D292" s="808" t="s">
        <v>13940</v>
      </c>
      <c r="E292" s="808" t="s">
        <v>8763</v>
      </c>
      <c r="F292" s="805">
        <v>299</v>
      </c>
      <c r="G292" s="202" t="str">
        <f t="shared" si="4"/>
        <v/>
      </c>
    </row>
    <row r="293" spans="1:7" s="172" customFormat="1" ht="15" customHeight="1" x14ac:dyDescent="0.25">
      <c r="A293" s="809" t="s">
        <v>13938</v>
      </c>
      <c r="B293" s="807" t="s">
        <v>13792</v>
      </c>
      <c r="C293" s="807" t="s">
        <v>13792</v>
      </c>
      <c r="D293" s="808" t="s">
        <v>13941</v>
      </c>
      <c r="E293" s="808" t="s">
        <v>8788</v>
      </c>
      <c r="F293" s="811">
        <v>100</v>
      </c>
      <c r="G293" s="202" t="str">
        <f t="shared" si="4"/>
        <v/>
      </c>
    </row>
    <row r="294" spans="1:7" s="172" customFormat="1" ht="15" customHeight="1" x14ac:dyDescent="0.25">
      <c r="A294" s="809" t="s">
        <v>13942</v>
      </c>
      <c r="B294" s="807" t="s">
        <v>13792</v>
      </c>
      <c r="C294" s="807" t="s">
        <v>13792</v>
      </c>
      <c r="D294" s="808" t="s">
        <v>13943</v>
      </c>
      <c r="E294" s="808" t="s">
        <v>2429</v>
      </c>
      <c r="F294" s="811">
        <v>5</v>
      </c>
      <c r="G294" s="202" t="str">
        <f t="shared" si="4"/>
        <v/>
      </c>
    </row>
    <row r="295" spans="1:7" s="172" customFormat="1" ht="15" customHeight="1" x14ac:dyDescent="0.25">
      <c r="A295" s="809" t="s">
        <v>13944</v>
      </c>
      <c r="B295" s="807" t="s">
        <v>13792</v>
      </c>
      <c r="C295" s="807" t="s">
        <v>13792</v>
      </c>
      <c r="D295" s="808" t="s">
        <v>13945</v>
      </c>
      <c r="E295" s="808" t="s">
        <v>8771</v>
      </c>
      <c r="F295" s="811">
        <v>30</v>
      </c>
      <c r="G295" s="202" t="str">
        <f t="shared" si="4"/>
        <v/>
      </c>
    </row>
    <row r="296" spans="1:7" s="172" customFormat="1" ht="15" customHeight="1" x14ac:dyDescent="0.25">
      <c r="A296" s="809" t="s">
        <v>13946</v>
      </c>
      <c r="B296" s="807" t="s">
        <v>13792</v>
      </c>
      <c r="C296" s="807" t="s">
        <v>13792</v>
      </c>
      <c r="D296" s="808" t="s">
        <v>13947</v>
      </c>
      <c r="E296" s="808" t="s">
        <v>8774</v>
      </c>
      <c r="F296" s="811">
        <v>20</v>
      </c>
      <c r="G296" s="202" t="str">
        <f t="shared" si="4"/>
        <v/>
      </c>
    </row>
    <row r="297" spans="1:7" s="172" customFormat="1" ht="15" customHeight="1" x14ac:dyDescent="0.25">
      <c r="A297" s="809" t="s">
        <v>13848</v>
      </c>
      <c r="B297" s="807" t="s">
        <v>13792</v>
      </c>
      <c r="C297" s="807" t="s">
        <v>13792</v>
      </c>
      <c r="D297" s="808" t="s">
        <v>13948</v>
      </c>
      <c r="E297" s="808" t="s">
        <v>8784</v>
      </c>
      <c r="F297" s="811">
        <v>150</v>
      </c>
      <c r="G297" s="202" t="str">
        <f t="shared" si="4"/>
        <v/>
      </c>
    </row>
    <row r="298" spans="1:7" s="172" customFormat="1" ht="15" customHeight="1" x14ac:dyDescent="0.25">
      <c r="A298" s="809" t="s">
        <v>13949</v>
      </c>
      <c r="B298" s="807" t="s">
        <v>13792</v>
      </c>
      <c r="C298" s="807" t="s">
        <v>13792</v>
      </c>
      <c r="D298" s="808" t="s">
        <v>13950</v>
      </c>
      <c r="E298" s="808" t="s">
        <v>8761</v>
      </c>
      <c r="F298" s="811">
        <v>75</v>
      </c>
      <c r="G298" s="202" t="str">
        <f t="shared" si="4"/>
        <v/>
      </c>
    </row>
    <row r="299" spans="1:7" s="172" customFormat="1" ht="15" customHeight="1" x14ac:dyDescent="0.25">
      <c r="A299" s="809" t="s">
        <v>13951</v>
      </c>
      <c r="B299" s="807" t="s">
        <v>13792</v>
      </c>
      <c r="C299" s="807" t="s">
        <v>13792</v>
      </c>
      <c r="D299" s="808" t="s">
        <v>13952</v>
      </c>
      <c r="E299" s="808" t="s">
        <v>8765</v>
      </c>
      <c r="F299" s="811">
        <v>45</v>
      </c>
      <c r="G299" s="202" t="str">
        <f t="shared" si="4"/>
        <v/>
      </c>
    </row>
    <row r="300" spans="1:7" s="172" customFormat="1" ht="15" customHeight="1" x14ac:dyDescent="0.25">
      <c r="A300" s="809" t="s">
        <v>3023</v>
      </c>
      <c r="B300" s="807" t="s">
        <v>13792</v>
      </c>
      <c r="C300" s="807" t="s">
        <v>13792</v>
      </c>
      <c r="D300" s="808" t="s">
        <v>13953</v>
      </c>
      <c r="E300" s="808" t="s">
        <v>2429</v>
      </c>
      <c r="F300" s="811">
        <v>5</v>
      </c>
      <c r="G300" s="202" t="str">
        <f t="shared" si="4"/>
        <v/>
      </c>
    </row>
    <row r="301" spans="1:7" s="172" customFormat="1" ht="15" customHeight="1" x14ac:dyDescent="0.25">
      <c r="A301" s="809" t="s">
        <v>2689</v>
      </c>
      <c r="B301" s="807" t="s">
        <v>13792</v>
      </c>
      <c r="C301" s="807" t="s">
        <v>13792</v>
      </c>
      <c r="D301" s="808" t="s">
        <v>13954</v>
      </c>
      <c r="E301" s="808" t="s">
        <v>8790</v>
      </c>
      <c r="F301" s="811">
        <v>45</v>
      </c>
      <c r="G301" s="202" t="str">
        <f t="shared" si="4"/>
        <v/>
      </c>
    </row>
    <row r="302" spans="1:7" s="172" customFormat="1" ht="15" customHeight="1" x14ac:dyDescent="0.25">
      <c r="A302" s="809" t="s">
        <v>13955</v>
      </c>
      <c r="B302" s="807" t="s">
        <v>13792</v>
      </c>
      <c r="C302" s="807" t="s">
        <v>13792</v>
      </c>
      <c r="D302" s="808" t="s">
        <v>13956</v>
      </c>
      <c r="E302" s="808" t="s">
        <v>8765</v>
      </c>
      <c r="F302" s="811">
        <v>30</v>
      </c>
      <c r="G302" s="202" t="str">
        <f t="shared" si="4"/>
        <v/>
      </c>
    </row>
    <row r="303" spans="1:7" s="172" customFormat="1" ht="15" customHeight="1" x14ac:dyDescent="0.25">
      <c r="A303" s="809" t="s">
        <v>9934</v>
      </c>
      <c r="B303" s="807" t="s">
        <v>13792</v>
      </c>
      <c r="C303" s="807" t="s">
        <v>13792</v>
      </c>
      <c r="D303" s="808" t="s">
        <v>13957</v>
      </c>
      <c r="E303" s="808" t="s">
        <v>8765</v>
      </c>
      <c r="F303" s="811">
        <v>30</v>
      </c>
      <c r="G303" s="202" t="str">
        <f t="shared" si="4"/>
        <v/>
      </c>
    </row>
    <row r="304" spans="1:7" s="172" customFormat="1" ht="15" customHeight="1" x14ac:dyDescent="0.25">
      <c r="A304" s="809" t="s">
        <v>13958</v>
      </c>
      <c r="B304" s="807" t="s">
        <v>13792</v>
      </c>
      <c r="C304" s="807" t="s">
        <v>13792</v>
      </c>
      <c r="D304" s="808" t="s">
        <v>13959</v>
      </c>
      <c r="E304" s="808" t="s">
        <v>8788</v>
      </c>
      <c r="F304" s="811">
        <v>60</v>
      </c>
      <c r="G304" s="202" t="str">
        <f t="shared" si="4"/>
        <v/>
      </c>
    </row>
    <row r="305" spans="1:7" s="172" customFormat="1" ht="15" customHeight="1" x14ac:dyDescent="0.25">
      <c r="A305" s="809" t="s">
        <v>13960</v>
      </c>
      <c r="B305" s="807" t="s">
        <v>13792</v>
      </c>
      <c r="C305" s="807" t="s">
        <v>13792</v>
      </c>
      <c r="D305" s="808" t="s">
        <v>13961</v>
      </c>
      <c r="E305" s="808" t="s">
        <v>8765</v>
      </c>
      <c r="F305" s="811">
        <v>20</v>
      </c>
      <c r="G305" s="202" t="str">
        <f t="shared" si="4"/>
        <v/>
      </c>
    </row>
    <row r="306" spans="1:7" s="172" customFormat="1" ht="15" customHeight="1" x14ac:dyDescent="0.25">
      <c r="A306" s="809" t="s">
        <v>11970</v>
      </c>
      <c r="B306" s="807" t="s">
        <v>13792</v>
      </c>
      <c r="C306" s="807" t="s">
        <v>13792</v>
      </c>
      <c r="D306" s="808" t="s">
        <v>13962</v>
      </c>
      <c r="E306" s="808" t="s">
        <v>8788</v>
      </c>
      <c r="F306" s="811">
        <v>60</v>
      </c>
      <c r="G306" s="202" t="str">
        <f t="shared" si="4"/>
        <v/>
      </c>
    </row>
    <row r="307" spans="1:7" s="172" customFormat="1" ht="15" customHeight="1" x14ac:dyDescent="0.25">
      <c r="A307" s="809" t="s">
        <v>6009</v>
      </c>
      <c r="B307" s="807" t="s">
        <v>13792</v>
      </c>
      <c r="C307" s="807" t="s">
        <v>13792</v>
      </c>
      <c r="D307" s="808" t="s">
        <v>13963</v>
      </c>
      <c r="E307" s="808" t="s">
        <v>8761</v>
      </c>
      <c r="F307" s="811">
        <v>40</v>
      </c>
      <c r="G307" s="202" t="str">
        <f t="shared" si="4"/>
        <v/>
      </c>
    </row>
    <row r="308" spans="1:7" s="172" customFormat="1" ht="15" customHeight="1" x14ac:dyDescent="0.25">
      <c r="A308" s="809" t="s">
        <v>5706</v>
      </c>
      <c r="B308" s="807" t="s">
        <v>13792</v>
      </c>
      <c r="C308" s="807" t="s">
        <v>13792</v>
      </c>
      <c r="D308" s="808" t="s">
        <v>13964</v>
      </c>
      <c r="E308" s="808" t="s">
        <v>8771</v>
      </c>
      <c r="F308" s="811">
        <v>50</v>
      </c>
      <c r="G308" s="202" t="str">
        <f t="shared" si="4"/>
        <v/>
      </c>
    </row>
    <row r="309" spans="1:7" s="172" customFormat="1" ht="15" customHeight="1" x14ac:dyDescent="0.25">
      <c r="A309" s="809" t="s">
        <v>5715</v>
      </c>
      <c r="B309" s="807" t="s">
        <v>13792</v>
      </c>
      <c r="C309" s="807" t="s">
        <v>13792</v>
      </c>
      <c r="D309" s="808" t="s">
        <v>13965</v>
      </c>
      <c r="E309" s="808" t="s">
        <v>8788</v>
      </c>
      <c r="F309" s="811">
        <v>60</v>
      </c>
      <c r="G309" s="202" t="str">
        <f t="shared" si="4"/>
        <v/>
      </c>
    </row>
    <row r="310" spans="1:7" s="172" customFormat="1" ht="15" customHeight="1" x14ac:dyDescent="0.25">
      <c r="A310" s="809" t="s">
        <v>5715</v>
      </c>
      <c r="B310" s="807" t="s">
        <v>13792</v>
      </c>
      <c r="C310" s="807" t="s">
        <v>13792</v>
      </c>
      <c r="D310" s="808" t="s">
        <v>13966</v>
      </c>
      <c r="E310" s="808" t="s">
        <v>8784</v>
      </c>
      <c r="F310" s="811">
        <v>150</v>
      </c>
      <c r="G310" s="202" t="str">
        <f t="shared" si="4"/>
        <v/>
      </c>
    </row>
    <row r="311" spans="1:7" s="172" customFormat="1" ht="15" customHeight="1" x14ac:dyDescent="0.25">
      <c r="A311" s="809" t="s">
        <v>13967</v>
      </c>
      <c r="B311" s="807" t="s">
        <v>13792</v>
      </c>
      <c r="C311" s="807" t="s">
        <v>13792</v>
      </c>
      <c r="D311" s="808" t="s">
        <v>13968</v>
      </c>
      <c r="E311" s="808" t="s">
        <v>8765</v>
      </c>
      <c r="F311" s="811">
        <v>40</v>
      </c>
      <c r="G311" s="202" t="str">
        <f t="shared" si="4"/>
        <v/>
      </c>
    </row>
    <row r="312" spans="1:7" s="172" customFormat="1" ht="15" customHeight="1" x14ac:dyDescent="0.25">
      <c r="A312" s="809" t="s">
        <v>13969</v>
      </c>
      <c r="B312" s="807" t="s">
        <v>13792</v>
      </c>
      <c r="C312" s="807" t="s">
        <v>13792</v>
      </c>
      <c r="D312" s="808" t="s">
        <v>13970</v>
      </c>
      <c r="E312" s="808" t="s">
        <v>8771</v>
      </c>
      <c r="F312" s="811">
        <v>20</v>
      </c>
      <c r="G312" s="202" t="str">
        <f t="shared" si="4"/>
        <v/>
      </c>
    </row>
    <row r="313" spans="1:7" s="172" customFormat="1" ht="15" customHeight="1" x14ac:dyDescent="0.25">
      <c r="A313" s="809" t="s">
        <v>13860</v>
      </c>
      <c r="B313" s="807" t="s">
        <v>13792</v>
      </c>
      <c r="C313" s="807" t="s">
        <v>13792</v>
      </c>
      <c r="D313" s="808" t="s">
        <v>13971</v>
      </c>
      <c r="E313" s="808" t="s">
        <v>8761</v>
      </c>
      <c r="F313" s="811">
        <v>20</v>
      </c>
      <c r="G313" s="202" t="str">
        <f t="shared" si="4"/>
        <v/>
      </c>
    </row>
    <row r="314" spans="1:7" s="172" customFormat="1" ht="15" customHeight="1" x14ac:dyDescent="0.25">
      <c r="A314" s="809" t="s">
        <v>2689</v>
      </c>
      <c r="B314" s="807" t="s">
        <v>13792</v>
      </c>
      <c r="C314" s="807" t="s">
        <v>13792</v>
      </c>
      <c r="D314" s="808" t="s">
        <v>13972</v>
      </c>
      <c r="E314" s="808" t="s">
        <v>8765</v>
      </c>
      <c r="F314" s="811">
        <v>50</v>
      </c>
      <c r="G314" s="202" t="str">
        <f t="shared" si="4"/>
        <v/>
      </c>
    </row>
    <row r="315" spans="1:7" s="172" customFormat="1" ht="15" customHeight="1" x14ac:dyDescent="0.25">
      <c r="A315" s="809" t="s">
        <v>13973</v>
      </c>
      <c r="B315" s="807" t="s">
        <v>13792</v>
      </c>
      <c r="C315" s="807" t="s">
        <v>13792</v>
      </c>
      <c r="D315" s="808" t="s">
        <v>13974</v>
      </c>
      <c r="E315" s="808" t="s">
        <v>8790</v>
      </c>
      <c r="F315" s="811">
        <v>1</v>
      </c>
      <c r="G315" s="202" t="str">
        <f t="shared" si="4"/>
        <v/>
      </c>
    </row>
    <row r="316" spans="1:7" s="172" customFormat="1" ht="15" customHeight="1" x14ac:dyDescent="0.25">
      <c r="A316" s="809" t="s">
        <v>13975</v>
      </c>
      <c r="B316" s="807" t="s">
        <v>13792</v>
      </c>
      <c r="C316" s="807" t="s">
        <v>13792</v>
      </c>
      <c r="D316" s="808" t="s">
        <v>13976</v>
      </c>
      <c r="E316" s="808" t="s">
        <v>8788</v>
      </c>
      <c r="F316" s="811">
        <v>60</v>
      </c>
      <c r="G316" s="202" t="str">
        <f t="shared" si="4"/>
        <v/>
      </c>
    </row>
    <row r="317" spans="1:7" s="172" customFormat="1" ht="15" customHeight="1" x14ac:dyDescent="0.25">
      <c r="A317" s="809" t="s">
        <v>13977</v>
      </c>
      <c r="B317" s="807" t="s">
        <v>13792</v>
      </c>
      <c r="C317" s="807" t="s">
        <v>13792</v>
      </c>
      <c r="D317" s="808" t="s">
        <v>13978</v>
      </c>
      <c r="E317" s="808" t="s">
        <v>8761</v>
      </c>
      <c r="F317" s="811">
        <v>15</v>
      </c>
      <c r="G317" s="202" t="str">
        <f t="shared" si="4"/>
        <v/>
      </c>
    </row>
    <row r="318" spans="1:7" s="172" customFormat="1" ht="15" customHeight="1" x14ac:dyDescent="0.25">
      <c r="A318" s="809" t="s">
        <v>13816</v>
      </c>
      <c r="B318" s="807" t="s">
        <v>13792</v>
      </c>
      <c r="C318" s="807" t="s">
        <v>13792</v>
      </c>
      <c r="D318" s="808" t="s">
        <v>13979</v>
      </c>
      <c r="E318" s="808" t="s">
        <v>8790</v>
      </c>
      <c r="F318" s="811">
        <v>15</v>
      </c>
      <c r="G318" s="202" t="str">
        <f t="shared" si="4"/>
        <v/>
      </c>
    </row>
    <row r="319" spans="1:7" s="172" customFormat="1" ht="15" customHeight="1" x14ac:dyDescent="0.25">
      <c r="A319" s="809" t="s">
        <v>13980</v>
      </c>
      <c r="B319" s="807" t="s">
        <v>13792</v>
      </c>
      <c r="C319" s="807" t="s">
        <v>13792</v>
      </c>
      <c r="D319" s="808" t="s">
        <v>13981</v>
      </c>
      <c r="E319" s="808" t="s">
        <v>8771</v>
      </c>
      <c r="F319" s="811">
        <v>15</v>
      </c>
      <c r="G319" s="202" t="str">
        <f t="shared" si="4"/>
        <v/>
      </c>
    </row>
    <row r="320" spans="1:7" s="172" customFormat="1" ht="15" customHeight="1" x14ac:dyDescent="0.25">
      <c r="A320" s="809" t="s">
        <v>6578</v>
      </c>
      <c r="B320" s="807" t="s">
        <v>13792</v>
      </c>
      <c r="C320" s="807" t="s">
        <v>13792</v>
      </c>
      <c r="D320" s="808" t="s">
        <v>13982</v>
      </c>
      <c r="E320" s="808" t="s">
        <v>8788</v>
      </c>
      <c r="F320" s="811">
        <v>60</v>
      </c>
      <c r="G320" s="202" t="str">
        <f t="shared" si="4"/>
        <v/>
      </c>
    </row>
    <row r="321" spans="1:7" s="172" customFormat="1" ht="15" customHeight="1" x14ac:dyDescent="0.25">
      <c r="A321" s="809" t="s">
        <v>3135</v>
      </c>
      <c r="B321" s="807" t="s">
        <v>13792</v>
      </c>
      <c r="C321" s="807" t="s">
        <v>13792</v>
      </c>
      <c r="D321" s="808" t="s">
        <v>13983</v>
      </c>
      <c r="E321" s="808" t="s">
        <v>8771</v>
      </c>
      <c r="F321" s="811">
        <v>25</v>
      </c>
      <c r="G321" s="202" t="str">
        <f t="shared" si="4"/>
        <v/>
      </c>
    </row>
    <row r="322" spans="1:7" s="172" customFormat="1" ht="15" customHeight="1" x14ac:dyDescent="0.25">
      <c r="A322" s="809" t="s">
        <v>13984</v>
      </c>
      <c r="B322" s="807" t="s">
        <v>13792</v>
      </c>
      <c r="C322" s="807" t="s">
        <v>13792</v>
      </c>
      <c r="D322" s="808" t="s">
        <v>13985</v>
      </c>
      <c r="E322" s="808" t="s">
        <v>6923</v>
      </c>
      <c r="F322" s="811">
        <v>5</v>
      </c>
      <c r="G322" s="202" t="str">
        <f t="shared" si="4"/>
        <v/>
      </c>
    </row>
    <row r="323" spans="1:7" s="172" customFormat="1" ht="15" customHeight="1" x14ac:dyDescent="0.25">
      <c r="A323" s="809" t="s">
        <v>13986</v>
      </c>
      <c r="B323" s="807" t="s">
        <v>13792</v>
      </c>
      <c r="C323" s="807" t="s">
        <v>13792</v>
      </c>
      <c r="D323" s="808" t="s">
        <v>13987</v>
      </c>
      <c r="E323" s="808" t="s">
        <v>2429</v>
      </c>
      <c r="F323" s="811">
        <v>2</v>
      </c>
      <c r="G323" s="202" t="str">
        <f t="shared" si="4"/>
        <v/>
      </c>
    </row>
    <row r="324" spans="1:7" s="172" customFormat="1" ht="15" customHeight="1" x14ac:dyDescent="0.25">
      <c r="A324" s="809" t="s">
        <v>13047</v>
      </c>
      <c r="B324" s="807" t="s">
        <v>13792</v>
      </c>
      <c r="C324" s="807" t="s">
        <v>13792</v>
      </c>
      <c r="D324" s="808" t="s">
        <v>13988</v>
      </c>
      <c r="E324" s="808" t="s">
        <v>8761</v>
      </c>
      <c r="F324" s="811">
        <v>20</v>
      </c>
      <c r="G324" s="202" t="str">
        <f t="shared" ref="G324:G387" si="5">IF(E324=F324,"не загружен","")</f>
        <v/>
      </c>
    </row>
    <row r="325" spans="1:7" s="172" customFormat="1" ht="15" customHeight="1" x14ac:dyDescent="0.25">
      <c r="A325" s="809" t="s">
        <v>13989</v>
      </c>
      <c r="B325" s="807" t="s">
        <v>13792</v>
      </c>
      <c r="C325" s="807" t="s">
        <v>13792</v>
      </c>
      <c r="D325" s="808" t="s">
        <v>13990</v>
      </c>
      <c r="E325" s="808" t="s">
        <v>8790</v>
      </c>
      <c r="F325" s="811">
        <v>2</v>
      </c>
      <c r="G325" s="202" t="str">
        <f t="shared" si="5"/>
        <v/>
      </c>
    </row>
    <row r="326" spans="1:7" s="172" customFormat="1" ht="15" customHeight="1" x14ac:dyDescent="0.25">
      <c r="A326" s="809" t="s">
        <v>13991</v>
      </c>
      <c r="B326" s="807" t="s">
        <v>13792</v>
      </c>
      <c r="C326" s="807" t="s">
        <v>13792</v>
      </c>
      <c r="D326" s="808" t="s">
        <v>13992</v>
      </c>
      <c r="E326" s="808" t="s">
        <v>8790</v>
      </c>
      <c r="F326" s="811">
        <v>5</v>
      </c>
      <c r="G326" s="202" t="str">
        <f t="shared" si="5"/>
        <v/>
      </c>
    </row>
    <row r="327" spans="1:7" s="172" customFormat="1" ht="15" customHeight="1" x14ac:dyDescent="0.25">
      <c r="A327" s="809" t="s">
        <v>5534</v>
      </c>
      <c r="B327" s="807" t="s">
        <v>13792</v>
      </c>
      <c r="C327" s="807" t="s">
        <v>13792</v>
      </c>
      <c r="D327" s="808" t="s">
        <v>13993</v>
      </c>
      <c r="E327" s="808" t="s">
        <v>8761</v>
      </c>
      <c r="F327" s="811">
        <v>25</v>
      </c>
      <c r="G327" s="202" t="str">
        <f t="shared" si="5"/>
        <v/>
      </c>
    </row>
    <row r="328" spans="1:7" s="172" customFormat="1" ht="15" customHeight="1" x14ac:dyDescent="0.25">
      <c r="A328" s="809" t="s">
        <v>13994</v>
      </c>
      <c r="B328" s="807" t="s">
        <v>13792</v>
      </c>
      <c r="C328" s="807" t="s">
        <v>13792</v>
      </c>
      <c r="D328" s="808" t="s">
        <v>13995</v>
      </c>
      <c r="E328" s="808" t="s">
        <v>8765</v>
      </c>
      <c r="F328" s="811">
        <v>20</v>
      </c>
      <c r="G328" s="202" t="str">
        <f t="shared" si="5"/>
        <v/>
      </c>
    </row>
    <row r="329" spans="1:7" s="172" customFormat="1" ht="15" customHeight="1" x14ac:dyDescent="0.25">
      <c r="A329" s="809" t="s">
        <v>13996</v>
      </c>
      <c r="B329" s="807" t="s">
        <v>13792</v>
      </c>
      <c r="C329" s="807" t="s">
        <v>13792</v>
      </c>
      <c r="D329" s="808" t="s">
        <v>13997</v>
      </c>
      <c r="E329" s="808" t="s">
        <v>8765</v>
      </c>
      <c r="F329" s="811">
        <v>20</v>
      </c>
      <c r="G329" s="202" t="str">
        <f t="shared" si="5"/>
        <v/>
      </c>
    </row>
    <row r="330" spans="1:7" s="172" customFormat="1" ht="15" customHeight="1" x14ac:dyDescent="0.25">
      <c r="A330" s="809" t="s">
        <v>5028</v>
      </c>
      <c r="B330" s="807" t="s">
        <v>13792</v>
      </c>
      <c r="C330" s="807" t="s">
        <v>13792</v>
      </c>
      <c r="D330" s="808" t="s">
        <v>13998</v>
      </c>
      <c r="E330" s="808" t="s">
        <v>8790</v>
      </c>
      <c r="F330" s="811">
        <v>15</v>
      </c>
      <c r="G330" s="202" t="str">
        <f t="shared" si="5"/>
        <v/>
      </c>
    </row>
    <row r="331" spans="1:7" s="172" customFormat="1" ht="15" customHeight="1" x14ac:dyDescent="0.25">
      <c r="A331" s="809" t="s">
        <v>13999</v>
      </c>
      <c r="B331" s="807" t="s">
        <v>13792</v>
      </c>
      <c r="C331" s="807" t="s">
        <v>13792</v>
      </c>
      <c r="D331" s="808" t="s">
        <v>14000</v>
      </c>
      <c r="E331" s="808" t="s">
        <v>18472</v>
      </c>
      <c r="F331" s="811">
        <v>5</v>
      </c>
      <c r="G331" s="202" t="str">
        <f t="shared" si="5"/>
        <v/>
      </c>
    </row>
    <row r="332" spans="1:7" s="172" customFormat="1" ht="15" customHeight="1" x14ac:dyDescent="0.25">
      <c r="A332" s="809" t="s">
        <v>14001</v>
      </c>
      <c r="B332" s="807" t="s">
        <v>13792</v>
      </c>
      <c r="C332" s="807" t="s">
        <v>13792</v>
      </c>
      <c r="D332" s="808" t="s">
        <v>14002</v>
      </c>
      <c r="E332" s="808" t="s">
        <v>18473</v>
      </c>
      <c r="F332" s="811">
        <v>20</v>
      </c>
      <c r="G332" s="202" t="str">
        <f t="shared" si="5"/>
        <v/>
      </c>
    </row>
    <row r="333" spans="1:7" s="172" customFormat="1" ht="15" customHeight="1" x14ac:dyDescent="0.25">
      <c r="A333" s="809" t="s">
        <v>6313</v>
      </c>
      <c r="B333" s="807" t="s">
        <v>13792</v>
      </c>
      <c r="C333" s="807" t="s">
        <v>13792</v>
      </c>
      <c r="D333" s="808" t="s">
        <v>14003</v>
      </c>
      <c r="E333" s="808" t="s">
        <v>8790</v>
      </c>
      <c r="F333" s="811">
        <v>10</v>
      </c>
      <c r="G333" s="202" t="str">
        <f t="shared" si="5"/>
        <v/>
      </c>
    </row>
    <row r="334" spans="1:7" s="172" customFormat="1" ht="15" customHeight="1" x14ac:dyDescent="0.25">
      <c r="A334" s="809" t="s">
        <v>14004</v>
      </c>
      <c r="B334" s="807" t="s">
        <v>13792</v>
      </c>
      <c r="C334" s="807" t="s">
        <v>13792</v>
      </c>
      <c r="D334" s="808" t="s">
        <v>14005</v>
      </c>
      <c r="E334" s="808" t="s">
        <v>18462</v>
      </c>
      <c r="F334" s="811">
        <v>10</v>
      </c>
      <c r="G334" s="202" t="str">
        <f t="shared" si="5"/>
        <v/>
      </c>
    </row>
    <row r="335" spans="1:7" s="172" customFormat="1" ht="15" customHeight="1" x14ac:dyDescent="0.25">
      <c r="A335" s="809" t="s">
        <v>3424</v>
      </c>
      <c r="B335" s="807" t="s">
        <v>13792</v>
      </c>
      <c r="C335" s="807" t="s">
        <v>13792</v>
      </c>
      <c r="D335" s="808" t="s">
        <v>14006</v>
      </c>
      <c r="E335" s="808" t="s">
        <v>18473</v>
      </c>
      <c r="F335" s="811">
        <v>5</v>
      </c>
      <c r="G335" s="202" t="str">
        <f t="shared" si="5"/>
        <v/>
      </c>
    </row>
    <row r="336" spans="1:7" s="172" customFormat="1" ht="15" customHeight="1" x14ac:dyDescent="0.25">
      <c r="A336" s="809" t="s">
        <v>14007</v>
      </c>
      <c r="B336" s="807" t="s">
        <v>13792</v>
      </c>
      <c r="C336" s="807" t="s">
        <v>13792</v>
      </c>
      <c r="D336" s="808" t="s">
        <v>14008</v>
      </c>
      <c r="E336" s="808" t="s">
        <v>18473</v>
      </c>
      <c r="F336" s="811">
        <v>30</v>
      </c>
      <c r="G336" s="202" t="str">
        <f t="shared" si="5"/>
        <v/>
      </c>
    </row>
    <row r="337" spans="1:7" s="172" customFormat="1" ht="15" customHeight="1" x14ac:dyDescent="0.25">
      <c r="A337" s="809" t="s">
        <v>14009</v>
      </c>
      <c r="B337" s="807" t="s">
        <v>13792</v>
      </c>
      <c r="C337" s="807" t="s">
        <v>13792</v>
      </c>
      <c r="D337" s="808" t="s">
        <v>14010</v>
      </c>
      <c r="E337" s="808" t="s">
        <v>8761</v>
      </c>
      <c r="F337" s="811">
        <v>90</v>
      </c>
      <c r="G337" s="202" t="str">
        <f t="shared" si="5"/>
        <v/>
      </c>
    </row>
    <row r="338" spans="1:7" s="172" customFormat="1" ht="15" customHeight="1" x14ac:dyDescent="0.25">
      <c r="A338" s="809" t="s">
        <v>14011</v>
      </c>
      <c r="B338" s="807" t="s">
        <v>13792</v>
      </c>
      <c r="C338" s="807" t="s">
        <v>13792</v>
      </c>
      <c r="D338" s="808" t="s">
        <v>14012</v>
      </c>
      <c r="E338" s="808" t="s">
        <v>8790</v>
      </c>
      <c r="F338" s="811">
        <v>4</v>
      </c>
      <c r="G338" s="202" t="str">
        <f t="shared" si="5"/>
        <v/>
      </c>
    </row>
    <row r="339" spans="1:7" s="172" customFormat="1" ht="15" customHeight="1" x14ac:dyDescent="0.25">
      <c r="A339" s="809" t="s">
        <v>14013</v>
      </c>
      <c r="B339" s="807" t="s">
        <v>13792</v>
      </c>
      <c r="C339" s="807" t="s">
        <v>13792</v>
      </c>
      <c r="D339" s="808" t="s">
        <v>14014</v>
      </c>
      <c r="E339" s="808" t="s">
        <v>8765</v>
      </c>
      <c r="F339" s="811">
        <v>15</v>
      </c>
      <c r="G339" s="202" t="str">
        <f t="shared" si="5"/>
        <v/>
      </c>
    </row>
    <row r="340" spans="1:7" s="172" customFormat="1" ht="15" customHeight="1" x14ac:dyDescent="0.25">
      <c r="A340" s="809" t="s">
        <v>14015</v>
      </c>
      <c r="B340" s="807" t="s">
        <v>13792</v>
      </c>
      <c r="C340" s="807" t="s">
        <v>13792</v>
      </c>
      <c r="D340" s="808" t="s">
        <v>14016</v>
      </c>
      <c r="E340" s="808" t="s">
        <v>2429</v>
      </c>
      <c r="F340" s="811">
        <v>2</v>
      </c>
      <c r="G340" s="202" t="str">
        <f t="shared" si="5"/>
        <v/>
      </c>
    </row>
    <row r="341" spans="1:7" s="172" customFormat="1" ht="15" customHeight="1" x14ac:dyDescent="0.25">
      <c r="A341" s="809" t="s">
        <v>14017</v>
      </c>
      <c r="B341" s="807" t="s">
        <v>13792</v>
      </c>
      <c r="C341" s="807" t="s">
        <v>13792</v>
      </c>
      <c r="D341" s="808" t="s">
        <v>14018</v>
      </c>
      <c r="E341" s="808" t="s">
        <v>8765</v>
      </c>
      <c r="F341" s="811">
        <v>40</v>
      </c>
      <c r="G341" s="202" t="str">
        <f t="shared" si="5"/>
        <v/>
      </c>
    </row>
    <row r="342" spans="1:7" s="172" customFormat="1" ht="15" customHeight="1" x14ac:dyDescent="0.25">
      <c r="A342" s="809" t="s">
        <v>14019</v>
      </c>
      <c r="B342" s="807" t="s">
        <v>13792</v>
      </c>
      <c r="C342" s="807" t="s">
        <v>13792</v>
      </c>
      <c r="D342" s="808" t="s">
        <v>14020</v>
      </c>
      <c r="E342" s="808" t="s">
        <v>8790</v>
      </c>
      <c r="F342" s="811">
        <v>30</v>
      </c>
      <c r="G342" s="202" t="str">
        <f t="shared" si="5"/>
        <v/>
      </c>
    </row>
    <row r="343" spans="1:7" s="172" customFormat="1" ht="15" customHeight="1" x14ac:dyDescent="0.25">
      <c r="A343" s="809" t="s">
        <v>3135</v>
      </c>
      <c r="B343" s="807" t="s">
        <v>13792</v>
      </c>
      <c r="C343" s="807" t="s">
        <v>13792</v>
      </c>
      <c r="D343" s="808" t="s">
        <v>14021</v>
      </c>
      <c r="E343" s="808" t="s">
        <v>8761</v>
      </c>
      <c r="F343" s="811">
        <v>70</v>
      </c>
      <c r="G343" s="202" t="str">
        <f t="shared" si="5"/>
        <v/>
      </c>
    </row>
    <row r="344" spans="1:7" s="172" customFormat="1" ht="15" customHeight="1" x14ac:dyDescent="0.25">
      <c r="A344" s="809" t="s">
        <v>14022</v>
      </c>
      <c r="B344" s="807" t="s">
        <v>13792</v>
      </c>
      <c r="C344" s="807" t="s">
        <v>13792</v>
      </c>
      <c r="D344" s="808" t="s">
        <v>14023</v>
      </c>
      <c r="E344" s="808" t="s">
        <v>2429</v>
      </c>
      <c r="F344" s="811">
        <v>2</v>
      </c>
      <c r="G344" s="202" t="str">
        <f t="shared" si="5"/>
        <v/>
      </c>
    </row>
    <row r="345" spans="1:7" s="172" customFormat="1" ht="15" customHeight="1" x14ac:dyDescent="0.25">
      <c r="A345" s="809" t="s">
        <v>14024</v>
      </c>
      <c r="B345" s="807" t="s">
        <v>13792</v>
      </c>
      <c r="C345" s="807" t="s">
        <v>13792</v>
      </c>
      <c r="D345" s="808" t="s">
        <v>14025</v>
      </c>
      <c r="E345" s="808" t="s">
        <v>8788</v>
      </c>
      <c r="F345" s="811">
        <v>40</v>
      </c>
      <c r="G345" s="202" t="str">
        <f t="shared" si="5"/>
        <v/>
      </c>
    </row>
    <row r="346" spans="1:7" s="172" customFormat="1" ht="15" customHeight="1" x14ac:dyDescent="0.25">
      <c r="A346" s="809" t="s">
        <v>14026</v>
      </c>
      <c r="B346" s="807" t="s">
        <v>13792</v>
      </c>
      <c r="C346" s="807" t="s">
        <v>13792</v>
      </c>
      <c r="D346" s="808" t="s">
        <v>14027</v>
      </c>
      <c r="E346" s="808" t="s">
        <v>8774</v>
      </c>
      <c r="F346" s="811">
        <v>10</v>
      </c>
      <c r="G346" s="202" t="str">
        <f t="shared" si="5"/>
        <v/>
      </c>
    </row>
    <row r="347" spans="1:7" s="172" customFormat="1" ht="15" customHeight="1" x14ac:dyDescent="0.25">
      <c r="A347" s="809" t="s">
        <v>5028</v>
      </c>
      <c r="B347" s="807" t="s">
        <v>13792</v>
      </c>
      <c r="C347" s="807" t="s">
        <v>13792</v>
      </c>
      <c r="D347" s="808" t="s">
        <v>14028</v>
      </c>
      <c r="E347" s="808" t="s">
        <v>8761</v>
      </c>
      <c r="F347" s="811">
        <v>25</v>
      </c>
      <c r="G347" s="202" t="str">
        <f t="shared" si="5"/>
        <v/>
      </c>
    </row>
    <row r="348" spans="1:7" s="172" customFormat="1" ht="15" customHeight="1" x14ac:dyDescent="0.25">
      <c r="A348" s="809" t="s">
        <v>14029</v>
      </c>
      <c r="B348" s="807" t="s">
        <v>13792</v>
      </c>
      <c r="C348" s="807" t="s">
        <v>13792</v>
      </c>
      <c r="D348" s="808" t="s">
        <v>14030</v>
      </c>
      <c r="E348" s="808" t="s">
        <v>8876</v>
      </c>
      <c r="F348" s="811">
        <v>35</v>
      </c>
      <c r="G348" s="202" t="str">
        <f t="shared" si="5"/>
        <v/>
      </c>
    </row>
    <row r="349" spans="1:7" s="172" customFormat="1" ht="15" customHeight="1" x14ac:dyDescent="0.25">
      <c r="A349" s="809" t="s">
        <v>6578</v>
      </c>
      <c r="B349" s="807" t="s">
        <v>13792</v>
      </c>
      <c r="C349" s="807" t="s">
        <v>13792</v>
      </c>
      <c r="D349" s="808" t="s">
        <v>14031</v>
      </c>
      <c r="E349" s="808" t="s">
        <v>8761</v>
      </c>
      <c r="F349" s="811">
        <v>25</v>
      </c>
      <c r="G349" s="202" t="str">
        <f t="shared" si="5"/>
        <v/>
      </c>
    </row>
    <row r="350" spans="1:7" s="172" customFormat="1" ht="15" customHeight="1" x14ac:dyDescent="0.25">
      <c r="A350" s="809" t="s">
        <v>13816</v>
      </c>
      <c r="B350" s="807" t="s">
        <v>13792</v>
      </c>
      <c r="C350" s="807" t="s">
        <v>13792</v>
      </c>
      <c r="D350" s="808" t="s">
        <v>14032</v>
      </c>
      <c r="E350" s="808" t="s">
        <v>8761</v>
      </c>
      <c r="F350" s="811">
        <v>35</v>
      </c>
      <c r="G350" s="202" t="str">
        <f t="shared" si="5"/>
        <v/>
      </c>
    </row>
    <row r="351" spans="1:7" s="172" customFormat="1" ht="15" customHeight="1" x14ac:dyDescent="0.25">
      <c r="A351" s="809" t="s">
        <v>2535</v>
      </c>
      <c r="B351" s="807" t="s">
        <v>13792</v>
      </c>
      <c r="C351" s="807" t="s">
        <v>13792</v>
      </c>
      <c r="D351" s="808" t="s">
        <v>14033</v>
      </c>
      <c r="E351" s="808" t="s">
        <v>8790</v>
      </c>
      <c r="F351" s="811">
        <v>10</v>
      </c>
      <c r="G351" s="202" t="str">
        <f t="shared" si="5"/>
        <v/>
      </c>
    </row>
    <row r="352" spans="1:7" s="172" customFormat="1" ht="15" customHeight="1" x14ac:dyDescent="0.25">
      <c r="A352" s="809" t="s">
        <v>14034</v>
      </c>
      <c r="B352" s="807" t="s">
        <v>13792</v>
      </c>
      <c r="C352" s="807" t="s">
        <v>13792</v>
      </c>
      <c r="D352" s="808" t="s">
        <v>14035</v>
      </c>
      <c r="E352" s="808" t="s">
        <v>8790</v>
      </c>
      <c r="F352" s="811">
        <v>7</v>
      </c>
      <c r="G352" s="202" t="str">
        <f t="shared" si="5"/>
        <v/>
      </c>
    </row>
    <row r="353" spans="1:7" s="172" customFormat="1" ht="15" customHeight="1" x14ac:dyDescent="0.25">
      <c r="A353" s="809" t="s">
        <v>13895</v>
      </c>
      <c r="B353" s="807" t="s">
        <v>13792</v>
      </c>
      <c r="C353" s="807" t="s">
        <v>13792</v>
      </c>
      <c r="D353" s="808" t="s">
        <v>14036</v>
      </c>
      <c r="E353" s="808" t="s">
        <v>8771</v>
      </c>
      <c r="F353" s="811">
        <v>10</v>
      </c>
      <c r="G353" s="202" t="str">
        <f t="shared" si="5"/>
        <v/>
      </c>
    </row>
    <row r="354" spans="1:7" s="172" customFormat="1" ht="15" customHeight="1" x14ac:dyDescent="0.25">
      <c r="A354" s="809" t="s">
        <v>14037</v>
      </c>
      <c r="B354" s="807" t="s">
        <v>13792</v>
      </c>
      <c r="C354" s="807" t="s">
        <v>13792</v>
      </c>
      <c r="D354" s="808" t="s">
        <v>14038</v>
      </c>
      <c r="E354" s="808" t="s">
        <v>8790</v>
      </c>
      <c r="F354" s="811">
        <v>5</v>
      </c>
      <c r="G354" s="202" t="str">
        <f t="shared" si="5"/>
        <v/>
      </c>
    </row>
    <row r="355" spans="1:7" s="172" customFormat="1" ht="15" customHeight="1" x14ac:dyDescent="0.25">
      <c r="A355" s="809" t="s">
        <v>14039</v>
      </c>
      <c r="B355" s="807" t="s">
        <v>13792</v>
      </c>
      <c r="C355" s="807" t="s">
        <v>13792</v>
      </c>
      <c r="D355" s="808" t="s">
        <v>14040</v>
      </c>
      <c r="E355" s="808" t="s">
        <v>8761</v>
      </c>
      <c r="F355" s="811">
        <v>15</v>
      </c>
      <c r="G355" s="202" t="str">
        <f t="shared" si="5"/>
        <v/>
      </c>
    </row>
    <row r="356" spans="1:7" s="172" customFormat="1" ht="15" customHeight="1" x14ac:dyDescent="0.25">
      <c r="A356" s="809" t="s">
        <v>14041</v>
      </c>
      <c r="B356" s="807" t="s">
        <v>13792</v>
      </c>
      <c r="C356" s="807" t="s">
        <v>13792</v>
      </c>
      <c r="D356" s="808" t="s">
        <v>14042</v>
      </c>
      <c r="E356" s="808" t="s">
        <v>8788</v>
      </c>
      <c r="F356" s="811">
        <v>20</v>
      </c>
      <c r="G356" s="202" t="str">
        <f t="shared" si="5"/>
        <v/>
      </c>
    </row>
    <row r="357" spans="1:7" s="172" customFormat="1" ht="15" customHeight="1" x14ac:dyDescent="0.25">
      <c r="A357" s="809" t="s">
        <v>14043</v>
      </c>
      <c r="B357" s="807" t="s">
        <v>13792</v>
      </c>
      <c r="C357" s="807" t="s">
        <v>13792</v>
      </c>
      <c r="D357" s="808" t="s">
        <v>14044</v>
      </c>
      <c r="E357" s="808" t="s">
        <v>8835</v>
      </c>
      <c r="F357" s="811">
        <v>2</v>
      </c>
      <c r="G357" s="202" t="str">
        <f t="shared" si="5"/>
        <v/>
      </c>
    </row>
    <row r="358" spans="1:7" s="172" customFormat="1" ht="15" customHeight="1" x14ac:dyDescent="0.25">
      <c r="A358" s="809" t="s">
        <v>14045</v>
      </c>
      <c r="B358" s="807" t="s">
        <v>13792</v>
      </c>
      <c r="C358" s="807" t="s">
        <v>13792</v>
      </c>
      <c r="D358" s="808" t="s">
        <v>14046</v>
      </c>
      <c r="E358" s="808" t="s">
        <v>8771</v>
      </c>
      <c r="F358" s="811">
        <v>20</v>
      </c>
      <c r="G358" s="202" t="str">
        <f t="shared" si="5"/>
        <v/>
      </c>
    </row>
    <row r="359" spans="1:7" s="172" customFormat="1" ht="15" customHeight="1" x14ac:dyDescent="0.25">
      <c r="A359" s="809" t="s">
        <v>14047</v>
      </c>
      <c r="B359" s="807" t="s">
        <v>13792</v>
      </c>
      <c r="C359" s="807" t="s">
        <v>13792</v>
      </c>
      <c r="D359" s="808" t="s">
        <v>14048</v>
      </c>
      <c r="E359" s="808" t="s">
        <v>8790</v>
      </c>
      <c r="F359" s="811">
        <v>10</v>
      </c>
      <c r="G359" s="202" t="str">
        <f t="shared" si="5"/>
        <v/>
      </c>
    </row>
    <row r="360" spans="1:7" s="172" customFormat="1" ht="15" customHeight="1" x14ac:dyDescent="0.25">
      <c r="A360" s="809" t="s">
        <v>14049</v>
      </c>
      <c r="B360" s="807" t="s">
        <v>13792</v>
      </c>
      <c r="C360" s="807" t="s">
        <v>13792</v>
      </c>
      <c r="D360" s="808" t="s">
        <v>14050</v>
      </c>
      <c r="E360" s="808" t="s">
        <v>8784</v>
      </c>
      <c r="F360" s="811">
        <v>165</v>
      </c>
      <c r="G360" s="202" t="str">
        <f t="shared" si="5"/>
        <v/>
      </c>
    </row>
    <row r="361" spans="1:7" s="172" customFormat="1" ht="15" customHeight="1" x14ac:dyDescent="0.25">
      <c r="A361" s="809" t="s">
        <v>13912</v>
      </c>
      <c r="B361" s="807" t="s">
        <v>13792</v>
      </c>
      <c r="C361" s="807" t="s">
        <v>13792</v>
      </c>
      <c r="D361" s="808" t="s">
        <v>14051</v>
      </c>
      <c r="E361" s="808" t="s">
        <v>8788</v>
      </c>
      <c r="F361" s="811">
        <v>65</v>
      </c>
      <c r="G361" s="202" t="str">
        <f t="shared" si="5"/>
        <v/>
      </c>
    </row>
    <row r="362" spans="1:7" s="172" customFormat="1" ht="15" customHeight="1" x14ac:dyDescent="0.25">
      <c r="A362" s="809" t="s">
        <v>14052</v>
      </c>
      <c r="B362" s="807" t="s">
        <v>13792</v>
      </c>
      <c r="C362" s="807" t="s">
        <v>13792</v>
      </c>
      <c r="D362" s="808" t="s">
        <v>14053</v>
      </c>
      <c r="E362" s="808" t="s">
        <v>8790</v>
      </c>
      <c r="F362" s="811">
        <v>15</v>
      </c>
      <c r="G362" s="202" t="str">
        <f t="shared" si="5"/>
        <v/>
      </c>
    </row>
    <row r="363" spans="1:7" s="172" customFormat="1" ht="15" customHeight="1" x14ac:dyDescent="0.25">
      <c r="A363" s="809" t="s">
        <v>14054</v>
      </c>
      <c r="B363" s="807" t="s">
        <v>13792</v>
      </c>
      <c r="C363" s="807" t="s">
        <v>13792</v>
      </c>
      <c r="D363" s="808" t="s">
        <v>14055</v>
      </c>
      <c r="E363" s="808" t="s">
        <v>8761</v>
      </c>
      <c r="F363" s="811">
        <v>50</v>
      </c>
      <c r="G363" s="202" t="str">
        <f t="shared" si="5"/>
        <v/>
      </c>
    </row>
    <row r="364" spans="1:7" s="172" customFormat="1" ht="15" customHeight="1" x14ac:dyDescent="0.25">
      <c r="A364" s="809" t="s">
        <v>14056</v>
      </c>
      <c r="B364" s="807" t="s">
        <v>13792</v>
      </c>
      <c r="C364" s="807" t="s">
        <v>13792</v>
      </c>
      <c r="D364" s="808" t="s">
        <v>14057</v>
      </c>
      <c r="E364" s="808" t="s">
        <v>8765</v>
      </c>
      <c r="F364" s="811">
        <v>30</v>
      </c>
      <c r="G364" s="202" t="str">
        <f t="shared" si="5"/>
        <v/>
      </c>
    </row>
    <row r="365" spans="1:7" s="172" customFormat="1" ht="15" customHeight="1" x14ac:dyDescent="0.25">
      <c r="A365" s="809" t="s">
        <v>3126</v>
      </c>
      <c r="B365" s="807" t="s">
        <v>13792</v>
      </c>
      <c r="C365" s="807" t="s">
        <v>13792</v>
      </c>
      <c r="D365" s="808" t="s">
        <v>14058</v>
      </c>
      <c r="E365" s="808" t="s">
        <v>8774</v>
      </c>
      <c r="F365" s="811">
        <v>10</v>
      </c>
      <c r="G365" s="202" t="str">
        <f t="shared" si="5"/>
        <v/>
      </c>
    </row>
    <row r="366" spans="1:7" s="172" customFormat="1" ht="15" customHeight="1" x14ac:dyDescent="0.25">
      <c r="A366" s="809" t="s">
        <v>13919</v>
      </c>
      <c r="B366" s="807" t="s">
        <v>13792</v>
      </c>
      <c r="C366" s="807" t="s">
        <v>13792</v>
      </c>
      <c r="D366" s="808" t="s">
        <v>14059</v>
      </c>
      <c r="E366" s="808" t="s">
        <v>8761</v>
      </c>
      <c r="F366" s="811">
        <v>40</v>
      </c>
      <c r="G366" s="202" t="str">
        <f t="shared" si="5"/>
        <v/>
      </c>
    </row>
    <row r="367" spans="1:7" s="172" customFormat="1" ht="15" customHeight="1" x14ac:dyDescent="0.25">
      <c r="A367" s="809" t="s">
        <v>13814</v>
      </c>
      <c r="B367" s="807" t="s">
        <v>13792</v>
      </c>
      <c r="C367" s="807" t="s">
        <v>13792</v>
      </c>
      <c r="D367" s="808" t="s">
        <v>14060</v>
      </c>
      <c r="E367" s="808" t="s">
        <v>8763</v>
      </c>
      <c r="F367" s="811">
        <v>285</v>
      </c>
      <c r="G367" s="202" t="str">
        <f t="shared" si="5"/>
        <v/>
      </c>
    </row>
    <row r="368" spans="1:7" s="172" customFormat="1" ht="15" customHeight="1" x14ac:dyDescent="0.25">
      <c r="A368" s="809" t="s">
        <v>14061</v>
      </c>
      <c r="B368" s="807" t="s">
        <v>13792</v>
      </c>
      <c r="C368" s="807" t="s">
        <v>13792</v>
      </c>
      <c r="D368" s="808" t="s">
        <v>14062</v>
      </c>
      <c r="E368" s="808" t="s">
        <v>8761</v>
      </c>
      <c r="F368" s="811">
        <v>20</v>
      </c>
      <c r="G368" s="202" t="str">
        <f t="shared" si="5"/>
        <v/>
      </c>
    </row>
    <row r="369" spans="1:7" s="172" customFormat="1" ht="15" customHeight="1" x14ac:dyDescent="0.25">
      <c r="A369" s="809" t="s">
        <v>3006</v>
      </c>
      <c r="B369" s="807" t="s">
        <v>13792</v>
      </c>
      <c r="C369" s="807" t="s">
        <v>13792</v>
      </c>
      <c r="D369" s="808" t="s">
        <v>14063</v>
      </c>
      <c r="E369" s="808" t="s">
        <v>2429</v>
      </c>
      <c r="F369" s="811">
        <v>5</v>
      </c>
      <c r="G369" s="202" t="str">
        <f t="shared" si="5"/>
        <v/>
      </c>
    </row>
    <row r="370" spans="1:7" s="172" customFormat="1" ht="15" customHeight="1" x14ac:dyDescent="0.25">
      <c r="A370" s="809" t="s">
        <v>4840</v>
      </c>
      <c r="B370" s="807" t="s">
        <v>13792</v>
      </c>
      <c r="C370" s="807" t="s">
        <v>13792</v>
      </c>
      <c r="D370" s="808" t="s">
        <v>14064</v>
      </c>
      <c r="E370" s="808" t="s">
        <v>8765</v>
      </c>
      <c r="F370" s="811">
        <v>25</v>
      </c>
      <c r="G370" s="202" t="str">
        <f t="shared" si="5"/>
        <v/>
      </c>
    </row>
    <row r="371" spans="1:7" s="172" customFormat="1" ht="15" customHeight="1" x14ac:dyDescent="0.25">
      <c r="A371" s="809" t="s">
        <v>14065</v>
      </c>
      <c r="B371" s="807" t="s">
        <v>13792</v>
      </c>
      <c r="C371" s="807" t="s">
        <v>13792</v>
      </c>
      <c r="D371" s="808" t="s">
        <v>14066</v>
      </c>
      <c r="E371" s="808" t="s">
        <v>8765</v>
      </c>
      <c r="F371" s="811">
        <v>30</v>
      </c>
      <c r="G371" s="202" t="str">
        <f t="shared" si="5"/>
        <v/>
      </c>
    </row>
    <row r="372" spans="1:7" s="172" customFormat="1" ht="15" customHeight="1" x14ac:dyDescent="0.25">
      <c r="A372" s="809" t="s">
        <v>6497</v>
      </c>
      <c r="B372" s="807" t="s">
        <v>13792</v>
      </c>
      <c r="C372" s="807" t="s">
        <v>13792</v>
      </c>
      <c r="D372" s="808" t="s">
        <v>14067</v>
      </c>
      <c r="E372" s="808" t="s">
        <v>8765</v>
      </c>
      <c r="F372" s="811">
        <v>30</v>
      </c>
      <c r="G372" s="202" t="str">
        <f t="shared" si="5"/>
        <v/>
      </c>
    </row>
    <row r="373" spans="1:7" s="172" customFormat="1" ht="15" customHeight="1" x14ac:dyDescent="0.25">
      <c r="A373" s="809" t="s">
        <v>13842</v>
      </c>
      <c r="B373" s="807" t="s">
        <v>13792</v>
      </c>
      <c r="C373" s="807" t="s">
        <v>13792</v>
      </c>
      <c r="D373" s="808" t="s">
        <v>14068</v>
      </c>
      <c r="E373" s="808" t="s">
        <v>8788</v>
      </c>
      <c r="F373" s="811">
        <v>35</v>
      </c>
      <c r="G373" s="202" t="str">
        <f t="shared" si="5"/>
        <v/>
      </c>
    </row>
    <row r="374" spans="1:7" s="172" customFormat="1" ht="15" customHeight="1" x14ac:dyDescent="0.25">
      <c r="A374" s="809" t="s">
        <v>13842</v>
      </c>
      <c r="B374" s="807" t="s">
        <v>13792</v>
      </c>
      <c r="C374" s="807" t="s">
        <v>13792</v>
      </c>
      <c r="D374" s="808" t="s">
        <v>14069</v>
      </c>
      <c r="E374" s="808" t="s">
        <v>8763</v>
      </c>
      <c r="F374" s="811">
        <v>280</v>
      </c>
      <c r="G374" s="202" t="str">
        <f t="shared" si="5"/>
        <v/>
      </c>
    </row>
    <row r="375" spans="1:7" s="172" customFormat="1" ht="15" customHeight="1" x14ac:dyDescent="0.25">
      <c r="A375" s="809" t="s">
        <v>13231</v>
      </c>
      <c r="B375" s="807" t="s">
        <v>13792</v>
      </c>
      <c r="C375" s="807" t="s">
        <v>13792</v>
      </c>
      <c r="D375" s="808" t="s">
        <v>14070</v>
      </c>
      <c r="E375" s="808" t="s">
        <v>8765</v>
      </c>
      <c r="F375" s="811">
        <v>20</v>
      </c>
      <c r="G375" s="202" t="str">
        <f t="shared" si="5"/>
        <v/>
      </c>
    </row>
    <row r="376" spans="1:7" s="172" customFormat="1" ht="15" customHeight="1" x14ac:dyDescent="0.25">
      <c r="A376" s="809" t="s">
        <v>14071</v>
      </c>
      <c r="B376" s="807" t="s">
        <v>13792</v>
      </c>
      <c r="C376" s="807" t="s">
        <v>13792</v>
      </c>
      <c r="D376" s="808" t="s">
        <v>14072</v>
      </c>
      <c r="E376" s="808" t="s">
        <v>8765</v>
      </c>
      <c r="F376" s="811">
        <v>20</v>
      </c>
      <c r="G376" s="202" t="str">
        <f t="shared" si="5"/>
        <v/>
      </c>
    </row>
    <row r="377" spans="1:7" s="172" customFormat="1" ht="15" customHeight="1" x14ac:dyDescent="0.25">
      <c r="A377" s="809" t="s">
        <v>13935</v>
      </c>
      <c r="B377" s="807" t="s">
        <v>13792</v>
      </c>
      <c r="C377" s="807" t="s">
        <v>13792</v>
      </c>
      <c r="D377" s="808" t="s">
        <v>14073</v>
      </c>
      <c r="E377" s="808" t="s">
        <v>8784</v>
      </c>
      <c r="F377" s="811">
        <v>170</v>
      </c>
      <c r="G377" s="202" t="str">
        <f t="shared" si="5"/>
        <v/>
      </c>
    </row>
    <row r="378" spans="1:7" s="172" customFormat="1" ht="15" customHeight="1" x14ac:dyDescent="0.25">
      <c r="A378" s="809" t="s">
        <v>14074</v>
      </c>
      <c r="B378" s="807" t="s">
        <v>13792</v>
      </c>
      <c r="C378" s="807" t="s">
        <v>13792</v>
      </c>
      <c r="D378" s="808" t="s">
        <v>14075</v>
      </c>
      <c r="E378" s="808" t="s">
        <v>6923</v>
      </c>
      <c r="F378" s="811">
        <v>10</v>
      </c>
      <c r="G378" s="202" t="str">
        <f t="shared" si="5"/>
        <v/>
      </c>
    </row>
    <row r="379" spans="1:7" s="172" customFormat="1" ht="15" customHeight="1" x14ac:dyDescent="0.25">
      <c r="A379" s="809" t="s">
        <v>14076</v>
      </c>
      <c r="B379" s="807" t="s">
        <v>13792</v>
      </c>
      <c r="C379" s="807" t="s">
        <v>13792</v>
      </c>
      <c r="D379" s="808" t="s">
        <v>14077</v>
      </c>
      <c r="E379" s="808" t="s">
        <v>8765</v>
      </c>
      <c r="F379" s="811">
        <v>30</v>
      </c>
      <c r="G379" s="202" t="str">
        <f t="shared" si="5"/>
        <v/>
      </c>
    </row>
    <row r="380" spans="1:7" s="172" customFormat="1" ht="15" customHeight="1" x14ac:dyDescent="0.25">
      <c r="A380" s="809" t="s">
        <v>5699</v>
      </c>
      <c r="B380" s="807" t="s">
        <v>13792</v>
      </c>
      <c r="C380" s="807" t="s">
        <v>13792</v>
      </c>
      <c r="D380" s="808" t="s">
        <v>14078</v>
      </c>
      <c r="E380" s="808" t="s">
        <v>8790</v>
      </c>
      <c r="F380" s="811">
        <v>10</v>
      </c>
      <c r="G380" s="202" t="str">
        <f t="shared" si="5"/>
        <v/>
      </c>
    </row>
    <row r="381" spans="1:7" s="172" customFormat="1" ht="15" customHeight="1" x14ac:dyDescent="0.25">
      <c r="A381" s="809" t="s">
        <v>14079</v>
      </c>
      <c r="B381" s="807" t="s">
        <v>13792</v>
      </c>
      <c r="C381" s="807" t="s">
        <v>13792</v>
      </c>
      <c r="D381" s="808" t="s">
        <v>14080</v>
      </c>
      <c r="E381" s="808" t="s">
        <v>8790</v>
      </c>
      <c r="F381" s="811">
        <v>10</v>
      </c>
      <c r="G381" s="202" t="str">
        <f t="shared" si="5"/>
        <v/>
      </c>
    </row>
    <row r="382" spans="1:7" s="172" customFormat="1" ht="15" customHeight="1" x14ac:dyDescent="0.25">
      <c r="A382" s="809" t="s">
        <v>14081</v>
      </c>
      <c r="B382" s="807" t="s">
        <v>13792</v>
      </c>
      <c r="C382" s="807" t="s">
        <v>13792</v>
      </c>
      <c r="D382" s="808" t="s">
        <v>14082</v>
      </c>
      <c r="E382" s="808" t="s">
        <v>8790</v>
      </c>
      <c r="F382" s="811">
        <v>10</v>
      </c>
      <c r="G382" s="202" t="str">
        <f t="shared" si="5"/>
        <v/>
      </c>
    </row>
    <row r="383" spans="1:7" s="172" customFormat="1" ht="15" customHeight="1" x14ac:dyDescent="0.25">
      <c r="A383" s="809" t="s">
        <v>12169</v>
      </c>
      <c r="B383" s="807" t="s">
        <v>13792</v>
      </c>
      <c r="C383" s="807" t="s">
        <v>13792</v>
      </c>
      <c r="D383" s="808" t="s">
        <v>14083</v>
      </c>
      <c r="E383" s="808" t="s">
        <v>8765</v>
      </c>
      <c r="F383" s="811">
        <v>25</v>
      </c>
      <c r="G383" s="202" t="str">
        <f t="shared" si="5"/>
        <v/>
      </c>
    </row>
    <row r="384" spans="1:7" s="172" customFormat="1" ht="15" customHeight="1" x14ac:dyDescent="0.25">
      <c r="A384" s="809" t="s">
        <v>4833</v>
      </c>
      <c r="B384" s="807" t="s">
        <v>13792</v>
      </c>
      <c r="C384" s="807" t="s">
        <v>13792</v>
      </c>
      <c r="D384" s="808" t="s">
        <v>14084</v>
      </c>
      <c r="E384" s="808" t="s">
        <v>8765</v>
      </c>
      <c r="F384" s="811">
        <v>20</v>
      </c>
      <c r="G384" s="202" t="str">
        <f t="shared" si="5"/>
        <v/>
      </c>
    </row>
    <row r="385" spans="1:7" s="172" customFormat="1" ht="15" customHeight="1" x14ac:dyDescent="0.25">
      <c r="A385" s="809" t="s">
        <v>5076</v>
      </c>
      <c r="B385" s="807" t="s">
        <v>13792</v>
      </c>
      <c r="C385" s="807" t="s">
        <v>13792</v>
      </c>
      <c r="D385" s="808" t="s">
        <v>14085</v>
      </c>
      <c r="E385" s="808" t="s">
        <v>8788</v>
      </c>
      <c r="F385" s="811">
        <v>35</v>
      </c>
      <c r="G385" s="202" t="str">
        <f t="shared" si="5"/>
        <v/>
      </c>
    </row>
    <row r="386" spans="1:7" s="172" customFormat="1" ht="15" customHeight="1" x14ac:dyDescent="0.25">
      <c r="A386" s="809" t="s">
        <v>14086</v>
      </c>
      <c r="B386" s="807" t="s">
        <v>13792</v>
      </c>
      <c r="C386" s="807" t="s">
        <v>13792</v>
      </c>
      <c r="D386" s="808" t="s">
        <v>14087</v>
      </c>
      <c r="E386" s="808" t="s">
        <v>8765</v>
      </c>
      <c r="F386" s="811">
        <v>30</v>
      </c>
      <c r="G386" s="202" t="str">
        <f t="shared" si="5"/>
        <v/>
      </c>
    </row>
    <row r="387" spans="1:7" s="172" customFormat="1" ht="15" customHeight="1" x14ac:dyDescent="0.25">
      <c r="A387" s="809" t="s">
        <v>19803</v>
      </c>
      <c r="B387" s="807" t="s">
        <v>13792</v>
      </c>
      <c r="C387" s="807" t="s">
        <v>13792</v>
      </c>
      <c r="D387" s="808" t="s">
        <v>14089</v>
      </c>
      <c r="E387" s="808" t="s">
        <v>8774</v>
      </c>
      <c r="F387" s="811">
        <v>20</v>
      </c>
      <c r="G387" s="202" t="str">
        <f t="shared" si="5"/>
        <v/>
      </c>
    </row>
    <row r="388" spans="1:7" s="172" customFormat="1" ht="15" customHeight="1" x14ac:dyDescent="0.25">
      <c r="A388" s="809" t="s">
        <v>19803</v>
      </c>
      <c r="B388" s="807" t="s">
        <v>13792</v>
      </c>
      <c r="C388" s="807" t="s">
        <v>13792</v>
      </c>
      <c r="D388" s="808" t="s">
        <v>14090</v>
      </c>
      <c r="E388" s="808" t="s">
        <v>8774</v>
      </c>
      <c r="F388" s="811">
        <v>20</v>
      </c>
      <c r="G388" s="202" t="str">
        <f t="shared" ref="G388:G451" si="6">IF(E388=F388,"не загружен","")</f>
        <v/>
      </c>
    </row>
    <row r="389" spans="1:7" s="172" customFormat="1" ht="15" customHeight="1" x14ac:dyDescent="0.25">
      <c r="A389" s="809" t="s">
        <v>19803</v>
      </c>
      <c r="B389" s="807" t="s">
        <v>13792</v>
      </c>
      <c r="C389" s="807" t="s">
        <v>13792</v>
      </c>
      <c r="D389" s="808" t="s">
        <v>14091</v>
      </c>
      <c r="E389" s="808" t="s">
        <v>8765</v>
      </c>
      <c r="F389" s="811">
        <v>15</v>
      </c>
      <c r="G389" s="202" t="str">
        <f t="shared" si="6"/>
        <v/>
      </c>
    </row>
    <row r="390" spans="1:7" s="172" customFormat="1" ht="15" customHeight="1" x14ac:dyDescent="0.25">
      <c r="A390" s="809" t="s">
        <v>13848</v>
      </c>
      <c r="B390" s="807" t="s">
        <v>13792</v>
      </c>
      <c r="C390" s="807" t="s">
        <v>13792</v>
      </c>
      <c r="D390" s="808" t="s">
        <v>14092</v>
      </c>
      <c r="E390" s="808" t="s">
        <v>8784</v>
      </c>
      <c r="F390" s="811">
        <v>150</v>
      </c>
      <c r="G390" s="202" t="str">
        <f t="shared" si="6"/>
        <v/>
      </c>
    </row>
    <row r="391" spans="1:7" s="172" customFormat="1" ht="15" customHeight="1" x14ac:dyDescent="0.25">
      <c r="A391" s="809" t="s">
        <v>14093</v>
      </c>
      <c r="B391" s="807" t="s">
        <v>13792</v>
      </c>
      <c r="C391" s="807" t="s">
        <v>13792</v>
      </c>
      <c r="D391" s="808" t="s">
        <v>14094</v>
      </c>
      <c r="E391" s="808" t="s">
        <v>8765</v>
      </c>
      <c r="F391" s="811">
        <v>25</v>
      </c>
      <c r="G391" s="202" t="str">
        <f t="shared" si="6"/>
        <v/>
      </c>
    </row>
    <row r="392" spans="1:7" s="172" customFormat="1" ht="15" customHeight="1" x14ac:dyDescent="0.25">
      <c r="A392" s="809" t="s">
        <v>14095</v>
      </c>
      <c r="B392" s="807" t="s">
        <v>13792</v>
      </c>
      <c r="C392" s="807" t="s">
        <v>13792</v>
      </c>
      <c r="D392" s="808" t="s">
        <v>14096</v>
      </c>
      <c r="E392" s="808" t="s">
        <v>8774</v>
      </c>
      <c r="F392" s="811">
        <v>25</v>
      </c>
      <c r="G392" s="202" t="str">
        <f t="shared" si="6"/>
        <v/>
      </c>
    </row>
    <row r="393" spans="1:7" s="172" customFormat="1" ht="15" customHeight="1" x14ac:dyDescent="0.25">
      <c r="A393" s="809" t="s">
        <v>14097</v>
      </c>
      <c r="B393" s="807" t="s">
        <v>13792</v>
      </c>
      <c r="C393" s="807" t="s">
        <v>13792</v>
      </c>
      <c r="D393" s="808" t="s">
        <v>14098</v>
      </c>
      <c r="E393" s="808" t="s">
        <v>8788</v>
      </c>
      <c r="F393" s="811">
        <v>15</v>
      </c>
      <c r="G393" s="202" t="str">
        <f t="shared" si="6"/>
        <v/>
      </c>
    </row>
    <row r="394" spans="1:7" s="172" customFormat="1" ht="15" customHeight="1" x14ac:dyDescent="0.25">
      <c r="A394" s="809" t="s">
        <v>13816</v>
      </c>
      <c r="B394" s="807" t="s">
        <v>13792</v>
      </c>
      <c r="C394" s="807" t="s">
        <v>13792</v>
      </c>
      <c r="D394" s="808" t="s">
        <v>14099</v>
      </c>
      <c r="E394" s="808" t="s">
        <v>8788</v>
      </c>
      <c r="F394" s="811">
        <v>20</v>
      </c>
      <c r="G394" s="202" t="str">
        <f t="shared" si="6"/>
        <v/>
      </c>
    </row>
    <row r="395" spans="1:7" s="172" customFormat="1" ht="15" customHeight="1" x14ac:dyDescent="0.25">
      <c r="A395" s="809" t="s">
        <v>13816</v>
      </c>
      <c r="B395" s="807" t="s">
        <v>13792</v>
      </c>
      <c r="C395" s="807" t="s">
        <v>13792</v>
      </c>
      <c r="D395" s="808" t="s">
        <v>14100</v>
      </c>
      <c r="E395" s="808" t="s">
        <v>8771</v>
      </c>
      <c r="F395" s="811">
        <v>10</v>
      </c>
      <c r="G395" s="202" t="str">
        <f t="shared" si="6"/>
        <v/>
      </c>
    </row>
    <row r="396" spans="1:7" s="172" customFormat="1" ht="15" customHeight="1" x14ac:dyDescent="0.25">
      <c r="A396" s="809" t="s">
        <v>13816</v>
      </c>
      <c r="B396" s="807" t="s">
        <v>13792</v>
      </c>
      <c r="C396" s="807" t="s">
        <v>13792</v>
      </c>
      <c r="D396" s="808" t="s">
        <v>14101</v>
      </c>
      <c r="E396" s="808" t="s">
        <v>8761</v>
      </c>
      <c r="F396" s="811">
        <v>10</v>
      </c>
      <c r="G396" s="202" t="str">
        <f t="shared" si="6"/>
        <v/>
      </c>
    </row>
    <row r="397" spans="1:7" s="172" customFormat="1" ht="15" customHeight="1" x14ac:dyDescent="0.25">
      <c r="A397" s="809" t="s">
        <v>13816</v>
      </c>
      <c r="B397" s="807" t="s">
        <v>13792</v>
      </c>
      <c r="C397" s="807" t="s">
        <v>13792</v>
      </c>
      <c r="D397" s="808" t="s">
        <v>15003</v>
      </c>
      <c r="E397" s="808" t="s">
        <v>8761</v>
      </c>
      <c r="F397" s="811">
        <v>10</v>
      </c>
      <c r="G397" s="202" t="str">
        <f t="shared" si="6"/>
        <v/>
      </c>
    </row>
    <row r="398" spans="1:7" s="172" customFormat="1" ht="15" customHeight="1" x14ac:dyDescent="0.25">
      <c r="A398" s="809" t="s">
        <v>2778</v>
      </c>
      <c r="B398" s="807" t="s">
        <v>13792</v>
      </c>
      <c r="C398" s="807" t="s">
        <v>13792</v>
      </c>
      <c r="D398" s="808" t="s">
        <v>14102</v>
      </c>
      <c r="E398" s="808" t="s">
        <v>8784</v>
      </c>
      <c r="F398" s="811">
        <v>140</v>
      </c>
      <c r="G398" s="202" t="str">
        <f t="shared" si="6"/>
        <v/>
      </c>
    </row>
    <row r="399" spans="1:7" s="172" customFormat="1" ht="15" customHeight="1" x14ac:dyDescent="0.25">
      <c r="A399" s="809" t="s">
        <v>13914</v>
      </c>
      <c r="B399" s="807" t="s">
        <v>13792</v>
      </c>
      <c r="C399" s="807" t="s">
        <v>13792</v>
      </c>
      <c r="D399" s="808" t="s">
        <v>14103</v>
      </c>
      <c r="E399" s="808" t="s">
        <v>8763</v>
      </c>
      <c r="F399" s="811">
        <v>300</v>
      </c>
      <c r="G399" s="202" t="str">
        <f t="shared" si="6"/>
        <v/>
      </c>
    </row>
    <row r="400" spans="1:7" s="172" customFormat="1" ht="15" customHeight="1" x14ac:dyDescent="0.25">
      <c r="A400" s="809" t="s">
        <v>13816</v>
      </c>
      <c r="B400" s="807" t="s">
        <v>13792</v>
      </c>
      <c r="C400" s="807" t="s">
        <v>13792</v>
      </c>
      <c r="D400" s="808" t="s">
        <v>14104</v>
      </c>
      <c r="E400" s="808" t="s">
        <v>8788</v>
      </c>
      <c r="F400" s="811">
        <v>100</v>
      </c>
      <c r="G400" s="202" t="str">
        <f t="shared" si="6"/>
        <v/>
      </c>
    </row>
    <row r="401" spans="1:7" s="172" customFormat="1" ht="15" customHeight="1" x14ac:dyDescent="0.25">
      <c r="A401" s="809" t="s">
        <v>13914</v>
      </c>
      <c r="B401" s="807" t="s">
        <v>13792</v>
      </c>
      <c r="C401" s="807" t="s">
        <v>13792</v>
      </c>
      <c r="D401" s="808" t="s">
        <v>14105</v>
      </c>
      <c r="E401" s="808" t="s">
        <v>8788</v>
      </c>
      <c r="F401" s="811">
        <v>100</v>
      </c>
      <c r="G401" s="202" t="str">
        <f t="shared" si="6"/>
        <v/>
      </c>
    </row>
    <row r="402" spans="1:7" s="172" customFormat="1" ht="15" customHeight="1" x14ac:dyDescent="0.25">
      <c r="A402" s="809" t="s">
        <v>13895</v>
      </c>
      <c r="B402" s="807" t="s">
        <v>13792</v>
      </c>
      <c r="C402" s="807" t="s">
        <v>13792</v>
      </c>
      <c r="D402" s="808" t="s">
        <v>14106</v>
      </c>
      <c r="E402" s="808" t="s">
        <v>8788</v>
      </c>
      <c r="F402" s="811">
        <v>100</v>
      </c>
      <c r="G402" s="202" t="str">
        <f t="shared" si="6"/>
        <v/>
      </c>
    </row>
    <row r="403" spans="1:7" s="172" customFormat="1" ht="15" customHeight="1" x14ac:dyDescent="0.25">
      <c r="A403" s="809" t="s">
        <v>13928</v>
      </c>
      <c r="B403" s="807" t="s">
        <v>13792</v>
      </c>
      <c r="C403" s="807" t="s">
        <v>13792</v>
      </c>
      <c r="D403" s="808" t="s">
        <v>14107</v>
      </c>
      <c r="E403" s="808" t="s">
        <v>8784</v>
      </c>
      <c r="F403" s="811">
        <v>50</v>
      </c>
      <c r="G403" s="202" t="str">
        <f t="shared" si="6"/>
        <v/>
      </c>
    </row>
    <row r="404" spans="1:7" s="172" customFormat="1" ht="15" customHeight="1" x14ac:dyDescent="0.25">
      <c r="A404" s="809" t="s">
        <v>13809</v>
      </c>
      <c r="B404" s="807" t="s">
        <v>13792</v>
      </c>
      <c r="C404" s="807" t="s">
        <v>13792</v>
      </c>
      <c r="D404" s="808" t="s">
        <v>14108</v>
      </c>
      <c r="E404" s="808" t="s">
        <v>8784</v>
      </c>
      <c r="F404" s="811">
        <v>150</v>
      </c>
      <c r="G404" s="202" t="str">
        <f t="shared" si="6"/>
        <v/>
      </c>
    </row>
    <row r="405" spans="1:7" s="172" customFormat="1" ht="15" customHeight="1" x14ac:dyDescent="0.25">
      <c r="A405" s="809" t="s">
        <v>13848</v>
      </c>
      <c r="B405" s="807" t="s">
        <v>13792</v>
      </c>
      <c r="C405" s="807" t="s">
        <v>13792</v>
      </c>
      <c r="D405" s="808" t="s">
        <v>14109</v>
      </c>
      <c r="E405" s="808" t="s">
        <v>8784</v>
      </c>
      <c r="F405" s="811">
        <v>150</v>
      </c>
      <c r="G405" s="202" t="str">
        <f t="shared" si="6"/>
        <v/>
      </c>
    </row>
    <row r="406" spans="1:7" s="172" customFormat="1" ht="15" customHeight="1" x14ac:dyDescent="0.25">
      <c r="A406" s="809" t="s">
        <v>4131</v>
      </c>
      <c r="B406" s="807" t="s">
        <v>13792</v>
      </c>
      <c r="C406" s="807" t="s">
        <v>13792</v>
      </c>
      <c r="D406" s="808" t="s">
        <v>14110</v>
      </c>
      <c r="E406" s="808" t="s">
        <v>8784</v>
      </c>
      <c r="F406" s="811">
        <v>80</v>
      </c>
      <c r="G406" s="202" t="str">
        <f t="shared" si="6"/>
        <v/>
      </c>
    </row>
    <row r="407" spans="1:7" s="172" customFormat="1" ht="15" customHeight="1" x14ac:dyDescent="0.25">
      <c r="A407" s="809" t="s">
        <v>14111</v>
      </c>
      <c r="B407" s="807" t="s">
        <v>13792</v>
      </c>
      <c r="C407" s="807" t="s">
        <v>13792</v>
      </c>
      <c r="D407" s="808" t="s">
        <v>14112</v>
      </c>
      <c r="E407" s="808" t="s">
        <v>8784</v>
      </c>
      <c r="F407" s="811">
        <v>150</v>
      </c>
      <c r="G407" s="202" t="str">
        <f t="shared" si="6"/>
        <v/>
      </c>
    </row>
    <row r="408" spans="1:7" s="172" customFormat="1" ht="15" customHeight="1" x14ac:dyDescent="0.25">
      <c r="A408" s="809" t="s">
        <v>13980</v>
      </c>
      <c r="B408" s="807" t="s">
        <v>13792</v>
      </c>
      <c r="C408" s="807" t="s">
        <v>13792</v>
      </c>
      <c r="D408" s="808" t="s">
        <v>14113</v>
      </c>
      <c r="E408" s="808" t="s">
        <v>8761</v>
      </c>
      <c r="F408" s="811">
        <v>20</v>
      </c>
      <c r="G408" s="202" t="str">
        <f t="shared" si="6"/>
        <v/>
      </c>
    </row>
    <row r="409" spans="1:7" s="172" customFormat="1" ht="15" customHeight="1" x14ac:dyDescent="0.25">
      <c r="A409" s="809" t="s">
        <v>13866</v>
      </c>
      <c r="B409" s="807" t="s">
        <v>13792</v>
      </c>
      <c r="C409" s="807" t="s">
        <v>13792</v>
      </c>
      <c r="D409" s="808" t="s">
        <v>14114</v>
      </c>
      <c r="E409" s="808" t="s">
        <v>8788</v>
      </c>
      <c r="F409" s="811">
        <v>100</v>
      </c>
      <c r="G409" s="202" t="str">
        <f t="shared" si="6"/>
        <v/>
      </c>
    </row>
    <row r="410" spans="1:7" s="172" customFormat="1" ht="15" customHeight="1" x14ac:dyDescent="0.25">
      <c r="A410" s="809" t="s">
        <v>13864</v>
      </c>
      <c r="B410" s="807" t="s">
        <v>13792</v>
      </c>
      <c r="C410" s="807" t="s">
        <v>13792</v>
      </c>
      <c r="D410" s="808" t="s">
        <v>14115</v>
      </c>
      <c r="E410" s="808" t="s">
        <v>8763</v>
      </c>
      <c r="F410" s="811">
        <v>30</v>
      </c>
      <c r="G410" s="202" t="str">
        <f t="shared" si="6"/>
        <v/>
      </c>
    </row>
    <row r="411" spans="1:7" s="172" customFormat="1" ht="15" customHeight="1" x14ac:dyDescent="0.25">
      <c r="A411" s="809" t="s">
        <v>13864</v>
      </c>
      <c r="B411" s="807" t="s">
        <v>13792</v>
      </c>
      <c r="C411" s="807" t="s">
        <v>13792</v>
      </c>
      <c r="D411" s="808" t="s">
        <v>14116</v>
      </c>
      <c r="E411" s="808" t="s">
        <v>8763</v>
      </c>
      <c r="F411" s="811">
        <v>30</v>
      </c>
      <c r="G411" s="202" t="str">
        <f t="shared" si="6"/>
        <v/>
      </c>
    </row>
    <row r="412" spans="1:7" s="172" customFormat="1" ht="15" customHeight="1" x14ac:dyDescent="0.25">
      <c r="A412" s="809" t="s">
        <v>13864</v>
      </c>
      <c r="B412" s="807" t="s">
        <v>13792</v>
      </c>
      <c r="C412" s="807" t="s">
        <v>13792</v>
      </c>
      <c r="D412" s="808" t="s">
        <v>14117</v>
      </c>
      <c r="E412" s="808" t="s">
        <v>8763</v>
      </c>
      <c r="F412" s="811">
        <v>30</v>
      </c>
      <c r="G412" s="202" t="str">
        <f t="shared" si="6"/>
        <v/>
      </c>
    </row>
    <row r="413" spans="1:7" s="172" customFormat="1" ht="15" customHeight="1" x14ac:dyDescent="0.25">
      <c r="A413" s="809" t="s">
        <v>13864</v>
      </c>
      <c r="B413" s="807" t="s">
        <v>13792</v>
      </c>
      <c r="C413" s="807" t="s">
        <v>13792</v>
      </c>
      <c r="D413" s="808" t="s">
        <v>14118</v>
      </c>
      <c r="E413" s="808" t="s">
        <v>8763</v>
      </c>
      <c r="F413" s="811">
        <v>45</v>
      </c>
      <c r="G413" s="202" t="str">
        <f t="shared" si="6"/>
        <v/>
      </c>
    </row>
    <row r="414" spans="1:7" s="172" customFormat="1" ht="15" customHeight="1" x14ac:dyDescent="0.25">
      <c r="A414" s="809" t="s">
        <v>13809</v>
      </c>
      <c r="B414" s="807" t="s">
        <v>13792</v>
      </c>
      <c r="C414" s="807" t="s">
        <v>13792</v>
      </c>
      <c r="D414" s="808" t="s">
        <v>14119</v>
      </c>
      <c r="E414" s="808" t="s">
        <v>8761</v>
      </c>
      <c r="F414" s="811">
        <v>15</v>
      </c>
      <c r="G414" s="202" t="str">
        <f t="shared" si="6"/>
        <v/>
      </c>
    </row>
    <row r="415" spans="1:7" s="172" customFormat="1" ht="15" customHeight="1" x14ac:dyDescent="0.25">
      <c r="A415" s="809" t="s">
        <v>13047</v>
      </c>
      <c r="B415" s="807" t="s">
        <v>13792</v>
      </c>
      <c r="C415" s="807" t="s">
        <v>13792</v>
      </c>
      <c r="D415" s="808" t="s">
        <v>14120</v>
      </c>
      <c r="E415" s="808" t="s">
        <v>8788</v>
      </c>
      <c r="F415" s="811">
        <v>15</v>
      </c>
      <c r="G415" s="202" t="str">
        <f t="shared" si="6"/>
        <v/>
      </c>
    </row>
    <row r="416" spans="1:7" s="172" customFormat="1" ht="15" customHeight="1" x14ac:dyDescent="0.25">
      <c r="A416" s="809" t="s">
        <v>13047</v>
      </c>
      <c r="B416" s="807" t="s">
        <v>13792</v>
      </c>
      <c r="C416" s="807" t="s">
        <v>13792</v>
      </c>
      <c r="D416" s="808" t="s">
        <v>14121</v>
      </c>
      <c r="E416" s="808" t="s">
        <v>8788</v>
      </c>
      <c r="F416" s="811">
        <v>25</v>
      </c>
      <c r="G416" s="202" t="str">
        <f t="shared" si="6"/>
        <v/>
      </c>
    </row>
    <row r="417" spans="1:7" s="172" customFormat="1" ht="15" customHeight="1" x14ac:dyDescent="0.25">
      <c r="A417" s="809" t="s">
        <v>7635</v>
      </c>
      <c r="B417" s="807" t="s">
        <v>13792</v>
      </c>
      <c r="C417" s="807" t="s">
        <v>13792</v>
      </c>
      <c r="D417" s="808" t="s">
        <v>14122</v>
      </c>
      <c r="E417" s="808" t="s">
        <v>8763</v>
      </c>
      <c r="F417" s="811">
        <v>300</v>
      </c>
      <c r="G417" s="202" t="str">
        <f t="shared" si="6"/>
        <v/>
      </c>
    </row>
    <row r="418" spans="1:7" s="172" customFormat="1" ht="15" customHeight="1" x14ac:dyDescent="0.25">
      <c r="A418" s="809" t="s">
        <v>13807</v>
      </c>
      <c r="B418" s="807" t="s">
        <v>13792</v>
      </c>
      <c r="C418" s="807" t="s">
        <v>13792</v>
      </c>
      <c r="D418" s="808" t="s">
        <v>14123</v>
      </c>
      <c r="E418" s="808" t="s">
        <v>8784</v>
      </c>
      <c r="F418" s="811">
        <v>100</v>
      </c>
      <c r="G418" s="202" t="str">
        <f t="shared" si="6"/>
        <v/>
      </c>
    </row>
    <row r="419" spans="1:7" s="172" customFormat="1" ht="15" customHeight="1" x14ac:dyDescent="0.25">
      <c r="A419" s="809" t="s">
        <v>14124</v>
      </c>
      <c r="B419" s="807" t="s">
        <v>13792</v>
      </c>
      <c r="C419" s="807" t="s">
        <v>13792</v>
      </c>
      <c r="D419" s="808" t="s">
        <v>14125</v>
      </c>
      <c r="E419" s="808" t="s">
        <v>8788</v>
      </c>
      <c r="F419" s="811">
        <v>60</v>
      </c>
      <c r="G419" s="202" t="str">
        <f t="shared" si="6"/>
        <v/>
      </c>
    </row>
    <row r="420" spans="1:7" s="172" customFormat="1" ht="15" customHeight="1" x14ac:dyDescent="0.25">
      <c r="A420" s="809" t="s">
        <v>13807</v>
      </c>
      <c r="B420" s="807" t="s">
        <v>13792</v>
      </c>
      <c r="C420" s="807" t="s">
        <v>13792</v>
      </c>
      <c r="D420" s="808" t="s">
        <v>14126</v>
      </c>
      <c r="E420" s="808" t="s">
        <v>8788</v>
      </c>
      <c r="F420" s="811">
        <v>60</v>
      </c>
      <c r="G420" s="202" t="str">
        <f t="shared" si="6"/>
        <v/>
      </c>
    </row>
    <row r="421" spans="1:7" s="172" customFormat="1" ht="15" customHeight="1" x14ac:dyDescent="0.25">
      <c r="A421" s="809" t="s">
        <v>14127</v>
      </c>
      <c r="B421" s="807" t="s">
        <v>13792</v>
      </c>
      <c r="C421" s="807" t="s">
        <v>13792</v>
      </c>
      <c r="D421" s="808" t="s">
        <v>14128</v>
      </c>
      <c r="E421" s="808" t="s">
        <v>6923</v>
      </c>
      <c r="F421" s="811">
        <v>5</v>
      </c>
      <c r="G421" s="202" t="str">
        <f t="shared" si="6"/>
        <v/>
      </c>
    </row>
    <row r="422" spans="1:7" s="172" customFormat="1" ht="15" customHeight="1" x14ac:dyDescent="0.25">
      <c r="A422" s="809" t="s">
        <v>14129</v>
      </c>
      <c r="B422" s="807" t="s">
        <v>13792</v>
      </c>
      <c r="C422" s="807" t="s">
        <v>13792</v>
      </c>
      <c r="D422" s="808" t="s">
        <v>14130</v>
      </c>
      <c r="E422" s="808" t="s">
        <v>8761</v>
      </c>
      <c r="F422" s="811">
        <v>30</v>
      </c>
      <c r="G422" s="202" t="str">
        <f t="shared" si="6"/>
        <v/>
      </c>
    </row>
    <row r="423" spans="1:7" s="172" customFormat="1" ht="15" customHeight="1" x14ac:dyDescent="0.25">
      <c r="A423" s="809" t="s">
        <v>14131</v>
      </c>
      <c r="B423" s="807" t="s">
        <v>13792</v>
      </c>
      <c r="C423" s="807" t="s">
        <v>13792</v>
      </c>
      <c r="D423" s="808" t="s">
        <v>14132</v>
      </c>
      <c r="E423" s="808" t="s">
        <v>8790</v>
      </c>
      <c r="F423" s="811">
        <v>10</v>
      </c>
      <c r="G423" s="202" t="str">
        <f t="shared" si="6"/>
        <v/>
      </c>
    </row>
    <row r="424" spans="1:7" s="172" customFormat="1" ht="15" customHeight="1" x14ac:dyDescent="0.25">
      <c r="A424" s="809" t="s">
        <v>14133</v>
      </c>
      <c r="B424" s="807" t="s">
        <v>13792</v>
      </c>
      <c r="C424" s="807" t="s">
        <v>13792</v>
      </c>
      <c r="D424" s="808" t="s">
        <v>14134</v>
      </c>
      <c r="E424" s="808" t="s">
        <v>8774</v>
      </c>
      <c r="F424" s="811">
        <v>10</v>
      </c>
      <c r="G424" s="202" t="str">
        <f t="shared" si="6"/>
        <v/>
      </c>
    </row>
    <row r="425" spans="1:7" s="172" customFormat="1" ht="15" customHeight="1" x14ac:dyDescent="0.25">
      <c r="A425" s="809" t="s">
        <v>2727</v>
      </c>
      <c r="B425" s="807" t="s">
        <v>13792</v>
      </c>
      <c r="C425" s="807" t="s">
        <v>13792</v>
      </c>
      <c r="D425" s="808" t="s">
        <v>14135</v>
      </c>
      <c r="E425" s="808" t="s">
        <v>8790</v>
      </c>
      <c r="F425" s="811">
        <v>10</v>
      </c>
      <c r="G425" s="202" t="str">
        <f t="shared" si="6"/>
        <v/>
      </c>
    </row>
    <row r="426" spans="1:7" s="172" customFormat="1" ht="15" customHeight="1" x14ac:dyDescent="0.25">
      <c r="A426" s="809" t="s">
        <v>14136</v>
      </c>
      <c r="B426" s="807" t="s">
        <v>13792</v>
      </c>
      <c r="C426" s="807" t="s">
        <v>13792</v>
      </c>
      <c r="D426" s="808" t="s">
        <v>14137</v>
      </c>
      <c r="E426" s="808" t="s">
        <v>8761</v>
      </c>
      <c r="F426" s="811">
        <v>5</v>
      </c>
      <c r="G426" s="202" t="str">
        <f t="shared" si="6"/>
        <v/>
      </c>
    </row>
    <row r="427" spans="1:7" s="172" customFormat="1" ht="15" customHeight="1" x14ac:dyDescent="0.25">
      <c r="A427" s="809" t="s">
        <v>14138</v>
      </c>
      <c r="B427" s="807" t="s">
        <v>13792</v>
      </c>
      <c r="C427" s="807" t="s">
        <v>13792</v>
      </c>
      <c r="D427" s="808" t="s">
        <v>14139</v>
      </c>
      <c r="E427" s="808" t="s">
        <v>8761</v>
      </c>
      <c r="F427" s="811">
        <v>30</v>
      </c>
      <c r="G427" s="202" t="str">
        <f t="shared" si="6"/>
        <v/>
      </c>
    </row>
    <row r="428" spans="1:7" s="172" customFormat="1" ht="15" customHeight="1" x14ac:dyDescent="0.25">
      <c r="A428" s="809" t="s">
        <v>8208</v>
      </c>
      <c r="B428" s="807" t="s">
        <v>13792</v>
      </c>
      <c r="C428" s="807" t="s">
        <v>13792</v>
      </c>
      <c r="D428" s="808" t="s">
        <v>14140</v>
      </c>
      <c r="E428" s="808" t="s">
        <v>2429</v>
      </c>
      <c r="F428" s="811">
        <v>2</v>
      </c>
      <c r="G428" s="202" t="str">
        <f t="shared" si="6"/>
        <v/>
      </c>
    </row>
    <row r="429" spans="1:7" s="172" customFormat="1" ht="15" customHeight="1" x14ac:dyDescent="0.25">
      <c r="A429" s="809" t="s">
        <v>14141</v>
      </c>
      <c r="B429" s="807" t="s">
        <v>13792</v>
      </c>
      <c r="C429" s="807" t="s">
        <v>13792</v>
      </c>
      <c r="D429" s="808" t="s">
        <v>14142</v>
      </c>
      <c r="E429" s="808" t="s">
        <v>8774</v>
      </c>
      <c r="F429" s="811">
        <v>10</v>
      </c>
      <c r="G429" s="202" t="str">
        <f t="shared" si="6"/>
        <v/>
      </c>
    </row>
    <row r="430" spans="1:7" s="172" customFormat="1" ht="15" customHeight="1" x14ac:dyDescent="0.25">
      <c r="A430" s="809" t="s">
        <v>14143</v>
      </c>
      <c r="B430" s="807" t="s">
        <v>13792</v>
      </c>
      <c r="C430" s="807" t="s">
        <v>13792</v>
      </c>
      <c r="D430" s="808" t="s">
        <v>14144</v>
      </c>
      <c r="E430" s="808" t="s">
        <v>8876</v>
      </c>
      <c r="F430" s="811">
        <v>15</v>
      </c>
      <c r="G430" s="202" t="str">
        <f t="shared" si="6"/>
        <v/>
      </c>
    </row>
    <row r="431" spans="1:7" s="172" customFormat="1" ht="15" customHeight="1" x14ac:dyDescent="0.25">
      <c r="A431" s="809" t="s">
        <v>3294</v>
      </c>
      <c r="B431" s="807" t="s">
        <v>13792</v>
      </c>
      <c r="C431" s="807" t="s">
        <v>13792</v>
      </c>
      <c r="D431" s="808" t="s">
        <v>14145</v>
      </c>
      <c r="E431" s="808" t="s">
        <v>2429</v>
      </c>
      <c r="F431" s="811">
        <v>5</v>
      </c>
      <c r="G431" s="202" t="str">
        <f t="shared" si="6"/>
        <v/>
      </c>
    </row>
    <row r="432" spans="1:7" s="172" customFormat="1" ht="15" customHeight="1" x14ac:dyDescent="0.25">
      <c r="A432" s="809" t="s">
        <v>13811</v>
      </c>
      <c r="B432" s="807" t="s">
        <v>13792</v>
      </c>
      <c r="C432" s="807" t="s">
        <v>13792</v>
      </c>
      <c r="D432" s="808" t="s">
        <v>14146</v>
      </c>
      <c r="E432" s="808" t="s">
        <v>8784</v>
      </c>
      <c r="F432" s="811">
        <v>230</v>
      </c>
      <c r="G432" s="202" t="str">
        <f t="shared" si="6"/>
        <v/>
      </c>
    </row>
    <row r="433" spans="1:7" s="172" customFormat="1" ht="15" customHeight="1" x14ac:dyDescent="0.25">
      <c r="A433" s="809" t="s">
        <v>19804</v>
      </c>
      <c r="B433" s="807" t="s">
        <v>13792</v>
      </c>
      <c r="C433" s="807" t="s">
        <v>13792</v>
      </c>
      <c r="D433" s="808" t="s">
        <v>14147</v>
      </c>
      <c r="E433" s="808" t="s">
        <v>8763</v>
      </c>
      <c r="F433" s="811">
        <v>300</v>
      </c>
      <c r="G433" s="202" t="str">
        <f t="shared" si="6"/>
        <v/>
      </c>
    </row>
    <row r="434" spans="1:7" s="172" customFormat="1" ht="15" customHeight="1" x14ac:dyDescent="0.25">
      <c r="A434" s="809" t="s">
        <v>13831</v>
      </c>
      <c r="B434" s="807" t="s">
        <v>13792</v>
      </c>
      <c r="C434" s="807" t="s">
        <v>13792</v>
      </c>
      <c r="D434" s="808" t="s">
        <v>14148</v>
      </c>
      <c r="E434" s="808" t="s">
        <v>8788</v>
      </c>
      <c r="F434" s="811">
        <v>50</v>
      </c>
      <c r="G434" s="202" t="str">
        <f t="shared" si="6"/>
        <v/>
      </c>
    </row>
    <row r="435" spans="1:7" s="172" customFormat="1" ht="15" customHeight="1" x14ac:dyDescent="0.25">
      <c r="A435" s="809" t="s">
        <v>12126</v>
      </c>
      <c r="B435" s="807" t="s">
        <v>13792</v>
      </c>
      <c r="C435" s="807" t="s">
        <v>13792</v>
      </c>
      <c r="D435" s="808" t="s">
        <v>14149</v>
      </c>
      <c r="E435" s="808" t="s">
        <v>8788</v>
      </c>
      <c r="F435" s="811">
        <v>60</v>
      </c>
      <c r="G435" s="202" t="str">
        <f t="shared" si="6"/>
        <v/>
      </c>
    </row>
    <row r="436" spans="1:7" s="172" customFormat="1" ht="15" customHeight="1" x14ac:dyDescent="0.25">
      <c r="A436" s="809" t="s">
        <v>2473</v>
      </c>
      <c r="B436" s="807" t="s">
        <v>13792</v>
      </c>
      <c r="C436" s="807" t="s">
        <v>13792</v>
      </c>
      <c r="D436" s="808" t="s">
        <v>14150</v>
      </c>
      <c r="E436" s="808" t="s">
        <v>8761</v>
      </c>
      <c r="F436" s="811">
        <v>40</v>
      </c>
      <c r="G436" s="202" t="str">
        <f t="shared" si="6"/>
        <v/>
      </c>
    </row>
    <row r="437" spans="1:7" s="172" customFormat="1" ht="15" customHeight="1" x14ac:dyDescent="0.25">
      <c r="A437" s="809" t="s">
        <v>14029</v>
      </c>
      <c r="B437" s="807" t="s">
        <v>13792</v>
      </c>
      <c r="C437" s="807" t="s">
        <v>13792</v>
      </c>
      <c r="D437" s="808" t="s">
        <v>14151</v>
      </c>
      <c r="E437" s="808" t="s">
        <v>8765</v>
      </c>
      <c r="F437" s="811">
        <v>30</v>
      </c>
      <c r="G437" s="202" t="str">
        <f t="shared" si="6"/>
        <v/>
      </c>
    </row>
    <row r="438" spans="1:7" s="172" customFormat="1" ht="15" customHeight="1" x14ac:dyDescent="0.25">
      <c r="A438" s="809" t="s">
        <v>7329</v>
      </c>
      <c r="B438" s="807" t="s">
        <v>13792</v>
      </c>
      <c r="C438" s="807" t="s">
        <v>13792</v>
      </c>
      <c r="D438" s="808" t="s">
        <v>14152</v>
      </c>
      <c r="E438" s="808" t="s">
        <v>8790</v>
      </c>
      <c r="F438" s="811">
        <v>10</v>
      </c>
      <c r="G438" s="202" t="str">
        <f t="shared" si="6"/>
        <v/>
      </c>
    </row>
    <row r="439" spans="1:7" s="172" customFormat="1" ht="15" customHeight="1" x14ac:dyDescent="0.25">
      <c r="A439" s="809" t="s">
        <v>14153</v>
      </c>
      <c r="B439" s="807" t="s">
        <v>13792</v>
      </c>
      <c r="C439" s="807" t="s">
        <v>13792</v>
      </c>
      <c r="D439" s="808" t="s">
        <v>14154</v>
      </c>
      <c r="E439" s="808" t="s">
        <v>6923</v>
      </c>
      <c r="F439" s="811">
        <v>15</v>
      </c>
      <c r="G439" s="202" t="str">
        <f t="shared" si="6"/>
        <v/>
      </c>
    </row>
    <row r="440" spans="1:7" s="172" customFormat="1" ht="15" customHeight="1" x14ac:dyDescent="0.25">
      <c r="A440" s="809" t="s">
        <v>14155</v>
      </c>
      <c r="B440" s="807" t="s">
        <v>13792</v>
      </c>
      <c r="C440" s="807" t="s">
        <v>13792</v>
      </c>
      <c r="D440" s="808" t="s">
        <v>14156</v>
      </c>
      <c r="E440" s="808" t="s">
        <v>6923</v>
      </c>
      <c r="F440" s="811">
        <v>15</v>
      </c>
      <c r="G440" s="202" t="str">
        <f t="shared" si="6"/>
        <v/>
      </c>
    </row>
    <row r="441" spans="1:7" s="172" customFormat="1" ht="15" customHeight="1" x14ac:dyDescent="0.25">
      <c r="A441" s="809" t="s">
        <v>13047</v>
      </c>
      <c r="B441" s="807" t="s">
        <v>13792</v>
      </c>
      <c r="C441" s="807" t="s">
        <v>13792</v>
      </c>
      <c r="D441" s="808" t="s">
        <v>14157</v>
      </c>
      <c r="E441" s="808" t="s">
        <v>8761</v>
      </c>
      <c r="F441" s="811">
        <v>30</v>
      </c>
      <c r="G441" s="202" t="str">
        <f t="shared" si="6"/>
        <v/>
      </c>
    </row>
    <row r="442" spans="1:7" s="172" customFormat="1" ht="15" customHeight="1" x14ac:dyDescent="0.25">
      <c r="A442" s="809" t="s">
        <v>14158</v>
      </c>
      <c r="B442" s="807" t="s">
        <v>13792</v>
      </c>
      <c r="C442" s="807" t="s">
        <v>13792</v>
      </c>
      <c r="D442" s="808" t="s">
        <v>14159</v>
      </c>
      <c r="E442" s="808" t="s">
        <v>8765</v>
      </c>
      <c r="F442" s="811">
        <v>10</v>
      </c>
      <c r="G442" s="202" t="str">
        <f t="shared" si="6"/>
        <v/>
      </c>
    </row>
    <row r="443" spans="1:7" s="172" customFormat="1" ht="15" customHeight="1" x14ac:dyDescent="0.25">
      <c r="A443" s="809" t="s">
        <v>13807</v>
      </c>
      <c r="B443" s="807" t="s">
        <v>13792</v>
      </c>
      <c r="C443" s="807" t="s">
        <v>13792</v>
      </c>
      <c r="D443" s="808" t="s">
        <v>14160</v>
      </c>
      <c r="E443" s="808" t="s">
        <v>18474</v>
      </c>
      <c r="F443" s="811">
        <v>300</v>
      </c>
      <c r="G443" s="202" t="str">
        <f t="shared" si="6"/>
        <v/>
      </c>
    </row>
    <row r="444" spans="1:7" s="172" customFormat="1" ht="15" customHeight="1" x14ac:dyDescent="0.25">
      <c r="A444" s="809" t="s">
        <v>13807</v>
      </c>
      <c r="B444" s="807" t="s">
        <v>13792</v>
      </c>
      <c r="C444" s="807" t="s">
        <v>13792</v>
      </c>
      <c r="D444" s="808" t="s">
        <v>14160</v>
      </c>
      <c r="E444" s="808" t="s">
        <v>8761</v>
      </c>
      <c r="F444" s="811">
        <v>50</v>
      </c>
      <c r="G444" s="202" t="str">
        <f t="shared" si="6"/>
        <v/>
      </c>
    </row>
    <row r="445" spans="1:7" s="172" customFormat="1" ht="15" customHeight="1" x14ac:dyDescent="0.25">
      <c r="A445" s="809" t="s">
        <v>13807</v>
      </c>
      <c r="B445" s="807" t="s">
        <v>13792</v>
      </c>
      <c r="C445" s="807" t="s">
        <v>13792</v>
      </c>
      <c r="D445" s="808" t="s">
        <v>14161</v>
      </c>
      <c r="E445" s="808" t="s">
        <v>18471</v>
      </c>
      <c r="F445" s="811">
        <v>300</v>
      </c>
      <c r="G445" s="202" t="str">
        <f t="shared" si="6"/>
        <v/>
      </c>
    </row>
    <row r="446" spans="1:7" s="172" customFormat="1" ht="15" customHeight="1" x14ac:dyDescent="0.25">
      <c r="A446" s="809" t="s">
        <v>6578</v>
      </c>
      <c r="B446" s="807" t="s">
        <v>13792</v>
      </c>
      <c r="C446" s="807" t="s">
        <v>13792</v>
      </c>
      <c r="D446" s="808" t="s">
        <v>14162</v>
      </c>
      <c r="E446" s="808" t="s">
        <v>8765</v>
      </c>
      <c r="F446" s="811">
        <v>20</v>
      </c>
      <c r="G446" s="202" t="str">
        <f t="shared" si="6"/>
        <v/>
      </c>
    </row>
    <row r="447" spans="1:7" s="172" customFormat="1" ht="15" customHeight="1" x14ac:dyDescent="0.25">
      <c r="A447" s="809" t="s">
        <v>14163</v>
      </c>
      <c r="B447" s="807" t="s">
        <v>13792</v>
      </c>
      <c r="C447" s="807" t="s">
        <v>13792</v>
      </c>
      <c r="D447" s="808" t="s">
        <v>14164</v>
      </c>
      <c r="E447" s="808" t="s">
        <v>8761</v>
      </c>
      <c r="F447" s="811">
        <v>15</v>
      </c>
      <c r="G447" s="202" t="str">
        <f t="shared" si="6"/>
        <v/>
      </c>
    </row>
    <row r="448" spans="1:7" s="172" customFormat="1" ht="15" customHeight="1" x14ac:dyDescent="0.25">
      <c r="A448" s="809" t="s">
        <v>6165</v>
      </c>
      <c r="B448" s="807" t="s">
        <v>13792</v>
      </c>
      <c r="C448" s="807" t="s">
        <v>13792</v>
      </c>
      <c r="D448" s="808" t="s">
        <v>14165</v>
      </c>
      <c r="E448" s="808" t="s">
        <v>8765</v>
      </c>
      <c r="F448" s="811">
        <v>10</v>
      </c>
      <c r="G448" s="202" t="str">
        <f t="shared" si="6"/>
        <v/>
      </c>
    </row>
    <row r="449" spans="1:7" s="172" customFormat="1" ht="15" customHeight="1" x14ac:dyDescent="0.25">
      <c r="A449" s="809" t="s">
        <v>13807</v>
      </c>
      <c r="B449" s="807" t="s">
        <v>13792</v>
      </c>
      <c r="C449" s="807" t="s">
        <v>13792</v>
      </c>
      <c r="D449" s="808" t="s">
        <v>14166</v>
      </c>
      <c r="E449" s="808" t="s">
        <v>8784</v>
      </c>
      <c r="F449" s="811">
        <v>45</v>
      </c>
      <c r="G449" s="202" t="str">
        <f t="shared" si="6"/>
        <v/>
      </c>
    </row>
    <row r="450" spans="1:7" s="172" customFormat="1" ht="15" customHeight="1" x14ac:dyDescent="0.25">
      <c r="A450" s="809" t="s">
        <v>13807</v>
      </c>
      <c r="B450" s="807" t="s">
        <v>13792</v>
      </c>
      <c r="C450" s="807" t="s">
        <v>13792</v>
      </c>
      <c r="D450" s="808" t="s">
        <v>14167</v>
      </c>
      <c r="E450" s="808" t="s">
        <v>8784</v>
      </c>
      <c r="F450" s="811">
        <v>70</v>
      </c>
      <c r="G450" s="202" t="str">
        <f t="shared" si="6"/>
        <v/>
      </c>
    </row>
    <row r="451" spans="1:7" s="172" customFormat="1" ht="15" customHeight="1" x14ac:dyDescent="0.25">
      <c r="A451" s="809" t="s">
        <v>14168</v>
      </c>
      <c r="B451" s="807" t="s">
        <v>13792</v>
      </c>
      <c r="C451" s="807" t="s">
        <v>13792</v>
      </c>
      <c r="D451" s="808" t="s">
        <v>14169</v>
      </c>
      <c r="E451" s="808" t="s">
        <v>8771</v>
      </c>
      <c r="F451" s="811">
        <v>20</v>
      </c>
      <c r="G451" s="202" t="str">
        <f t="shared" si="6"/>
        <v/>
      </c>
    </row>
    <row r="452" spans="1:7" s="172" customFormat="1" ht="15" customHeight="1" x14ac:dyDescent="0.25">
      <c r="A452" s="809" t="s">
        <v>14170</v>
      </c>
      <c r="B452" s="807" t="s">
        <v>13792</v>
      </c>
      <c r="C452" s="807" t="s">
        <v>13792</v>
      </c>
      <c r="D452" s="808" t="s">
        <v>14171</v>
      </c>
      <c r="E452" s="808" t="s">
        <v>8790</v>
      </c>
      <c r="F452" s="811">
        <v>5</v>
      </c>
      <c r="G452" s="202" t="str">
        <f t="shared" ref="G452:G515" si="7">IF(E452=F452,"не загружен","")</f>
        <v/>
      </c>
    </row>
    <row r="453" spans="1:7" s="172" customFormat="1" ht="15" customHeight="1" x14ac:dyDescent="0.25">
      <c r="A453" s="809" t="s">
        <v>14095</v>
      </c>
      <c r="B453" s="807" t="s">
        <v>13792</v>
      </c>
      <c r="C453" s="807" t="s">
        <v>13792</v>
      </c>
      <c r="D453" s="808" t="s">
        <v>14172</v>
      </c>
      <c r="E453" s="808" t="s">
        <v>8765</v>
      </c>
      <c r="F453" s="811">
        <v>20</v>
      </c>
      <c r="G453" s="202" t="str">
        <f t="shared" si="7"/>
        <v/>
      </c>
    </row>
    <row r="454" spans="1:7" s="172" customFormat="1" ht="15" customHeight="1" x14ac:dyDescent="0.25">
      <c r="A454" s="809" t="s">
        <v>2922</v>
      </c>
      <c r="B454" s="807" t="s">
        <v>13792</v>
      </c>
      <c r="C454" s="807" t="s">
        <v>13792</v>
      </c>
      <c r="D454" s="808" t="s">
        <v>14173</v>
      </c>
      <c r="E454" s="808" t="s">
        <v>8790</v>
      </c>
      <c r="F454" s="811">
        <v>10</v>
      </c>
      <c r="G454" s="202" t="str">
        <f t="shared" si="7"/>
        <v/>
      </c>
    </row>
    <row r="455" spans="1:7" s="172" customFormat="1" ht="15" customHeight="1" x14ac:dyDescent="0.25">
      <c r="A455" s="809" t="s">
        <v>14174</v>
      </c>
      <c r="B455" s="807" t="s">
        <v>13792</v>
      </c>
      <c r="C455" s="807" t="s">
        <v>13792</v>
      </c>
      <c r="D455" s="808" t="s">
        <v>14175</v>
      </c>
      <c r="E455" s="808" t="s">
        <v>8790</v>
      </c>
      <c r="F455" s="811">
        <v>20</v>
      </c>
      <c r="G455" s="202" t="str">
        <f t="shared" si="7"/>
        <v/>
      </c>
    </row>
    <row r="456" spans="1:7" s="172" customFormat="1" ht="15" customHeight="1" x14ac:dyDescent="0.25">
      <c r="A456" s="809" t="s">
        <v>14176</v>
      </c>
      <c r="B456" s="807" t="s">
        <v>13792</v>
      </c>
      <c r="C456" s="807" t="s">
        <v>13792</v>
      </c>
      <c r="D456" s="808" t="s">
        <v>14177</v>
      </c>
      <c r="E456" s="808" t="s">
        <v>6923</v>
      </c>
      <c r="F456" s="811">
        <v>5</v>
      </c>
      <c r="G456" s="202" t="str">
        <f t="shared" si="7"/>
        <v/>
      </c>
    </row>
    <row r="457" spans="1:7" s="172" customFormat="1" ht="15" customHeight="1" x14ac:dyDescent="0.25">
      <c r="A457" s="809" t="s">
        <v>13831</v>
      </c>
      <c r="B457" s="807" t="s">
        <v>13792</v>
      </c>
      <c r="C457" s="807" t="s">
        <v>13792</v>
      </c>
      <c r="D457" s="808" t="s">
        <v>14178</v>
      </c>
      <c r="E457" s="808" t="s">
        <v>8771</v>
      </c>
      <c r="F457" s="811">
        <v>10</v>
      </c>
      <c r="G457" s="202" t="str">
        <f t="shared" si="7"/>
        <v/>
      </c>
    </row>
    <row r="458" spans="1:7" s="172" customFormat="1" ht="15" customHeight="1" x14ac:dyDescent="0.25">
      <c r="A458" s="809" t="s">
        <v>14179</v>
      </c>
      <c r="B458" s="807" t="s">
        <v>13792</v>
      </c>
      <c r="C458" s="807" t="s">
        <v>13792</v>
      </c>
      <c r="D458" s="808" t="s">
        <v>14180</v>
      </c>
      <c r="E458" s="808" t="s">
        <v>8765</v>
      </c>
      <c r="F458" s="811">
        <v>20</v>
      </c>
      <c r="G458" s="202" t="str">
        <f t="shared" si="7"/>
        <v/>
      </c>
    </row>
    <row r="459" spans="1:7" s="172" customFormat="1" ht="15" customHeight="1" x14ac:dyDescent="0.25">
      <c r="A459" s="809" t="s">
        <v>14181</v>
      </c>
      <c r="B459" s="807" t="s">
        <v>13792</v>
      </c>
      <c r="C459" s="807" t="s">
        <v>13792</v>
      </c>
      <c r="D459" s="808" t="s">
        <v>14182</v>
      </c>
      <c r="E459" s="808" t="s">
        <v>8788</v>
      </c>
      <c r="F459" s="811">
        <v>30</v>
      </c>
      <c r="G459" s="202" t="str">
        <f t="shared" si="7"/>
        <v/>
      </c>
    </row>
    <row r="460" spans="1:7" s="172" customFormat="1" ht="15" customHeight="1" x14ac:dyDescent="0.25">
      <c r="A460" s="809" t="s">
        <v>2668</v>
      </c>
      <c r="B460" s="807" t="s">
        <v>13792</v>
      </c>
      <c r="C460" s="807" t="s">
        <v>13792</v>
      </c>
      <c r="D460" s="808" t="s">
        <v>14183</v>
      </c>
      <c r="E460" s="808" t="s">
        <v>8771</v>
      </c>
      <c r="F460" s="811">
        <v>20</v>
      </c>
      <c r="G460" s="202" t="str">
        <f t="shared" si="7"/>
        <v/>
      </c>
    </row>
    <row r="461" spans="1:7" s="172" customFormat="1" ht="15" customHeight="1" x14ac:dyDescent="0.25">
      <c r="A461" s="809" t="s">
        <v>14184</v>
      </c>
      <c r="B461" s="807" t="s">
        <v>13792</v>
      </c>
      <c r="C461" s="807" t="s">
        <v>13792</v>
      </c>
      <c r="D461" s="808" t="s">
        <v>14185</v>
      </c>
      <c r="E461" s="808" t="s">
        <v>8788</v>
      </c>
      <c r="F461" s="811">
        <v>25</v>
      </c>
      <c r="G461" s="202" t="str">
        <f t="shared" si="7"/>
        <v/>
      </c>
    </row>
    <row r="462" spans="1:7" s="172" customFormat="1" ht="15" customHeight="1" x14ac:dyDescent="0.25">
      <c r="A462" s="809" t="s">
        <v>14186</v>
      </c>
      <c r="B462" s="807" t="s">
        <v>13792</v>
      </c>
      <c r="C462" s="807" t="s">
        <v>13792</v>
      </c>
      <c r="D462" s="808" t="s">
        <v>14187</v>
      </c>
      <c r="E462" s="808" t="s">
        <v>8774</v>
      </c>
      <c r="F462" s="811">
        <v>10</v>
      </c>
      <c r="G462" s="202" t="str">
        <f t="shared" si="7"/>
        <v/>
      </c>
    </row>
    <row r="463" spans="1:7" s="172" customFormat="1" ht="15" customHeight="1" x14ac:dyDescent="0.25">
      <c r="A463" s="809" t="s">
        <v>14188</v>
      </c>
      <c r="B463" s="807" t="s">
        <v>13792</v>
      </c>
      <c r="C463" s="807" t="s">
        <v>13792</v>
      </c>
      <c r="D463" s="808" t="s">
        <v>14189</v>
      </c>
      <c r="E463" s="808" t="s">
        <v>8765</v>
      </c>
      <c r="F463" s="811">
        <v>30</v>
      </c>
      <c r="G463" s="202" t="str">
        <f t="shared" si="7"/>
        <v/>
      </c>
    </row>
    <row r="464" spans="1:7" s="172" customFormat="1" ht="15" customHeight="1" x14ac:dyDescent="0.25">
      <c r="A464" s="809" t="s">
        <v>14190</v>
      </c>
      <c r="B464" s="807" t="s">
        <v>13792</v>
      </c>
      <c r="C464" s="807" t="s">
        <v>13792</v>
      </c>
      <c r="D464" s="808" t="s">
        <v>14191</v>
      </c>
      <c r="E464" s="808" t="s">
        <v>8790</v>
      </c>
      <c r="F464" s="811">
        <v>10</v>
      </c>
      <c r="G464" s="202" t="str">
        <f t="shared" si="7"/>
        <v/>
      </c>
    </row>
    <row r="465" spans="1:7" s="172" customFormat="1" ht="15" customHeight="1" x14ac:dyDescent="0.25">
      <c r="A465" s="809" t="s">
        <v>14192</v>
      </c>
      <c r="B465" s="807" t="s">
        <v>13792</v>
      </c>
      <c r="C465" s="807" t="s">
        <v>13792</v>
      </c>
      <c r="D465" s="808" t="s">
        <v>14193</v>
      </c>
      <c r="E465" s="808" t="s">
        <v>8765</v>
      </c>
      <c r="F465" s="811">
        <v>30</v>
      </c>
      <c r="G465" s="202" t="str">
        <f t="shared" si="7"/>
        <v/>
      </c>
    </row>
    <row r="466" spans="1:7" s="172" customFormat="1" ht="15" customHeight="1" x14ac:dyDescent="0.25">
      <c r="A466" s="809" t="s">
        <v>14194</v>
      </c>
      <c r="B466" s="807" t="s">
        <v>13792</v>
      </c>
      <c r="C466" s="807" t="s">
        <v>13792</v>
      </c>
      <c r="D466" s="808" t="s">
        <v>14195</v>
      </c>
      <c r="E466" s="808" t="s">
        <v>8790</v>
      </c>
      <c r="F466" s="811">
        <v>10</v>
      </c>
      <c r="G466" s="202" t="str">
        <f t="shared" si="7"/>
        <v/>
      </c>
    </row>
    <row r="467" spans="1:7" s="172" customFormat="1" ht="15" customHeight="1" x14ac:dyDescent="0.25">
      <c r="A467" s="809" t="s">
        <v>14029</v>
      </c>
      <c r="B467" s="807" t="s">
        <v>13792</v>
      </c>
      <c r="C467" s="807" t="s">
        <v>13792</v>
      </c>
      <c r="D467" s="808" t="s">
        <v>14196</v>
      </c>
      <c r="E467" s="808" t="s">
        <v>8790</v>
      </c>
      <c r="F467" s="811">
        <v>10</v>
      </c>
      <c r="G467" s="202" t="str">
        <f t="shared" si="7"/>
        <v/>
      </c>
    </row>
    <row r="468" spans="1:7" s="172" customFormat="1" ht="15" customHeight="1" x14ac:dyDescent="0.25">
      <c r="A468" s="809" t="s">
        <v>12746</v>
      </c>
      <c r="B468" s="807" t="s">
        <v>13792</v>
      </c>
      <c r="C468" s="807" t="s">
        <v>13792</v>
      </c>
      <c r="D468" s="808" t="s">
        <v>14197</v>
      </c>
      <c r="E468" s="808" t="s">
        <v>8761</v>
      </c>
      <c r="F468" s="811">
        <v>30</v>
      </c>
      <c r="G468" s="202" t="str">
        <f t="shared" si="7"/>
        <v/>
      </c>
    </row>
    <row r="469" spans="1:7" s="172" customFormat="1" ht="15" customHeight="1" x14ac:dyDescent="0.25">
      <c r="A469" s="809" t="s">
        <v>14198</v>
      </c>
      <c r="B469" s="807" t="s">
        <v>13792</v>
      </c>
      <c r="C469" s="807" t="s">
        <v>13792</v>
      </c>
      <c r="D469" s="808" t="s">
        <v>14199</v>
      </c>
      <c r="E469" s="808" t="s">
        <v>8765</v>
      </c>
      <c r="F469" s="811">
        <v>20</v>
      </c>
      <c r="G469" s="202" t="str">
        <f t="shared" si="7"/>
        <v/>
      </c>
    </row>
    <row r="470" spans="1:7" s="172" customFormat="1" ht="15" customHeight="1" x14ac:dyDescent="0.25">
      <c r="A470" s="809" t="s">
        <v>13870</v>
      </c>
      <c r="B470" s="807" t="s">
        <v>13792</v>
      </c>
      <c r="C470" s="807" t="s">
        <v>13792</v>
      </c>
      <c r="D470" s="808" t="s">
        <v>14200</v>
      </c>
      <c r="E470" s="808" t="s">
        <v>8790</v>
      </c>
      <c r="F470" s="811">
        <v>10</v>
      </c>
      <c r="G470" s="202" t="str">
        <f t="shared" si="7"/>
        <v/>
      </c>
    </row>
    <row r="471" spans="1:7" s="172" customFormat="1" ht="15" customHeight="1" x14ac:dyDescent="0.25">
      <c r="A471" s="809"/>
      <c r="B471" s="807" t="s">
        <v>13792</v>
      </c>
      <c r="C471" s="807" t="s">
        <v>13792</v>
      </c>
      <c r="D471" s="808" t="s">
        <v>14201</v>
      </c>
      <c r="E471" s="808" t="s">
        <v>8765</v>
      </c>
      <c r="F471" s="811">
        <v>20</v>
      </c>
      <c r="G471" s="202" t="str">
        <f t="shared" si="7"/>
        <v/>
      </c>
    </row>
    <row r="472" spans="1:7" s="172" customFormat="1" ht="15" customHeight="1" x14ac:dyDescent="0.25">
      <c r="A472" s="809" t="s">
        <v>4867</v>
      </c>
      <c r="B472" s="807" t="s">
        <v>13792</v>
      </c>
      <c r="C472" s="807" t="s">
        <v>13792</v>
      </c>
      <c r="D472" s="808" t="s">
        <v>14202</v>
      </c>
      <c r="E472" s="808" t="s">
        <v>2429</v>
      </c>
      <c r="F472" s="811">
        <v>2</v>
      </c>
      <c r="G472" s="202" t="str">
        <f t="shared" si="7"/>
        <v/>
      </c>
    </row>
    <row r="473" spans="1:7" s="172" customFormat="1" ht="15" customHeight="1" x14ac:dyDescent="0.25">
      <c r="A473" s="809" t="s">
        <v>14203</v>
      </c>
      <c r="B473" s="807" t="s">
        <v>13792</v>
      </c>
      <c r="C473" s="807" t="s">
        <v>13792</v>
      </c>
      <c r="D473" s="808" t="s">
        <v>14204</v>
      </c>
      <c r="E473" s="808" t="s">
        <v>8765</v>
      </c>
      <c r="F473" s="811">
        <v>1</v>
      </c>
      <c r="G473" s="202" t="str">
        <f t="shared" si="7"/>
        <v/>
      </c>
    </row>
    <row r="474" spans="1:7" s="172" customFormat="1" ht="15" customHeight="1" x14ac:dyDescent="0.25">
      <c r="A474" s="809" t="s">
        <v>7712</v>
      </c>
      <c r="B474" s="807" t="s">
        <v>13792</v>
      </c>
      <c r="C474" s="807" t="s">
        <v>13792</v>
      </c>
      <c r="D474" s="808" t="s">
        <v>14205</v>
      </c>
      <c r="E474" s="808" t="s">
        <v>8790</v>
      </c>
      <c r="F474" s="811">
        <v>10</v>
      </c>
      <c r="G474" s="202" t="str">
        <f t="shared" si="7"/>
        <v/>
      </c>
    </row>
    <row r="475" spans="1:7" s="172" customFormat="1" ht="15" customHeight="1" x14ac:dyDescent="0.25">
      <c r="A475" s="809" t="s">
        <v>12686</v>
      </c>
      <c r="B475" s="807" t="s">
        <v>13792</v>
      </c>
      <c r="C475" s="807" t="s">
        <v>13792</v>
      </c>
      <c r="D475" s="808" t="s">
        <v>14206</v>
      </c>
      <c r="E475" s="808" t="s">
        <v>8790</v>
      </c>
      <c r="F475" s="811">
        <v>10</v>
      </c>
      <c r="G475" s="202" t="str">
        <f t="shared" si="7"/>
        <v/>
      </c>
    </row>
    <row r="476" spans="1:7" s="172" customFormat="1" ht="15" customHeight="1" x14ac:dyDescent="0.25">
      <c r="A476" s="809" t="s">
        <v>14088</v>
      </c>
      <c r="B476" s="807" t="s">
        <v>13792</v>
      </c>
      <c r="C476" s="807" t="s">
        <v>13792</v>
      </c>
      <c r="D476" s="808" t="s">
        <v>14207</v>
      </c>
      <c r="E476" s="808" t="s">
        <v>8761</v>
      </c>
      <c r="F476" s="811">
        <v>35</v>
      </c>
      <c r="G476" s="202" t="str">
        <f t="shared" si="7"/>
        <v/>
      </c>
    </row>
    <row r="477" spans="1:7" s="172" customFormat="1" ht="15" customHeight="1" x14ac:dyDescent="0.25">
      <c r="A477" s="809" t="s">
        <v>14184</v>
      </c>
      <c r="B477" s="807" t="s">
        <v>13792</v>
      </c>
      <c r="C477" s="807" t="s">
        <v>13792</v>
      </c>
      <c r="D477" s="808" t="s">
        <v>14208</v>
      </c>
      <c r="E477" s="808" t="s">
        <v>8788</v>
      </c>
      <c r="F477" s="811">
        <v>10</v>
      </c>
      <c r="G477" s="202" t="str">
        <f t="shared" si="7"/>
        <v/>
      </c>
    </row>
    <row r="478" spans="1:7" s="172" customFormat="1" ht="15" customHeight="1" x14ac:dyDescent="0.25">
      <c r="A478" s="809" t="s">
        <v>14209</v>
      </c>
      <c r="B478" s="807" t="s">
        <v>13792</v>
      </c>
      <c r="C478" s="807" t="s">
        <v>13792</v>
      </c>
      <c r="D478" s="808" t="s">
        <v>14210</v>
      </c>
      <c r="E478" s="808" t="s">
        <v>8761</v>
      </c>
      <c r="F478" s="811">
        <v>3</v>
      </c>
      <c r="G478" s="202" t="str">
        <f t="shared" si="7"/>
        <v/>
      </c>
    </row>
    <row r="479" spans="1:7" s="172" customFormat="1" ht="15" customHeight="1" x14ac:dyDescent="0.25">
      <c r="A479" s="809" t="s">
        <v>14211</v>
      </c>
      <c r="B479" s="807" t="s">
        <v>13792</v>
      </c>
      <c r="C479" s="807" t="s">
        <v>13792</v>
      </c>
      <c r="D479" s="808" t="s">
        <v>14212</v>
      </c>
      <c r="E479" s="808" t="s">
        <v>2429</v>
      </c>
      <c r="F479" s="811">
        <v>2</v>
      </c>
      <c r="G479" s="202" t="str">
        <f t="shared" si="7"/>
        <v/>
      </c>
    </row>
    <row r="480" spans="1:7" s="172" customFormat="1" ht="15" customHeight="1" x14ac:dyDescent="0.25">
      <c r="A480" s="809" t="s">
        <v>13914</v>
      </c>
      <c r="B480" s="807" t="s">
        <v>13792</v>
      </c>
      <c r="C480" s="807" t="s">
        <v>13792</v>
      </c>
      <c r="D480" s="808" t="s">
        <v>14213</v>
      </c>
      <c r="E480" s="808" t="s">
        <v>8784</v>
      </c>
      <c r="F480" s="811">
        <v>200</v>
      </c>
      <c r="G480" s="202" t="str">
        <f t="shared" si="7"/>
        <v/>
      </c>
    </row>
    <row r="481" spans="1:7" s="172" customFormat="1" ht="15" customHeight="1" x14ac:dyDescent="0.25">
      <c r="A481" s="809" t="s">
        <v>14214</v>
      </c>
      <c r="B481" s="807" t="s">
        <v>13792</v>
      </c>
      <c r="C481" s="807" t="s">
        <v>13792</v>
      </c>
      <c r="D481" s="808" t="s">
        <v>14215</v>
      </c>
      <c r="E481" s="808" t="s">
        <v>8788</v>
      </c>
      <c r="F481" s="811">
        <v>30</v>
      </c>
      <c r="G481" s="202" t="str">
        <f t="shared" si="7"/>
        <v/>
      </c>
    </row>
    <row r="482" spans="1:7" s="172" customFormat="1" ht="15" customHeight="1" x14ac:dyDescent="0.25">
      <c r="A482" s="809" t="s">
        <v>4855</v>
      </c>
      <c r="B482" s="807" t="s">
        <v>13792</v>
      </c>
      <c r="C482" s="807" t="s">
        <v>13792</v>
      </c>
      <c r="D482" s="808" t="s">
        <v>14216</v>
      </c>
      <c r="E482" s="808" t="s">
        <v>8763</v>
      </c>
      <c r="F482" s="811">
        <v>280</v>
      </c>
      <c r="G482" s="202" t="str">
        <f t="shared" si="7"/>
        <v/>
      </c>
    </row>
    <row r="483" spans="1:7" s="172" customFormat="1" ht="15" customHeight="1" x14ac:dyDescent="0.25">
      <c r="A483" s="809" t="s">
        <v>4855</v>
      </c>
      <c r="B483" s="807" t="s">
        <v>13792</v>
      </c>
      <c r="C483" s="807" t="s">
        <v>13792</v>
      </c>
      <c r="D483" s="808" t="s">
        <v>14217</v>
      </c>
      <c r="E483" s="808" t="s">
        <v>8784</v>
      </c>
      <c r="F483" s="811">
        <v>240</v>
      </c>
      <c r="G483" s="202" t="str">
        <f t="shared" si="7"/>
        <v/>
      </c>
    </row>
    <row r="484" spans="1:7" s="172" customFormat="1" ht="15" customHeight="1" x14ac:dyDescent="0.25">
      <c r="A484" s="809" t="s">
        <v>4855</v>
      </c>
      <c r="B484" s="807" t="s">
        <v>13792</v>
      </c>
      <c r="C484" s="807" t="s">
        <v>13792</v>
      </c>
      <c r="D484" s="808" t="s">
        <v>14218</v>
      </c>
      <c r="E484" s="808" t="s">
        <v>8788</v>
      </c>
      <c r="F484" s="811">
        <v>60</v>
      </c>
      <c r="G484" s="202" t="str">
        <f t="shared" si="7"/>
        <v/>
      </c>
    </row>
    <row r="485" spans="1:7" s="172" customFormat="1" ht="15" customHeight="1" x14ac:dyDescent="0.25">
      <c r="A485" s="809" t="s">
        <v>4855</v>
      </c>
      <c r="B485" s="807" t="s">
        <v>13792</v>
      </c>
      <c r="C485" s="807" t="s">
        <v>13792</v>
      </c>
      <c r="D485" s="808" t="s">
        <v>14219</v>
      </c>
      <c r="E485" s="808" t="s">
        <v>8784</v>
      </c>
      <c r="F485" s="811">
        <v>100</v>
      </c>
      <c r="G485" s="202" t="str">
        <f t="shared" si="7"/>
        <v/>
      </c>
    </row>
    <row r="486" spans="1:7" s="172" customFormat="1" ht="15" customHeight="1" x14ac:dyDescent="0.25">
      <c r="A486" s="809" t="s">
        <v>4855</v>
      </c>
      <c r="B486" s="807" t="s">
        <v>13792</v>
      </c>
      <c r="C486" s="807" t="s">
        <v>13792</v>
      </c>
      <c r="D486" s="808" t="s">
        <v>14220</v>
      </c>
      <c r="E486" s="808" t="s">
        <v>8763</v>
      </c>
      <c r="F486" s="811">
        <v>100</v>
      </c>
      <c r="G486" s="202" t="str">
        <f t="shared" si="7"/>
        <v/>
      </c>
    </row>
    <row r="487" spans="1:7" s="172" customFormat="1" ht="15" customHeight="1" x14ac:dyDescent="0.25">
      <c r="A487" s="809" t="s">
        <v>4855</v>
      </c>
      <c r="B487" s="807" t="s">
        <v>13792</v>
      </c>
      <c r="C487" s="807" t="s">
        <v>13792</v>
      </c>
      <c r="D487" s="808" t="s">
        <v>14221</v>
      </c>
      <c r="E487" s="808" t="s">
        <v>8788</v>
      </c>
      <c r="F487" s="811">
        <v>40</v>
      </c>
      <c r="G487" s="202" t="str">
        <f t="shared" si="7"/>
        <v/>
      </c>
    </row>
    <row r="488" spans="1:7" s="172" customFormat="1" ht="15" customHeight="1" x14ac:dyDescent="0.25">
      <c r="A488" s="809" t="s">
        <v>14222</v>
      </c>
      <c r="B488" s="807" t="s">
        <v>13792</v>
      </c>
      <c r="C488" s="807" t="s">
        <v>13792</v>
      </c>
      <c r="D488" s="808" t="s">
        <v>14223</v>
      </c>
      <c r="E488" s="808" t="s">
        <v>8765</v>
      </c>
      <c r="F488" s="811">
        <v>40</v>
      </c>
      <c r="G488" s="202" t="str">
        <f t="shared" si="7"/>
        <v/>
      </c>
    </row>
    <row r="489" spans="1:7" s="172" customFormat="1" ht="15" customHeight="1" x14ac:dyDescent="0.25">
      <c r="A489" s="809" t="s">
        <v>4855</v>
      </c>
      <c r="B489" s="807" t="s">
        <v>13792</v>
      </c>
      <c r="C489" s="807" t="s">
        <v>13792</v>
      </c>
      <c r="D489" s="808" t="s">
        <v>14224</v>
      </c>
      <c r="E489" s="808" t="s">
        <v>8761</v>
      </c>
      <c r="F489" s="811">
        <v>40</v>
      </c>
      <c r="G489" s="202" t="str">
        <f t="shared" si="7"/>
        <v/>
      </c>
    </row>
    <row r="490" spans="1:7" s="172" customFormat="1" ht="15" customHeight="1" x14ac:dyDescent="0.25">
      <c r="A490" s="809" t="s">
        <v>13821</v>
      </c>
      <c r="B490" s="807" t="s">
        <v>13792</v>
      </c>
      <c r="C490" s="807" t="s">
        <v>13792</v>
      </c>
      <c r="D490" s="808" t="s">
        <v>14225</v>
      </c>
      <c r="E490" s="808" t="s">
        <v>8763</v>
      </c>
      <c r="F490" s="811">
        <v>380</v>
      </c>
      <c r="G490" s="202" t="str">
        <f t="shared" si="7"/>
        <v/>
      </c>
    </row>
    <row r="491" spans="1:7" s="172" customFormat="1" ht="15" customHeight="1" x14ac:dyDescent="0.25">
      <c r="A491" s="809" t="s">
        <v>13848</v>
      </c>
      <c r="B491" s="807" t="s">
        <v>13792</v>
      </c>
      <c r="C491" s="807" t="s">
        <v>13792</v>
      </c>
      <c r="D491" s="808" t="s">
        <v>14226</v>
      </c>
      <c r="E491" s="808" t="s">
        <v>8784</v>
      </c>
      <c r="F491" s="811">
        <v>180</v>
      </c>
      <c r="G491" s="202" t="str">
        <f t="shared" si="7"/>
        <v/>
      </c>
    </row>
    <row r="492" spans="1:7" s="172" customFormat="1" ht="15" customHeight="1" x14ac:dyDescent="0.25">
      <c r="A492" s="809" t="s">
        <v>13821</v>
      </c>
      <c r="B492" s="807" t="s">
        <v>13792</v>
      </c>
      <c r="C492" s="807" t="s">
        <v>13792</v>
      </c>
      <c r="D492" s="808" t="s">
        <v>14227</v>
      </c>
      <c r="E492" s="808" t="s">
        <v>8763</v>
      </c>
      <c r="F492" s="811">
        <v>390</v>
      </c>
      <c r="G492" s="202" t="str">
        <f t="shared" si="7"/>
        <v/>
      </c>
    </row>
    <row r="493" spans="1:7" s="172" customFormat="1" ht="15" customHeight="1" x14ac:dyDescent="0.25">
      <c r="A493" s="809" t="s">
        <v>2689</v>
      </c>
      <c r="B493" s="807" t="s">
        <v>13792</v>
      </c>
      <c r="C493" s="807" t="s">
        <v>13792</v>
      </c>
      <c r="D493" s="808" t="s">
        <v>14228</v>
      </c>
      <c r="E493" s="808" t="s">
        <v>8788</v>
      </c>
      <c r="F493" s="811">
        <v>130</v>
      </c>
      <c r="G493" s="202" t="str">
        <f t="shared" si="7"/>
        <v/>
      </c>
    </row>
    <row r="494" spans="1:7" s="172" customFormat="1" ht="15" customHeight="1" x14ac:dyDescent="0.25">
      <c r="A494" s="809" t="s">
        <v>2585</v>
      </c>
      <c r="B494" s="807" t="s">
        <v>13792</v>
      </c>
      <c r="C494" s="807" t="s">
        <v>13792</v>
      </c>
      <c r="D494" s="808" t="s">
        <v>14229</v>
      </c>
      <c r="E494" s="808" t="s">
        <v>8788</v>
      </c>
      <c r="F494" s="811">
        <v>40</v>
      </c>
      <c r="G494" s="202" t="str">
        <f t="shared" si="7"/>
        <v/>
      </c>
    </row>
    <row r="495" spans="1:7" s="172" customFormat="1" ht="15" customHeight="1" x14ac:dyDescent="0.25">
      <c r="A495" s="809" t="s">
        <v>13824</v>
      </c>
      <c r="B495" s="807" t="s">
        <v>13792</v>
      </c>
      <c r="C495" s="807" t="s">
        <v>13792</v>
      </c>
      <c r="D495" s="808" t="s">
        <v>14230</v>
      </c>
      <c r="E495" s="808" t="s">
        <v>8784</v>
      </c>
      <c r="F495" s="811">
        <v>50</v>
      </c>
      <c r="G495" s="202" t="str">
        <f t="shared" si="7"/>
        <v/>
      </c>
    </row>
    <row r="496" spans="1:7" s="172" customFormat="1" ht="15" customHeight="1" x14ac:dyDescent="0.25">
      <c r="A496" s="809" t="s">
        <v>13824</v>
      </c>
      <c r="B496" s="807" t="s">
        <v>13792</v>
      </c>
      <c r="C496" s="807" t="s">
        <v>13792</v>
      </c>
      <c r="D496" s="808" t="s">
        <v>14231</v>
      </c>
      <c r="E496" s="808" t="s">
        <v>8761</v>
      </c>
      <c r="F496" s="811">
        <v>10</v>
      </c>
      <c r="G496" s="202" t="str">
        <f t="shared" si="7"/>
        <v/>
      </c>
    </row>
    <row r="497" spans="1:7" s="172" customFormat="1" ht="15" customHeight="1" x14ac:dyDescent="0.25">
      <c r="A497" s="809" t="s">
        <v>13824</v>
      </c>
      <c r="B497" s="807" t="s">
        <v>13792</v>
      </c>
      <c r="C497" s="807" t="s">
        <v>13792</v>
      </c>
      <c r="D497" s="808" t="s">
        <v>14232</v>
      </c>
      <c r="E497" s="808" t="s">
        <v>8788</v>
      </c>
      <c r="F497" s="811">
        <v>40</v>
      </c>
      <c r="G497" s="202" t="str">
        <f t="shared" si="7"/>
        <v/>
      </c>
    </row>
    <row r="498" spans="1:7" s="172" customFormat="1" ht="15" customHeight="1" x14ac:dyDescent="0.25">
      <c r="A498" s="809" t="s">
        <v>12509</v>
      </c>
      <c r="B498" s="807" t="s">
        <v>13792</v>
      </c>
      <c r="C498" s="807" t="s">
        <v>13792</v>
      </c>
      <c r="D498" s="808" t="s">
        <v>14233</v>
      </c>
      <c r="E498" s="808" t="s">
        <v>8784</v>
      </c>
      <c r="F498" s="811">
        <v>100</v>
      </c>
      <c r="G498" s="202" t="str">
        <f t="shared" si="7"/>
        <v/>
      </c>
    </row>
    <row r="499" spans="1:7" s="172" customFormat="1" ht="15" customHeight="1" x14ac:dyDescent="0.25">
      <c r="A499" s="809" t="s">
        <v>12509</v>
      </c>
      <c r="B499" s="807" t="s">
        <v>13792</v>
      </c>
      <c r="C499" s="807" t="s">
        <v>13792</v>
      </c>
      <c r="D499" s="808" t="s">
        <v>14234</v>
      </c>
      <c r="E499" s="808" t="s">
        <v>8763</v>
      </c>
      <c r="F499" s="811">
        <v>380</v>
      </c>
      <c r="G499" s="202" t="str">
        <f t="shared" si="7"/>
        <v/>
      </c>
    </row>
    <row r="500" spans="1:7" s="172" customFormat="1" ht="15" customHeight="1" x14ac:dyDescent="0.25">
      <c r="A500" s="809" t="s">
        <v>12509</v>
      </c>
      <c r="B500" s="807" t="s">
        <v>13792</v>
      </c>
      <c r="C500" s="807" t="s">
        <v>13792</v>
      </c>
      <c r="D500" s="808" t="s">
        <v>14235</v>
      </c>
      <c r="E500" s="808" t="s">
        <v>8788</v>
      </c>
      <c r="F500" s="811">
        <v>60</v>
      </c>
      <c r="G500" s="202" t="str">
        <f t="shared" si="7"/>
        <v/>
      </c>
    </row>
    <row r="501" spans="1:7" s="172" customFormat="1" ht="15" customHeight="1" x14ac:dyDescent="0.25">
      <c r="A501" s="809" t="s">
        <v>13878</v>
      </c>
      <c r="B501" s="807" t="s">
        <v>13792</v>
      </c>
      <c r="C501" s="807" t="s">
        <v>13792</v>
      </c>
      <c r="D501" s="808" t="s">
        <v>14236</v>
      </c>
      <c r="E501" s="808" t="s">
        <v>8788</v>
      </c>
      <c r="F501" s="811">
        <v>140</v>
      </c>
      <c r="G501" s="202" t="str">
        <f t="shared" si="7"/>
        <v/>
      </c>
    </row>
    <row r="502" spans="1:7" s="172" customFormat="1" ht="15" customHeight="1" x14ac:dyDescent="0.25">
      <c r="A502" s="809" t="s">
        <v>6807</v>
      </c>
      <c r="B502" s="807" t="s">
        <v>13792</v>
      </c>
      <c r="C502" s="807" t="s">
        <v>13792</v>
      </c>
      <c r="D502" s="808" t="s">
        <v>14237</v>
      </c>
      <c r="E502" s="808" t="s">
        <v>8790</v>
      </c>
      <c r="F502" s="811">
        <v>25</v>
      </c>
      <c r="G502" s="202" t="str">
        <f t="shared" si="7"/>
        <v/>
      </c>
    </row>
    <row r="503" spans="1:7" s="172" customFormat="1" ht="15" customHeight="1" x14ac:dyDescent="0.25">
      <c r="A503" s="809" t="s">
        <v>13878</v>
      </c>
      <c r="B503" s="807" t="s">
        <v>13792</v>
      </c>
      <c r="C503" s="807" t="s">
        <v>13792</v>
      </c>
      <c r="D503" s="808" t="s">
        <v>14238</v>
      </c>
      <c r="E503" s="808" t="s">
        <v>8788</v>
      </c>
      <c r="F503" s="811">
        <v>55</v>
      </c>
      <c r="G503" s="202" t="str">
        <f t="shared" si="7"/>
        <v/>
      </c>
    </row>
    <row r="504" spans="1:7" s="172" customFormat="1" ht="15" customHeight="1" x14ac:dyDescent="0.25">
      <c r="A504" s="809" t="s">
        <v>2691</v>
      </c>
      <c r="B504" s="807" t="s">
        <v>13792</v>
      </c>
      <c r="C504" s="807" t="s">
        <v>13792</v>
      </c>
      <c r="D504" s="808" t="s">
        <v>14239</v>
      </c>
      <c r="E504" s="808" t="s">
        <v>8765</v>
      </c>
      <c r="F504" s="811">
        <v>25</v>
      </c>
      <c r="G504" s="202" t="str">
        <f t="shared" si="7"/>
        <v/>
      </c>
    </row>
    <row r="505" spans="1:7" s="172" customFormat="1" ht="15" customHeight="1" x14ac:dyDescent="0.25">
      <c r="A505" s="809" t="s">
        <v>13882</v>
      </c>
      <c r="B505" s="807" t="s">
        <v>13792</v>
      </c>
      <c r="C505" s="807" t="s">
        <v>13792</v>
      </c>
      <c r="D505" s="808" t="s">
        <v>14240</v>
      </c>
      <c r="E505" s="808" t="s">
        <v>8761</v>
      </c>
      <c r="F505" s="811">
        <v>70</v>
      </c>
      <c r="G505" s="202" t="str">
        <f t="shared" si="7"/>
        <v/>
      </c>
    </row>
    <row r="506" spans="1:7" s="172" customFormat="1" ht="15" customHeight="1" x14ac:dyDescent="0.25">
      <c r="A506" s="809" t="s">
        <v>14241</v>
      </c>
      <c r="B506" s="807" t="s">
        <v>13792</v>
      </c>
      <c r="C506" s="807" t="s">
        <v>13792</v>
      </c>
      <c r="D506" s="808" t="s">
        <v>14242</v>
      </c>
      <c r="E506" s="808" t="s">
        <v>8765</v>
      </c>
      <c r="F506" s="811">
        <v>40</v>
      </c>
      <c r="G506" s="202" t="str">
        <f t="shared" si="7"/>
        <v/>
      </c>
    </row>
    <row r="507" spans="1:7" s="172" customFormat="1" ht="15" customHeight="1" x14ac:dyDescent="0.25">
      <c r="A507" s="809" t="s">
        <v>4820</v>
      </c>
      <c r="B507" s="807" t="s">
        <v>13792</v>
      </c>
      <c r="C507" s="807" t="s">
        <v>13792</v>
      </c>
      <c r="D507" s="808" t="s">
        <v>14243</v>
      </c>
      <c r="E507" s="808" t="s">
        <v>8761</v>
      </c>
      <c r="F507" s="811">
        <v>35</v>
      </c>
      <c r="G507" s="202" t="str">
        <f t="shared" si="7"/>
        <v/>
      </c>
    </row>
    <row r="508" spans="1:7" s="172" customFormat="1" ht="15" customHeight="1" x14ac:dyDescent="0.25">
      <c r="A508" s="809" t="s">
        <v>4820</v>
      </c>
      <c r="B508" s="807" t="s">
        <v>13792</v>
      </c>
      <c r="C508" s="807" t="s">
        <v>13792</v>
      </c>
      <c r="D508" s="808" t="s">
        <v>14244</v>
      </c>
      <c r="E508" s="808" t="s">
        <v>8763</v>
      </c>
      <c r="F508" s="811">
        <v>300</v>
      </c>
      <c r="G508" s="202" t="str">
        <f t="shared" si="7"/>
        <v/>
      </c>
    </row>
    <row r="509" spans="1:7" s="172" customFormat="1" ht="15" customHeight="1" x14ac:dyDescent="0.25">
      <c r="A509" s="809" t="s">
        <v>4820</v>
      </c>
      <c r="B509" s="807" t="s">
        <v>13792</v>
      </c>
      <c r="C509" s="807" t="s">
        <v>13792</v>
      </c>
      <c r="D509" s="808" t="s">
        <v>14245</v>
      </c>
      <c r="E509" s="808" t="s">
        <v>8788</v>
      </c>
      <c r="F509" s="811">
        <v>5</v>
      </c>
      <c r="G509" s="202" t="str">
        <f t="shared" si="7"/>
        <v/>
      </c>
    </row>
    <row r="510" spans="1:7" s="172" customFormat="1" ht="15" customHeight="1" x14ac:dyDescent="0.25">
      <c r="A510" s="809" t="s">
        <v>13831</v>
      </c>
      <c r="B510" s="807" t="s">
        <v>13792</v>
      </c>
      <c r="C510" s="807" t="s">
        <v>13792</v>
      </c>
      <c r="D510" s="808" t="s">
        <v>14246</v>
      </c>
      <c r="E510" s="808" t="s">
        <v>8784</v>
      </c>
      <c r="F510" s="811">
        <v>185</v>
      </c>
      <c r="G510" s="202" t="str">
        <f t="shared" si="7"/>
        <v/>
      </c>
    </row>
    <row r="511" spans="1:7" s="172" customFormat="1" ht="15" customHeight="1" x14ac:dyDescent="0.25">
      <c r="A511" s="809" t="s">
        <v>13831</v>
      </c>
      <c r="B511" s="807" t="s">
        <v>13792</v>
      </c>
      <c r="C511" s="807" t="s">
        <v>13792</v>
      </c>
      <c r="D511" s="808" t="s">
        <v>14247</v>
      </c>
      <c r="E511" s="808" t="s">
        <v>8788</v>
      </c>
      <c r="F511" s="811">
        <v>55</v>
      </c>
      <c r="G511" s="202" t="str">
        <f t="shared" si="7"/>
        <v/>
      </c>
    </row>
    <row r="512" spans="1:7" s="172" customFormat="1" ht="15" customHeight="1" x14ac:dyDescent="0.25">
      <c r="A512" s="809" t="s">
        <v>13831</v>
      </c>
      <c r="B512" s="807" t="s">
        <v>13792</v>
      </c>
      <c r="C512" s="807" t="s">
        <v>13792</v>
      </c>
      <c r="D512" s="808" t="s">
        <v>14248</v>
      </c>
      <c r="E512" s="808" t="s">
        <v>18471</v>
      </c>
      <c r="F512" s="811">
        <v>600</v>
      </c>
      <c r="G512" s="202" t="str">
        <f t="shared" si="7"/>
        <v/>
      </c>
    </row>
    <row r="513" spans="1:7" s="172" customFormat="1" ht="15" customHeight="1" x14ac:dyDescent="0.25">
      <c r="A513" s="809" t="s">
        <v>14249</v>
      </c>
      <c r="B513" s="807" t="s">
        <v>13792</v>
      </c>
      <c r="C513" s="807" t="s">
        <v>13792</v>
      </c>
      <c r="D513" s="808" t="s">
        <v>14250</v>
      </c>
      <c r="E513" s="808" t="s">
        <v>8761</v>
      </c>
      <c r="F513" s="811">
        <v>48</v>
      </c>
      <c r="G513" s="202" t="str">
        <f t="shared" si="7"/>
        <v/>
      </c>
    </row>
    <row r="514" spans="1:7" s="172" customFormat="1" ht="15" customHeight="1" x14ac:dyDescent="0.25">
      <c r="A514" s="809" t="s">
        <v>4876</v>
      </c>
      <c r="B514" s="807" t="s">
        <v>13792</v>
      </c>
      <c r="C514" s="807" t="s">
        <v>13792</v>
      </c>
      <c r="D514" s="808" t="s">
        <v>14251</v>
      </c>
      <c r="E514" s="808" t="s">
        <v>8765</v>
      </c>
      <c r="F514" s="811">
        <v>25</v>
      </c>
      <c r="G514" s="202" t="str">
        <f t="shared" si="7"/>
        <v/>
      </c>
    </row>
    <row r="515" spans="1:7" s="172" customFormat="1" ht="15" customHeight="1" x14ac:dyDescent="0.25">
      <c r="A515" s="809" t="s">
        <v>14252</v>
      </c>
      <c r="B515" s="807" t="s">
        <v>13792</v>
      </c>
      <c r="C515" s="807" t="s">
        <v>13792</v>
      </c>
      <c r="D515" s="808" t="s">
        <v>14253</v>
      </c>
      <c r="E515" s="808" t="s">
        <v>8774</v>
      </c>
      <c r="F515" s="811">
        <v>20</v>
      </c>
      <c r="G515" s="202" t="str">
        <f t="shared" si="7"/>
        <v/>
      </c>
    </row>
    <row r="516" spans="1:7" s="172" customFormat="1" ht="15" customHeight="1" x14ac:dyDescent="0.25">
      <c r="A516" s="809" t="s">
        <v>14254</v>
      </c>
      <c r="B516" s="807" t="s">
        <v>13792</v>
      </c>
      <c r="C516" s="807" t="s">
        <v>13792</v>
      </c>
      <c r="D516" s="808" t="s">
        <v>14255</v>
      </c>
      <c r="E516" s="808" t="s">
        <v>8761</v>
      </c>
      <c r="F516" s="811">
        <v>60</v>
      </c>
      <c r="G516" s="202" t="str">
        <f t="shared" ref="G516:G579" si="8">IF(E516=F516,"не загружен","")</f>
        <v/>
      </c>
    </row>
    <row r="517" spans="1:7" s="172" customFormat="1" ht="15" customHeight="1" x14ac:dyDescent="0.25">
      <c r="A517" s="809" t="s">
        <v>13886</v>
      </c>
      <c r="B517" s="807" t="s">
        <v>13792</v>
      </c>
      <c r="C517" s="807" t="s">
        <v>13792</v>
      </c>
      <c r="D517" s="808" t="s">
        <v>14256</v>
      </c>
      <c r="E517" s="808" t="s">
        <v>8788</v>
      </c>
      <c r="F517" s="811">
        <v>80</v>
      </c>
      <c r="G517" s="202" t="str">
        <f t="shared" si="8"/>
        <v/>
      </c>
    </row>
    <row r="518" spans="1:7" s="172" customFormat="1" ht="15" customHeight="1" x14ac:dyDescent="0.25">
      <c r="A518" s="809" t="s">
        <v>14257</v>
      </c>
      <c r="B518" s="807" t="s">
        <v>13792</v>
      </c>
      <c r="C518" s="807" t="s">
        <v>13792</v>
      </c>
      <c r="D518" s="808" t="s">
        <v>14258</v>
      </c>
      <c r="E518" s="808" t="s">
        <v>8765</v>
      </c>
      <c r="F518" s="811">
        <v>30</v>
      </c>
      <c r="G518" s="202" t="str">
        <f t="shared" si="8"/>
        <v/>
      </c>
    </row>
    <row r="519" spans="1:7" s="172" customFormat="1" ht="15" customHeight="1" x14ac:dyDescent="0.25">
      <c r="A519" s="809" t="s">
        <v>14259</v>
      </c>
      <c r="B519" s="807" t="s">
        <v>13792</v>
      </c>
      <c r="C519" s="807" t="s">
        <v>13792</v>
      </c>
      <c r="D519" s="808" t="s">
        <v>14260</v>
      </c>
      <c r="E519" s="808" t="s">
        <v>8761</v>
      </c>
      <c r="F519" s="811">
        <v>70</v>
      </c>
      <c r="G519" s="202" t="str">
        <f t="shared" si="8"/>
        <v/>
      </c>
    </row>
    <row r="520" spans="1:7" s="172" customFormat="1" ht="15" customHeight="1" x14ac:dyDescent="0.25">
      <c r="A520" s="809" t="s">
        <v>14261</v>
      </c>
      <c r="B520" s="807" t="s">
        <v>13792</v>
      </c>
      <c r="C520" s="807" t="s">
        <v>13792</v>
      </c>
      <c r="D520" s="808" t="s">
        <v>14262</v>
      </c>
      <c r="E520" s="808" t="s">
        <v>8771</v>
      </c>
      <c r="F520" s="811">
        <v>40</v>
      </c>
      <c r="G520" s="202" t="str">
        <f t="shared" si="8"/>
        <v/>
      </c>
    </row>
    <row r="521" spans="1:7" s="172" customFormat="1" ht="15" customHeight="1" x14ac:dyDescent="0.25">
      <c r="A521" s="809" t="s">
        <v>3462</v>
      </c>
      <c r="B521" s="807" t="s">
        <v>13792</v>
      </c>
      <c r="C521" s="807" t="s">
        <v>13792</v>
      </c>
      <c r="D521" s="808" t="s">
        <v>14263</v>
      </c>
      <c r="E521" s="808" t="s">
        <v>8761</v>
      </c>
      <c r="F521" s="811">
        <v>10</v>
      </c>
      <c r="G521" s="202" t="str">
        <f t="shared" si="8"/>
        <v/>
      </c>
    </row>
    <row r="522" spans="1:7" s="172" customFormat="1" ht="15" customHeight="1" x14ac:dyDescent="0.25">
      <c r="A522" s="809" t="s">
        <v>3462</v>
      </c>
      <c r="B522" s="807" t="s">
        <v>13792</v>
      </c>
      <c r="C522" s="807" t="s">
        <v>13792</v>
      </c>
      <c r="D522" s="808" t="s">
        <v>14264</v>
      </c>
      <c r="E522" s="808" t="s">
        <v>8784</v>
      </c>
      <c r="F522" s="811">
        <v>200</v>
      </c>
      <c r="G522" s="202" t="str">
        <f t="shared" si="8"/>
        <v/>
      </c>
    </row>
    <row r="523" spans="1:7" s="172" customFormat="1" ht="15" customHeight="1" x14ac:dyDescent="0.25">
      <c r="A523" s="809" t="s">
        <v>3462</v>
      </c>
      <c r="B523" s="807" t="s">
        <v>13792</v>
      </c>
      <c r="C523" s="807" t="s">
        <v>13792</v>
      </c>
      <c r="D523" s="808" t="s">
        <v>14265</v>
      </c>
      <c r="E523" s="808" t="s">
        <v>8784</v>
      </c>
      <c r="F523" s="811">
        <v>180</v>
      </c>
      <c r="G523" s="202" t="str">
        <f t="shared" si="8"/>
        <v/>
      </c>
    </row>
    <row r="524" spans="1:7" s="172" customFormat="1" ht="15" customHeight="1" x14ac:dyDescent="0.25">
      <c r="A524" s="809" t="s">
        <v>3462</v>
      </c>
      <c r="B524" s="807" t="s">
        <v>13792</v>
      </c>
      <c r="C524" s="807" t="s">
        <v>13792</v>
      </c>
      <c r="D524" s="808" t="s">
        <v>14266</v>
      </c>
      <c r="E524" s="808" t="s">
        <v>8765</v>
      </c>
      <c r="F524" s="811">
        <v>40</v>
      </c>
      <c r="G524" s="202" t="str">
        <f t="shared" si="8"/>
        <v/>
      </c>
    </row>
    <row r="525" spans="1:7" s="172" customFormat="1" ht="15" customHeight="1" x14ac:dyDescent="0.25">
      <c r="A525" s="809" t="s">
        <v>14267</v>
      </c>
      <c r="B525" s="807" t="s">
        <v>13792</v>
      </c>
      <c r="C525" s="807" t="s">
        <v>13792</v>
      </c>
      <c r="D525" s="808" t="s">
        <v>14268</v>
      </c>
      <c r="E525" s="808" t="s">
        <v>8761</v>
      </c>
      <c r="F525" s="811">
        <v>90</v>
      </c>
      <c r="G525" s="202" t="str">
        <f t="shared" si="8"/>
        <v/>
      </c>
    </row>
    <row r="526" spans="1:7" s="172" customFormat="1" ht="15" customHeight="1" x14ac:dyDescent="0.25">
      <c r="A526" s="809" t="s">
        <v>10324</v>
      </c>
      <c r="B526" s="807" t="s">
        <v>13792</v>
      </c>
      <c r="C526" s="807" t="s">
        <v>13792</v>
      </c>
      <c r="D526" s="808" t="s">
        <v>14269</v>
      </c>
      <c r="E526" s="808" t="s">
        <v>8763</v>
      </c>
      <c r="F526" s="811">
        <v>290</v>
      </c>
      <c r="G526" s="202" t="str">
        <f t="shared" si="8"/>
        <v/>
      </c>
    </row>
    <row r="527" spans="1:7" s="172" customFormat="1" ht="15" customHeight="1" x14ac:dyDescent="0.25">
      <c r="A527" s="809" t="s">
        <v>2473</v>
      </c>
      <c r="B527" s="807" t="s">
        <v>13792</v>
      </c>
      <c r="C527" s="807" t="s">
        <v>13792</v>
      </c>
      <c r="D527" s="808" t="s">
        <v>14270</v>
      </c>
      <c r="E527" s="808" t="s">
        <v>8784</v>
      </c>
      <c r="F527" s="811">
        <v>230</v>
      </c>
      <c r="G527" s="202" t="str">
        <f t="shared" si="8"/>
        <v/>
      </c>
    </row>
    <row r="528" spans="1:7" s="172" customFormat="1" ht="15" customHeight="1" x14ac:dyDescent="0.25">
      <c r="A528" s="809" t="s">
        <v>10324</v>
      </c>
      <c r="B528" s="807" t="s">
        <v>13792</v>
      </c>
      <c r="C528" s="807" t="s">
        <v>13792</v>
      </c>
      <c r="D528" s="808" t="s">
        <v>14271</v>
      </c>
      <c r="E528" s="808" t="s">
        <v>8761</v>
      </c>
      <c r="F528" s="811">
        <v>15</v>
      </c>
      <c r="G528" s="202" t="str">
        <f t="shared" si="8"/>
        <v/>
      </c>
    </row>
    <row r="529" spans="1:7" s="172" customFormat="1" ht="15" customHeight="1" x14ac:dyDescent="0.25">
      <c r="A529" s="809" t="s">
        <v>14272</v>
      </c>
      <c r="B529" s="807" t="s">
        <v>13792</v>
      </c>
      <c r="C529" s="807" t="s">
        <v>13792</v>
      </c>
      <c r="D529" s="808" t="s">
        <v>14273</v>
      </c>
      <c r="E529" s="808" t="s">
        <v>8763</v>
      </c>
      <c r="F529" s="811">
        <v>270</v>
      </c>
      <c r="G529" s="202" t="str">
        <f t="shared" si="8"/>
        <v/>
      </c>
    </row>
    <row r="530" spans="1:7" s="172" customFormat="1" ht="15" customHeight="1" x14ac:dyDescent="0.25">
      <c r="A530" s="809" t="s">
        <v>13816</v>
      </c>
      <c r="B530" s="807" t="s">
        <v>13792</v>
      </c>
      <c r="C530" s="807" t="s">
        <v>13792</v>
      </c>
      <c r="D530" s="808" t="s">
        <v>15004</v>
      </c>
      <c r="E530" s="808" t="s">
        <v>8788</v>
      </c>
      <c r="F530" s="811">
        <v>60</v>
      </c>
      <c r="G530" s="202" t="str">
        <f t="shared" si="8"/>
        <v/>
      </c>
    </row>
    <row r="531" spans="1:7" s="172" customFormat="1" ht="15" customHeight="1" x14ac:dyDescent="0.25">
      <c r="A531" s="809" t="s">
        <v>14274</v>
      </c>
      <c r="B531" s="807" t="s">
        <v>13792</v>
      </c>
      <c r="C531" s="807" t="s">
        <v>13792</v>
      </c>
      <c r="D531" s="808" t="s">
        <v>14275</v>
      </c>
      <c r="E531" s="808" t="s">
        <v>8790</v>
      </c>
      <c r="F531" s="811">
        <v>5</v>
      </c>
      <c r="G531" s="202" t="str">
        <f t="shared" si="8"/>
        <v/>
      </c>
    </row>
    <row r="532" spans="1:7" s="172" customFormat="1" ht="15" customHeight="1" x14ac:dyDescent="0.25">
      <c r="A532" s="809" t="s">
        <v>4131</v>
      </c>
      <c r="B532" s="807" t="s">
        <v>13792</v>
      </c>
      <c r="C532" s="807" t="s">
        <v>13792</v>
      </c>
      <c r="D532" s="808" t="s">
        <v>14276</v>
      </c>
      <c r="E532" s="808" t="s">
        <v>8788</v>
      </c>
      <c r="F532" s="811">
        <v>35</v>
      </c>
      <c r="G532" s="202" t="str">
        <f t="shared" si="8"/>
        <v/>
      </c>
    </row>
    <row r="533" spans="1:7" s="172" customFormat="1" ht="15" customHeight="1" x14ac:dyDescent="0.25">
      <c r="A533" s="809" t="s">
        <v>4131</v>
      </c>
      <c r="B533" s="807" t="s">
        <v>13792</v>
      </c>
      <c r="C533" s="807" t="s">
        <v>13792</v>
      </c>
      <c r="D533" s="808" t="s">
        <v>14277</v>
      </c>
      <c r="E533" s="808" t="s">
        <v>8788</v>
      </c>
      <c r="F533" s="811">
        <v>30</v>
      </c>
      <c r="G533" s="202" t="str">
        <f t="shared" si="8"/>
        <v/>
      </c>
    </row>
    <row r="534" spans="1:7" s="172" customFormat="1" ht="15" customHeight="1" x14ac:dyDescent="0.25">
      <c r="A534" s="809" t="s">
        <v>13809</v>
      </c>
      <c r="B534" s="807" t="s">
        <v>13792</v>
      </c>
      <c r="C534" s="807" t="s">
        <v>13792</v>
      </c>
      <c r="D534" s="808" t="s">
        <v>14278</v>
      </c>
      <c r="E534" s="808" t="s">
        <v>8761</v>
      </c>
      <c r="F534" s="811">
        <v>25</v>
      </c>
      <c r="G534" s="202" t="str">
        <f t="shared" si="8"/>
        <v/>
      </c>
    </row>
    <row r="535" spans="1:7" s="172" customFormat="1" ht="15" customHeight="1" x14ac:dyDescent="0.25">
      <c r="A535" s="809" t="s">
        <v>14279</v>
      </c>
      <c r="B535" s="807" t="s">
        <v>13792</v>
      </c>
      <c r="C535" s="807" t="s">
        <v>13792</v>
      </c>
      <c r="D535" s="808" t="s">
        <v>14280</v>
      </c>
      <c r="E535" s="808" t="s">
        <v>8761</v>
      </c>
      <c r="F535" s="811">
        <v>35</v>
      </c>
      <c r="G535" s="202" t="str">
        <f t="shared" si="8"/>
        <v/>
      </c>
    </row>
    <row r="536" spans="1:7" s="172" customFormat="1" ht="15" customHeight="1" x14ac:dyDescent="0.25">
      <c r="A536" s="809" t="s">
        <v>14281</v>
      </c>
      <c r="B536" s="807" t="s">
        <v>13792</v>
      </c>
      <c r="C536" s="807" t="s">
        <v>13792</v>
      </c>
      <c r="D536" s="808" t="s">
        <v>14282</v>
      </c>
      <c r="E536" s="808" t="s">
        <v>8784</v>
      </c>
      <c r="F536" s="811">
        <v>195</v>
      </c>
      <c r="G536" s="202" t="str">
        <f t="shared" si="8"/>
        <v/>
      </c>
    </row>
    <row r="537" spans="1:7" s="172" customFormat="1" ht="15" customHeight="1" x14ac:dyDescent="0.25">
      <c r="A537" s="809" t="s">
        <v>14283</v>
      </c>
      <c r="B537" s="807" t="s">
        <v>13792</v>
      </c>
      <c r="C537" s="807" t="s">
        <v>13792</v>
      </c>
      <c r="D537" s="808" t="s">
        <v>14284</v>
      </c>
      <c r="E537" s="808" t="s">
        <v>8790</v>
      </c>
      <c r="F537" s="811">
        <v>5</v>
      </c>
      <c r="G537" s="202" t="str">
        <f t="shared" si="8"/>
        <v/>
      </c>
    </row>
    <row r="538" spans="1:7" s="172" customFormat="1" ht="15" customHeight="1" x14ac:dyDescent="0.25">
      <c r="A538" s="809" t="s">
        <v>14281</v>
      </c>
      <c r="B538" s="807" t="s">
        <v>13792</v>
      </c>
      <c r="C538" s="807" t="s">
        <v>13792</v>
      </c>
      <c r="D538" s="808" t="s">
        <v>14285</v>
      </c>
      <c r="E538" s="808" t="s">
        <v>8763</v>
      </c>
      <c r="F538" s="811">
        <v>265</v>
      </c>
      <c r="G538" s="202" t="str">
        <f t="shared" si="8"/>
        <v/>
      </c>
    </row>
    <row r="539" spans="1:7" s="172" customFormat="1" ht="15" customHeight="1" x14ac:dyDescent="0.25">
      <c r="A539" s="809" t="s">
        <v>14281</v>
      </c>
      <c r="B539" s="807" t="s">
        <v>13792</v>
      </c>
      <c r="C539" s="807" t="s">
        <v>13792</v>
      </c>
      <c r="D539" s="808" t="s">
        <v>14286</v>
      </c>
      <c r="E539" s="808" t="s">
        <v>8763</v>
      </c>
      <c r="F539" s="811">
        <v>390</v>
      </c>
      <c r="G539" s="202" t="str">
        <f t="shared" si="8"/>
        <v/>
      </c>
    </row>
    <row r="540" spans="1:7" s="172" customFormat="1" ht="15" customHeight="1" x14ac:dyDescent="0.25">
      <c r="A540" s="809" t="s">
        <v>14287</v>
      </c>
      <c r="B540" s="807" t="s">
        <v>13792</v>
      </c>
      <c r="C540" s="807" t="s">
        <v>13792</v>
      </c>
      <c r="D540" s="808" t="s">
        <v>14288</v>
      </c>
      <c r="E540" s="808" t="s">
        <v>8761</v>
      </c>
      <c r="F540" s="811">
        <v>35</v>
      </c>
      <c r="G540" s="202" t="str">
        <f t="shared" si="8"/>
        <v/>
      </c>
    </row>
    <row r="541" spans="1:7" s="172" customFormat="1" ht="15" customHeight="1" x14ac:dyDescent="0.25">
      <c r="A541" s="809" t="s">
        <v>3424</v>
      </c>
      <c r="B541" s="807" t="s">
        <v>13792</v>
      </c>
      <c r="C541" s="807" t="s">
        <v>13792</v>
      </c>
      <c r="D541" s="808" t="s">
        <v>14289</v>
      </c>
      <c r="E541" s="808" t="s">
        <v>8784</v>
      </c>
      <c r="F541" s="811">
        <v>170</v>
      </c>
      <c r="G541" s="202" t="str">
        <f t="shared" si="8"/>
        <v/>
      </c>
    </row>
    <row r="542" spans="1:7" s="172" customFormat="1" ht="15" customHeight="1" x14ac:dyDescent="0.25">
      <c r="A542" s="809" t="s">
        <v>14136</v>
      </c>
      <c r="B542" s="807" t="s">
        <v>13792</v>
      </c>
      <c r="C542" s="807" t="s">
        <v>13792</v>
      </c>
      <c r="D542" s="808" t="s">
        <v>14290</v>
      </c>
      <c r="E542" s="808" t="s">
        <v>18471</v>
      </c>
      <c r="F542" s="811">
        <v>600</v>
      </c>
      <c r="G542" s="202" t="str">
        <f t="shared" si="8"/>
        <v/>
      </c>
    </row>
    <row r="543" spans="1:7" s="172" customFormat="1" ht="15" customHeight="1" x14ac:dyDescent="0.25">
      <c r="A543" s="809" t="s">
        <v>14136</v>
      </c>
      <c r="B543" s="807" t="s">
        <v>13792</v>
      </c>
      <c r="C543" s="807" t="s">
        <v>13792</v>
      </c>
      <c r="D543" s="808" t="s">
        <v>14291</v>
      </c>
      <c r="E543" s="808" t="s">
        <v>8788</v>
      </c>
      <c r="F543" s="811">
        <v>60</v>
      </c>
      <c r="G543" s="202" t="str">
        <f t="shared" si="8"/>
        <v/>
      </c>
    </row>
    <row r="544" spans="1:7" s="172" customFormat="1" ht="15" customHeight="1" x14ac:dyDescent="0.25">
      <c r="A544" s="809" t="s">
        <v>14292</v>
      </c>
      <c r="B544" s="807" t="s">
        <v>13792</v>
      </c>
      <c r="C544" s="807" t="s">
        <v>13792</v>
      </c>
      <c r="D544" s="808" t="s">
        <v>14293</v>
      </c>
      <c r="E544" s="808" t="s">
        <v>8761</v>
      </c>
      <c r="F544" s="811">
        <v>15</v>
      </c>
      <c r="G544" s="202" t="str">
        <f t="shared" si="8"/>
        <v/>
      </c>
    </row>
    <row r="545" spans="1:7" s="172" customFormat="1" ht="15" customHeight="1" x14ac:dyDescent="0.25">
      <c r="A545" s="809" t="s">
        <v>4159</v>
      </c>
      <c r="B545" s="807" t="s">
        <v>13792</v>
      </c>
      <c r="C545" s="807" t="s">
        <v>13792</v>
      </c>
      <c r="D545" s="808" t="s">
        <v>14294</v>
      </c>
      <c r="E545" s="808" t="s">
        <v>8761</v>
      </c>
      <c r="F545" s="811">
        <v>20</v>
      </c>
      <c r="G545" s="202" t="str">
        <f t="shared" si="8"/>
        <v/>
      </c>
    </row>
    <row r="546" spans="1:7" s="172" customFormat="1" ht="15" customHeight="1" x14ac:dyDescent="0.25">
      <c r="A546" s="809" t="s">
        <v>13895</v>
      </c>
      <c r="B546" s="807" t="s">
        <v>13792</v>
      </c>
      <c r="C546" s="807" t="s">
        <v>13792</v>
      </c>
      <c r="D546" s="808" t="s">
        <v>14295</v>
      </c>
      <c r="E546" s="808" t="s">
        <v>8788</v>
      </c>
      <c r="F546" s="811">
        <v>60</v>
      </c>
      <c r="G546" s="202" t="str">
        <f t="shared" si="8"/>
        <v/>
      </c>
    </row>
    <row r="547" spans="1:7" s="172" customFormat="1" ht="15" customHeight="1" x14ac:dyDescent="0.25">
      <c r="A547" s="809" t="s">
        <v>13895</v>
      </c>
      <c r="B547" s="807" t="s">
        <v>13792</v>
      </c>
      <c r="C547" s="807" t="s">
        <v>13792</v>
      </c>
      <c r="D547" s="808" t="s">
        <v>14296</v>
      </c>
      <c r="E547" s="808" t="s">
        <v>8784</v>
      </c>
      <c r="F547" s="811">
        <v>150</v>
      </c>
      <c r="G547" s="202" t="str">
        <f t="shared" si="8"/>
        <v/>
      </c>
    </row>
    <row r="548" spans="1:7" s="172" customFormat="1" ht="15" customHeight="1" x14ac:dyDescent="0.25">
      <c r="A548" s="809" t="s">
        <v>14297</v>
      </c>
      <c r="B548" s="807" t="s">
        <v>13792</v>
      </c>
      <c r="C548" s="807" t="s">
        <v>13792</v>
      </c>
      <c r="D548" s="808" t="s">
        <v>14298</v>
      </c>
      <c r="E548" s="808" t="s">
        <v>8784</v>
      </c>
      <c r="F548" s="811">
        <v>180</v>
      </c>
      <c r="G548" s="202" t="str">
        <f t="shared" si="8"/>
        <v/>
      </c>
    </row>
    <row r="549" spans="1:7" s="172" customFormat="1" ht="15" customHeight="1" x14ac:dyDescent="0.25">
      <c r="A549" s="809" t="s">
        <v>13895</v>
      </c>
      <c r="B549" s="807" t="s">
        <v>13792</v>
      </c>
      <c r="C549" s="807" t="s">
        <v>13792</v>
      </c>
      <c r="D549" s="808" t="s">
        <v>14299</v>
      </c>
      <c r="E549" s="808" t="s">
        <v>8788</v>
      </c>
      <c r="F549" s="811">
        <v>60</v>
      </c>
      <c r="G549" s="202" t="str">
        <f t="shared" si="8"/>
        <v/>
      </c>
    </row>
    <row r="550" spans="1:7" s="172" customFormat="1" ht="15" customHeight="1" x14ac:dyDescent="0.25">
      <c r="A550" s="809" t="s">
        <v>13839</v>
      </c>
      <c r="B550" s="807" t="s">
        <v>13792</v>
      </c>
      <c r="C550" s="807" t="s">
        <v>13792</v>
      </c>
      <c r="D550" s="808" t="s">
        <v>14300</v>
      </c>
      <c r="E550" s="808" t="s">
        <v>8784</v>
      </c>
      <c r="F550" s="811">
        <v>200</v>
      </c>
      <c r="G550" s="202" t="str">
        <f t="shared" si="8"/>
        <v/>
      </c>
    </row>
    <row r="551" spans="1:7" s="172" customFormat="1" ht="15" customHeight="1" x14ac:dyDescent="0.25">
      <c r="A551" s="809" t="s">
        <v>6536</v>
      </c>
      <c r="B551" s="807" t="s">
        <v>13792</v>
      </c>
      <c r="C551" s="807" t="s">
        <v>13792</v>
      </c>
      <c r="D551" s="808" t="s">
        <v>14301</v>
      </c>
      <c r="E551" s="808" t="s">
        <v>8784</v>
      </c>
      <c r="F551" s="811">
        <v>200</v>
      </c>
      <c r="G551" s="202" t="str">
        <f t="shared" si="8"/>
        <v/>
      </c>
    </row>
    <row r="552" spans="1:7" s="172" customFormat="1" ht="15" customHeight="1" x14ac:dyDescent="0.25">
      <c r="A552" s="809" t="s">
        <v>6536</v>
      </c>
      <c r="B552" s="807" t="s">
        <v>13792</v>
      </c>
      <c r="C552" s="807" t="s">
        <v>13792</v>
      </c>
      <c r="D552" s="808" t="s">
        <v>14302</v>
      </c>
      <c r="E552" s="808" t="s">
        <v>8784</v>
      </c>
      <c r="F552" s="811">
        <v>200</v>
      </c>
      <c r="G552" s="202" t="str">
        <f t="shared" si="8"/>
        <v/>
      </c>
    </row>
    <row r="553" spans="1:7" s="172" customFormat="1" ht="15" customHeight="1" x14ac:dyDescent="0.25">
      <c r="A553" s="809" t="s">
        <v>6536</v>
      </c>
      <c r="B553" s="807" t="s">
        <v>13792</v>
      </c>
      <c r="C553" s="807" t="s">
        <v>13792</v>
      </c>
      <c r="D553" s="808" t="s">
        <v>14303</v>
      </c>
      <c r="E553" s="808" t="s">
        <v>8763</v>
      </c>
      <c r="F553" s="811">
        <v>295</v>
      </c>
      <c r="G553" s="202" t="str">
        <f t="shared" si="8"/>
        <v/>
      </c>
    </row>
    <row r="554" spans="1:7" s="172" customFormat="1" ht="15" customHeight="1" x14ac:dyDescent="0.25">
      <c r="A554" s="809" t="s">
        <v>6536</v>
      </c>
      <c r="B554" s="807" t="s">
        <v>13792</v>
      </c>
      <c r="C554" s="807" t="s">
        <v>13792</v>
      </c>
      <c r="D554" s="808" t="s">
        <v>14304</v>
      </c>
      <c r="E554" s="808" t="s">
        <v>8763</v>
      </c>
      <c r="F554" s="811">
        <v>275</v>
      </c>
      <c r="G554" s="202" t="str">
        <f t="shared" si="8"/>
        <v/>
      </c>
    </row>
    <row r="555" spans="1:7" s="172" customFormat="1" ht="15" customHeight="1" x14ac:dyDescent="0.25">
      <c r="A555" s="809" t="s">
        <v>14305</v>
      </c>
      <c r="B555" s="807" t="s">
        <v>13792</v>
      </c>
      <c r="C555" s="807" t="s">
        <v>13792</v>
      </c>
      <c r="D555" s="808" t="s">
        <v>14306</v>
      </c>
      <c r="E555" s="808" t="s">
        <v>8876</v>
      </c>
      <c r="F555" s="811">
        <v>25</v>
      </c>
      <c r="G555" s="202" t="str">
        <f t="shared" si="8"/>
        <v/>
      </c>
    </row>
    <row r="556" spans="1:7" s="172" customFormat="1" ht="15" customHeight="1" x14ac:dyDescent="0.25">
      <c r="A556" s="809" t="s">
        <v>5649</v>
      </c>
      <c r="B556" s="807" t="s">
        <v>13792</v>
      </c>
      <c r="C556" s="807" t="s">
        <v>13792</v>
      </c>
      <c r="D556" s="808" t="s">
        <v>14307</v>
      </c>
      <c r="E556" s="808" t="s">
        <v>8765</v>
      </c>
      <c r="F556" s="811">
        <v>30</v>
      </c>
      <c r="G556" s="202" t="str">
        <f t="shared" si="8"/>
        <v/>
      </c>
    </row>
    <row r="557" spans="1:7" s="172" customFormat="1" ht="15" customHeight="1" x14ac:dyDescent="0.25">
      <c r="A557" s="809" t="s">
        <v>4868</v>
      </c>
      <c r="B557" s="807" t="s">
        <v>13792</v>
      </c>
      <c r="C557" s="807" t="s">
        <v>13792</v>
      </c>
      <c r="D557" s="808" t="s">
        <v>14308</v>
      </c>
      <c r="E557" s="808" t="s">
        <v>8765</v>
      </c>
      <c r="F557" s="811">
        <v>30</v>
      </c>
      <c r="G557" s="202" t="str">
        <f t="shared" si="8"/>
        <v/>
      </c>
    </row>
    <row r="558" spans="1:7" s="172" customFormat="1" ht="15" customHeight="1" x14ac:dyDescent="0.25">
      <c r="A558" s="809" t="s">
        <v>13928</v>
      </c>
      <c r="B558" s="807" t="s">
        <v>13792</v>
      </c>
      <c r="C558" s="807" t="s">
        <v>13792</v>
      </c>
      <c r="D558" s="808" t="s">
        <v>14309</v>
      </c>
      <c r="E558" s="808" t="s">
        <v>8788</v>
      </c>
      <c r="F558" s="811">
        <v>85</v>
      </c>
      <c r="G558" s="202" t="str">
        <f t="shared" si="8"/>
        <v/>
      </c>
    </row>
    <row r="559" spans="1:7" s="172" customFormat="1" ht="15" customHeight="1" x14ac:dyDescent="0.25">
      <c r="A559" s="809" t="s">
        <v>5923</v>
      </c>
      <c r="B559" s="807" t="s">
        <v>13792</v>
      </c>
      <c r="C559" s="807" t="s">
        <v>13792</v>
      </c>
      <c r="D559" s="808" t="s">
        <v>14310</v>
      </c>
      <c r="E559" s="808" t="s">
        <v>8771</v>
      </c>
      <c r="F559" s="811">
        <v>40</v>
      </c>
      <c r="G559" s="202" t="str">
        <f t="shared" si="8"/>
        <v/>
      </c>
    </row>
    <row r="560" spans="1:7" s="172" customFormat="1" ht="15" customHeight="1" x14ac:dyDescent="0.25">
      <c r="A560" s="809" t="s">
        <v>2980</v>
      </c>
      <c r="B560" s="807" t="s">
        <v>13792</v>
      </c>
      <c r="C560" s="807" t="s">
        <v>13792</v>
      </c>
      <c r="D560" s="808" t="s">
        <v>14311</v>
      </c>
      <c r="E560" s="808" t="s">
        <v>18475</v>
      </c>
      <c r="F560" s="811">
        <v>150</v>
      </c>
      <c r="G560" s="202" t="str">
        <f t="shared" si="8"/>
        <v/>
      </c>
    </row>
    <row r="561" spans="1:7" s="172" customFormat="1" ht="15" customHeight="1" x14ac:dyDescent="0.25">
      <c r="A561" s="809" t="s">
        <v>2980</v>
      </c>
      <c r="B561" s="807" t="s">
        <v>13792</v>
      </c>
      <c r="C561" s="807" t="s">
        <v>13792</v>
      </c>
      <c r="D561" s="808" t="s">
        <v>14312</v>
      </c>
      <c r="E561" s="808" t="s">
        <v>8784</v>
      </c>
      <c r="F561" s="811">
        <v>200</v>
      </c>
      <c r="G561" s="202" t="str">
        <f t="shared" si="8"/>
        <v/>
      </c>
    </row>
    <row r="562" spans="1:7" s="172" customFormat="1" ht="15" customHeight="1" x14ac:dyDescent="0.25">
      <c r="A562" s="809" t="s">
        <v>2980</v>
      </c>
      <c r="B562" s="807" t="s">
        <v>13792</v>
      </c>
      <c r="C562" s="807" t="s">
        <v>13792</v>
      </c>
      <c r="D562" s="808" t="s">
        <v>14313</v>
      </c>
      <c r="E562" s="808" t="s">
        <v>8784</v>
      </c>
      <c r="F562" s="811">
        <v>200</v>
      </c>
      <c r="G562" s="202" t="str">
        <f t="shared" si="8"/>
        <v/>
      </c>
    </row>
    <row r="563" spans="1:7" s="172" customFormat="1" ht="15" customHeight="1" x14ac:dyDescent="0.25">
      <c r="A563" s="809" t="s">
        <v>2980</v>
      </c>
      <c r="B563" s="807" t="s">
        <v>13792</v>
      </c>
      <c r="C563" s="807" t="s">
        <v>13792</v>
      </c>
      <c r="D563" s="808" t="s">
        <v>14314</v>
      </c>
      <c r="E563" s="808" t="s">
        <v>8761</v>
      </c>
      <c r="F563" s="811">
        <v>10</v>
      </c>
      <c r="G563" s="202" t="str">
        <f t="shared" si="8"/>
        <v/>
      </c>
    </row>
    <row r="564" spans="1:7" s="172" customFormat="1" ht="15" customHeight="1" x14ac:dyDescent="0.25">
      <c r="A564" s="809" t="s">
        <v>2980</v>
      </c>
      <c r="B564" s="807" t="s">
        <v>13792</v>
      </c>
      <c r="C564" s="807" t="s">
        <v>13792</v>
      </c>
      <c r="D564" s="808" t="s">
        <v>14315</v>
      </c>
      <c r="E564" s="808" t="s">
        <v>8784</v>
      </c>
      <c r="F564" s="811">
        <v>230</v>
      </c>
      <c r="G564" s="202" t="str">
        <f t="shared" si="8"/>
        <v/>
      </c>
    </row>
    <row r="565" spans="1:7" s="172" customFormat="1" ht="15" customHeight="1" x14ac:dyDescent="0.25">
      <c r="A565" s="809" t="s">
        <v>2980</v>
      </c>
      <c r="B565" s="807" t="s">
        <v>13792</v>
      </c>
      <c r="C565" s="807" t="s">
        <v>13792</v>
      </c>
      <c r="D565" s="808" t="s">
        <v>14316</v>
      </c>
      <c r="E565" s="808" t="s">
        <v>8788</v>
      </c>
      <c r="F565" s="811">
        <v>40</v>
      </c>
      <c r="G565" s="202" t="str">
        <f t="shared" si="8"/>
        <v/>
      </c>
    </row>
    <row r="566" spans="1:7" s="172" customFormat="1" ht="15" customHeight="1" x14ac:dyDescent="0.25">
      <c r="A566" s="809" t="s">
        <v>14317</v>
      </c>
      <c r="B566" s="807" t="s">
        <v>13792</v>
      </c>
      <c r="C566" s="807" t="s">
        <v>13792</v>
      </c>
      <c r="D566" s="808" t="s">
        <v>14318</v>
      </c>
      <c r="E566" s="808" t="s">
        <v>8761</v>
      </c>
      <c r="F566" s="811">
        <v>35</v>
      </c>
      <c r="G566" s="202" t="str">
        <f t="shared" si="8"/>
        <v/>
      </c>
    </row>
    <row r="567" spans="1:7" s="172" customFormat="1" ht="15" customHeight="1" x14ac:dyDescent="0.25">
      <c r="A567" s="809" t="s">
        <v>14319</v>
      </c>
      <c r="B567" s="807" t="s">
        <v>13792</v>
      </c>
      <c r="C567" s="807" t="s">
        <v>13792</v>
      </c>
      <c r="D567" s="808" t="s">
        <v>14320</v>
      </c>
      <c r="E567" s="808" t="s">
        <v>8771</v>
      </c>
      <c r="F567" s="811">
        <v>30</v>
      </c>
      <c r="G567" s="202" t="str">
        <f t="shared" si="8"/>
        <v/>
      </c>
    </row>
    <row r="568" spans="1:7" s="172" customFormat="1" ht="15" customHeight="1" x14ac:dyDescent="0.25">
      <c r="A568" s="809" t="s">
        <v>14321</v>
      </c>
      <c r="B568" s="807" t="s">
        <v>13792</v>
      </c>
      <c r="C568" s="807" t="s">
        <v>13792</v>
      </c>
      <c r="D568" s="808" t="s">
        <v>14322</v>
      </c>
      <c r="E568" s="808" t="s">
        <v>8765</v>
      </c>
      <c r="F568" s="811">
        <v>30</v>
      </c>
      <c r="G568" s="202" t="str">
        <f t="shared" si="8"/>
        <v/>
      </c>
    </row>
    <row r="569" spans="1:7" s="172" customFormat="1" ht="15" customHeight="1" x14ac:dyDescent="0.25">
      <c r="A569" s="809" t="s">
        <v>13914</v>
      </c>
      <c r="B569" s="807" t="s">
        <v>13792</v>
      </c>
      <c r="C569" s="807" t="s">
        <v>13792</v>
      </c>
      <c r="D569" s="808" t="s">
        <v>14323</v>
      </c>
      <c r="E569" s="808" t="s">
        <v>8784</v>
      </c>
      <c r="F569" s="811">
        <v>210</v>
      </c>
      <c r="G569" s="202" t="str">
        <f t="shared" si="8"/>
        <v/>
      </c>
    </row>
    <row r="570" spans="1:7" s="172" customFormat="1" ht="15" customHeight="1" x14ac:dyDescent="0.25">
      <c r="A570" s="809" t="s">
        <v>13914</v>
      </c>
      <c r="B570" s="807" t="s">
        <v>13792</v>
      </c>
      <c r="C570" s="807" t="s">
        <v>13792</v>
      </c>
      <c r="D570" s="808" t="s">
        <v>14324</v>
      </c>
      <c r="E570" s="808" t="s">
        <v>8784</v>
      </c>
      <c r="F570" s="811">
        <v>200</v>
      </c>
      <c r="G570" s="202" t="str">
        <f t="shared" si="8"/>
        <v/>
      </c>
    </row>
    <row r="571" spans="1:7" s="172" customFormat="1" ht="15" customHeight="1" x14ac:dyDescent="0.25">
      <c r="A571" s="809" t="s">
        <v>13914</v>
      </c>
      <c r="B571" s="807" t="s">
        <v>13792</v>
      </c>
      <c r="C571" s="807" t="s">
        <v>13792</v>
      </c>
      <c r="D571" s="808" t="s">
        <v>14325</v>
      </c>
      <c r="E571" s="808" t="s">
        <v>8784</v>
      </c>
      <c r="F571" s="811">
        <v>150</v>
      </c>
      <c r="G571" s="202" t="str">
        <f t="shared" si="8"/>
        <v/>
      </c>
    </row>
    <row r="572" spans="1:7" s="172" customFormat="1" ht="15" customHeight="1" x14ac:dyDescent="0.25">
      <c r="A572" s="809" t="s">
        <v>13914</v>
      </c>
      <c r="B572" s="807" t="s">
        <v>13792</v>
      </c>
      <c r="C572" s="807" t="s">
        <v>13792</v>
      </c>
      <c r="D572" s="808" t="s">
        <v>14326</v>
      </c>
      <c r="E572" s="808" t="s">
        <v>8788</v>
      </c>
      <c r="F572" s="811">
        <v>60</v>
      </c>
      <c r="G572" s="202" t="str">
        <f t="shared" si="8"/>
        <v/>
      </c>
    </row>
    <row r="573" spans="1:7" s="172" customFormat="1" ht="15" customHeight="1" x14ac:dyDescent="0.25">
      <c r="A573" s="809" t="s">
        <v>14327</v>
      </c>
      <c r="B573" s="807" t="s">
        <v>13792</v>
      </c>
      <c r="C573" s="807" t="s">
        <v>13792</v>
      </c>
      <c r="D573" s="808" t="s">
        <v>14328</v>
      </c>
      <c r="E573" s="808" t="s">
        <v>8784</v>
      </c>
      <c r="F573" s="811">
        <v>180</v>
      </c>
      <c r="G573" s="202" t="str">
        <f t="shared" si="8"/>
        <v/>
      </c>
    </row>
    <row r="574" spans="1:7" s="172" customFormat="1" ht="15" customHeight="1" x14ac:dyDescent="0.25">
      <c r="A574" s="809" t="s">
        <v>14327</v>
      </c>
      <c r="B574" s="807" t="s">
        <v>13792</v>
      </c>
      <c r="C574" s="807" t="s">
        <v>13792</v>
      </c>
      <c r="D574" s="808" t="s">
        <v>14329</v>
      </c>
      <c r="E574" s="808" t="s">
        <v>8761</v>
      </c>
      <c r="F574" s="811">
        <v>8</v>
      </c>
      <c r="G574" s="202" t="str">
        <f t="shared" si="8"/>
        <v/>
      </c>
    </row>
    <row r="575" spans="1:7" s="172" customFormat="1" ht="15" customHeight="1" x14ac:dyDescent="0.25">
      <c r="A575" s="809" t="s">
        <v>14327</v>
      </c>
      <c r="B575" s="807" t="s">
        <v>13792</v>
      </c>
      <c r="C575" s="807" t="s">
        <v>13792</v>
      </c>
      <c r="D575" s="808" t="s">
        <v>14330</v>
      </c>
      <c r="E575" s="808" t="s">
        <v>8788</v>
      </c>
      <c r="F575" s="811">
        <v>100</v>
      </c>
      <c r="G575" s="202" t="str">
        <f t="shared" si="8"/>
        <v/>
      </c>
    </row>
    <row r="576" spans="1:7" s="172" customFormat="1" ht="15" customHeight="1" x14ac:dyDescent="0.25">
      <c r="A576" s="809" t="s">
        <v>14327</v>
      </c>
      <c r="B576" s="807" t="s">
        <v>13792</v>
      </c>
      <c r="C576" s="807" t="s">
        <v>13792</v>
      </c>
      <c r="D576" s="808" t="s">
        <v>14331</v>
      </c>
      <c r="E576" s="808" t="s">
        <v>8784</v>
      </c>
      <c r="F576" s="811">
        <v>200</v>
      </c>
      <c r="G576" s="202" t="str">
        <f t="shared" si="8"/>
        <v/>
      </c>
    </row>
    <row r="577" spans="1:7" s="172" customFormat="1" ht="15" customHeight="1" x14ac:dyDescent="0.25">
      <c r="A577" s="809" t="s">
        <v>14332</v>
      </c>
      <c r="B577" s="807" t="s">
        <v>13792</v>
      </c>
      <c r="C577" s="807" t="s">
        <v>13792</v>
      </c>
      <c r="D577" s="808" t="s">
        <v>14333</v>
      </c>
      <c r="E577" s="808" t="s">
        <v>8790</v>
      </c>
      <c r="F577" s="811">
        <v>10</v>
      </c>
      <c r="G577" s="202" t="str">
        <f t="shared" si="8"/>
        <v/>
      </c>
    </row>
    <row r="578" spans="1:7" s="172" customFormat="1" ht="15" customHeight="1" x14ac:dyDescent="0.25">
      <c r="A578" s="809" t="s">
        <v>14334</v>
      </c>
      <c r="B578" s="807" t="s">
        <v>13792</v>
      </c>
      <c r="C578" s="807" t="s">
        <v>13792</v>
      </c>
      <c r="D578" s="808" t="s">
        <v>14335</v>
      </c>
      <c r="E578" s="808" t="s">
        <v>8761</v>
      </c>
      <c r="F578" s="811">
        <v>40</v>
      </c>
      <c r="G578" s="202" t="str">
        <f t="shared" si="8"/>
        <v/>
      </c>
    </row>
    <row r="579" spans="1:7" s="172" customFormat="1" ht="15" customHeight="1" x14ac:dyDescent="0.25">
      <c r="A579" s="809" t="s">
        <v>13842</v>
      </c>
      <c r="B579" s="807" t="s">
        <v>13792</v>
      </c>
      <c r="C579" s="807" t="s">
        <v>13792</v>
      </c>
      <c r="D579" s="808" t="s">
        <v>14336</v>
      </c>
      <c r="E579" s="808" t="s">
        <v>8784</v>
      </c>
      <c r="F579" s="811">
        <v>195</v>
      </c>
      <c r="G579" s="202" t="str">
        <f t="shared" si="8"/>
        <v/>
      </c>
    </row>
    <row r="580" spans="1:7" s="172" customFormat="1" ht="15" customHeight="1" x14ac:dyDescent="0.25">
      <c r="A580" s="809" t="s">
        <v>14337</v>
      </c>
      <c r="B580" s="807" t="s">
        <v>13792</v>
      </c>
      <c r="C580" s="807" t="s">
        <v>13792</v>
      </c>
      <c r="D580" s="808" t="s">
        <v>14338</v>
      </c>
      <c r="E580" s="808" t="s">
        <v>8790</v>
      </c>
      <c r="F580" s="811">
        <v>10</v>
      </c>
      <c r="G580" s="202" t="str">
        <f t="shared" ref="G580:G643" si="9">IF(E580=F580,"не загружен","")</f>
        <v/>
      </c>
    </row>
    <row r="581" spans="1:7" s="172" customFormat="1" ht="15" customHeight="1" x14ac:dyDescent="0.25">
      <c r="A581" s="809" t="s">
        <v>5076</v>
      </c>
      <c r="B581" s="807" t="s">
        <v>13792</v>
      </c>
      <c r="C581" s="807" t="s">
        <v>13792</v>
      </c>
      <c r="D581" s="808" t="s">
        <v>14339</v>
      </c>
      <c r="E581" s="808" t="s">
        <v>8788</v>
      </c>
      <c r="F581" s="811">
        <v>75</v>
      </c>
      <c r="G581" s="202" t="str">
        <f t="shared" si="9"/>
        <v/>
      </c>
    </row>
    <row r="582" spans="1:7" s="172" customFormat="1" ht="15" customHeight="1" x14ac:dyDescent="0.25">
      <c r="A582" s="809" t="s">
        <v>12126</v>
      </c>
      <c r="B582" s="807" t="s">
        <v>13792</v>
      </c>
      <c r="C582" s="807" t="s">
        <v>13792</v>
      </c>
      <c r="D582" s="808" t="s">
        <v>14340</v>
      </c>
      <c r="E582" s="808" t="s">
        <v>8784</v>
      </c>
      <c r="F582" s="811">
        <v>200</v>
      </c>
      <c r="G582" s="202" t="str">
        <f t="shared" si="9"/>
        <v/>
      </c>
    </row>
    <row r="583" spans="1:7" s="172" customFormat="1" ht="15" customHeight="1" x14ac:dyDescent="0.25">
      <c r="A583" s="809" t="s">
        <v>13794</v>
      </c>
      <c r="B583" s="807" t="s">
        <v>13792</v>
      </c>
      <c r="C583" s="807" t="s">
        <v>13792</v>
      </c>
      <c r="D583" s="808" t="s">
        <v>14341</v>
      </c>
      <c r="E583" s="808" t="s">
        <v>8761</v>
      </c>
      <c r="F583" s="811">
        <v>40</v>
      </c>
      <c r="G583" s="202" t="str">
        <f t="shared" si="9"/>
        <v/>
      </c>
    </row>
    <row r="584" spans="1:7" s="172" customFormat="1" ht="15" customHeight="1" x14ac:dyDescent="0.25">
      <c r="A584" s="809" t="s">
        <v>13794</v>
      </c>
      <c r="B584" s="807" t="s">
        <v>13792</v>
      </c>
      <c r="C584" s="807" t="s">
        <v>13792</v>
      </c>
      <c r="D584" s="808" t="s">
        <v>14342</v>
      </c>
      <c r="E584" s="808" t="s">
        <v>8788</v>
      </c>
      <c r="F584" s="811">
        <v>100</v>
      </c>
      <c r="G584" s="202" t="str">
        <f t="shared" si="9"/>
        <v/>
      </c>
    </row>
    <row r="585" spans="1:7" s="172" customFormat="1" ht="15" customHeight="1" x14ac:dyDescent="0.25">
      <c r="A585" s="809" t="s">
        <v>13794</v>
      </c>
      <c r="B585" s="807" t="s">
        <v>13792</v>
      </c>
      <c r="C585" s="807" t="s">
        <v>13792</v>
      </c>
      <c r="D585" s="808" t="s">
        <v>14343</v>
      </c>
      <c r="E585" s="808" t="s">
        <v>8761</v>
      </c>
      <c r="F585" s="811">
        <v>40</v>
      </c>
      <c r="G585" s="202" t="str">
        <f t="shared" si="9"/>
        <v/>
      </c>
    </row>
    <row r="586" spans="1:7" s="172" customFormat="1" ht="15" customHeight="1" x14ac:dyDescent="0.25">
      <c r="A586" s="809" t="s">
        <v>13831</v>
      </c>
      <c r="B586" s="807" t="s">
        <v>13792</v>
      </c>
      <c r="C586" s="807" t="s">
        <v>13792</v>
      </c>
      <c r="D586" s="808" t="s">
        <v>14344</v>
      </c>
      <c r="E586" s="808" t="s">
        <v>8788</v>
      </c>
      <c r="F586" s="811">
        <v>110</v>
      </c>
      <c r="G586" s="202" t="str">
        <f t="shared" si="9"/>
        <v/>
      </c>
    </row>
    <row r="587" spans="1:7" s="172" customFormat="1" ht="15" customHeight="1" x14ac:dyDescent="0.25">
      <c r="A587" s="809" t="s">
        <v>14345</v>
      </c>
      <c r="B587" s="807" t="s">
        <v>13792</v>
      </c>
      <c r="C587" s="807" t="s">
        <v>13792</v>
      </c>
      <c r="D587" s="808" t="s">
        <v>14346</v>
      </c>
      <c r="E587" s="808" t="s">
        <v>8790</v>
      </c>
      <c r="F587" s="811">
        <v>10</v>
      </c>
      <c r="G587" s="202" t="str">
        <f t="shared" si="9"/>
        <v/>
      </c>
    </row>
    <row r="588" spans="1:7" s="172" customFormat="1" ht="15" customHeight="1" x14ac:dyDescent="0.25">
      <c r="A588" s="809" t="s">
        <v>13814</v>
      </c>
      <c r="B588" s="807" t="s">
        <v>13792</v>
      </c>
      <c r="C588" s="807" t="s">
        <v>13792</v>
      </c>
      <c r="D588" s="808" t="s">
        <v>14347</v>
      </c>
      <c r="E588" s="808" t="s">
        <v>8763</v>
      </c>
      <c r="F588" s="811">
        <v>350</v>
      </c>
      <c r="G588" s="202" t="str">
        <f t="shared" si="9"/>
        <v/>
      </c>
    </row>
    <row r="589" spans="1:7" s="172" customFormat="1" ht="15" customHeight="1" x14ac:dyDescent="0.25">
      <c r="A589" s="809" t="s">
        <v>13814</v>
      </c>
      <c r="B589" s="807" t="s">
        <v>13792</v>
      </c>
      <c r="C589" s="807" t="s">
        <v>13792</v>
      </c>
      <c r="D589" s="808" t="s">
        <v>14348</v>
      </c>
      <c r="E589" s="808" t="s">
        <v>8761</v>
      </c>
      <c r="F589" s="811">
        <v>30</v>
      </c>
      <c r="G589" s="202" t="str">
        <f t="shared" si="9"/>
        <v/>
      </c>
    </row>
    <row r="590" spans="1:7" s="172" customFormat="1" ht="15" customHeight="1" x14ac:dyDescent="0.25">
      <c r="A590" s="809" t="s">
        <v>4852</v>
      </c>
      <c r="B590" s="807" t="s">
        <v>13792</v>
      </c>
      <c r="C590" s="807" t="s">
        <v>13792</v>
      </c>
      <c r="D590" s="808" t="s">
        <v>14349</v>
      </c>
      <c r="E590" s="808" t="s">
        <v>8765</v>
      </c>
      <c r="F590" s="811">
        <v>30</v>
      </c>
      <c r="G590" s="202" t="str">
        <f t="shared" si="9"/>
        <v/>
      </c>
    </row>
    <row r="591" spans="1:7" s="172" customFormat="1" ht="15" customHeight="1" x14ac:dyDescent="0.25">
      <c r="A591" s="809" t="s">
        <v>13878</v>
      </c>
      <c r="B591" s="807" t="s">
        <v>13792</v>
      </c>
      <c r="C591" s="807" t="s">
        <v>13792</v>
      </c>
      <c r="D591" s="808" t="s">
        <v>14350</v>
      </c>
      <c r="E591" s="808" t="s">
        <v>8876</v>
      </c>
      <c r="F591" s="811">
        <v>20</v>
      </c>
      <c r="G591" s="202" t="str">
        <f t="shared" si="9"/>
        <v/>
      </c>
    </row>
    <row r="592" spans="1:7" s="172" customFormat="1" ht="15" customHeight="1" x14ac:dyDescent="0.25">
      <c r="A592" s="809" t="s">
        <v>14351</v>
      </c>
      <c r="B592" s="807" t="s">
        <v>13792</v>
      </c>
      <c r="C592" s="807" t="s">
        <v>13792</v>
      </c>
      <c r="D592" s="808" t="s">
        <v>14352</v>
      </c>
      <c r="E592" s="808" t="s">
        <v>8774</v>
      </c>
      <c r="F592" s="811">
        <v>5</v>
      </c>
      <c r="G592" s="202" t="str">
        <f t="shared" si="9"/>
        <v/>
      </c>
    </row>
    <row r="593" spans="1:7" s="172" customFormat="1" ht="15" customHeight="1" x14ac:dyDescent="0.25">
      <c r="A593" s="809" t="s">
        <v>14353</v>
      </c>
      <c r="B593" s="807" t="s">
        <v>13792</v>
      </c>
      <c r="C593" s="807" t="s">
        <v>13792</v>
      </c>
      <c r="D593" s="808" t="s">
        <v>14354</v>
      </c>
      <c r="E593" s="808" t="s">
        <v>8765</v>
      </c>
      <c r="F593" s="811">
        <v>15</v>
      </c>
      <c r="G593" s="202" t="str">
        <f t="shared" si="9"/>
        <v/>
      </c>
    </row>
    <row r="594" spans="1:7" s="172" customFormat="1" ht="15" customHeight="1" x14ac:dyDescent="0.25">
      <c r="A594" s="809" t="s">
        <v>14355</v>
      </c>
      <c r="B594" s="807" t="s">
        <v>13792</v>
      </c>
      <c r="C594" s="807" t="s">
        <v>13792</v>
      </c>
      <c r="D594" s="808" t="s">
        <v>14356</v>
      </c>
      <c r="E594" s="808" t="s">
        <v>8790</v>
      </c>
      <c r="F594" s="811">
        <v>10</v>
      </c>
      <c r="G594" s="202" t="str">
        <f t="shared" si="9"/>
        <v/>
      </c>
    </row>
    <row r="595" spans="1:7" s="172" customFormat="1" ht="15" customHeight="1" x14ac:dyDescent="0.25">
      <c r="A595" s="809" t="s">
        <v>14321</v>
      </c>
      <c r="B595" s="807" t="s">
        <v>13792</v>
      </c>
      <c r="C595" s="807" t="s">
        <v>13792</v>
      </c>
      <c r="D595" s="808" t="s">
        <v>14357</v>
      </c>
      <c r="E595" s="808" t="s">
        <v>8765</v>
      </c>
      <c r="F595" s="811">
        <v>20</v>
      </c>
      <c r="G595" s="202" t="str">
        <f t="shared" si="9"/>
        <v/>
      </c>
    </row>
    <row r="596" spans="1:7" s="172" customFormat="1" ht="15" customHeight="1" x14ac:dyDescent="0.25">
      <c r="A596" s="809" t="s">
        <v>14358</v>
      </c>
      <c r="B596" s="807" t="s">
        <v>13792</v>
      </c>
      <c r="C596" s="807" t="s">
        <v>13792</v>
      </c>
      <c r="D596" s="808" t="s">
        <v>14359</v>
      </c>
      <c r="E596" s="808" t="s">
        <v>8788</v>
      </c>
      <c r="F596" s="811">
        <v>100</v>
      </c>
      <c r="G596" s="202" t="str">
        <f t="shared" si="9"/>
        <v/>
      </c>
    </row>
    <row r="597" spans="1:7" s="172" customFormat="1" ht="15" customHeight="1" x14ac:dyDescent="0.25">
      <c r="A597" s="809" t="s">
        <v>14360</v>
      </c>
      <c r="B597" s="807" t="s">
        <v>13792</v>
      </c>
      <c r="C597" s="807" t="s">
        <v>13792</v>
      </c>
      <c r="D597" s="808" t="s">
        <v>14361</v>
      </c>
      <c r="E597" s="808" t="s">
        <v>8765</v>
      </c>
      <c r="F597" s="811">
        <v>20</v>
      </c>
      <c r="G597" s="202" t="str">
        <f t="shared" si="9"/>
        <v/>
      </c>
    </row>
    <row r="598" spans="1:7" s="172" customFormat="1" ht="15" customHeight="1" x14ac:dyDescent="0.25">
      <c r="A598" s="809" t="s">
        <v>6593</v>
      </c>
      <c r="B598" s="807" t="s">
        <v>13792</v>
      </c>
      <c r="C598" s="807" t="s">
        <v>13792</v>
      </c>
      <c r="D598" s="808" t="s">
        <v>14362</v>
      </c>
      <c r="E598" s="808" t="s">
        <v>8876</v>
      </c>
      <c r="F598" s="811">
        <v>10</v>
      </c>
      <c r="G598" s="202" t="str">
        <f t="shared" si="9"/>
        <v/>
      </c>
    </row>
    <row r="599" spans="1:7" s="172" customFormat="1" ht="15" customHeight="1" x14ac:dyDescent="0.25">
      <c r="A599" s="809" t="s">
        <v>14088</v>
      </c>
      <c r="B599" s="807" t="s">
        <v>13792</v>
      </c>
      <c r="C599" s="807" t="s">
        <v>13792</v>
      </c>
      <c r="D599" s="808" t="s">
        <v>14363</v>
      </c>
      <c r="E599" s="808" t="s">
        <v>8784</v>
      </c>
      <c r="F599" s="811">
        <v>150</v>
      </c>
      <c r="G599" s="202" t="str">
        <f t="shared" si="9"/>
        <v/>
      </c>
    </row>
    <row r="600" spans="1:7" s="172" customFormat="1" ht="15" customHeight="1" x14ac:dyDescent="0.25">
      <c r="A600" s="809" t="s">
        <v>14364</v>
      </c>
      <c r="B600" s="807" t="s">
        <v>13792</v>
      </c>
      <c r="C600" s="807" t="s">
        <v>13792</v>
      </c>
      <c r="D600" s="808" t="s">
        <v>14365</v>
      </c>
      <c r="E600" s="808" t="s">
        <v>8771</v>
      </c>
      <c r="F600" s="811">
        <v>20</v>
      </c>
      <c r="G600" s="202" t="str">
        <f t="shared" si="9"/>
        <v/>
      </c>
    </row>
    <row r="601" spans="1:7" s="172" customFormat="1" ht="15" customHeight="1" x14ac:dyDescent="0.25">
      <c r="A601" s="809" t="s">
        <v>5715</v>
      </c>
      <c r="B601" s="807" t="s">
        <v>13792</v>
      </c>
      <c r="C601" s="807" t="s">
        <v>13792</v>
      </c>
      <c r="D601" s="808" t="s">
        <v>14366</v>
      </c>
      <c r="E601" s="808" t="s">
        <v>8761</v>
      </c>
      <c r="F601" s="811">
        <v>20</v>
      </c>
      <c r="G601" s="202" t="str">
        <f t="shared" si="9"/>
        <v/>
      </c>
    </row>
    <row r="602" spans="1:7" s="172" customFormat="1" ht="15" customHeight="1" x14ac:dyDescent="0.25">
      <c r="A602" s="809" t="s">
        <v>7712</v>
      </c>
      <c r="B602" s="807" t="s">
        <v>13792</v>
      </c>
      <c r="C602" s="807" t="s">
        <v>13792</v>
      </c>
      <c r="D602" s="808" t="s">
        <v>14367</v>
      </c>
      <c r="E602" s="808" t="s">
        <v>8761</v>
      </c>
      <c r="F602" s="811">
        <v>20</v>
      </c>
      <c r="G602" s="202" t="str">
        <f t="shared" si="9"/>
        <v/>
      </c>
    </row>
    <row r="603" spans="1:7" s="172" customFormat="1" ht="15" customHeight="1" x14ac:dyDescent="0.25">
      <c r="A603" s="809" t="s">
        <v>14368</v>
      </c>
      <c r="B603" s="807" t="s">
        <v>13792</v>
      </c>
      <c r="C603" s="807" t="s">
        <v>13792</v>
      </c>
      <c r="D603" s="808" t="s">
        <v>14369</v>
      </c>
      <c r="E603" s="808" t="s">
        <v>8788</v>
      </c>
      <c r="F603" s="811">
        <v>55</v>
      </c>
      <c r="G603" s="202" t="str">
        <f t="shared" si="9"/>
        <v/>
      </c>
    </row>
    <row r="604" spans="1:7" s="172" customFormat="1" ht="15" customHeight="1" x14ac:dyDescent="0.25">
      <c r="A604" s="809" t="s">
        <v>12725</v>
      </c>
      <c r="B604" s="807" t="s">
        <v>13792</v>
      </c>
      <c r="C604" s="807" t="s">
        <v>13792</v>
      </c>
      <c r="D604" s="808" t="s">
        <v>14370</v>
      </c>
      <c r="E604" s="808" t="s">
        <v>8761</v>
      </c>
      <c r="F604" s="811">
        <v>10</v>
      </c>
      <c r="G604" s="202" t="str">
        <f t="shared" si="9"/>
        <v/>
      </c>
    </row>
    <row r="605" spans="1:7" s="172" customFormat="1" ht="15" customHeight="1" x14ac:dyDescent="0.25">
      <c r="A605" s="809" t="s">
        <v>12509</v>
      </c>
      <c r="B605" s="807" t="s">
        <v>13792</v>
      </c>
      <c r="C605" s="807" t="s">
        <v>13792</v>
      </c>
      <c r="D605" s="808" t="s">
        <v>14371</v>
      </c>
      <c r="E605" s="808" t="s">
        <v>8761</v>
      </c>
      <c r="F605" s="811">
        <v>25</v>
      </c>
      <c r="G605" s="202" t="str">
        <f t="shared" si="9"/>
        <v/>
      </c>
    </row>
    <row r="606" spans="1:7" s="172" customFormat="1" ht="15" customHeight="1" x14ac:dyDescent="0.25">
      <c r="A606" s="809" t="s">
        <v>14372</v>
      </c>
      <c r="B606" s="807" t="s">
        <v>13792</v>
      </c>
      <c r="C606" s="807" t="s">
        <v>13792</v>
      </c>
      <c r="D606" s="808" t="s">
        <v>14373</v>
      </c>
      <c r="E606" s="808" t="s">
        <v>8765</v>
      </c>
      <c r="F606" s="811">
        <v>10</v>
      </c>
      <c r="G606" s="202" t="str">
        <f t="shared" si="9"/>
        <v/>
      </c>
    </row>
    <row r="607" spans="1:7" s="172" customFormat="1" ht="15" customHeight="1" x14ac:dyDescent="0.25">
      <c r="A607" s="809" t="s">
        <v>11970</v>
      </c>
      <c r="B607" s="807" t="s">
        <v>13792</v>
      </c>
      <c r="C607" s="807" t="s">
        <v>13792</v>
      </c>
      <c r="D607" s="808" t="s">
        <v>14374</v>
      </c>
      <c r="E607" s="808" t="s">
        <v>8761</v>
      </c>
      <c r="F607" s="811">
        <v>30</v>
      </c>
      <c r="G607" s="202" t="str">
        <f t="shared" si="9"/>
        <v/>
      </c>
    </row>
    <row r="608" spans="1:7" s="172" customFormat="1" ht="15" customHeight="1" x14ac:dyDescent="0.25">
      <c r="A608" s="809" t="s">
        <v>14375</v>
      </c>
      <c r="B608" s="807" t="s">
        <v>13792</v>
      </c>
      <c r="C608" s="807" t="s">
        <v>13792</v>
      </c>
      <c r="D608" s="808" t="s">
        <v>14376</v>
      </c>
      <c r="E608" s="808" t="s">
        <v>8765</v>
      </c>
      <c r="F608" s="811">
        <v>25</v>
      </c>
      <c r="G608" s="202" t="str">
        <f t="shared" si="9"/>
        <v/>
      </c>
    </row>
    <row r="609" spans="1:7" s="172" customFormat="1" ht="15" customHeight="1" x14ac:dyDescent="0.25">
      <c r="A609" s="809" t="s">
        <v>14377</v>
      </c>
      <c r="B609" s="807" t="s">
        <v>13792</v>
      </c>
      <c r="C609" s="807" t="s">
        <v>13792</v>
      </c>
      <c r="D609" s="808" t="s">
        <v>14378</v>
      </c>
      <c r="E609" s="808" t="s">
        <v>8765</v>
      </c>
      <c r="F609" s="811">
        <v>30</v>
      </c>
      <c r="G609" s="202" t="str">
        <f t="shared" si="9"/>
        <v/>
      </c>
    </row>
    <row r="610" spans="1:7" s="172" customFormat="1" ht="15" customHeight="1" x14ac:dyDescent="0.25">
      <c r="A610" s="809" t="s">
        <v>13862</v>
      </c>
      <c r="B610" s="807" t="s">
        <v>13792</v>
      </c>
      <c r="C610" s="807" t="s">
        <v>13792</v>
      </c>
      <c r="D610" s="808" t="s">
        <v>14379</v>
      </c>
      <c r="E610" s="808" t="s">
        <v>8788</v>
      </c>
      <c r="F610" s="811">
        <v>60</v>
      </c>
      <c r="G610" s="202" t="str">
        <f t="shared" si="9"/>
        <v/>
      </c>
    </row>
    <row r="611" spans="1:7" s="172" customFormat="1" ht="15" customHeight="1" x14ac:dyDescent="0.25">
      <c r="A611" s="809" t="s">
        <v>6531</v>
      </c>
      <c r="B611" s="807" t="s">
        <v>13792</v>
      </c>
      <c r="C611" s="807" t="s">
        <v>13792</v>
      </c>
      <c r="D611" s="808" t="s">
        <v>14380</v>
      </c>
      <c r="E611" s="808" t="s">
        <v>8876</v>
      </c>
      <c r="F611" s="811">
        <v>20</v>
      </c>
      <c r="G611" s="202" t="str">
        <f t="shared" si="9"/>
        <v/>
      </c>
    </row>
    <row r="612" spans="1:7" s="172" customFormat="1" ht="15" customHeight="1" x14ac:dyDescent="0.25">
      <c r="A612" s="809" t="s">
        <v>14381</v>
      </c>
      <c r="B612" s="807" t="s">
        <v>13792</v>
      </c>
      <c r="C612" s="807" t="s">
        <v>13792</v>
      </c>
      <c r="D612" s="808" t="s">
        <v>14382</v>
      </c>
      <c r="E612" s="808" t="s">
        <v>8790</v>
      </c>
      <c r="F612" s="811">
        <v>10</v>
      </c>
      <c r="G612" s="202" t="str">
        <f t="shared" si="9"/>
        <v/>
      </c>
    </row>
    <row r="613" spans="1:7" s="172" customFormat="1" ht="15" customHeight="1" x14ac:dyDescent="0.25">
      <c r="A613" s="809" t="s">
        <v>14383</v>
      </c>
      <c r="B613" s="807" t="s">
        <v>13792</v>
      </c>
      <c r="C613" s="807" t="s">
        <v>13792</v>
      </c>
      <c r="D613" s="808" t="s">
        <v>14384</v>
      </c>
      <c r="E613" s="808" t="s">
        <v>8774</v>
      </c>
      <c r="F613" s="811">
        <v>5</v>
      </c>
      <c r="G613" s="202" t="str">
        <f t="shared" si="9"/>
        <v/>
      </c>
    </row>
    <row r="614" spans="1:7" s="172" customFormat="1" ht="15" customHeight="1" x14ac:dyDescent="0.25">
      <c r="A614" s="809" t="s">
        <v>12509</v>
      </c>
      <c r="B614" s="807" t="s">
        <v>13792</v>
      </c>
      <c r="C614" s="807" t="s">
        <v>13792</v>
      </c>
      <c r="D614" s="808" t="s">
        <v>14385</v>
      </c>
      <c r="E614" s="808" t="s">
        <v>8761</v>
      </c>
      <c r="F614" s="811">
        <v>15</v>
      </c>
      <c r="G614" s="202" t="str">
        <f t="shared" si="9"/>
        <v/>
      </c>
    </row>
    <row r="615" spans="1:7" s="172" customFormat="1" ht="15" customHeight="1" x14ac:dyDescent="0.25">
      <c r="A615" s="809" t="s">
        <v>8910</v>
      </c>
      <c r="B615" s="807" t="s">
        <v>13792</v>
      </c>
      <c r="C615" s="807" t="s">
        <v>13792</v>
      </c>
      <c r="D615" s="808" t="s">
        <v>14386</v>
      </c>
      <c r="E615" s="808" t="s">
        <v>8765</v>
      </c>
      <c r="F615" s="811">
        <v>15</v>
      </c>
      <c r="G615" s="202" t="str">
        <f t="shared" si="9"/>
        <v/>
      </c>
    </row>
    <row r="616" spans="1:7" s="172" customFormat="1" ht="15" customHeight="1" x14ac:dyDescent="0.25">
      <c r="A616" s="809" t="s">
        <v>3346</v>
      </c>
      <c r="B616" s="807" t="s">
        <v>13792</v>
      </c>
      <c r="C616" s="807" t="s">
        <v>13792</v>
      </c>
      <c r="D616" s="808" t="s">
        <v>14387</v>
      </c>
      <c r="E616" s="808" t="s">
        <v>8774</v>
      </c>
      <c r="F616" s="811">
        <v>1</v>
      </c>
      <c r="G616" s="202" t="str">
        <f t="shared" si="9"/>
        <v/>
      </c>
    </row>
    <row r="617" spans="1:7" s="172" customFormat="1" ht="15" customHeight="1" x14ac:dyDescent="0.25">
      <c r="A617" s="809" t="s">
        <v>8898</v>
      </c>
      <c r="B617" s="807" t="s">
        <v>13792</v>
      </c>
      <c r="C617" s="807" t="s">
        <v>13792</v>
      </c>
      <c r="D617" s="808" t="s">
        <v>14388</v>
      </c>
      <c r="E617" s="808" t="s">
        <v>6923</v>
      </c>
      <c r="F617" s="811">
        <v>5</v>
      </c>
      <c r="G617" s="202" t="str">
        <f t="shared" si="9"/>
        <v/>
      </c>
    </row>
    <row r="618" spans="1:7" s="172" customFormat="1" ht="15" customHeight="1" x14ac:dyDescent="0.25">
      <c r="A618" s="809" t="s">
        <v>2778</v>
      </c>
      <c r="B618" s="807" t="s">
        <v>13792</v>
      </c>
      <c r="C618" s="807" t="s">
        <v>13792</v>
      </c>
      <c r="D618" s="808" t="s">
        <v>14389</v>
      </c>
      <c r="E618" s="808" t="s">
        <v>8788</v>
      </c>
      <c r="F618" s="811">
        <v>65</v>
      </c>
      <c r="G618" s="202" t="str">
        <f t="shared" si="9"/>
        <v/>
      </c>
    </row>
    <row r="619" spans="1:7" s="172" customFormat="1" ht="15" customHeight="1" x14ac:dyDescent="0.25">
      <c r="A619" s="809" t="s">
        <v>14390</v>
      </c>
      <c r="B619" s="807" t="s">
        <v>13792</v>
      </c>
      <c r="C619" s="807" t="s">
        <v>13792</v>
      </c>
      <c r="D619" s="808" t="s">
        <v>14391</v>
      </c>
      <c r="E619" s="808" t="s">
        <v>8765</v>
      </c>
      <c r="F619" s="811">
        <v>30</v>
      </c>
      <c r="G619" s="202" t="str">
        <f t="shared" si="9"/>
        <v/>
      </c>
    </row>
    <row r="620" spans="1:7" s="172" customFormat="1" ht="15" customHeight="1" x14ac:dyDescent="0.25">
      <c r="A620" s="809" t="s">
        <v>6471</v>
      </c>
      <c r="B620" s="807" t="s">
        <v>13792</v>
      </c>
      <c r="C620" s="807" t="s">
        <v>13792</v>
      </c>
      <c r="D620" s="808" t="s">
        <v>14392</v>
      </c>
      <c r="E620" s="808" t="s">
        <v>8790</v>
      </c>
      <c r="F620" s="811">
        <v>10</v>
      </c>
      <c r="G620" s="202" t="str">
        <f t="shared" si="9"/>
        <v/>
      </c>
    </row>
    <row r="621" spans="1:7" s="172" customFormat="1" ht="15" customHeight="1" x14ac:dyDescent="0.25">
      <c r="A621" s="809" t="s">
        <v>14088</v>
      </c>
      <c r="B621" s="807" t="s">
        <v>13792</v>
      </c>
      <c r="C621" s="807" t="s">
        <v>13792</v>
      </c>
      <c r="D621" s="808" t="s">
        <v>14393</v>
      </c>
      <c r="E621" s="808" t="s">
        <v>8761</v>
      </c>
      <c r="F621" s="811">
        <v>80</v>
      </c>
      <c r="G621" s="202" t="str">
        <f t="shared" si="9"/>
        <v/>
      </c>
    </row>
    <row r="622" spans="1:7" s="172" customFormat="1" ht="15" customHeight="1" x14ac:dyDescent="0.25">
      <c r="A622" s="809" t="s">
        <v>14394</v>
      </c>
      <c r="B622" s="807" t="s">
        <v>13792</v>
      </c>
      <c r="C622" s="807" t="s">
        <v>13792</v>
      </c>
      <c r="D622" s="808" t="s">
        <v>14395</v>
      </c>
      <c r="E622" s="808" t="s">
        <v>8790</v>
      </c>
      <c r="F622" s="811">
        <v>10</v>
      </c>
      <c r="G622" s="202" t="str">
        <f t="shared" si="9"/>
        <v/>
      </c>
    </row>
    <row r="623" spans="1:7" s="172" customFormat="1" ht="15" customHeight="1" x14ac:dyDescent="0.25">
      <c r="A623" s="809" t="s">
        <v>14396</v>
      </c>
      <c r="B623" s="807" t="s">
        <v>13792</v>
      </c>
      <c r="C623" s="807" t="s">
        <v>13792</v>
      </c>
      <c r="D623" s="808" t="s">
        <v>14397</v>
      </c>
      <c r="E623" s="808" t="s">
        <v>8774</v>
      </c>
      <c r="F623" s="811">
        <v>10</v>
      </c>
      <c r="G623" s="202" t="str">
        <f t="shared" si="9"/>
        <v/>
      </c>
    </row>
    <row r="624" spans="1:7" s="172" customFormat="1" ht="15" customHeight="1" x14ac:dyDescent="0.25">
      <c r="A624" s="809" t="s">
        <v>14398</v>
      </c>
      <c r="B624" s="807" t="s">
        <v>13792</v>
      </c>
      <c r="C624" s="807" t="s">
        <v>13792</v>
      </c>
      <c r="D624" s="808" t="s">
        <v>14399</v>
      </c>
      <c r="E624" s="808" t="s">
        <v>6923</v>
      </c>
      <c r="F624" s="811">
        <v>1</v>
      </c>
      <c r="G624" s="202" t="str">
        <f t="shared" si="9"/>
        <v/>
      </c>
    </row>
    <row r="625" spans="1:7" s="172" customFormat="1" ht="15" customHeight="1" x14ac:dyDescent="0.25">
      <c r="A625" s="809" t="s">
        <v>14400</v>
      </c>
      <c r="B625" s="807" t="s">
        <v>13792</v>
      </c>
      <c r="C625" s="807" t="s">
        <v>13792</v>
      </c>
      <c r="D625" s="808" t="s">
        <v>14401</v>
      </c>
      <c r="E625" s="808" t="s">
        <v>8765</v>
      </c>
      <c r="F625" s="811">
        <v>25</v>
      </c>
      <c r="G625" s="202" t="str">
        <f t="shared" si="9"/>
        <v/>
      </c>
    </row>
    <row r="626" spans="1:7" s="172" customFormat="1" ht="15" customHeight="1" x14ac:dyDescent="0.25">
      <c r="A626" s="809" t="s">
        <v>14402</v>
      </c>
      <c r="B626" s="807" t="s">
        <v>13792</v>
      </c>
      <c r="C626" s="807" t="s">
        <v>13792</v>
      </c>
      <c r="D626" s="808" t="s">
        <v>14403</v>
      </c>
      <c r="E626" s="808" t="s">
        <v>8790</v>
      </c>
      <c r="F626" s="811">
        <v>15</v>
      </c>
      <c r="G626" s="202" t="str">
        <f t="shared" si="9"/>
        <v/>
      </c>
    </row>
    <row r="627" spans="1:7" s="172" customFormat="1" ht="15" customHeight="1" x14ac:dyDescent="0.25">
      <c r="A627" s="809" t="s">
        <v>14404</v>
      </c>
      <c r="B627" s="807" t="s">
        <v>13792</v>
      </c>
      <c r="C627" s="807" t="s">
        <v>13792</v>
      </c>
      <c r="D627" s="808" t="s">
        <v>14405</v>
      </c>
      <c r="E627" s="808" t="s">
        <v>2429</v>
      </c>
      <c r="F627" s="811">
        <v>2</v>
      </c>
      <c r="G627" s="202" t="str">
        <f t="shared" si="9"/>
        <v/>
      </c>
    </row>
    <row r="628" spans="1:7" s="172" customFormat="1" ht="15" customHeight="1" x14ac:dyDescent="0.25">
      <c r="A628" s="809" t="s">
        <v>3006</v>
      </c>
      <c r="B628" s="807" t="s">
        <v>13792</v>
      </c>
      <c r="C628" s="807" t="s">
        <v>13792</v>
      </c>
      <c r="D628" s="808" t="s">
        <v>14406</v>
      </c>
      <c r="E628" s="808" t="s">
        <v>8761</v>
      </c>
      <c r="F628" s="811">
        <v>40</v>
      </c>
      <c r="G628" s="202" t="str">
        <f t="shared" si="9"/>
        <v/>
      </c>
    </row>
    <row r="629" spans="1:7" s="172" customFormat="1" ht="15" customHeight="1" x14ac:dyDescent="0.25">
      <c r="A629" s="809" t="s">
        <v>14407</v>
      </c>
      <c r="B629" s="807" t="s">
        <v>13792</v>
      </c>
      <c r="C629" s="807" t="s">
        <v>13792</v>
      </c>
      <c r="D629" s="808" t="s">
        <v>14408</v>
      </c>
      <c r="E629" s="808" t="s">
        <v>6923</v>
      </c>
      <c r="F629" s="811">
        <v>5</v>
      </c>
      <c r="G629" s="202" t="str">
        <f t="shared" si="9"/>
        <v/>
      </c>
    </row>
    <row r="630" spans="1:7" s="172" customFormat="1" ht="15" customHeight="1" x14ac:dyDescent="0.25">
      <c r="A630" s="809" t="s">
        <v>14409</v>
      </c>
      <c r="B630" s="807" t="s">
        <v>13792</v>
      </c>
      <c r="C630" s="807" t="s">
        <v>13792</v>
      </c>
      <c r="D630" s="808" t="s">
        <v>14410</v>
      </c>
      <c r="E630" s="808" t="s">
        <v>8771</v>
      </c>
      <c r="F630" s="811">
        <v>10</v>
      </c>
      <c r="G630" s="202" t="str">
        <f t="shared" si="9"/>
        <v/>
      </c>
    </row>
    <row r="631" spans="1:7" s="172" customFormat="1" ht="15" customHeight="1" x14ac:dyDescent="0.25">
      <c r="A631" s="809" t="s">
        <v>5815</v>
      </c>
      <c r="B631" s="807" t="s">
        <v>13792</v>
      </c>
      <c r="C631" s="807" t="s">
        <v>13792</v>
      </c>
      <c r="D631" s="808" t="s">
        <v>14411</v>
      </c>
      <c r="E631" s="808" t="s">
        <v>8761</v>
      </c>
      <c r="F631" s="811">
        <v>30</v>
      </c>
      <c r="G631" s="202" t="str">
        <f t="shared" si="9"/>
        <v/>
      </c>
    </row>
    <row r="632" spans="1:7" s="172" customFormat="1" ht="15" customHeight="1" x14ac:dyDescent="0.25">
      <c r="A632" s="809" t="s">
        <v>14412</v>
      </c>
      <c r="B632" s="807" t="s">
        <v>13792</v>
      </c>
      <c r="C632" s="807" t="s">
        <v>13792</v>
      </c>
      <c r="D632" s="808" t="s">
        <v>14413</v>
      </c>
      <c r="E632" s="808" t="s">
        <v>8788</v>
      </c>
      <c r="F632" s="811">
        <v>60</v>
      </c>
      <c r="G632" s="202" t="str">
        <f t="shared" si="9"/>
        <v/>
      </c>
    </row>
    <row r="633" spans="1:7" s="172" customFormat="1" ht="15" customHeight="1" x14ac:dyDescent="0.25">
      <c r="A633" s="809" t="s">
        <v>14414</v>
      </c>
      <c r="B633" s="807" t="s">
        <v>13792</v>
      </c>
      <c r="C633" s="807" t="s">
        <v>13792</v>
      </c>
      <c r="D633" s="808" t="s">
        <v>14415</v>
      </c>
      <c r="E633" s="808" t="s">
        <v>8761</v>
      </c>
      <c r="F633" s="811">
        <v>10</v>
      </c>
      <c r="G633" s="202" t="str">
        <f t="shared" si="9"/>
        <v/>
      </c>
    </row>
    <row r="634" spans="1:7" s="172" customFormat="1" ht="15" customHeight="1" x14ac:dyDescent="0.25">
      <c r="A634" s="809" t="s">
        <v>6307</v>
      </c>
      <c r="B634" s="807" t="s">
        <v>13792</v>
      </c>
      <c r="C634" s="807" t="s">
        <v>13792</v>
      </c>
      <c r="D634" s="808" t="s">
        <v>14416</v>
      </c>
      <c r="E634" s="808" t="s">
        <v>8790</v>
      </c>
      <c r="F634" s="811">
        <v>10</v>
      </c>
      <c r="G634" s="202" t="str">
        <f t="shared" si="9"/>
        <v/>
      </c>
    </row>
    <row r="635" spans="1:7" s="172" customFormat="1" ht="15" customHeight="1" x14ac:dyDescent="0.25">
      <c r="A635" s="809" t="s">
        <v>14417</v>
      </c>
      <c r="B635" s="807" t="s">
        <v>13792</v>
      </c>
      <c r="C635" s="807" t="s">
        <v>13792</v>
      </c>
      <c r="D635" s="808" t="s">
        <v>14418</v>
      </c>
      <c r="E635" s="808" t="s">
        <v>8790</v>
      </c>
      <c r="F635" s="811">
        <v>10</v>
      </c>
      <c r="G635" s="202" t="str">
        <f t="shared" si="9"/>
        <v/>
      </c>
    </row>
    <row r="636" spans="1:7" s="172" customFormat="1" ht="15" customHeight="1" x14ac:dyDescent="0.25">
      <c r="A636" s="809" t="s">
        <v>14419</v>
      </c>
      <c r="B636" s="807" t="s">
        <v>13792</v>
      </c>
      <c r="C636" s="807" t="s">
        <v>13792</v>
      </c>
      <c r="D636" s="808" t="s">
        <v>14420</v>
      </c>
      <c r="E636" s="808" t="s">
        <v>8790</v>
      </c>
      <c r="F636" s="811">
        <v>10</v>
      </c>
      <c r="G636" s="202" t="str">
        <f t="shared" si="9"/>
        <v/>
      </c>
    </row>
    <row r="637" spans="1:7" s="172" customFormat="1" ht="15" customHeight="1" x14ac:dyDescent="0.25">
      <c r="A637" s="809" t="s">
        <v>14321</v>
      </c>
      <c r="B637" s="807" t="s">
        <v>13792</v>
      </c>
      <c r="C637" s="807" t="s">
        <v>13792</v>
      </c>
      <c r="D637" s="808" t="s">
        <v>14421</v>
      </c>
      <c r="E637" s="808" t="s">
        <v>8761</v>
      </c>
      <c r="F637" s="811">
        <v>15</v>
      </c>
      <c r="G637" s="202" t="str">
        <f t="shared" si="9"/>
        <v/>
      </c>
    </row>
    <row r="638" spans="1:7" s="172" customFormat="1" ht="15" customHeight="1" x14ac:dyDescent="0.25">
      <c r="A638" s="809" t="s">
        <v>13866</v>
      </c>
      <c r="B638" s="807" t="s">
        <v>13792</v>
      </c>
      <c r="C638" s="807" t="s">
        <v>13792</v>
      </c>
      <c r="D638" s="808" t="s">
        <v>14422</v>
      </c>
      <c r="E638" s="808" t="s">
        <v>8771</v>
      </c>
      <c r="F638" s="811">
        <v>20</v>
      </c>
      <c r="G638" s="202" t="str">
        <f t="shared" si="9"/>
        <v/>
      </c>
    </row>
    <row r="639" spans="1:7" s="172" customFormat="1" ht="15" customHeight="1" x14ac:dyDescent="0.25">
      <c r="A639" s="809" t="s">
        <v>14423</v>
      </c>
      <c r="B639" s="807" t="s">
        <v>13792</v>
      </c>
      <c r="C639" s="807" t="s">
        <v>13792</v>
      </c>
      <c r="D639" s="808" t="s">
        <v>14424</v>
      </c>
      <c r="E639" s="808" t="s">
        <v>8876</v>
      </c>
      <c r="F639" s="811">
        <v>25</v>
      </c>
      <c r="G639" s="202" t="str">
        <f t="shared" si="9"/>
        <v/>
      </c>
    </row>
    <row r="640" spans="1:7" s="172" customFormat="1" ht="15" customHeight="1" x14ac:dyDescent="0.25">
      <c r="A640" s="809" t="s">
        <v>3424</v>
      </c>
      <c r="B640" s="807" t="s">
        <v>13792</v>
      </c>
      <c r="C640" s="807" t="s">
        <v>13792</v>
      </c>
      <c r="D640" s="808" t="s">
        <v>14425</v>
      </c>
      <c r="E640" s="808" t="s">
        <v>8761</v>
      </c>
      <c r="F640" s="811">
        <v>15</v>
      </c>
      <c r="G640" s="202" t="str">
        <f t="shared" si="9"/>
        <v/>
      </c>
    </row>
    <row r="641" spans="1:7" s="172" customFormat="1" ht="15" customHeight="1" x14ac:dyDescent="0.25">
      <c r="A641" s="809" t="s">
        <v>14426</v>
      </c>
      <c r="B641" s="807" t="s">
        <v>13792</v>
      </c>
      <c r="C641" s="807" t="s">
        <v>13792</v>
      </c>
      <c r="D641" s="808" t="s">
        <v>14427</v>
      </c>
      <c r="E641" s="808" t="s">
        <v>8790</v>
      </c>
      <c r="F641" s="811">
        <v>10</v>
      </c>
      <c r="G641" s="202" t="str">
        <f t="shared" si="9"/>
        <v/>
      </c>
    </row>
    <row r="642" spans="1:7" s="172" customFormat="1" ht="15" customHeight="1" x14ac:dyDescent="0.25">
      <c r="A642" s="809" t="s">
        <v>6347</v>
      </c>
      <c r="B642" s="807" t="s">
        <v>13792</v>
      </c>
      <c r="C642" s="807" t="s">
        <v>13792</v>
      </c>
      <c r="D642" s="808" t="s">
        <v>14428</v>
      </c>
      <c r="E642" s="808" t="s">
        <v>6923</v>
      </c>
      <c r="F642" s="811">
        <v>10</v>
      </c>
      <c r="G642" s="202" t="str">
        <f t="shared" si="9"/>
        <v/>
      </c>
    </row>
    <row r="643" spans="1:7" s="172" customFormat="1" ht="15" customHeight="1" x14ac:dyDescent="0.25">
      <c r="A643" s="812" t="s">
        <v>17002</v>
      </c>
      <c r="B643" s="813" t="s">
        <v>17003</v>
      </c>
      <c r="C643" s="813" t="s">
        <v>17003</v>
      </c>
      <c r="D643" s="812" t="s">
        <v>17004</v>
      </c>
      <c r="E643" s="814">
        <v>63</v>
      </c>
      <c r="F643" s="809">
        <v>40</v>
      </c>
      <c r="G643" s="202" t="str">
        <f t="shared" si="9"/>
        <v/>
      </c>
    </row>
    <row r="644" spans="1:7" s="172" customFormat="1" ht="15" customHeight="1" x14ac:dyDescent="0.25">
      <c r="A644" s="812" t="s">
        <v>17005</v>
      </c>
      <c r="B644" s="813" t="s">
        <v>17003</v>
      </c>
      <c r="C644" s="813" t="s">
        <v>17003</v>
      </c>
      <c r="D644" s="812" t="s">
        <v>17006</v>
      </c>
      <c r="E644" s="814">
        <v>160</v>
      </c>
      <c r="F644" s="809">
        <v>20</v>
      </c>
      <c r="G644" s="202" t="str">
        <f t="shared" ref="G644:G707" si="10">IF(E644=F644,"не загружен","")</f>
        <v/>
      </c>
    </row>
    <row r="645" spans="1:7" s="172" customFormat="1" ht="15" customHeight="1" x14ac:dyDescent="0.25">
      <c r="A645" s="812" t="s">
        <v>17007</v>
      </c>
      <c r="B645" s="813" t="s">
        <v>17003</v>
      </c>
      <c r="C645" s="813" t="s">
        <v>17003</v>
      </c>
      <c r="D645" s="812" t="s">
        <v>17008</v>
      </c>
      <c r="E645" s="814">
        <v>60</v>
      </c>
      <c r="F645" s="815">
        <v>40</v>
      </c>
      <c r="G645" s="202" t="str">
        <f t="shared" si="10"/>
        <v/>
      </c>
    </row>
    <row r="646" spans="1:7" s="172" customFormat="1" ht="15" customHeight="1" x14ac:dyDescent="0.25">
      <c r="A646" s="812" t="s">
        <v>7683</v>
      </c>
      <c r="B646" s="813" t="s">
        <v>17003</v>
      </c>
      <c r="C646" s="813" t="s">
        <v>17003</v>
      </c>
      <c r="D646" s="812" t="s">
        <v>17009</v>
      </c>
      <c r="E646" s="814">
        <v>100</v>
      </c>
      <c r="F646" s="815">
        <v>60</v>
      </c>
      <c r="G646" s="202" t="str">
        <f t="shared" si="10"/>
        <v/>
      </c>
    </row>
    <row r="647" spans="1:7" s="172" customFormat="1" ht="15" customHeight="1" x14ac:dyDescent="0.25">
      <c r="A647" s="812" t="s">
        <v>17010</v>
      </c>
      <c r="B647" s="813" t="s">
        <v>17003</v>
      </c>
      <c r="C647" s="813" t="s">
        <v>17003</v>
      </c>
      <c r="D647" s="812" t="s">
        <v>17011</v>
      </c>
      <c r="E647" s="814">
        <v>10</v>
      </c>
      <c r="F647" s="815">
        <v>0</v>
      </c>
      <c r="G647" s="202" t="str">
        <f t="shared" si="10"/>
        <v/>
      </c>
    </row>
    <row r="648" spans="1:7" s="172" customFormat="1" ht="15" customHeight="1" x14ac:dyDescent="0.25">
      <c r="A648" s="812" t="s">
        <v>17012</v>
      </c>
      <c r="B648" s="813" t="s">
        <v>17003</v>
      </c>
      <c r="C648" s="813" t="s">
        <v>17003</v>
      </c>
      <c r="D648" s="816" t="s">
        <v>17013</v>
      </c>
      <c r="E648" s="814">
        <v>250</v>
      </c>
      <c r="F648" s="815">
        <v>50</v>
      </c>
      <c r="G648" s="202" t="str">
        <f t="shared" si="10"/>
        <v/>
      </c>
    </row>
    <row r="649" spans="1:7" s="172" customFormat="1" ht="15" customHeight="1" x14ac:dyDescent="0.25">
      <c r="A649" s="812" t="s">
        <v>7363</v>
      </c>
      <c r="B649" s="813" t="s">
        <v>17003</v>
      </c>
      <c r="C649" s="813" t="s">
        <v>17003</v>
      </c>
      <c r="D649" s="812" t="s">
        <v>17014</v>
      </c>
      <c r="E649" s="814">
        <v>100</v>
      </c>
      <c r="F649" s="815">
        <v>40</v>
      </c>
      <c r="G649" s="202" t="str">
        <f t="shared" si="10"/>
        <v/>
      </c>
    </row>
    <row r="650" spans="1:7" s="172" customFormat="1" ht="15" customHeight="1" x14ac:dyDescent="0.25">
      <c r="A650" s="812" t="s">
        <v>17015</v>
      </c>
      <c r="B650" s="813" t="s">
        <v>17003</v>
      </c>
      <c r="C650" s="813" t="s">
        <v>17003</v>
      </c>
      <c r="D650" s="812" t="s">
        <v>17016</v>
      </c>
      <c r="E650" s="814">
        <v>60</v>
      </c>
      <c r="F650" s="815">
        <v>20</v>
      </c>
      <c r="G650" s="202" t="str">
        <f t="shared" si="10"/>
        <v/>
      </c>
    </row>
    <row r="651" spans="1:7" s="172" customFormat="1" ht="15" customHeight="1" x14ac:dyDescent="0.25">
      <c r="A651" s="812" t="s">
        <v>17017</v>
      </c>
      <c r="B651" s="813" t="s">
        <v>17003</v>
      </c>
      <c r="C651" s="813" t="s">
        <v>17003</v>
      </c>
      <c r="D651" s="812" t="s">
        <v>17018</v>
      </c>
      <c r="E651" s="814">
        <v>20</v>
      </c>
      <c r="F651" s="815">
        <v>10</v>
      </c>
      <c r="G651" s="202" t="str">
        <f t="shared" si="10"/>
        <v/>
      </c>
    </row>
    <row r="652" spans="1:7" s="172" customFormat="1" ht="15" customHeight="1" x14ac:dyDescent="0.25">
      <c r="A652" s="812" t="s">
        <v>4815</v>
      </c>
      <c r="B652" s="813" t="s">
        <v>17003</v>
      </c>
      <c r="C652" s="813" t="s">
        <v>17003</v>
      </c>
      <c r="D652" s="812" t="s">
        <v>17019</v>
      </c>
      <c r="E652" s="814">
        <v>60</v>
      </c>
      <c r="F652" s="815">
        <v>20</v>
      </c>
      <c r="G652" s="202" t="str">
        <f t="shared" si="10"/>
        <v/>
      </c>
    </row>
    <row r="653" spans="1:7" s="172" customFormat="1" ht="15" customHeight="1" x14ac:dyDescent="0.25">
      <c r="A653" s="812" t="s">
        <v>17020</v>
      </c>
      <c r="B653" s="813" t="s">
        <v>17003</v>
      </c>
      <c r="C653" s="813" t="s">
        <v>17003</v>
      </c>
      <c r="D653" s="812" t="s">
        <v>17021</v>
      </c>
      <c r="E653" s="814">
        <v>60</v>
      </c>
      <c r="F653" s="815">
        <v>20</v>
      </c>
      <c r="G653" s="202" t="str">
        <f t="shared" si="10"/>
        <v/>
      </c>
    </row>
    <row r="654" spans="1:7" s="172" customFormat="1" ht="15" customHeight="1" x14ac:dyDescent="0.25">
      <c r="A654" s="812" t="s">
        <v>17022</v>
      </c>
      <c r="B654" s="813" t="s">
        <v>17003</v>
      </c>
      <c r="C654" s="813" t="s">
        <v>17003</v>
      </c>
      <c r="D654" s="812" t="s">
        <v>17023</v>
      </c>
      <c r="E654" s="814">
        <v>10</v>
      </c>
      <c r="F654" s="815">
        <v>0</v>
      </c>
      <c r="G654" s="202" t="str">
        <f t="shared" si="10"/>
        <v/>
      </c>
    </row>
    <row r="655" spans="1:7" s="172" customFormat="1" ht="15" customHeight="1" x14ac:dyDescent="0.25">
      <c r="A655" s="812" t="s">
        <v>17024</v>
      </c>
      <c r="B655" s="813" t="s">
        <v>17003</v>
      </c>
      <c r="C655" s="813" t="s">
        <v>17003</v>
      </c>
      <c r="D655" s="812" t="s">
        <v>17025</v>
      </c>
      <c r="E655" s="814">
        <v>10</v>
      </c>
      <c r="F655" s="815">
        <v>0</v>
      </c>
      <c r="G655" s="202" t="str">
        <f t="shared" si="10"/>
        <v/>
      </c>
    </row>
    <row r="656" spans="1:7" s="172" customFormat="1" ht="15" customHeight="1" x14ac:dyDescent="0.25">
      <c r="A656" s="812" t="s">
        <v>17026</v>
      </c>
      <c r="B656" s="813" t="s">
        <v>17003</v>
      </c>
      <c r="C656" s="813" t="s">
        <v>17003</v>
      </c>
      <c r="D656" s="812" t="s">
        <v>17027</v>
      </c>
      <c r="E656" s="814">
        <v>25</v>
      </c>
      <c r="F656" s="815">
        <v>10</v>
      </c>
      <c r="G656" s="202" t="str">
        <f t="shared" si="10"/>
        <v/>
      </c>
    </row>
    <row r="657" spans="1:7" s="172" customFormat="1" ht="15" customHeight="1" x14ac:dyDescent="0.25">
      <c r="A657" s="812" t="s">
        <v>17028</v>
      </c>
      <c r="B657" s="813" t="s">
        <v>17003</v>
      </c>
      <c r="C657" s="813" t="s">
        <v>17003</v>
      </c>
      <c r="D657" s="812" t="s">
        <v>17029</v>
      </c>
      <c r="E657" s="814">
        <v>100</v>
      </c>
      <c r="F657" s="815">
        <v>20</v>
      </c>
      <c r="G657" s="202" t="str">
        <f t="shared" si="10"/>
        <v/>
      </c>
    </row>
    <row r="658" spans="1:7" s="172" customFormat="1" ht="15" customHeight="1" x14ac:dyDescent="0.25">
      <c r="A658" s="812" t="s">
        <v>17012</v>
      </c>
      <c r="B658" s="813" t="s">
        <v>17003</v>
      </c>
      <c r="C658" s="813" t="s">
        <v>17003</v>
      </c>
      <c r="D658" s="812" t="s">
        <v>17030</v>
      </c>
      <c r="E658" s="814">
        <v>160</v>
      </c>
      <c r="F658" s="815">
        <v>20</v>
      </c>
      <c r="G658" s="202" t="str">
        <f t="shared" si="10"/>
        <v/>
      </c>
    </row>
    <row r="659" spans="1:7" s="172" customFormat="1" ht="15" customHeight="1" x14ac:dyDescent="0.25">
      <c r="A659" s="812" t="s">
        <v>17012</v>
      </c>
      <c r="B659" s="813" t="s">
        <v>17003</v>
      </c>
      <c r="C659" s="813" t="s">
        <v>17003</v>
      </c>
      <c r="D659" s="812" t="s">
        <v>17031</v>
      </c>
      <c r="E659" s="814">
        <v>250</v>
      </c>
      <c r="F659" s="815">
        <v>70</v>
      </c>
      <c r="G659" s="202" t="str">
        <f t="shared" si="10"/>
        <v/>
      </c>
    </row>
    <row r="660" spans="1:7" s="172" customFormat="1" ht="15" customHeight="1" x14ac:dyDescent="0.25">
      <c r="A660" s="812" t="s">
        <v>2646</v>
      </c>
      <c r="B660" s="813" t="s">
        <v>17003</v>
      </c>
      <c r="C660" s="813" t="s">
        <v>17003</v>
      </c>
      <c r="D660" s="812" t="s">
        <v>17032</v>
      </c>
      <c r="E660" s="814">
        <v>100</v>
      </c>
      <c r="F660" s="815">
        <v>0</v>
      </c>
      <c r="G660" s="202" t="str">
        <f t="shared" si="10"/>
        <v/>
      </c>
    </row>
    <row r="661" spans="1:7" s="172" customFormat="1" ht="15" customHeight="1" x14ac:dyDescent="0.25">
      <c r="A661" s="812" t="s">
        <v>17033</v>
      </c>
      <c r="B661" s="813" t="s">
        <v>17003</v>
      </c>
      <c r="C661" s="813" t="s">
        <v>17003</v>
      </c>
      <c r="D661" s="812" t="s">
        <v>17034</v>
      </c>
      <c r="E661" s="814">
        <v>250</v>
      </c>
      <c r="F661" s="815">
        <v>0</v>
      </c>
      <c r="G661" s="202" t="str">
        <f t="shared" si="10"/>
        <v/>
      </c>
    </row>
    <row r="662" spans="1:7" s="172" customFormat="1" ht="15" customHeight="1" x14ac:dyDescent="0.25">
      <c r="A662" s="812" t="s">
        <v>17035</v>
      </c>
      <c r="B662" s="813" t="s">
        <v>17003</v>
      </c>
      <c r="C662" s="813" t="s">
        <v>17003</v>
      </c>
      <c r="D662" s="812" t="s">
        <v>17036</v>
      </c>
      <c r="E662" s="814">
        <v>400</v>
      </c>
      <c r="F662" s="815">
        <v>20</v>
      </c>
      <c r="G662" s="202" t="str">
        <f t="shared" si="10"/>
        <v/>
      </c>
    </row>
    <row r="663" spans="1:7" s="172" customFormat="1" ht="15" customHeight="1" x14ac:dyDescent="0.25">
      <c r="A663" s="812" t="s">
        <v>17035</v>
      </c>
      <c r="B663" s="813" t="s">
        <v>17003</v>
      </c>
      <c r="C663" s="813" t="s">
        <v>17003</v>
      </c>
      <c r="D663" s="812" t="s">
        <v>17037</v>
      </c>
      <c r="E663" s="814">
        <v>250</v>
      </c>
      <c r="F663" s="815">
        <v>70</v>
      </c>
      <c r="G663" s="202" t="str">
        <f t="shared" si="10"/>
        <v/>
      </c>
    </row>
    <row r="664" spans="1:7" s="172" customFormat="1" ht="15" customHeight="1" x14ac:dyDescent="0.25">
      <c r="A664" s="812" t="s">
        <v>17035</v>
      </c>
      <c r="B664" s="813" t="s">
        <v>17003</v>
      </c>
      <c r="C664" s="813" t="s">
        <v>17003</v>
      </c>
      <c r="D664" s="812" t="s">
        <v>17038</v>
      </c>
      <c r="E664" s="814">
        <v>160</v>
      </c>
      <c r="F664" s="815">
        <v>15</v>
      </c>
      <c r="G664" s="202" t="str">
        <f t="shared" si="10"/>
        <v/>
      </c>
    </row>
    <row r="665" spans="1:7" s="172" customFormat="1" ht="15" customHeight="1" x14ac:dyDescent="0.25">
      <c r="A665" s="812" t="s">
        <v>17039</v>
      </c>
      <c r="B665" s="813" t="s">
        <v>17003</v>
      </c>
      <c r="C665" s="813" t="s">
        <v>17003</v>
      </c>
      <c r="D665" s="812" t="s">
        <v>17040</v>
      </c>
      <c r="E665" s="814">
        <v>60</v>
      </c>
      <c r="F665" s="815">
        <v>15</v>
      </c>
      <c r="G665" s="202" t="str">
        <f t="shared" si="10"/>
        <v/>
      </c>
    </row>
    <row r="666" spans="1:7" s="172" customFormat="1" ht="15" customHeight="1" x14ac:dyDescent="0.25">
      <c r="A666" s="812" t="s">
        <v>8348</v>
      </c>
      <c r="B666" s="813" t="s">
        <v>17003</v>
      </c>
      <c r="C666" s="813" t="s">
        <v>17003</v>
      </c>
      <c r="D666" s="812" t="s">
        <v>17041</v>
      </c>
      <c r="E666" s="814">
        <v>60</v>
      </c>
      <c r="F666" s="815">
        <v>15</v>
      </c>
      <c r="G666" s="202" t="str">
        <f t="shared" si="10"/>
        <v/>
      </c>
    </row>
    <row r="667" spans="1:7" s="172" customFormat="1" ht="15" customHeight="1" x14ac:dyDescent="0.25">
      <c r="A667" s="812" t="s">
        <v>17042</v>
      </c>
      <c r="B667" s="813" t="s">
        <v>17003</v>
      </c>
      <c r="C667" s="813" t="s">
        <v>17003</v>
      </c>
      <c r="D667" s="812" t="s">
        <v>17043</v>
      </c>
      <c r="E667" s="814">
        <v>160</v>
      </c>
      <c r="F667" s="815">
        <v>60</v>
      </c>
      <c r="G667" s="202" t="str">
        <f t="shared" si="10"/>
        <v/>
      </c>
    </row>
    <row r="668" spans="1:7" s="172" customFormat="1" ht="15" customHeight="1" x14ac:dyDescent="0.25">
      <c r="A668" s="812" t="s">
        <v>17042</v>
      </c>
      <c r="B668" s="813" t="s">
        <v>17003</v>
      </c>
      <c r="C668" s="813" t="s">
        <v>17003</v>
      </c>
      <c r="D668" s="812" t="s">
        <v>17044</v>
      </c>
      <c r="E668" s="814">
        <v>250</v>
      </c>
      <c r="F668" s="815">
        <v>100</v>
      </c>
      <c r="G668" s="202" t="str">
        <f t="shared" si="10"/>
        <v/>
      </c>
    </row>
    <row r="669" spans="1:7" s="172" customFormat="1" ht="15" customHeight="1" x14ac:dyDescent="0.25">
      <c r="A669" s="812" t="s">
        <v>17042</v>
      </c>
      <c r="B669" s="813" t="s">
        <v>17003</v>
      </c>
      <c r="C669" s="813" t="s">
        <v>17003</v>
      </c>
      <c r="D669" s="812" t="s">
        <v>17045</v>
      </c>
      <c r="E669" s="814">
        <v>250</v>
      </c>
      <c r="F669" s="815">
        <v>100</v>
      </c>
      <c r="G669" s="202" t="str">
        <f t="shared" si="10"/>
        <v/>
      </c>
    </row>
    <row r="670" spans="1:7" s="172" customFormat="1" ht="15" customHeight="1" x14ac:dyDescent="0.25">
      <c r="A670" s="812" t="s">
        <v>17042</v>
      </c>
      <c r="B670" s="813" t="s">
        <v>17003</v>
      </c>
      <c r="C670" s="813" t="s">
        <v>17003</v>
      </c>
      <c r="D670" s="812" t="s">
        <v>17046</v>
      </c>
      <c r="E670" s="814">
        <v>160</v>
      </c>
      <c r="F670" s="815">
        <v>60</v>
      </c>
      <c r="G670" s="202" t="str">
        <f t="shared" si="10"/>
        <v/>
      </c>
    </row>
    <row r="671" spans="1:7" s="172" customFormat="1" ht="15" customHeight="1" x14ac:dyDescent="0.25">
      <c r="A671" s="812" t="s">
        <v>4855</v>
      </c>
      <c r="B671" s="813" t="s">
        <v>17003</v>
      </c>
      <c r="C671" s="813" t="s">
        <v>17003</v>
      </c>
      <c r="D671" s="812" t="s">
        <v>17047</v>
      </c>
      <c r="E671" s="814">
        <v>60</v>
      </c>
      <c r="F671" s="815">
        <v>10</v>
      </c>
      <c r="G671" s="202" t="str">
        <f t="shared" si="10"/>
        <v/>
      </c>
    </row>
    <row r="672" spans="1:7" s="172" customFormat="1" ht="15" customHeight="1" x14ac:dyDescent="0.25">
      <c r="A672" s="812" t="s">
        <v>17048</v>
      </c>
      <c r="B672" s="813" t="s">
        <v>17003</v>
      </c>
      <c r="C672" s="813" t="s">
        <v>17003</v>
      </c>
      <c r="D672" s="812" t="s">
        <v>17049</v>
      </c>
      <c r="E672" s="814">
        <v>100</v>
      </c>
      <c r="F672" s="815">
        <v>40</v>
      </c>
      <c r="G672" s="202" t="str">
        <f t="shared" si="10"/>
        <v/>
      </c>
    </row>
    <row r="673" spans="1:7" s="172" customFormat="1" ht="15" customHeight="1" x14ac:dyDescent="0.25">
      <c r="A673" s="812" t="s">
        <v>17035</v>
      </c>
      <c r="B673" s="813" t="s">
        <v>17003</v>
      </c>
      <c r="C673" s="813" t="s">
        <v>17003</v>
      </c>
      <c r="D673" s="812" t="s">
        <v>17050</v>
      </c>
      <c r="E673" s="814">
        <v>63</v>
      </c>
      <c r="F673" s="815">
        <v>20</v>
      </c>
      <c r="G673" s="202" t="str">
        <f t="shared" si="10"/>
        <v/>
      </c>
    </row>
    <row r="674" spans="1:7" s="172" customFormat="1" ht="15" customHeight="1" x14ac:dyDescent="0.25">
      <c r="A674" s="812" t="s">
        <v>11906</v>
      </c>
      <c r="B674" s="813" t="s">
        <v>17003</v>
      </c>
      <c r="C674" s="813" t="s">
        <v>17003</v>
      </c>
      <c r="D674" s="812" t="s">
        <v>17051</v>
      </c>
      <c r="E674" s="814">
        <v>60</v>
      </c>
      <c r="F674" s="815">
        <v>25</v>
      </c>
      <c r="G674" s="202" t="str">
        <f t="shared" si="10"/>
        <v/>
      </c>
    </row>
    <row r="675" spans="1:7" s="172" customFormat="1" ht="15" customHeight="1" x14ac:dyDescent="0.25">
      <c r="A675" s="812" t="s">
        <v>17052</v>
      </c>
      <c r="B675" s="813" t="s">
        <v>17003</v>
      </c>
      <c r="C675" s="813" t="s">
        <v>17003</v>
      </c>
      <c r="D675" s="812" t="s">
        <v>17053</v>
      </c>
      <c r="E675" s="814">
        <v>60</v>
      </c>
      <c r="F675" s="815">
        <v>20</v>
      </c>
      <c r="G675" s="202" t="str">
        <f t="shared" si="10"/>
        <v/>
      </c>
    </row>
    <row r="676" spans="1:7" s="172" customFormat="1" ht="15" customHeight="1" x14ac:dyDescent="0.25">
      <c r="A676" s="812" t="s">
        <v>17054</v>
      </c>
      <c r="B676" s="813" t="s">
        <v>17003</v>
      </c>
      <c r="C676" s="813" t="s">
        <v>17003</v>
      </c>
      <c r="D676" s="812" t="s">
        <v>17055</v>
      </c>
      <c r="E676" s="814">
        <v>100</v>
      </c>
      <c r="F676" s="815">
        <v>10</v>
      </c>
      <c r="G676" s="202" t="str">
        <f t="shared" si="10"/>
        <v/>
      </c>
    </row>
    <row r="677" spans="1:7" s="172" customFormat="1" ht="15" customHeight="1" x14ac:dyDescent="0.25">
      <c r="A677" s="812" t="s">
        <v>17054</v>
      </c>
      <c r="B677" s="813" t="s">
        <v>17003</v>
      </c>
      <c r="C677" s="813" t="s">
        <v>17003</v>
      </c>
      <c r="D677" s="812" t="s">
        <v>17056</v>
      </c>
      <c r="E677" s="814">
        <v>180</v>
      </c>
      <c r="F677" s="815">
        <v>20</v>
      </c>
      <c r="G677" s="202" t="str">
        <f t="shared" si="10"/>
        <v/>
      </c>
    </row>
    <row r="678" spans="1:7" s="172" customFormat="1" ht="15" customHeight="1" x14ac:dyDescent="0.25">
      <c r="A678" s="812" t="s">
        <v>17054</v>
      </c>
      <c r="B678" s="813" t="s">
        <v>17003</v>
      </c>
      <c r="C678" s="813" t="s">
        <v>17003</v>
      </c>
      <c r="D678" s="812" t="s">
        <v>17057</v>
      </c>
      <c r="E678" s="814">
        <v>100</v>
      </c>
      <c r="F678" s="815">
        <v>10</v>
      </c>
      <c r="G678" s="202" t="str">
        <f t="shared" si="10"/>
        <v/>
      </c>
    </row>
    <row r="679" spans="1:7" s="172" customFormat="1" ht="15" customHeight="1" x14ac:dyDescent="0.25">
      <c r="A679" s="812" t="s">
        <v>17054</v>
      </c>
      <c r="B679" s="813" t="s">
        <v>17003</v>
      </c>
      <c r="C679" s="813" t="s">
        <v>17003</v>
      </c>
      <c r="D679" s="812" t="s">
        <v>17058</v>
      </c>
      <c r="E679" s="814">
        <v>100</v>
      </c>
      <c r="F679" s="815">
        <v>10</v>
      </c>
      <c r="G679" s="202" t="str">
        <f t="shared" si="10"/>
        <v/>
      </c>
    </row>
    <row r="680" spans="1:7" s="172" customFormat="1" ht="15" customHeight="1" x14ac:dyDescent="0.25">
      <c r="A680" s="812" t="s">
        <v>17054</v>
      </c>
      <c r="B680" s="813" t="s">
        <v>17003</v>
      </c>
      <c r="C680" s="813" t="s">
        <v>17003</v>
      </c>
      <c r="D680" s="812" t="s">
        <v>17059</v>
      </c>
      <c r="E680" s="814">
        <v>60</v>
      </c>
      <c r="F680" s="815">
        <v>0</v>
      </c>
      <c r="G680" s="202" t="str">
        <f t="shared" si="10"/>
        <v/>
      </c>
    </row>
    <row r="681" spans="1:7" s="172" customFormat="1" ht="15" customHeight="1" x14ac:dyDescent="0.25">
      <c r="A681" s="812" t="s">
        <v>17054</v>
      </c>
      <c r="B681" s="813" t="s">
        <v>17003</v>
      </c>
      <c r="C681" s="813" t="s">
        <v>17003</v>
      </c>
      <c r="D681" s="812" t="s">
        <v>17060</v>
      </c>
      <c r="E681" s="814">
        <v>160</v>
      </c>
      <c r="F681" s="815">
        <v>30</v>
      </c>
      <c r="G681" s="202" t="str">
        <f t="shared" si="10"/>
        <v/>
      </c>
    </row>
    <row r="682" spans="1:7" s="172" customFormat="1" ht="15" customHeight="1" x14ac:dyDescent="0.25">
      <c r="A682" s="812" t="s">
        <v>10335</v>
      </c>
      <c r="B682" s="813" t="s">
        <v>17003</v>
      </c>
      <c r="C682" s="813" t="s">
        <v>17003</v>
      </c>
      <c r="D682" s="812" t="s">
        <v>17061</v>
      </c>
      <c r="E682" s="814">
        <v>40</v>
      </c>
      <c r="F682" s="815">
        <v>10</v>
      </c>
      <c r="G682" s="202" t="str">
        <f t="shared" si="10"/>
        <v/>
      </c>
    </row>
    <row r="683" spans="1:7" s="172" customFormat="1" ht="15" customHeight="1" x14ac:dyDescent="0.25">
      <c r="A683" s="812" t="s">
        <v>2689</v>
      </c>
      <c r="B683" s="813" t="s">
        <v>17003</v>
      </c>
      <c r="C683" s="813" t="s">
        <v>17003</v>
      </c>
      <c r="D683" s="812" t="s">
        <v>17062</v>
      </c>
      <c r="E683" s="814">
        <v>100</v>
      </c>
      <c r="F683" s="815">
        <v>15</v>
      </c>
      <c r="G683" s="202" t="str">
        <f t="shared" si="10"/>
        <v/>
      </c>
    </row>
    <row r="684" spans="1:7" s="172" customFormat="1" ht="15" customHeight="1" x14ac:dyDescent="0.25">
      <c r="A684" s="812" t="s">
        <v>12879</v>
      </c>
      <c r="B684" s="813" t="s">
        <v>17003</v>
      </c>
      <c r="C684" s="813" t="s">
        <v>17003</v>
      </c>
      <c r="D684" s="812" t="s">
        <v>17063</v>
      </c>
      <c r="E684" s="814">
        <v>60</v>
      </c>
      <c r="F684" s="815">
        <v>10</v>
      </c>
      <c r="G684" s="202" t="str">
        <f t="shared" si="10"/>
        <v/>
      </c>
    </row>
    <row r="685" spans="1:7" s="172" customFormat="1" ht="15" customHeight="1" x14ac:dyDescent="0.25">
      <c r="A685" s="812" t="s">
        <v>17064</v>
      </c>
      <c r="B685" s="813" t="s">
        <v>17003</v>
      </c>
      <c r="C685" s="813" t="s">
        <v>17003</v>
      </c>
      <c r="D685" s="812" t="s">
        <v>17065</v>
      </c>
      <c r="E685" s="814">
        <v>100</v>
      </c>
      <c r="F685" s="815">
        <v>10</v>
      </c>
      <c r="G685" s="202" t="str">
        <f t="shared" si="10"/>
        <v/>
      </c>
    </row>
    <row r="686" spans="1:7" s="172" customFormat="1" ht="15" customHeight="1" x14ac:dyDescent="0.25">
      <c r="A686" s="812" t="s">
        <v>3373</v>
      </c>
      <c r="B686" s="813" t="s">
        <v>17003</v>
      </c>
      <c r="C686" s="813" t="s">
        <v>17003</v>
      </c>
      <c r="D686" s="812" t="s">
        <v>17066</v>
      </c>
      <c r="E686" s="814">
        <v>50</v>
      </c>
      <c r="F686" s="815">
        <v>10</v>
      </c>
      <c r="G686" s="202" t="str">
        <f t="shared" si="10"/>
        <v/>
      </c>
    </row>
    <row r="687" spans="1:7" s="172" customFormat="1" ht="15" customHeight="1" x14ac:dyDescent="0.25">
      <c r="A687" s="812" t="s">
        <v>2995</v>
      </c>
      <c r="B687" s="813" t="s">
        <v>17003</v>
      </c>
      <c r="C687" s="813" t="s">
        <v>17003</v>
      </c>
      <c r="D687" s="812" t="s">
        <v>17067</v>
      </c>
      <c r="E687" s="814">
        <v>63</v>
      </c>
      <c r="F687" s="815">
        <v>10</v>
      </c>
      <c r="G687" s="202" t="str">
        <f t="shared" si="10"/>
        <v/>
      </c>
    </row>
    <row r="688" spans="1:7" s="172" customFormat="1" ht="15" customHeight="1" x14ac:dyDescent="0.25">
      <c r="A688" s="812" t="s">
        <v>13514</v>
      </c>
      <c r="B688" s="813" t="s">
        <v>17003</v>
      </c>
      <c r="C688" s="813" t="s">
        <v>17003</v>
      </c>
      <c r="D688" s="812" t="s">
        <v>17068</v>
      </c>
      <c r="E688" s="814">
        <v>100</v>
      </c>
      <c r="F688" s="815">
        <v>20</v>
      </c>
      <c r="G688" s="202" t="str">
        <f t="shared" si="10"/>
        <v/>
      </c>
    </row>
    <row r="689" spans="1:7" s="172" customFormat="1" ht="15" customHeight="1" x14ac:dyDescent="0.25">
      <c r="A689" s="812" t="s">
        <v>12175</v>
      </c>
      <c r="B689" s="813" t="s">
        <v>17003</v>
      </c>
      <c r="C689" s="813" t="s">
        <v>17003</v>
      </c>
      <c r="D689" s="812" t="s">
        <v>17069</v>
      </c>
      <c r="E689" s="814">
        <v>63</v>
      </c>
      <c r="F689" s="815">
        <v>15</v>
      </c>
      <c r="G689" s="202" t="str">
        <f t="shared" si="10"/>
        <v/>
      </c>
    </row>
    <row r="690" spans="1:7" s="172" customFormat="1" ht="15" customHeight="1" x14ac:dyDescent="0.25">
      <c r="A690" s="812" t="s">
        <v>2646</v>
      </c>
      <c r="B690" s="813" t="s">
        <v>17003</v>
      </c>
      <c r="C690" s="813" t="s">
        <v>17003</v>
      </c>
      <c r="D690" s="812" t="s">
        <v>17070</v>
      </c>
      <c r="E690" s="814">
        <v>250</v>
      </c>
      <c r="F690" s="815">
        <v>80</v>
      </c>
      <c r="G690" s="202" t="str">
        <f t="shared" si="10"/>
        <v/>
      </c>
    </row>
    <row r="691" spans="1:7" s="172" customFormat="1" ht="15" customHeight="1" x14ac:dyDescent="0.25">
      <c r="A691" s="812" t="s">
        <v>2646</v>
      </c>
      <c r="B691" s="813" t="s">
        <v>17003</v>
      </c>
      <c r="C691" s="813" t="s">
        <v>17003</v>
      </c>
      <c r="D691" s="812" t="s">
        <v>17071</v>
      </c>
      <c r="E691" s="814">
        <v>100</v>
      </c>
      <c r="F691" s="815">
        <v>15</v>
      </c>
      <c r="G691" s="202" t="str">
        <f t="shared" si="10"/>
        <v/>
      </c>
    </row>
    <row r="692" spans="1:7" s="172" customFormat="1" ht="15" customHeight="1" x14ac:dyDescent="0.25">
      <c r="A692" s="812" t="s">
        <v>2646</v>
      </c>
      <c r="B692" s="813" t="s">
        <v>17003</v>
      </c>
      <c r="C692" s="813" t="s">
        <v>17003</v>
      </c>
      <c r="D692" s="812" t="s">
        <v>17072</v>
      </c>
      <c r="E692" s="814">
        <v>100</v>
      </c>
      <c r="F692" s="815">
        <v>10</v>
      </c>
      <c r="G692" s="202" t="str">
        <f t="shared" si="10"/>
        <v/>
      </c>
    </row>
    <row r="693" spans="1:7" s="172" customFormat="1" ht="15" customHeight="1" x14ac:dyDescent="0.25">
      <c r="A693" s="812" t="s">
        <v>2646</v>
      </c>
      <c r="B693" s="813" t="s">
        <v>17003</v>
      </c>
      <c r="C693" s="813" t="s">
        <v>17003</v>
      </c>
      <c r="D693" s="812" t="s">
        <v>17073</v>
      </c>
      <c r="E693" s="814">
        <v>400</v>
      </c>
      <c r="F693" s="815">
        <v>15</v>
      </c>
      <c r="G693" s="202" t="str">
        <f t="shared" si="10"/>
        <v/>
      </c>
    </row>
    <row r="694" spans="1:7" s="172" customFormat="1" ht="15" customHeight="1" x14ac:dyDescent="0.25">
      <c r="A694" s="812" t="s">
        <v>17012</v>
      </c>
      <c r="B694" s="813" t="s">
        <v>17003</v>
      </c>
      <c r="C694" s="813" t="s">
        <v>17003</v>
      </c>
      <c r="D694" s="812" t="s">
        <v>17074</v>
      </c>
      <c r="E694" s="814">
        <v>160</v>
      </c>
      <c r="F694" s="815">
        <v>5</v>
      </c>
      <c r="G694" s="202" t="str">
        <f t="shared" si="10"/>
        <v/>
      </c>
    </row>
    <row r="695" spans="1:7" s="172" customFormat="1" ht="15" customHeight="1" x14ac:dyDescent="0.25">
      <c r="A695" s="812" t="s">
        <v>17012</v>
      </c>
      <c r="B695" s="813" t="s">
        <v>17003</v>
      </c>
      <c r="C695" s="813" t="s">
        <v>17003</v>
      </c>
      <c r="D695" s="816" t="s">
        <v>17075</v>
      </c>
      <c r="E695" s="814">
        <v>63</v>
      </c>
      <c r="F695" s="815">
        <v>10</v>
      </c>
      <c r="G695" s="202" t="str">
        <f t="shared" si="10"/>
        <v/>
      </c>
    </row>
    <row r="696" spans="1:7" s="172" customFormat="1" ht="15" customHeight="1" x14ac:dyDescent="0.25">
      <c r="A696" s="812" t="s">
        <v>17012</v>
      </c>
      <c r="B696" s="813" t="s">
        <v>17003</v>
      </c>
      <c r="C696" s="813" t="s">
        <v>17003</v>
      </c>
      <c r="D696" s="812" t="s">
        <v>17076</v>
      </c>
      <c r="E696" s="814">
        <v>250</v>
      </c>
      <c r="F696" s="815">
        <v>10</v>
      </c>
      <c r="G696" s="202" t="str">
        <f t="shared" si="10"/>
        <v/>
      </c>
    </row>
    <row r="697" spans="1:7" s="172" customFormat="1" ht="15" customHeight="1" x14ac:dyDescent="0.25">
      <c r="A697" s="812" t="s">
        <v>17012</v>
      </c>
      <c r="B697" s="813" t="s">
        <v>17003</v>
      </c>
      <c r="C697" s="813" t="s">
        <v>17003</v>
      </c>
      <c r="D697" s="816" t="s">
        <v>17077</v>
      </c>
      <c r="E697" s="814">
        <v>400</v>
      </c>
      <c r="F697" s="815">
        <v>40</v>
      </c>
      <c r="G697" s="202" t="str">
        <f t="shared" si="10"/>
        <v/>
      </c>
    </row>
    <row r="698" spans="1:7" s="172" customFormat="1" ht="15" customHeight="1" x14ac:dyDescent="0.25">
      <c r="A698" s="812" t="s">
        <v>17012</v>
      </c>
      <c r="B698" s="813" t="s">
        <v>17003</v>
      </c>
      <c r="C698" s="813" t="s">
        <v>17003</v>
      </c>
      <c r="D698" s="812" t="s">
        <v>17078</v>
      </c>
      <c r="E698" s="814">
        <v>160</v>
      </c>
      <c r="F698" s="815">
        <v>10</v>
      </c>
      <c r="G698" s="202" t="str">
        <f t="shared" si="10"/>
        <v/>
      </c>
    </row>
    <row r="699" spans="1:7" s="172" customFormat="1" ht="15" customHeight="1" x14ac:dyDescent="0.25">
      <c r="A699" s="812" t="s">
        <v>17012</v>
      </c>
      <c r="B699" s="813" t="s">
        <v>17003</v>
      </c>
      <c r="C699" s="813" t="s">
        <v>17003</v>
      </c>
      <c r="D699" s="812" t="s">
        <v>17079</v>
      </c>
      <c r="E699" s="814">
        <v>100</v>
      </c>
      <c r="F699" s="815">
        <v>10</v>
      </c>
      <c r="G699" s="202" t="str">
        <f t="shared" si="10"/>
        <v/>
      </c>
    </row>
    <row r="700" spans="1:7" s="172" customFormat="1" ht="15" customHeight="1" x14ac:dyDescent="0.25">
      <c r="A700" s="812" t="s">
        <v>17012</v>
      </c>
      <c r="B700" s="813" t="s">
        <v>17003</v>
      </c>
      <c r="C700" s="813" t="s">
        <v>17003</v>
      </c>
      <c r="D700" s="812" t="s">
        <v>17080</v>
      </c>
      <c r="E700" s="814">
        <v>400</v>
      </c>
      <c r="F700" s="815">
        <v>15</v>
      </c>
      <c r="G700" s="202" t="str">
        <f t="shared" si="10"/>
        <v/>
      </c>
    </row>
    <row r="701" spans="1:7" s="172" customFormat="1" ht="15" customHeight="1" x14ac:dyDescent="0.25">
      <c r="A701" s="812" t="s">
        <v>17012</v>
      </c>
      <c r="B701" s="813" t="s">
        <v>17003</v>
      </c>
      <c r="C701" s="813" t="s">
        <v>17003</v>
      </c>
      <c r="D701" s="812" t="s">
        <v>17081</v>
      </c>
      <c r="E701" s="814">
        <v>250</v>
      </c>
      <c r="F701" s="815">
        <v>15</v>
      </c>
      <c r="G701" s="202" t="str">
        <f t="shared" si="10"/>
        <v/>
      </c>
    </row>
    <row r="702" spans="1:7" s="172" customFormat="1" ht="15" customHeight="1" x14ac:dyDescent="0.25">
      <c r="A702" s="812" t="s">
        <v>17012</v>
      </c>
      <c r="B702" s="813" t="s">
        <v>17003</v>
      </c>
      <c r="C702" s="813" t="s">
        <v>17003</v>
      </c>
      <c r="D702" s="812" t="s">
        <v>17082</v>
      </c>
      <c r="E702" s="814">
        <v>400</v>
      </c>
      <c r="F702" s="815">
        <v>15</v>
      </c>
      <c r="G702" s="202" t="str">
        <f t="shared" si="10"/>
        <v/>
      </c>
    </row>
    <row r="703" spans="1:7" s="172" customFormat="1" ht="15" customHeight="1" x14ac:dyDescent="0.25">
      <c r="A703" s="812" t="s">
        <v>17012</v>
      </c>
      <c r="B703" s="813" t="s">
        <v>17003</v>
      </c>
      <c r="C703" s="813" t="s">
        <v>17003</v>
      </c>
      <c r="D703" s="812" t="s">
        <v>17083</v>
      </c>
      <c r="E703" s="814">
        <v>630</v>
      </c>
      <c r="F703" s="815">
        <v>5</v>
      </c>
      <c r="G703" s="202" t="str">
        <f t="shared" si="10"/>
        <v/>
      </c>
    </row>
    <row r="704" spans="1:7" s="172" customFormat="1" ht="15" customHeight="1" x14ac:dyDescent="0.25">
      <c r="A704" s="812" t="s">
        <v>17012</v>
      </c>
      <c r="B704" s="813" t="s">
        <v>17003</v>
      </c>
      <c r="C704" s="813" t="s">
        <v>17003</v>
      </c>
      <c r="D704" s="812" t="s">
        <v>17084</v>
      </c>
      <c r="E704" s="814">
        <v>250</v>
      </c>
      <c r="F704" s="815">
        <v>15</v>
      </c>
      <c r="G704" s="202" t="str">
        <f t="shared" si="10"/>
        <v/>
      </c>
    </row>
    <row r="705" spans="1:7" s="172" customFormat="1" ht="15" customHeight="1" x14ac:dyDescent="0.25">
      <c r="A705" s="812" t="s">
        <v>17012</v>
      </c>
      <c r="B705" s="813" t="s">
        <v>17003</v>
      </c>
      <c r="C705" s="813" t="s">
        <v>17003</v>
      </c>
      <c r="D705" s="812" t="s">
        <v>17085</v>
      </c>
      <c r="E705" s="814">
        <v>250</v>
      </c>
      <c r="F705" s="815">
        <v>20</v>
      </c>
      <c r="G705" s="202" t="str">
        <f t="shared" si="10"/>
        <v/>
      </c>
    </row>
    <row r="706" spans="1:7" s="172" customFormat="1" ht="15" customHeight="1" x14ac:dyDescent="0.25">
      <c r="A706" s="812" t="s">
        <v>17012</v>
      </c>
      <c r="B706" s="813" t="s">
        <v>17003</v>
      </c>
      <c r="C706" s="813" t="s">
        <v>17003</v>
      </c>
      <c r="D706" s="816" t="s">
        <v>17086</v>
      </c>
      <c r="E706" s="814">
        <v>160</v>
      </c>
      <c r="F706" s="815">
        <v>10</v>
      </c>
      <c r="G706" s="202" t="str">
        <f t="shared" si="10"/>
        <v/>
      </c>
    </row>
    <row r="707" spans="1:7" s="172" customFormat="1" ht="15" customHeight="1" x14ac:dyDescent="0.25">
      <c r="A707" s="812" t="s">
        <v>17012</v>
      </c>
      <c r="B707" s="813" t="s">
        <v>17003</v>
      </c>
      <c r="C707" s="813" t="s">
        <v>17003</v>
      </c>
      <c r="D707" s="812" t="s">
        <v>17087</v>
      </c>
      <c r="E707" s="814">
        <v>160</v>
      </c>
      <c r="F707" s="815">
        <v>30</v>
      </c>
      <c r="G707" s="202" t="str">
        <f t="shared" si="10"/>
        <v/>
      </c>
    </row>
    <row r="708" spans="1:7" s="172" customFormat="1" ht="15" customHeight="1" x14ac:dyDescent="0.25">
      <c r="A708" s="812" t="s">
        <v>17012</v>
      </c>
      <c r="B708" s="813" t="s">
        <v>17003</v>
      </c>
      <c r="C708" s="813" t="s">
        <v>17003</v>
      </c>
      <c r="D708" s="812" t="s">
        <v>17088</v>
      </c>
      <c r="E708" s="814">
        <v>400</v>
      </c>
      <c r="F708" s="815">
        <v>15</v>
      </c>
      <c r="G708" s="202" t="str">
        <f t="shared" ref="G708:G771" si="11">IF(E708=F708,"не загружен","")</f>
        <v/>
      </c>
    </row>
    <row r="709" spans="1:7" s="172" customFormat="1" ht="15" customHeight="1" x14ac:dyDescent="0.25">
      <c r="A709" s="812" t="s">
        <v>17012</v>
      </c>
      <c r="B709" s="813" t="s">
        <v>17003</v>
      </c>
      <c r="C709" s="813" t="s">
        <v>17003</v>
      </c>
      <c r="D709" s="812" t="s">
        <v>17089</v>
      </c>
      <c r="E709" s="814">
        <v>400</v>
      </c>
      <c r="F709" s="815">
        <v>85</v>
      </c>
      <c r="G709" s="202" t="str">
        <f t="shared" si="11"/>
        <v/>
      </c>
    </row>
    <row r="710" spans="1:7" s="172" customFormat="1" ht="15" customHeight="1" x14ac:dyDescent="0.25">
      <c r="A710" s="812" t="s">
        <v>17012</v>
      </c>
      <c r="B710" s="813" t="s">
        <v>17003</v>
      </c>
      <c r="C710" s="813" t="s">
        <v>17003</v>
      </c>
      <c r="D710" s="812" t="s">
        <v>17090</v>
      </c>
      <c r="E710" s="814">
        <v>63</v>
      </c>
      <c r="F710" s="815">
        <v>0</v>
      </c>
      <c r="G710" s="202" t="str">
        <f t="shared" si="11"/>
        <v/>
      </c>
    </row>
    <row r="711" spans="1:7" s="172" customFormat="1" ht="15" customHeight="1" x14ac:dyDescent="0.25">
      <c r="A711" s="812" t="s">
        <v>17012</v>
      </c>
      <c r="B711" s="813" t="s">
        <v>17003</v>
      </c>
      <c r="C711" s="813" t="s">
        <v>17003</v>
      </c>
      <c r="D711" s="812" t="s">
        <v>17091</v>
      </c>
      <c r="E711" s="814">
        <v>400</v>
      </c>
      <c r="F711" s="815">
        <v>100</v>
      </c>
      <c r="G711" s="202" t="str">
        <f t="shared" si="11"/>
        <v/>
      </c>
    </row>
    <row r="712" spans="1:7" s="172" customFormat="1" ht="15" customHeight="1" x14ac:dyDescent="0.25">
      <c r="A712" s="812" t="s">
        <v>17012</v>
      </c>
      <c r="B712" s="813" t="s">
        <v>17003</v>
      </c>
      <c r="C712" s="813" t="s">
        <v>17003</v>
      </c>
      <c r="D712" s="812" t="s">
        <v>17092</v>
      </c>
      <c r="E712" s="814">
        <v>250</v>
      </c>
      <c r="F712" s="815">
        <v>15</v>
      </c>
      <c r="G712" s="202" t="str">
        <f t="shared" si="11"/>
        <v/>
      </c>
    </row>
    <row r="713" spans="1:7" s="172" customFormat="1" ht="15" customHeight="1" x14ac:dyDescent="0.25">
      <c r="A713" s="812" t="s">
        <v>17012</v>
      </c>
      <c r="B713" s="813" t="s">
        <v>17003</v>
      </c>
      <c r="C713" s="813" t="s">
        <v>17003</v>
      </c>
      <c r="D713" s="812" t="s">
        <v>17093</v>
      </c>
      <c r="E713" s="814">
        <v>250</v>
      </c>
      <c r="F713" s="815">
        <v>20</v>
      </c>
      <c r="G713" s="202" t="str">
        <f t="shared" si="11"/>
        <v/>
      </c>
    </row>
    <row r="714" spans="1:7" s="172" customFormat="1" ht="15" customHeight="1" x14ac:dyDescent="0.25">
      <c r="A714" s="812" t="s">
        <v>17012</v>
      </c>
      <c r="B714" s="813" t="s">
        <v>17003</v>
      </c>
      <c r="C714" s="813" t="s">
        <v>17003</v>
      </c>
      <c r="D714" s="812" t="s">
        <v>17094</v>
      </c>
      <c r="E714" s="814">
        <v>160</v>
      </c>
      <c r="F714" s="815">
        <v>20</v>
      </c>
      <c r="G714" s="202" t="str">
        <f t="shared" si="11"/>
        <v/>
      </c>
    </row>
    <row r="715" spans="1:7" s="172" customFormat="1" ht="15" customHeight="1" x14ac:dyDescent="0.25">
      <c r="A715" s="812" t="s">
        <v>17012</v>
      </c>
      <c r="B715" s="813" t="s">
        <v>17003</v>
      </c>
      <c r="C715" s="813" t="s">
        <v>17003</v>
      </c>
      <c r="D715" s="816" t="s">
        <v>17095</v>
      </c>
      <c r="E715" s="814">
        <v>60</v>
      </c>
      <c r="F715" s="815">
        <v>0</v>
      </c>
      <c r="G715" s="202" t="str">
        <f t="shared" si="11"/>
        <v/>
      </c>
    </row>
    <row r="716" spans="1:7" s="172" customFormat="1" ht="15" customHeight="1" x14ac:dyDescent="0.25">
      <c r="A716" s="812" t="s">
        <v>17012</v>
      </c>
      <c r="B716" s="813" t="s">
        <v>17003</v>
      </c>
      <c r="C716" s="813" t="s">
        <v>17003</v>
      </c>
      <c r="D716" s="812" t="s">
        <v>17096</v>
      </c>
      <c r="E716" s="814">
        <v>400</v>
      </c>
      <c r="F716" s="815">
        <v>0</v>
      </c>
      <c r="G716" s="202" t="str">
        <f t="shared" si="11"/>
        <v/>
      </c>
    </row>
    <row r="717" spans="1:7" s="172" customFormat="1" ht="15" customHeight="1" x14ac:dyDescent="0.25">
      <c r="A717" s="812" t="s">
        <v>17012</v>
      </c>
      <c r="B717" s="813" t="s">
        <v>17003</v>
      </c>
      <c r="C717" s="813" t="s">
        <v>17003</v>
      </c>
      <c r="D717" s="812" t="s">
        <v>19029</v>
      </c>
      <c r="E717" s="814">
        <v>250</v>
      </c>
      <c r="F717" s="815">
        <v>0</v>
      </c>
      <c r="G717" s="202" t="str">
        <f t="shared" si="11"/>
        <v/>
      </c>
    </row>
    <row r="718" spans="1:7" s="172" customFormat="1" ht="15" customHeight="1" x14ac:dyDescent="0.25">
      <c r="A718" s="812" t="s">
        <v>17012</v>
      </c>
      <c r="B718" s="813" t="s">
        <v>17003</v>
      </c>
      <c r="C718" s="813" t="s">
        <v>17003</v>
      </c>
      <c r="D718" s="816" t="s">
        <v>17097</v>
      </c>
      <c r="E718" s="814">
        <v>250</v>
      </c>
      <c r="F718" s="815">
        <v>0</v>
      </c>
      <c r="G718" s="202" t="str">
        <f t="shared" si="11"/>
        <v/>
      </c>
    </row>
    <row r="719" spans="1:7" s="172" customFormat="1" ht="15" customHeight="1" x14ac:dyDescent="0.25">
      <c r="A719" s="812" t="s">
        <v>17012</v>
      </c>
      <c r="B719" s="813" t="s">
        <v>17003</v>
      </c>
      <c r="C719" s="813" t="s">
        <v>17003</v>
      </c>
      <c r="D719" s="812" t="s">
        <v>17098</v>
      </c>
      <c r="E719" s="814">
        <v>400</v>
      </c>
      <c r="F719" s="815">
        <v>0</v>
      </c>
      <c r="G719" s="202" t="str">
        <f t="shared" si="11"/>
        <v/>
      </c>
    </row>
    <row r="720" spans="1:7" s="172" customFormat="1" ht="15" customHeight="1" x14ac:dyDescent="0.25">
      <c r="A720" s="812" t="s">
        <v>17012</v>
      </c>
      <c r="B720" s="813" t="s">
        <v>17003</v>
      </c>
      <c r="C720" s="813" t="s">
        <v>17003</v>
      </c>
      <c r="D720" s="812" t="s">
        <v>17099</v>
      </c>
      <c r="E720" s="814">
        <v>250</v>
      </c>
      <c r="F720" s="815">
        <v>40</v>
      </c>
      <c r="G720" s="202" t="str">
        <f t="shared" si="11"/>
        <v/>
      </c>
    </row>
    <row r="721" spans="1:7" s="172" customFormat="1" ht="15" customHeight="1" x14ac:dyDescent="0.25">
      <c r="A721" s="812" t="s">
        <v>17012</v>
      </c>
      <c r="B721" s="813" t="s">
        <v>17003</v>
      </c>
      <c r="C721" s="813" t="s">
        <v>17003</v>
      </c>
      <c r="D721" s="816" t="s">
        <v>17100</v>
      </c>
      <c r="E721" s="814">
        <v>160</v>
      </c>
      <c r="F721" s="815">
        <v>0</v>
      </c>
      <c r="G721" s="202" t="str">
        <f t="shared" si="11"/>
        <v/>
      </c>
    </row>
    <row r="722" spans="1:7" s="172" customFormat="1" ht="15" customHeight="1" x14ac:dyDescent="0.25">
      <c r="A722" s="812" t="s">
        <v>17012</v>
      </c>
      <c r="B722" s="813" t="s">
        <v>17003</v>
      </c>
      <c r="C722" s="813" t="s">
        <v>17003</v>
      </c>
      <c r="D722" s="812" t="s">
        <v>17101</v>
      </c>
      <c r="E722" s="814">
        <v>160</v>
      </c>
      <c r="F722" s="815">
        <v>0</v>
      </c>
      <c r="G722" s="202" t="str">
        <f t="shared" si="11"/>
        <v/>
      </c>
    </row>
    <row r="723" spans="1:7" s="172" customFormat="1" ht="15" customHeight="1" x14ac:dyDescent="0.25">
      <c r="A723" s="812" t="s">
        <v>17102</v>
      </c>
      <c r="B723" s="813" t="s">
        <v>17003</v>
      </c>
      <c r="C723" s="813" t="s">
        <v>17003</v>
      </c>
      <c r="D723" s="812" t="s">
        <v>17103</v>
      </c>
      <c r="E723" s="814">
        <v>100</v>
      </c>
      <c r="F723" s="815">
        <v>60</v>
      </c>
      <c r="G723" s="202" t="str">
        <f t="shared" si="11"/>
        <v/>
      </c>
    </row>
    <row r="724" spans="1:7" s="172" customFormat="1" ht="15" customHeight="1" x14ac:dyDescent="0.25">
      <c r="A724" s="812" t="s">
        <v>17104</v>
      </c>
      <c r="B724" s="813" t="s">
        <v>17003</v>
      </c>
      <c r="C724" s="813" t="s">
        <v>17003</v>
      </c>
      <c r="D724" s="812" t="s">
        <v>17105</v>
      </c>
      <c r="E724" s="814">
        <v>100</v>
      </c>
      <c r="F724" s="815">
        <v>20</v>
      </c>
      <c r="G724" s="202" t="str">
        <f t="shared" si="11"/>
        <v/>
      </c>
    </row>
    <row r="725" spans="1:7" s="172" customFormat="1" ht="15" customHeight="1" x14ac:dyDescent="0.25">
      <c r="A725" s="812" t="s">
        <v>17104</v>
      </c>
      <c r="B725" s="813" t="s">
        <v>17003</v>
      </c>
      <c r="C725" s="813" t="s">
        <v>17003</v>
      </c>
      <c r="D725" s="812" t="s">
        <v>17106</v>
      </c>
      <c r="E725" s="814">
        <v>160</v>
      </c>
      <c r="F725" s="815">
        <v>20</v>
      </c>
      <c r="G725" s="202" t="str">
        <f t="shared" si="11"/>
        <v/>
      </c>
    </row>
    <row r="726" spans="1:7" s="172" customFormat="1" ht="15" customHeight="1" x14ac:dyDescent="0.25">
      <c r="A726" s="812" t="s">
        <v>17104</v>
      </c>
      <c r="B726" s="813" t="s">
        <v>17003</v>
      </c>
      <c r="C726" s="813" t="s">
        <v>17003</v>
      </c>
      <c r="D726" s="816" t="s">
        <v>17107</v>
      </c>
      <c r="E726" s="814">
        <v>100</v>
      </c>
      <c r="F726" s="815">
        <v>15</v>
      </c>
      <c r="G726" s="202" t="str">
        <f t="shared" si="11"/>
        <v/>
      </c>
    </row>
    <row r="727" spans="1:7" s="172" customFormat="1" ht="15" customHeight="1" x14ac:dyDescent="0.25">
      <c r="A727" s="812" t="s">
        <v>17104</v>
      </c>
      <c r="B727" s="813" t="s">
        <v>17003</v>
      </c>
      <c r="C727" s="813" t="s">
        <v>17003</v>
      </c>
      <c r="D727" s="812" t="s">
        <v>17108</v>
      </c>
      <c r="E727" s="814">
        <v>63</v>
      </c>
      <c r="F727" s="815">
        <v>10</v>
      </c>
      <c r="G727" s="202" t="str">
        <f t="shared" si="11"/>
        <v/>
      </c>
    </row>
    <row r="728" spans="1:7" s="172" customFormat="1" ht="15" customHeight="1" x14ac:dyDescent="0.25">
      <c r="A728" s="812" t="s">
        <v>12606</v>
      </c>
      <c r="B728" s="813" t="s">
        <v>17003</v>
      </c>
      <c r="C728" s="813" t="s">
        <v>17003</v>
      </c>
      <c r="D728" s="812" t="s">
        <v>17109</v>
      </c>
      <c r="E728" s="814">
        <v>60</v>
      </c>
      <c r="F728" s="815">
        <v>20</v>
      </c>
      <c r="G728" s="202" t="str">
        <f t="shared" si="11"/>
        <v/>
      </c>
    </row>
    <row r="729" spans="1:7" s="172" customFormat="1" ht="15" customHeight="1" x14ac:dyDescent="0.25">
      <c r="A729" s="812" t="s">
        <v>17110</v>
      </c>
      <c r="B729" s="813" t="s">
        <v>17003</v>
      </c>
      <c r="C729" s="813" t="s">
        <v>17003</v>
      </c>
      <c r="D729" s="812" t="s">
        <v>19030</v>
      </c>
      <c r="E729" s="814">
        <v>40</v>
      </c>
      <c r="F729" s="815">
        <v>10</v>
      </c>
      <c r="G729" s="202" t="str">
        <f t="shared" si="11"/>
        <v/>
      </c>
    </row>
    <row r="730" spans="1:7" s="172" customFormat="1" ht="15" customHeight="1" x14ac:dyDescent="0.25">
      <c r="A730" s="812" t="s">
        <v>17111</v>
      </c>
      <c r="B730" s="813" t="s">
        <v>17003</v>
      </c>
      <c r="C730" s="813" t="s">
        <v>17003</v>
      </c>
      <c r="D730" s="812" t="s">
        <v>17112</v>
      </c>
      <c r="E730" s="814">
        <v>180</v>
      </c>
      <c r="F730" s="815">
        <v>50</v>
      </c>
      <c r="G730" s="202" t="str">
        <f t="shared" si="11"/>
        <v/>
      </c>
    </row>
    <row r="731" spans="1:7" s="172" customFormat="1" ht="15" customHeight="1" x14ac:dyDescent="0.25">
      <c r="A731" s="812" t="s">
        <v>17113</v>
      </c>
      <c r="B731" s="813" t="s">
        <v>17003</v>
      </c>
      <c r="C731" s="813" t="s">
        <v>17003</v>
      </c>
      <c r="D731" s="812" t="s">
        <v>17114</v>
      </c>
      <c r="E731" s="814">
        <v>100</v>
      </c>
      <c r="F731" s="815">
        <v>20</v>
      </c>
      <c r="G731" s="202" t="str">
        <f t="shared" si="11"/>
        <v/>
      </c>
    </row>
    <row r="732" spans="1:7" s="172" customFormat="1" ht="15" customHeight="1" x14ac:dyDescent="0.25">
      <c r="A732" s="812" t="s">
        <v>17115</v>
      </c>
      <c r="B732" s="813" t="s">
        <v>17003</v>
      </c>
      <c r="C732" s="813" t="s">
        <v>17003</v>
      </c>
      <c r="D732" s="812" t="s">
        <v>17116</v>
      </c>
      <c r="E732" s="814">
        <v>160</v>
      </c>
      <c r="F732" s="815">
        <v>80</v>
      </c>
      <c r="G732" s="202" t="str">
        <f t="shared" si="11"/>
        <v/>
      </c>
    </row>
    <row r="733" spans="1:7" s="172" customFormat="1" ht="15" customHeight="1" x14ac:dyDescent="0.25">
      <c r="A733" s="812" t="s">
        <v>17117</v>
      </c>
      <c r="B733" s="813" t="s">
        <v>17003</v>
      </c>
      <c r="C733" s="813" t="s">
        <v>17003</v>
      </c>
      <c r="D733" s="816" t="s">
        <v>17118</v>
      </c>
      <c r="E733" s="814">
        <v>250</v>
      </c>
      <c r="F733" s="815">
        <v>40</v>
      </c>
      <c r="G733" s="202" t="str">
        <f t="shared" si="11"/>
        <v/>
      </c>
    </row>
    <row r="734" spans="1:7" s="172" customFormat="1" ht="15" customHeight="1" x14ac:dyDescent="0.25">
      <c r="A734" s="812" t="s">
        <v>17117</v>
      </c>
      <c r="B734" s="813" t="s">
        <v>17003</v>
      </c>
      <c r="C734" s="813" t="s">
        <v>17003</v>
      </c>
      <c r="D734" s="812" t="s">
        <v>17119</v>
      </c>
      <c r="E734" s="814">
        <v>160</v>
      </c>
      <c r="F734" s="815">
        <v>20</v>
      </c>
      <c r="G734" s="202" t="str">
        <f t="shared" si="11"/>
        <v/>
      </c>
    </row>
    <row r="735" spans="1:7" s="172" customFormat="1" ht="15" customHeight="1" x14ac:dyDescent="0.25">
      <c r="A735" s="812" t="s">
        <v>17120</v>
      </c>
      <c r="B735" s="813" t="s">
        <v>17003</v>
      </c>
      <c r="C735" s="813" t="s">
        <v>17003</v>
      </c>
      <c r="D735" s="812" t="s">
        <v>17121</v>
      </c>
      <c r="E735" s="814">
        <v>250</v>
      </c>
      <c r="F735" s="815">
        <v>100</v>
      </c>
      <c r="G735" s="202" t="str">
        <f t="shared" si="11"/>
        <v/>
      </c>
    </row>
    <row r="736" spans="1:7" s="172" customFormat="1" ht="15" customHeight="1" x14ac:dyDescent="0.25">
      <c r="A736" s="812" t="s">
        <v>17122</v>
      </c>
      <c r="B736" s="813" t="s">
        <v>17003</v>
      </c>
      <c r="C736" s="813" t="s">
        <v>17003</v>
      </c>
      <c r="D736" s="816" t="s">
        <v>17123</v>
      </c>
      <c r="E736" s="814">
        <v>250</v>
      </c>
      <c r="F736" s="815">
        <v>35</v>
      </c>
      <c r="G736" s="202" t="str">
        <f t="shared" si="11"/>
        <v/>
      </c>
    </row>
    <row r="737" spans="1:7" s="172" customFormat="1" ht="15" customHeight="1" x14ac:dyDescent="0.25">
      <c r="A737" s="812" t="s">
        <v>17122</v>
      </c>
      <c r="B737" s="813" t="s">
        <v>17003</v>
      </c>
      <c r="C737" s="813" t="s">
        <v>17003</v>
      </c>
      <c r="D737" s="812" t="s">
        <v>17124</v>
      </c>
      <c r="E737" s="814">
        <v>100</v>
      </c>
      <c r="F737" s="815">
        <v>15</v>
      </c>
      <c r="G737" s="202" t="str">
        <f t="shared" si="11"/>
        <v/>
      </c>
    </row>
    <row r="738" spans="1:7" s="172" customFormat="1" ht="15" customHeight="1" x14ac:dyDescent="0.25">
      <c r="A738" s="812" t="s">
        <v>17122</v>
      </c>
      <c r="B738" s="813" t="s">
        <v>17003</v>
      </c>
      <c r="C738" s="813" t="s">
        <v>17003</v>
      </c>
      <c r="D738" s="816" t="s">
        <v>17125</v>
      </c>
      <c r="E738" s="814">
        <v>250</v>
      </c>
      <c r="F738" s="815">
        <v>45</v>
      </c>
      <c r="G738" s="202" t="str">
        <f t="shared" si="11"/>
        <v/>
      </c>
    </row>
    <row r="739" spans="1:7" s="172" customFormat="1" ht="15" customHeight="1" x14ac:dyDescent="0.25">
      <c r="A739" s="812" t="s">
        <v>17122</v>
      </c>
      <c r="B739" s="813" t="s">
        <v>17003</v>
      </c>
      <c r="C739" s="813" t="s">
        <v>17003</v>
      </c>
      <c r="D739" s="816" t="s">
        <v>17126</v>
      </c>
      <c r="E739" s="814">
        <v>63</v>
      </c>
      <c r="F739" s="815">
        <v>5</v>
      </c>
      <c r="G739" s="202" t="str">
        <f t="shared" si="11"/>
        <v/>
      </c>
    </row>
    <row r="740" spans="1:7" s="172" customFormat="1" ht="15" customHeight="1" x14ac:dyDescent="0.25">
      <c r="A740" s="812" t="s">
        <v>17012</v>
      </c>
      <c r="B740" s="813" t="s">
        <v>17003</v>
      </c>
      <c r="C740" s="813" t="s">
        <v>17003</v>
      </c>
      <c r="D740" s="812" t="s">
        <v>17127</v>
      </c>
      <c r="E740" s="814">
        <v>250</v>
      </c>
      <c r="F740" s="815">
        <v>25</v>
      </c>
      <c r="G740" s="202" t="str">
        <f t="shared" si="11"/>
        <v/>
      </c>
    </row>
    <row r="741" spans="1:7" s="172" customFormat="1" ht="15" customHeight="1" x14ac:dyDescent="0.25">
      <c r="A741" s="812" t="s">
        <v>17012</v>
      </c>
      <c r="B741" s="813" t="s">
        <v>17003</v>
      </c>
      <c r="C741" s="813" t="s">
        <v>17003</v>
      </c>
      <c r="D741" s="812" t="s">
        <v>17128</v>
      </c>
      <c r="E741" s="814">
        <v>160</v>
      </c>
      <c r="F741" s="815">
        <v>10</v>
      </c>
      <c r="G741" s="202" t="str">
        <f t="shared" si="11"/>
        <v/>
      </c>
    </row>
    <row r="742" spans="1:7" s="172" customFormat="1" ht="15" customHeight="1" x14ac:dyDescent="0.25">
      <c r="A742" s="812" t="s">
        <v>17012</v>
      </c>
      <c r="B742" s="813" t="s">
        <v>17003</v>
      </c>
      <c r="C742" s="813" t="s">
        <v>17003</v>
      </c>
      <c r="D742" s="812" t="s">
        <v>17129</v>
      </c>
      <c r="E742" s="814">
        <v>100</v>
      </c>
      <c r="F742" s="815">
        <v>10</v>
      </c>
      <c r="G742" s="202" t="str">
        <f t="shared" si="11"/>
        <v/>
      </c>
    </row>
    <row r="743" spans="1:7" s="172" customFormat="1" ht="15" customHeight="1" x14ac:dyDescent="0.25">
      <c r="A743" s="812" t="s">
        <v>17012</v>
      </c>
      <c r="B743" s="813" t="s">
        <v>17003</v>
      </c>
      <c r="C743" s="813" t="s">
        <v>17003</v>
      </c>
      <c r="D743" s="812" t="s">
        <v>17130</v>
      </c>
      <c r="E743" s="814">
        <v>160</v>
      </c>
      <c r="F743" s="815">
        <v>15</v>
      </c>
      <c r="G743" s="202" t="str">
        <f t="shared" si="11"/>
        <v/>
      </c>
    </row>
    <row r="744" spans="1:7" s="172" customFormat="1" ht="15" customHeight="1" x14ac:dyDescent="0.25">
      <c r="A744" s="812" t="s">
        <v>17012</v>
      </c>
      <c r="B744" s="813" t="s">
        <v>17003</v>
      </c>
      <c r="C744" s="813" t="s">
        <v>17003</v>
      </c>
      <c r="D744" s="816" t="s">
        <v>17131</v>
      </c>
      <c r="E744" s="814">
        <v>400</v>
      </c>
      <c r="F744" s="815">
        <v>100</v>
      </c>
      <c r="G744" s="202" t="str">
        <f t="shared" si="11"/>
        <v/>
      </c>
    </row>
    <row r="745" spans="1:7" s="172" customFormat="1" ht="15" customHeight="1" x14ac:dyDescent="0.25">
      <c r="A745" s="812" t="s">
        <v>17012</v>
      </c>
      <c r="B745" s="813" t="s">
        <v>17003</v>
      </c>
      <c r="C745" s="813" t="s">
        <v>17003</v>
      </c>
      <c r="D745" s="816" t="s">
        <v>17132</v>
      </c>
      <c r="E745" s="814" t="s">
        <v>19031</v>
      </c>
      <c r="F745" s="815">
        <v>80</v>
      </c>
      <c r="G745" s="202" t="str">
        <f t="shared" si="11"/>
        <v/>
      </c>
    </row>
    <row r="746" spans="1:7" s="172" customFormat="1" ht="15" customHeight="1" x14ac:dyDescent="0.25">
      <c r="A746" s="812" t="s">
        <v>17012</v>
      </c>
      <c r="B746" s="813" t="s">
        <v>17003</v>
      </c>
      <c r="C746" s="813" t="s">
        <v>17003</v>
      </c>
      <c r="D746" s="816" t="s">
        <v>17133</v>
      </c>
      <c r="E746" s="814">
        <v>400</v>
      </c>
      <c r="F746" s="815">
        <v>100</v>
      </c>
      <c r="G746" s="202" t="str">
        <f t="shared" si="11"/>
        <v/>
      </c>
    </row>
    <row r="747" spans="1:7" s="172" customFormat="1" ht="15" customHeight="1" x14ac:dyDescent="0.25">
      <c r="A747" s="812" t="s">
        <v>17012</v>
      </c>
      <c r="B747" s="813" t="s">
        <v>17003</v>
      </c>
      <c r="C747" s="813" t="s">
        <v>17003</v>
      </c>
      <c r="D747" s="812" t="s">
        <v>17134</v>
      </c>
      <c r="E747" s="814">
        <v>160</v>
      </c>
      <c r="F747" s="815">
        <v>20</v>
      </c>
      <c r="G747" s="202" t="str">
        <f t="shared" si="11"/>
        <v/>
      </c>
    </row>
    <row r="748" spans="1:7" s="172" customFormat="1" ht="15" customHeight="1" x14ac:dyDescent="0.25">
      <c r="A748" s="812" t="s">
        <v>17012</v>
      </c>
      <c r="B748" s="813" t="s">
        <v>17003</v>
      </c>
      <c r="C748" s="813" t="s">
        <v>17003</v>
      </c>
      <c r="D748" s="816" t="s">
        <v>17135</v>
      </c>
      <c r="E748" s="814">
        <v>250</v>
      </c>
      <c r="F748" s="815">
        <v>20</v>
      </c>
      <c r="G748" s="202" t="str">
        <f t="shared" si="11"/>
        <v/>
      </c>
    </row>
    <row r="749" spans="1:7" s="172" customFormat="1" ht="15" customHeight="1" x14ac:dyDescent="0.25">
      <c r="A749" s="812" t="s">
        <v>17012</v>
      </c>
      <c r="B749" s="813" t="s">
        <v>17003</v>
      </c>
      <c r="C749" s="813" t="s">
        <v>17003</v>
      </c>
      <c r="D749" s="812" t="s">
        <v>17136</v>
      </c>
      <c r="E749" s="814" t="s">
        <v>19032</v>
      </c>
      <c r="F749" s="815">
        <v>20</v>
      </c>
      <c r="G749" s="202" t="str">
        <f t="shared" si="11"/>
        <v/>
      </c>
    </row>
    <row r="750" spans="1:7" s="172" customFormat="1" ht="15" customHeight="1" x14ac:dyDescent="0.25">
      <c r="A750" s="812" t="s">
        <v>17012</v>
      </c>
      <c r="B750" s="813" t="s">
        <v>17003</v>
      </c>
      <c r="C750" s="813" t="s">
        <v>17003</v>
      </c>
      <c r="D750" s="816" t="s">
        <v>17137</v>
      </c>
      <c r="E750" s="814">
        <v>25</v>
      </c>
      <c r="F750" s="815">
        <v>0</v>
      </c>
      <c r="G750" s="202" t="str">
        <f t="shared" si="11"/>
        <v/>
      </c>
    </row>
    <row r="751" spans="1:7" s="172" customFormat="1" ht="15" customHeight="1" x14ac:dyDescent="0.25">
      <c r="A751" s="812" t="s">
        <v>17012</v>
      </c>
      <c r="B751" s="813" t="s">
        <v>17003</v>
      </c>
      <c r="C751" s="813" t="s">
        <v>17003</v>
      </c>
      <c r="D751" s="816" t="s">
        <v>17138</v>
      </c>
      <c r="E751" s="814" t="s">
        <v>19033</v>
      </c>
      <c r="F751" s="814">
        <v>1100</v>
      </c>
      <c r="G751" s="202" t="str">
        <f t="shared" si="11"/>
        <v/>
      </c>
    </row>
    <row r="752" spans="1:7" s="172" customFormat="1" ht="15" customHeight="1" x14ac:dyDescent="0.25">
      <c r="A752" s="812" t="s">
        <v>17139</v>
      </c>
      <c r="B752" s="813" t="s">
        <v>17003</v>
      </c>
      <c r="C752" s="813" t="s">
        <v>17003</v>
      </c>
      <c r="D752" s="812" t="s">
        <v>17140</v>
      </c>
      <c r="E752" s="814">
        <v>100</v>
      </c>
      <c r="F752" s="815">
        <v>50</v>
      </c>
      <c r="G752" s="202" t="str">
        <f t="shared" si="11"/>
        <v/>
      </c>
    </row>
    <row r="753" spans="1:7" s="172" customFormat="1" ht="15" customHeight="1" x14ac:dyDescent="0.25">
      <c r="A753" s="812" t="s">
        <v>17141</v>
      </c>
      <c r="B753" s="813" t="s">
        <v>17003</v>
      </c>
      <c r="C753" s="813" t="s">
        <v>17003</v>
      </c>
      <c r="D753" s="812" t="s">
        <v>17142</v>
      </c>
      <c r="E753" s="814">
        <v>60</v>
      </c>
      <c r="F753" s="815">
        <v>30</v>
      </c>
      <c r="G753" s="202" t="str">
        <f t="shared" si="11"/>
        <v/>
      </c>
    </row>
    <row r="754" spans="1:7" s="172" customFormat="1" ht="15" customHeight="1" x14ac:dyDescent="0.25">
      <c r="A754" s="812" t="s">
        <v>17143</v>
      </c>
      <c r="B754" s="813" t="s">
        <v>17003</v>
      </c>
      <c r="C754" s="813" t="s">
        <v>17003</v>
      </c>
      <c r="D754" s="812" t="s">
        <v>17144</v>
      </c>
      <c r="E754" s="814">
        <v>100</v>
      </c>
      <c r="F754" s="815">
        <v>60</v>
      </c>
      <c r="G754" s="202" t="str">
        <f t="shared" si="11"/>
        <v/>
      </c>
    </row>
    <row r="755" spans="1:7" s="172" customFormat="1" ht="15" customHeight="1" x14ac:dyDescent="0.25">
      <c r="A755" s="812" t="s">
        <v>17145</v>
      </c>
      <c r="B755" s="813" t="s">
        <v>17003</v>
      </c>
      <c r="C755" s="813" t="s">
        <v>17003</v>
      </c>
      <c r="D755" s="812" t="s">
        <v>17146</v>
      </c>
      <c r="E755" s="814">
        <v>40</v>
      </c>
      <c r="F755" s="815">
        <v>20</v>
      </c>
      <c r="G755" s="202" t="str">
        <f t="shared" si="11"/>
        <v/>
      </c>
    </row>
    <row r="756" spans="1:7" s="172" customFormat="1" ht="15" customHeight="1" x14ac:dyDescent="0.25">
      <c r="A756" s="812" t="s">
        <v>8769</v>
      </c>
      <c r="B756" s="813" t="s">
        <v>17003</v>
      </c>
      <c r="C756" s="813" t="s">
        <v>17003</v>
      </c>
      <c r="D756" s="812" t="s">
        <v>17147</v>
      </c>
      <c r="E756" s="814">
        <v>400</v>
      </c>
      <c r="F756" s="815">
        <v>180</v>
      </c>
      <c r="G756" s="202" t="str">
        <f t="shared" si="11"/>
        <v/>
      </c>
    </row>
    <row r="757" spans="1:7" s="172" customFormat="1" ht="15" customHeight="1" x14ac:dyDescent="0.25">
      <c r="A757" s="812" t="s">
        <v>8769</v>
      </c>
      <c r="B757" s="813" t="s">
        <v>17003</v>
      </c>
      <c r="C757" s="813" t="s">
        <v>17003</v>
      </c>
      <c r="D757" s="812" t="s">
        <v>17148</v>
      </c>
      <c r="E757" s="814">
        <v>100</v>
      </c>
      <c r="F757" s="815">
        <v>30</v>
      </c>
      <c r="G757" s="202" t="str">
        <f t="shared" si="11"/>
        <v/>
      </c>
    </row>
    <row r="758" spans="1:7" s="172" customFormat="1" ht="15" customHeight="1" x14ac:dyDescent="0.25">
      <c r="A758" s="812" t="s">
        <v>8769</v>
      </c>
      <c r="B758" s="813" t="s">
        <v>17003</v>
      </c>
      <c r="C758" s="813" t="s">
        <v>17003</v>
      </c>
      <c r="D758" s="812" t="s">
        <v>17149</v>
      </c>
      <c r="E758" s="814">
        <v>160</v>
      </c>
      <c r="F758" s="815">
        <v>20</v>
      </c>
      <c r="G758" s="202" t="str">
        <f t="shared" si="11"/>
        <v/>
      </c>
    </row>
    <row r="759" spans="1:7" s="172" customFormat="1" ht="15" customHeight="1" x14ac:dyDescent="0.25">
      <c r="A759" s="812" t="s">
        <v>12669</v>
      </c>
      <c r="B759" s="813" t="s">
        <v>17003</v>
      </c>
      <c r="C759" s="813" t="s">
        <v>17003</v>
      </c>
      <c r="D759" s="812" t="s">
        <v>17150</v>
      </c>
      <c r="E759" s="814">
        <v>30</v>
      </c>
      <c r="F759" s="815">
        <v>5</v>
      </c>
      <c r="G759" s="202" t="str">
        <f t="shared" si="11"/>
        <v/>
      </c>
    </row>
    <row r="760" spans="1:7" s="172" customFormat="1" ht="15" customHeight="1" x14ac:dyDescent="0.25">
      <c r="A760" s="812" t="s">
        <v>17151</v>
      </c>
      <c r="B760" s="813" t="s">
        <v>17003</v>
      </c>
      <c r="C760" s="813" t="s">
        <v>17003</v>
      </c>
      <c r="D760" s="812" t="s">
        <v>17152</v>
      </c>
      <c r="E760" s="814">
        <v>60</v>
      </c>
      <c r="F760" s="815">
        <v>10</v>
      </c>
      <c r="G760" s="202" t="str">
        <f t="shared" si="11"/>
        <v/>
      </c>
    </row>
    <row r="761" spans="1:7" s="172" customFormat="1" ht="15" customHeight="1" x14ac:dyDescent="0.25">
      <c r="A761" s="812" t="s">
        <v>8494</v>
      </c>
      <c r="B761" s="813" t="s">
        <v>17003</v>
      </c>
      <c r="C761" s="813" t="s">
        <v>17003</v>
      </c>
      <c r="D761" s="812" t="s">
        <v>17153</v>
      </c>
      <c r="E761" s="814">
        <v>250</v>
      </c>
      <c r="F761" s="815">
        <v>15</v>
      </c>
      <c r="G761" s="202" t="str">
        <f t="shared" si="11"/>
        <v/>
      </c>
    </row>
    <row r="762" spans="1:7" s="172" customFormat="1" ht="15" customHeight="1" x14ac:dyDescent="0.25">
      <c r="A762" s="812" t="s">
        <v>8494</v>
      </c>
      <c r="B762" s="813" t="s">
        <v>17003</v>
      </c>
      <c r="C762" s="813" t="s">
        <v>17003</v>
      </c>
      <c r="D762" s="812" t="s">
        <v>17154</v>
      </c>
      <c r="E762" s="814">
        <v>400</v>
      </c>
      <c r="F762" s="815">
        <v>20</v>
      </c>
      <c r="G762" s="202" t="str">
        <f t="shared" si="11"/>
        <v/>
      </c>
    </row>
    <row r="763" spans="1:7" s="172" customFormat="1" ht="15" customHeight="1" x14ac:dyDescent="0.25">
      <c r="A763" s="812" t="s">
        <v>8494</v>
      </c>
      <c r="B763" s="813" t="s">
        <v>17003</v>
      </c>
      <c r="C763" s="813" t="s">
        <v>17003</v>
      </c>
      <c r="D763" s="816" t="s">
        <v>17155</v>
      </c>
      <c r="E763" s="814">
        <v>250</v>
      </c>
      <c r="F763" s="815">
        <v>20</v>
      </c>
      <c r="G763" s="202" t="str">
        <f t="shared" si="11"/>
        <v/>
      </c>
    </row>
    <row r="764" spans="1:7" s="172" customFormat="1" ht="15" customHeight="1" x14ac:dyDescent="0.25">
      <c r="A764" s="812" t="s">
        <v>8494</v>
      </c>
      <c r="B764" s="813" t="s">
        <v>17003</v>
      </c>
      <c r="C764" s="813" t="s">
        <v>17003</v>
      </c>
      <c r="D764" s="812" t="s">
        <v>17156</v>
      </c>
      <c r="E764" s="814">
        <v>160</v>
      </c>
      <c r="F764" s="815">
        <v>80</v>
      </c>
      <c r="G764" s="202" t="str">
        <f t="shared" si="11"/>
        <v/>
      </c>
    </row>
    <row r="765" spans="1:7" s="172" customFormat="1" ht="15" customHeight="1" x14ac:dyDescent="0.25">
      <c r="A765" s="812" t="s">
        <v>8494</v>
      </c>
      <c r="B765" s="813" t="s">
        <v>17003</v>
      </c>
      <c r="C765" s="813" t="s">
        <v>17003</v>
      </c>
      <c r="D765" s="812" t="s">
        <v>17157</v>
      </c>
      <c r="E765" s="814">
        <v>100</v>
      </c>
      <c r="F765" s="815">
        <v>15</v>
      </c>
      <c r="G765" s="202" t="str">
        <f t="shared" si="11"/>
        <v/>
      </c>
    </row>
    <row r="766" spans="1:7" s="172" customFormat="1" ht="15" customHeight="1" x14ac:dyDescent="0.25">
      <c r="A766" s="812" t="s">
        <v>17141</v>
      </c>
      <c r="B766" s="813" t="s">
        <v>17003</v>
      </c>
      <c r="C766" s="813" t="s">
        <v>17003</v>
      </c>
      <c r="D766" s="816" t="s">
        <v>17158</v>
      </c>
      <c r="E766" s="814">
        <v>400</v>
      </c>
      <c r="F766" s="815">
        <v>20</v>
      </c>
      <c r="G766" s="202" t="str">
        <f t="shared" si="11"/>
        <v/>
      </c>
    </row>
    <row r="767" spans="1:7" s="172" customFormat="1" ht="15" customHeight="1" x14ac:dyDescent="0.25">
      <c r="A767" s="812" t="s">
        <v>17159</v>
      </c>
      <c r="B767" s="813" t="s">
        <v>17003</v>
      </c>
      <c r="C767" s="813" t="s">
        <v>17003</v>
      </c>
      <c r="D767" s="812" t="s">
        <v>17160</v>
      </c>
      <c r="E767" s="814">
        <v>160</v>
      </c>
      <c r="F767" s="815">
        <v>20</v>
      </c>
      <c r="G767" s="202" t="str">
        <f t="shared" si="11"/>
        <v/>
      </c>
    </row>
    <row r="768" spans="1:7" s="172" customFormat="1" ht="15" customHeight="1" x14ac:dyDescent="0.25">
      <c r="A768" s="812" t="s">
        <v>17159</v>
      </c>
      <c r="B768" s="813" t="s">
        <v>17003</v>
      </c>
      <c r="C768" s="813" t="s">
        <v>17003</v>
      </c>
      <c r="D768" s="812" t="s">
        <v>17161</v>
      </c>
      <c r="E768" s="814">
        <v>160</v>
      </c>
      <c r="F768" s="815">
        <v>80</v>
      </c>
      <c r="G768" s="202" t="str">
        <f t="shared" si="11"/>
        <v/>
      </c>
    </row>
    <row r="769" spans="1:7" s="172" customFormat="1" ht="15" customHeight="1" x14ac:dyDescent="0.25">
      <c r="A769" s="812" t="s">
        <v>17162</v>
      </c>
      <c r="B769" s="813" t="s">
        <v>17003</v>
      </c>
      <c r="C769" s="813" t="s">
        <v>17003</v>
      </c>
      <c r="D769" s="812" t="s">
        <v>17163</v>
      </c>
      <c r="E769" s="814">
        <v>160</v>
      </c>
      <c r="F769" s="815">
        <v>60</v>
      </c>
      <c r="G769" s="202" t="str">
        <f t="shared" si="11"/>
        <v/>
      </c>
    </row>
    <row r="770" spans="1:7" s="172" customFormat="1" ht="15" customHeight="1" x14ac:dyDescent="0.25">
      <c r="A770" s="812" t="s">
        <v>17162</v>
      </c>
      <c r="B770" s="813" t="s">
        <v>17003</v>
      </c>
      <c r="C770" s="813" t="s">
        <v>17003</v>
      </c>
      <c r="D770" s="812" t="s">
        <v>17164</v>
      </c>
      <c r="E770" s="814">
        <v>60</v>
      </c>
      <c r="F770" s="815">
        <v>10</v>
      </c>
      <c r="G770" s="202" t="str">
        <f t="shared" si="11"/>
        <v/>
      </c>
    </row>
    <row r="771" spans="1:7" s="172" customFormat="1" ht="15" customHeight="1" x14ac:dyDescent="0.25">
      <c r="A771" s="812" t="s">
        <v>5910</v>
      </c>
      <c r="B771" s="813" t="s">
        <v>17003</v>
      </c>
      <c r="C771" s="813" t="s">
        <v>17003</v>
      </c>
      <c r="D771" s="812" t="s">
        <v>17165</v>
      </c>
      <c r="E771" s="814">
        <v>60</v>
      </c>
      <c r="F771" s="815">
        <v>20</v>
      </c>
      <c r="G771" s="202" t="str">
        <f t="shared" si="11"/>
        <v/>
      </c>
    </row>
    <row r="772" spans="1:7" s="172" customFormat="1" ht="15" customHeight="1" x14ac:dyDescent="0.25">
      <c r="A772" s="812" t="s">
        <v>17166</v>
      </c>
      <c r="B772" s="813" t="s">
        <v>17003</v>
      </c>
      <c r="C772" s="813" t="s">
        <v>17003</v>
      </c>
      <c r="D772" s="812" t="s">
        <v>17167</v>
      </c>
      <c r="E772" s="814">
        <v>100</v>
      </c>
      <c r="F772" s="815">
        <v>20</v>
      </c>
      <c r="G772" s="202" t="str">
        <f t="shared" ref="G772:G835" si="12">IF(E772=F772,"не загружен","")</f>
        <v/>
      </c>
    </row>
    <row r="773" spans="1:7" s="172" customFormat="1" ht="15" customHeight="1" x14ac:dyDescent="0.25">
      <c r="A773" s="812" t="s">
        <v>17172</v>
      </c>
      <c r="B773" s="813" t="s">
        <v>17003</v>
      </c>
      <c r="C773" s="813" t="s">
        <v>17003</v>
      </c>
      <c r="D773" s="812" t="s">
        <v>17164</v>
      </c>
      <c r="E773" s="814">
        <v>160</v>
      </c>
      <c r="F773" s="815">
        <v>20</v>
      </c>
      <c r="G773" s="202" t="str">
        <f t="shared" si="12"/>
        <v/>
      </c>
    </row>
    <row r="774" spans="1:7" s="172" customFormat="1" ht="15" customHeight="1" x14ac:dyDescent="0.25">
      <c r="A774" s="812" t="s">
        <v>17172</v>
      </c>
      <c r="B774" s="813" t="s">
        <v>17003</v>
      </c>
      <c r="C774" s="813" t="s">
        <v>17003</v>
      </c>
      <c r="D774" s="812" t="s">
        <v>17173</v>
      </c>
      <c r="E774" s="814">
        <v>250</v>
      </c>
      <c r="F774" s="815">
        <v>20</v>
      </c>
      <c r="G774" s="202" t="str">
        <f t="shared" si="12"/>
        <v/>
      </c>
    </row>
    <row r="775" spans="1:7" s="172" customFormat="1" ht="15" customHeight="1" x14ac:dyDescent="0.25">
      <c r="A775" s="812" t="s">
        <v>17172</v>
      </c>
      <c r="B775" s="813" t="s">
        <v>17003</v>
      </c>
      <c r="C775" s="813" t="s">
        <v>17003</v>
      </c>
      <c r="D775" s="812" t="s">
        <v>17174</v>
      </c>
      <c r="E775" s="814">
        <v>400</v>
      </c>
      <c r="F775" s="815">
        <v>80</v>
      </c>
      <c r="G775" s="202" t="str">
        <f t="shared" si="12"/>
        <v/>
      </c>
    </row>
    <row r="776" spans="1:7" s="172" customFormat="1" ht="15" customHeight="1" x14ac:dyDescent="0.25">
      <c r="A776" s="812" t="s">
        <v>17175</v>
      </c>
      <c r="B776" s="813" t="s">
        <v>17003</v>
      </c>
      <c r="C776" s="813" t="s">
        <v>17003</v>
      </c>
      <c r="D776" s="812" t="s">
        <v>17176</v>
      </c>
      <c r="E776" s="814">
        <v>160</v>
      </c>
      <c r="F776" s="815">
        <v>40</v>
      </c>
      <c r="G776" s="202" t="str">
        <f t="shared" si="12"/>
        <v/>
      </c>
    </row>
    <row r="777" spans="1:7" s="172" customFormat="1" ht="15" customHeight="1" x14ac:dyDescent="0.25">
      <c r="A777" s="812" t="s">
        <v>17166</v>
      </c>
      <c r="B777" s="813" t="s">
        <v>17003</v>
      </c>
      <c r="C777" s="813" t="s">
        <v>17003</v>
      </c>
      <c r="D777" s="812" t="s">
        <v>17167</v>
      </c>
      <c r="E777" s="814">
        <v>160</v>
      </c>
      <c r="F777" s="815">
        <v>130</v>
      </c>
      <c r="G777" s="202" t="str">
        <f t="shared" si="12"/>
        <v/>
      </c>
    </row>
    <row r="778" spans="1:7" s="172" customFormat="1" ht="15" customHeight="1" x14ac:dyDescent="0.25">
      <c r="A778" s="812" t="s">
        <v>17168</v>
      </c>
      <c r="B778" s="813" t="s">
        <v>17003</v>
      </c>
      <c r="C778" s="813" t="s">
        <v>17003</v>
      </c>
      <c r="D778" s="812" t="s">
        <v>17169</v>
      </c>
      <c r="E778" s="814">
        <v>100</v>
      </c>
      <c r="F778" s="815">
        <v>20</v>
      </c>
      <c r="G778" s="202" t="str">
        <f t="shared" si="12"/>
        <v/>
      </c>
    </row>
    <row r="779" spans="1:7" s="172" customFormat="1" ht="15" customHeight="1" x14ac:dyDescent="0.25">
      <c r="A779" s="812" t="s">
        <v>17168</v>
      </c>
      <c r="B779" s="813" t="s">
        <v>17003</v>
      </c>
      <c r="C779" s="813" t="s">
        <v>17003</v>
      </c>
      <c r="D779" s="812" t="s">
        <v>17170</v>
      </c>
      <c r="E779" s="814">
        <v>100</v>
      </c>
      <c r="F779" s="815">
        <v>20</v>
      </c>
      <c r="G779" s="202" t="str">
        <f t="shared" si="12"/>
        <v/>
      </c>
    </row>
    <row r="780" spans="1:7" s="172" customFormat="1" ht="15" customHeight="1" x14ac:dyDescent="0.25">
      <c r="A780" s="812" t="s">
        <v>17168</v>
      </c>
      <c r="B780" s="813" t="s">
        <v>17003</v>
      </c>
      <c r="C780" s="813" t="s">
        <v>17003</v>
      </c>
      <c r="D780" s="812" t="s">
        <v>17171</v>
      </c>
      <c r="E780" s="814">
        <v>160</v>
      </c>
      <c r="F780" s="815">
        <v>80</v>
      </c>
      <c r="G780" s="202" t="str">
        <f t="shared" si="12"/>
        <v/>
      </c>
    </row>
    <row r="781" spans="1:7" s="172" customFormat="1" ht="15" customHeight="1" x14ac:dyDescent="0.25">
      <c r="A781" s="812" t="s">
        <v>17177</v>
      </c>
      <c r="B781" s="813" t="s">
        <v>17003</v>
      </c>
      <c r="C781" s="813" t="s">
        <v>17003</v>
      </c>
      <c r="D781" s="812" t="s">
        <v>17178</v>
      </c>
      <c r="E781" s="814">
        <v>100</v>
      </c>
      <c r="F781" s="815">
        <v>20</v>
      </c>
      <c r="G781" s="202" t="str">
        <f t="shared" si="12"/>
        <v/>
      </c>
    </row>
    <row r="782" spans="1:7" s="172" customFormat="1" ht="15" customHeight="1" x14ac:dyDescent="0.25">
      <c r="A782" s="812" t="s">
        <v>17179</v>
      </c>
      <c r="B782" s="813" t="s">
        <v>17003</v>
      </c>
      <c r="C782" s="813" t="s">
        <v>17003</v>
      </c>
      <c r="D782" s="812" t="s">
        <v>17180</v>
      </c>
      <c r="E782" s="814">
        <v>40</v>
      </c>
      <c r="F782" s="815">
        <v>20</v>
      </c>
      <c r="G782" s="202" t="str">
        <f t="shared" si="12"/>
        <v/>
      </c>
    </row>
    <row r="783" spans="1:7" s="172" customFormat="1" ht="15" customHeight="1" x14ac:dyDescent="0.25">
      <c r="A783" s="812" t="s">
        <v>8898</v>
      </c>
      <c r="B783" s="813" t="s">
        <v>17003</v>
      </c>
      <c r="C783" s="813" t="s">
        <v>17003</v>
      </c>
      <c r="D783" s="812" t="s">
        <v>17181</v>
      </c>
      <c r="E783" s="814">
        <v>10</v>
      </c>
      <c r="F783" s="815">
        <v>0</v>
      </c>
      <c r="G783" s="202" t="str">
        <f t="shared" si="12"/>
        <v/>
      </c>
    </row>
    <row r="784" spans="1:7" s="172" customFormat="1" ht="15" customHeight="1" x14ac:dyDescent="0.25">
      <c r="A784" s="812" t="s">
        <v>17182</v>
      </c>
      <c r="B784" s="813" t="s">
        <v>17003</v>
      </c>
      <c r="C784" s="813" t="s">
        <v>17003</v>
      </c>
      <c r="D784" s="812" t="s">
        <v>17183</v>
      </c>
      <c r="E784" s="814">
        <v>63</v>
      </c>
      <c r="F784" s="815">
        <v>20</v>
      </c>
      <c r="G784" s="202" t="str">
        <f t="shared" si="12"/>
        <v/>
      </c>
    </row>
    <row r="785" spans="1:7" s="172" customFormat="1" ht="15" customHeight="1" x14ac:dyDescent="0.25">
      <c r="A785" s="812" t="s">
        <v>17182</v>
      </c>
      <c r="B785" s="813" t="s">
        <v>17003</v>
      </c>
      <c r="C785" s="813" t="s">
        <v>17003</v>
      </c>
      <c r="D785" s="812" t="s">
        <v>17184</v>
      </c>
      <c r="E785" s="814">
        <v>100</v>
      </c>
      <c r="F785" s="815">
        <v>20</v>
      </c>
      <c r="G785" s="202" t="str">
        <f t="shared" si="12"/>
        <v/>
      </c>
    </row>
    <row r="786" spans="1:7" s="172" customFormat="1" ht="15" customHeight="1" x14ac:dyDescent="0.25">
      <c r="A786" s="812" t="s">
        <v>17185</v>
      </c>
      <c r="B786" s="813" t="s">
        <v>17003</v>
      </c>
      <c r="C786" s="813" t="s">
        <v>17003</v>
      </c>
      <c r="D786" s="812" t="s">
        <v>17186</v>
      </c>
      <c r="E786" s="814">
        <v>250</v>
      </c>
      <c r="F786" s="815">
        <v>80</v>
      </c>
      <c r="G786" s="202" t="str">
        <f t="shared" si="12"/>
        <v/>
      </c>
    </row>
    <row r="787" spans="1:7" s="172" customFormat="1" ht="15" customHeight="1" x14ac:dyDescent="0.25">
      <c r="A787" s="812" t="s">
        <v>17185</v>
      </c>
      <c r="B787" s="813" t="s">
        <v>17003</v>
      </c>
      <c r="C787" s="813" t="s">
        <v>17003</v>
      </c>
      <c r="D787" s="812" t="s">
        <v>17187</v>
      </c>
      <c r="E787" s="814">
        <v>250</v>
      </c>
      <c r="F787" s="815">
        <v>20</v>
      </c>
      <c r="G787" s="202" t="str">
        <f t="shared" si="12"/>
        <v/>
      </c>
    </row>
    <row r="788" spans="1:7" s="172" customFormat="1" ht="15" customHeight="1" x14ac:dyDescent="0.25">
      <c r="A788" s="812" t="s">
        <v>17185</v>
      </c>
      <c r="B788" s="813" t="s">
        <v>17003</v>
      </c>
      <c r="C788" s="813" t="s">
        <v>17003</v>
      </c>
      <c r="D788" s="812" t="s">
        <v>17188</v>
      </c>
      <c r="E788" s="814">
        <v>63</v>
      </c>
      <c r="F788" s="814">
        <v>20</v>
      </c>
      <c r="G788" s="202" t="str">
        <f t="shared" si="12"/>
        <v/>
      </c>
    </row>
    <row r="789" spans="1:7" s="172" customFormat="1" ht="15" customHeight="1" x14ac:dyDescent="0.25">
      <c r="A789" s="812" t="s">
        <v>17185</v>
      </c>
      <c r="B789" s="813" t="s">
        <v>17003</v>
      </c>
      <c r="C789" s="813" t="s">
        <v>17003</v>
      </c>
      <c r="D789" s="812" t="s">
        <v>17189</v>
      </c>
      <c r="E789" s="814">
        <v>63</v>
      </c>
      <c r="F789" s="815">
        <v>20</v>
      </c>
      <c r="G789" s="202" t="str">
        <f t="shared" si="12"/>
        <v/>
      </c>
    </row>
    <row r="790" spans="1:7" s="172" customFormat="1" ht="15" customHeight="1" x14ac:dyDescent="0.25">
      <c r="A790" s="812" t="s">
        <v>17185</v>
      </c>
      <c r="B790" s="813" t="s">
        <v>17003</v>
      </c>
      <c r="C790" s="813" t="s">
        <v>17003</v>
      </c>
      <c r="D790" s="812" t="s">
        <v>17190</v>
      </c>
      <c r="E790" s="814">
        <v>160</v>
      </c>
      <c r="F790" s="815">
        <v>20</v>
      </c>
      <c r="G790" s="202" t="str">
        <f t="shared" si="12"/>
        <v/>
      </c>
    </row>
    <row r="791" spans="1:7" s="172" customFormat="1" ht="15" customHeight="1" x14ac:dyDescent="0.25">
      <c r="A791" s="812" t="s">
        <v>17185</v>
      </c>
      <c r="B791" s="813" t="s">
        <v>17003</v>
      </c>
      <c r="C791" s="813" t="s">
        <v>17003</v>
      </c>
      <c r="D791" s="812" t="s">
        <v>17191</v>
      </c>
      <c r="E791" s="814">
        <v>100</v>
      </c>
      <c r="F791" s="815">
        <v>80</v>
      </c>
      <c r="G791" s="202" t="str">
        <f t="shared" si="12"/>
        <v/>
      </c>
    </row>
    <row r="792" spans="1:7" s="172" customFormat="1" ht="15" customHeight="1" x14ac:dyDescent="0.25">
      <c r="A792" s="812" t="s">
        <v>17185</v>
      </c>
      <c r="B792" s="813" t="s">
        <v>17003</v>
      </c>
      <c r="C792" s="813" t="s">
        <v>17003</v>
      </c>
      <c r="D792" s="812" t="s">
        <v>17192</v>
      </c>
      <c r="E792" s="814">
        <v>63</v>
      </c>
      <c r="F792" s="815">
        <v>20</v>
      </c>
      <c r="G792" s="202" t="str">
        <f t="shared" si="12"/>
        <v/>
      </c>
    </row>
    <row r="793" spans="1:7" s="172" customFormat="1" ht="15" customHeight="1" x14ac:dyDescent="0.25">
      <c r="A793" s="812" t="s">
        <v>17193</v>
      </c>
      <c r="B793" s="813" t="s">
        <v>17003</v>
      </c>
      <c r="C793" s="813" t="s">
        <v>17003</v>
      </c>
      <c r="D793" s="812" t="s">
        <v>17194</v>
      </c>
      <c r="E793" s="814">
        <v>60</v>
      </c>
      <c r="F793" s="815">
        <v>20</v>
      </c>
      <c r="G793" s="202" t="str">
        <f t="shared" si="12"/>
        <v/>
      </c>
    </row>
    <row r="794" spans="1:7" s="172" customFormat="1" ht="15" customHeight="1" x14ac:dyDescent="0.25">
      <c r="A794" s="812" t="s">
        <v>12612</v>
      </c>
      <c r="B794" s="813" t="s">
        <v>17003</v>
      </c>
      <c r="C794" s="813" t="s">
        <v>17003</v>
      </c>
      <c r="D794" s="812" t="s">
        <v>17195</v>
      </c>
      <c r="E794" s="814">
        <v>40</v>
      </c>
      <c r="F794" s="815">
        <v>15</v>
      </c>
      <c r="G794" s="202" t="str">
        <f t="shared" si="12"/>
        <v/>
      </c>
    </row>
    <row r="795" spans="1:7" s="172" customFormat="1" ht="15" customHeight="1" x14ac:dyDescent="0.25">
      <c r="A795" s="812" t="s">
        <v>17196</v>
      </c>
      <c r="B795" s="813" t="s">
        <v>17003</v>
      </c>
      <c r="C795" s="813" t="s">
        <v>17003</v>
      </c>
      <c r="D795" s="812" t="s">
        <v>17197</v>
      </c>
      <c r="E795" s="814">
        <v>160</v>
      </c>
      <c r="F795" s="815">
        <v>20</v>
      </c>
      <c r="G795" s="202" t="str">
        <f t="shared" si="12"/>
        <v/>
      </c>
    </row>
    <row r="796" spans="1:7" s="172" customFormat="1" ht="15" customHeight="1" x14ac:dyDescent="0.25">
      <c r="A796" s="812" t="s">
        <v>17196</v>
      </c>
      <c r="B796" s="813" t="s">
        <v>17003</v>
      </c>
      <c r="C796" s="813" t="s">
        <v>17003</v>
      </c>
      <c r="D796" s="816" t="s">
        <v>17198</v>
      </c>
      <c r="E796" s="814">
        <v>160</v>
      </c>
      <c r="F796" s="815">
        <v>20</v>
      </c>
      <c r="G796" s="202" t="str">
        <f t="shared" si="12"/>
        <v/>
      </c>
    </row>
    <row r="797" spans="1:7" s="172" customFormat="1" ht="15" customHeight="1" x14ac:dyDescent="0.25">
      <c r="A797" s="812" t="s">
        <v>17196</v>
      </c>
      <c r="B797" s="813" t="s">
        <v>17003</v>
      </c>
      <c r="C797" s="813" t="s">
        <v>17003</v>
      </c>
      <c r="D797" s="812" t="s">
        <v>17199</v>
      </c>
      <c r="E797" s="814">
        <v>160</v>
      </c>
      <c r="F797" s="815">
        <v>15</v>
      </c>
      <c r="G797" s="202" t="str">
        <f t="shared" si="12"/>
        <v/>
      </c>
    </row>
    <row r="798" spans="1:7" s="172" customFormat="1" ht="15" customHeight="1" x14ac:dyDescent="0.25">
      <c r="A798" s="812" t="s">
        <v>17196</v>
      </c>
      <c r="B798" s="813" t="s">
        <v>17003</v>
      </c>
      <c r="C798" s="813" t="s">
        <v>17003</v>
      </c>
      <c r="D798" s="816" t="s">
        <v>17200</v>
      </c>
      <c r="E798" s="814">
        <v>100</v>
      </c>
      <c r="F798" s="815">
        <v>20</v>
      </c>
      <c r="G798" s="202" t="str">
        <f t="shared" si="12"/>
        <v/>
      </c>
    </row>
    <row r="799" spans="1:7" s="172" customFormat="1" ht="15" customHeight="1" x14ac:dyDescent="0.25">
      <c r="A799" s="812" t="s">
        <v>17201</v>
      </c>
      <c r="B799" s="813" t="s">
        <v>17003</v>
      </c>
      <c r="C799" s="813" t="s">
        <v>17003</v>
      </c>
      <c r="D799" s="812" t="s">
        <v>17202</v>
      </c>
      <c r="E799" s="814">
        <v>60</v>
      </c>
      <c r="F799" s="815">
        <v>20</v>
      </c>
      <c r="G799" s="202" t="str">
        <f t="shared" si="12"/>
        <v/>
      </c>
    </row>
    <row r="800" spans="1:7" s="172" customFormat="1" ht="15" customHeight="1" x14ac:dyDescent="0.25">
      <c r="A800" s="812" t="s">
        <v>10126</v>
      </c>
      <c r="B800" s="813" t="s">
        <v>17003</v>
      </c>
      <c r="C800" s="813" t="s">
        <v>17003</v>
      </c>
      <c r="D800" s="812" t="s">
        <v>17203</v>
      </c>
      <c r="E800" s="814">
        <v>60</v>
      </c>
      <c r="F800" s="815">
        <v>20</v>
      </c>
      <c r="G800" s="202" t="str">
        <f t="shared" si="12"/>
        <v/>
      </c>
    </row>
    <row r="801" spans="1:7" s="172" customFormat="1" ht="15" customHeight="1" x14ac:dyDescent="0.25">
      <c r="A801" s="810" t="s">
        <v>12263</v>
      </c>
      <c r="B801" s="810" t="s">
        <v>4180</v>
      </c>
      <c r="C801" s="810" t="s">
        <v>4180</v>
      </c>
      <c r="D801" s="810" t="s">
        <v>18248</v>
      </c>
      <c r="E801" s="810">
        <v>320</v>
      </c>
      <c r="F801" s="817">
        <v>65</v>
      </c>
      <c r="G801" s="202" t="str">
        <f t="shared" si="12"/>
        <v/>
      </c>
    </row>
    <row r="802" spans="1:7" s="172" customFormat="1" ht="15" customHeight="1" x14ac:dyDescent="0.25">
      <c r="A802" s="810" t="s">
        <v>12219</v>
      </c>
      <c r="B802" s="810" t="s">
        <v>4180</v>
      </c>
      <c r="C802" s="810" t="s">
        <v>4180</v>
      </c>
      <c r="D802" s="810" t="s">
        <v>18249</v>
      </c>
      <c r="E802" s="810">
        <v>40</v>
      </c>
      <c r="F802" s="817">
        <v>20</v>
      </c>
      <c r="G802" s="202" t="str">
        <f t="shared" si="12"/>
        <v/>
      </c>
    </row>
    <row r="803" spans="1:7" s="172" customFormat="1" ht="15" customHeight="1" x14ac:dyDescent="0.25">
      <c r="A803" s="810" t="s">
        <v>12195</v>
      </c>
      <c r="B803" s="810" t="s">
        <v>4180</v>
      </c>
      <c r="C803" s="810" t="s">
        <v>4180</v>
      </c>
      <c r="D803" s="810" t="s">
        <v>18250</v>
      </c>
      <c r="E803" s="810">
        <v>100</v>
      </c>
      <c r="F803" s="817">
        <v>20</v>
      </c>
      <c r="G803" s="202" t="str">
        <f t="shared" si="12"/>
        <v/>
      </c>
    </row>
    <row r="804" spans="1:7" s="172" customFormat="1" ht="15" customHeight="1" x14ac:dyDescent="0.25">
      <c r="A804" s="810" t="s">
        <v>2833</v>
      </c>
      <c r="B804" s="810" t="s">
        <v>4180</v>
      </c>
      <c r="C804" s="810" t="s">
        <v>4180</v>
      </c>
      <c r="D804" s="810" t="s">
        <v>18251</v>
      </c>
      <c r="E804" s="810">
        <v>160</v>
      </c>
      <c r="F804" s="817">
        <v>25</v>
      </c>
      <c r="G804" s="202" t="str">
        <f t="shared" si="12"/>
        <v/>
      </c>
    </row>
    <row r="805" spans="1:7" s="172" customFormat="1" ht="15" customHeight="1" x14ac:dyDescent="0.25">
      <c r="A805" s="810" t="s">
        <v>2833</v>
      </c>
      <c r="B805" s="810" t="s">
        <v>4180</v>
      </c>
      <c r="C805" s="810" t="s">
        <v>4180</v>
      </c>
      <c r="D805" s="810" t="s">
        <v>18252</v>
      </c>
      <c r="E805" s="810">
        <v>100</v>
      </c>
      <c r="F805" s="817">
        <v>20</v>
      </c>
      <c r="G805" s="202" t="str">
        <f t="shared" si="12"/>
        <v/>
      </c>
    </row>
    <row r="806" spans="1:7" s="172" customFormat="1" ht="15" customHeight="1" x14ac:dyDescent="0.25">
      <c r="A806" s="810" t="s">
        <v>12221</v>
      </c>
      <c r="B806" s="810" t="s">
        <v>4180</v>
      </c>
      <c r="C806" s="810" t="s">
        <v>4180</v>
      </c>
      <c r="D806" s="810" t="s">
        <v>18253</v>
      </c>
      <c r="E806" s="810">
        <v>100</v>
      </c>
      <c r="F806" s="817">
        <v>5</v>
      </c>
      <c r="G806" s="202" t="str">
        <f t="shared" si="12"/>
        <v/>
      </c>
    </row>
    <row r="807" spans="1:7" s="172" customFormat="1" ht="15" customHeight="1" x14ac:dyDescent="0.25">
      <c r="A807" s="810" t="s">
        <v>12180</v>
      </c>
      <c r="B807" s="810" t="s">
        <v>4180</v>
      </c>
      <c r="C807" s="810" t="s">
        <v>4180</v>
      </c>
      <c r="D807" s="810" t="s">
        <v>18254</v>
      </c>
      <c r="E807" s="810">
        <v>30</v>
      </c>
      <c r="F807" s="817">
        <v>5</v>
      </c>
      <c r="G807" s="202" t="str">
        <f t="shared" si="12"/>
        <v/>
      </c>
    </row>
    <row r="808" spans="1:7" s="172" customFormat="1" ht="15" customHeight="1" x14ac:dyDescent="0.25">
      <c r="A808" s="810" t="s">
        <v>4184</v>
      </c>
      <c r="B808" s="810" t="s">
        <v>4180</v>
      </c>
      <c r="C808" s="810" t="s">
        <v>4180</v>
      </c>
      <c r="D808" s="810" t="s">
        <v>18255</v>
      </c>
      <c r="E808" s="810">
        <v>63</v>
      </c>
      <c r="F808" s="817">
        <v>35</v>
      </c>
      <c r="G808" s="202" t="str">
        <f t="shared" si="12"/>
        <v/>
      </c>
    </row>
    <row r="809" spans="1:7" s="172" customFormat="1" ht="15" customHeight="1" x14ac:dyDescent="0.25">
      <c r="A809" s="810" t="s">
        <v>12191</v>
      </c>
      <c r="B809" s="810" t="s">
        <v>4180</v>
      </c>
      <c r="C809" s="810" t="s">
        <v>4180</v>
      </c>
      <c r="D809" s="810" t="s">
        <v>18256</v>
      </c>
      <c r="E809" s="810">
        <v>30</v>
      </c>
      <c r="F809" s="817">
        <v>15</v>
      </c>
      <c r="G809" s="202" t="str">
        <f t="shared" si="12"/>
        <v/>
      </c>
    </row>
    <row r="810" spans="1:7" s="172" customFormat="1" ht="15" customHeight="1" x14ac:dyDescent="0.25">
      <c r="A810" s="810" t="s">
        <v>12237</v>
      </c>
      <c r="B810" s="810" t="s">
        <v>4180</v>
      </c>
      <c r="C810" s="810" t="s">
        <v>4180</v>
      </c>
      <c r="D810" s="810" t="s">
        <v>18257</v>
      </c>
      <c r="E810" s="810">
        <v>100</v>
      </c>
      <c r="F810" s="817">
        <v>3</v>
      </c>
      <c r="G810" s="202" t="str">
        <f t="shared" si="12"/>
        <v/>
      </c>
    </row>
    <row r="811" spans="1:7" s="172" customFormat="1" ht="15" customHeight="1" x14ac:dyDescent="0.25">
      <c r="A811" s="810" t="s">
        <v>4924</v>
      </c>
      <c r="B811" s="810" t="s">
        <v>4180</v>
      </c>
      <c r="C811" s="810" t="s">
        <v>4180</v>
      </c>
      <c r="D811" s="810" t="s">
        <v>18258</v>
      </c>
      <c r="E811" s="810">
        <v>40</v>
      </c>
      <c r="F811" s="817">
        <v>5</v>
      </c>
      <c r="G811" s="202" t="str">
        <f t="shared" si="12"/>
        <v/>
      </c>
    </row>
    <row r="812" spans="1:7" s="172" customFormat="1" ht="15" customHeight="1" x14ac:dyDescent="0.25">
      <c r="A812" s="810" t="s">
        <v>12218</v>
      </c>
      <c r="B812" s="810" t="s">
        <v>4180</v>
      </c>
      <c r="C812" s="810" t="s">
        <v>4180</v>
      </c>
      <c r="D812" s="810" t="s">
        <v>18259</v>
      </c>
      <c r="E812" s="810">
        <v>25</v>
      </c>
      <c r="F812" s="817">
        <v>10</v>
      </c>
      <c r="G812" s="202" t="str">
        <f t="shared" si="12"/>
        <v/>
      </c>
    </row>
    <row r="813" spans="1:7" s="172" customFormat="1" ht="15" customHeight="1" x14ac:dyDescent="0.25">
      <c r="A813" s="810" t="s">
        <v>12218</v>
      </c>
      <c r="B813" s="810" t="s">
        <v>4180</v>
      </c>
      <c r="C813" s="810" t="s">
        <v>4180</v>
      </c>
      <c r="D813" s="810" t="s">
        <v>18260</v>
      </c>
      <c r="E813" s="810">
        <v>160</v>
      </c>
      <c r="F813" s="817">
        <v>5</v>
      </c>
      <c r="G813" s="202" t="str">
        <f t="shared" si="12"/>
        <v/>
      </c>
    </row>
    <row r="814" spans="1:7" s="172" customFormat="1" ht="15" customHeight="1" x14ac:dyDescent="0.25">
      <c r="A814" s="810" t="s">
        <v>12218</v>
      </c>
      <c r="B814" s="810" t="s">
        <v>4180</v>
      </c>
      <c r="C814" s="810" t="s">
        <v>4180</v>
      </c>
      <c r="D814" s="810" t="s">
        <v>18261</v>
      </c>
      <c r="E814" s="810">
        <v>100</v>
      </c>
      <c r="F814" s="817">
        <v>30</v>
      </c>
      <c r="G814" s="202" t="str">
        <f t="shared" si="12"/>
        <v/>
      </c>
    </row>
    <row r="815" spans="1:7" s="172" customFormat="1" ht="15" customHeight="1" x14ac:dyDescent="0.25">
      <c r="A815" s="810" t="s">
        <v>12218</v>
      </c>
      <c r="B815" s="810" t="s">
        <v>4180</v>
      </c>
      <c r="C815" s="810" t="s">
        <v>4180</v>
      </c>
      <c r="D815" s="810" t="s">
        <v>18262</v>
      </c>
      <c r="E815" s="810">
        <v>160</v>
      </c>
      <c r="F815" s="817">
        <v>5</v>
      </c>
      <c r="G815" s="202" t="str">
        <f t="shared" si="12"/>
        <v/>
      </c>
    </row>
    <row r="816" spans="1:7" s="172" customFormat="1" ht="15" customHeight="1" x14ac:dyDescent="0.25">
      <c r="A816" s="810" t="s">
        <v>12218</v>
      </c>
      <c r="B816" s="810" t="s">
        <v>4180</v>
      </c>
      <c r="C816" s="810" t="s">
        <v>4180</v>
      </c>
      <c r="D816" s="810" t="s">
        <v>18263</v>
      </c>
      <c r="E816" s="810">
        <v>250</v>
      </c>
      <c r="F816" s="817">
        <v>50</v>
      </c>
      <c r="G816" s="202" t="str">
        <f t="shared" si="12"/>
        <v/>
      </c>
    </row>
    <row r="817" spans="1:7" s="172" customFormat="1" ht="15" customHeight="1" x14ac:dyDescent="0.25">
      <c r="A817" s="810" t="s">
        <v>12217</v>
      </c>
      <c r="B817" s="810" t="s">
        <v>4180</v>
      </c>
      <c r="C817" s="810" t="s">
        <v>4180</v>
      </c>
      <c r="D817" s="810" t="s">
        <v>18264</v>
      </c>
      <c r="E817" s="810">
        <v>30</v>
      </c>
      <c r="F817" s="817">
        <v>5</v>
      </c>
      <c r="G817" s="202" t="str">
        <f t="shared" si="12"/>
        <v/>
      </c>
    </row>
    <row r="818" spans="1:7" s="172" customFormat="1" ht="15" customHeight="1" x14ac:dyDescent="0.25">
      <c r="A818" s="810" t="s">
        <v>2735</v>
      </c>
      <c r="B818" s="810" t="s">
        <v>4180</v>
      </c>
      <c r="C818" s="810" t="s">
        <v>4180</v>
      </c>
      <c r="D818" s="810" t="s">
        <v>18265</v>
      </c>
      <c r="E818" s="810">
        <v>25</v>
      </c>
      <c r="F818" s="817">
        <v>10</v>
      </c>
      <c r="G818" s="202" t="str">
        <f t="shared" si="12"/>
        <v/>
      </c>
    </row>
    <row r="819" spans="1:7" s="172" customFormat="1" ht="15" customHeight="1" x14ac:dyDescent="0.25">
      <c r="A819" s="810" t="s">
        <v>12248</v>
      </c>
      <c r="B819" s="810" t="s">
        <v>4180</v>
      </c>
      <c r="C819" s="810" t="s">
        <v>4180</v>
      </c>
      <c r="D819" s="810" t="s">
        <v>18266</v>
      </c>
      <c r="E819" s="810">
        <v>160</v>
      </c>
      <c r="F819" s="817">
        <v>60</v>
      </c>
      <c r="G819" s="202" t="str">
        <f t="shared" si="12"/>
        <v/>
      </c>
    </row>
    <row r="820" spans="1:7" s="172" customFormat="1" ht="15" customHeight="1" x14ac:dyDescent="0.25">
      <c r="A820" s="810" t="s">
        <v>12248</v>
      </c>
      <c r="B820" s="810" t="s">
        <v>4180</v>
      </c>
      <c r="C820" s="810" t="s">
        <v>4180</v>
      </c>
      <c r="D820" s="810" t="s">
        <v>18267</v>
      </c>
      <c r="E820" s="810">
        <v>100</v>
      </c>
      <c r="F820" s="817">
        <v>5</v>
      </c>
      <c r="G820" s="202" t="str">
        <f t="shared" si="12"/>
        <v/>
      </c>
    </row>
    <row r="821" spans="1:7" s="172" customFormat="1" ht="15" customHeight="1" x14ac:dyDescent="0.25">
      <c r="A821" s="810" t="s">
        <v>12197</v>
      </c>
      <c r="B821" s="810" t="s">
        <v>4180</v>
      </c>
      <c r="C821" s="810" t="s">
        <v>4180</v>
      </c>
      <c r="D821" s="810" t="s">
        <v>18268</v>
      </c>
      <c r="E821" s="810">
        <v>10</v>
      </c>
      <c r="F821" s="817">
        <v>5</v>
      </c>
      <c r="G821" s="202" t="str">
        <f t="shared" si="12"/>
        <v/>
      </c>
    </row>
    <row r="822" spans="1:7" s="172" customFormat="1" ht="15" customHeight="1" x14ac:dyDescent="0.25">
      <c r="A822" s="810" t="s">
        <v>12240</v>
      </c>
      <c r="B822" s="810" t="s">
        <v>4180</v>
      </c>
      <c r="C822" s="810" t="s">
        <v>4180</v>
      </c>
      <c r="D822" s="810" t="s">
        <v>18269</v>
      </c>
      <c r="E822" s="810">
        <v>10</v>
      </c>
      <c r="F822" s="817">
        <v>5</v>
      </c>
      <c r="G822" s="202" t="str">
        <f t="shared" si="12"/>
        <v/>
      </c>
    </row>
    <row r="823" spans="1:7" s="172" customFormat="1" ht="15" customHeight="1" x14ac:dyDescent="0.25">
      <c r="A823" s="810" t="s">
        <v>10366</v>
      </c>
      <c r="B823" s="810" t="s">
        <v>4180</v>
      </c>
      <c r="C823" s="810" t="s">
        <v>4180</v>
      </c>
      <c r="D823" s="810" t="s">
        <v>18270</v>
      </c>
      <c r="E823" s="810">
        <v>30</v>
      </c>
      <c r="F823" s="817">
        <v>10</v>
      </c>
      <c r="G823" s="202" t="str">
        <f t="shared" si="12"/>
        <v/>
      </c>
    </row>
    <row r="824" spans="1:7" s="172" customFormat="1" ht="15" customHeight="1" x14ac:dyDescent="0.25">
      <c r="A824" s="810" t="s">
        <v>12201</v>
      </c>
      <c r="B824" s="810" t="s">
        <v>4180</v>
      </c>
      <c r="C824" s="810" t="s">
        <v>4180</v>
      </c>
      <c r="D824" s="810" t="s">
        <v>18271</v>
      </c>
      <c r="E824" s="810">
        <v>40</v>
      </c>
      <c r="F824" s="817">
        <v>10</v>
      </c>
      <c r="G824" s="202" t="str">
        <f t="shared" si="12"/>
        <v/>
      </c>
    </row>
    <row r="825" spans="1:7" s="172" customFormat="1" ht="15" customHeight="1" x14ac:dyDescent="0.25">
      <c r="A825" s="810" t="s">
        <v>12212</v>
      </c>
      <c r="B825" s="810" t="s">
        <v>4180</v>
      </c>
      <c r="C825" s="810" t="s">
        <v>4180</v>
      </c>
      <c r="D825" s="810" t="s">
        <v>18272</v>
      </c>
      <c r="E825" s="810">
        <v>60</v>
      </c>
      <c r="F825" s="817">
        <v>10</v>
      </c>
      <c r="G825" s="202" t="str">
        <f t="shared" si="12"/>
        <v/>
      </c>
    </row>
    <row r="826" spans="1:7" s="172" customFormat="1" ht="15" customHeight="1" x14ac:dyDescent="0.25">
      <c r="A826" s="810" t="s">
        <v>2778</v>
      </c>
      <c r="B826" s="810" t="s">
        <v>4180</v>
      </c>
      <c r="C826" s="810" t="s">
        <v>4180</v>
      </c>
      <c r="D826" s="810" t="s">
        <v>18273</v>
      </c>
      <c r="E826" s="810">
        <v>60</v>
      </c>
      <c r="F826" s="817">
        <v>10</v>
      </c>
      <c r="G826" s="202" t="str">
        <f t="shared" si="12"/>
        <v/>
      </c>
    </row>
    <row r="827" spans="1:7" s="172" customFormat="1" ht="15" customHeight="1" x14ac:dyDescent="0.25">
      <c r="A827" s="810" t="s">
        <v>12225</v>
      </c>
      <c r="B827" s="810" t="s">
        <v>4180</v>
      </c>
      <c r="C827" s="810" t="s">
        <v>4180</v>
      </c>
      <c r="D827" s="810" t="s">
        <v>18274</v>
      </c>
      <c r="E827" s="810">
        <v>100</v>
      </c>
      <c r="F827" s="817">
        <v>30</v>
      </c>
      <c r="G827" s="202" t="str">
        <f t="shared" si="12"/>
        <v/>
      </c>
    </row>
    <row r="828" spans="1:7" s="172" customFormat="1" ht="15" customHeight="1" x14ac:dyDescent="0.25">
      <c r="A828" s="810" t="s">
        <v>12255</v>
      </c>
      <c r="B828" s="810" t="s">
        <v>4180</v>
      </c>
      <c r="C828" s="810" t="s">
        <v>4180</v>
      </c>
      <c r="D828" s="810" t="s">
        <v>18275</v>
      </c>
      <c r="E828" s="810">
        <v>40</v>
      </c>
      <c r="F828" s="817">
        <v>5</v>
      </c>
      <c r="G828" s="202" t="str">
        <f t="shared" si="12"/>
        <v/>
      </c>
    </row>
    <row r="829" spans="1:7" s="172" customFormat="1" ht="15" customHeight="1" x14ac:dyDescent="0.25">
      <c r="A829" s="810" t="s">
        <v>2920</v>
      </c>
      <c r="B829" s="810" t="s">
        <v>4180</v>
      </c>
      <c r="C829" s="810" t="s">
        <v>4180</v>
      </c>
      <c r="D829" s="810" t="s">
        <v>18276</v>
      </c>
      <c r="E829" s="810">
        <v>40</v>
      </c>
      <c r="F829" s="817">
        <v>5</v>
      </c>
      <c r="G829" s="202" t="str">
        <f t="shared" si="12"/>
        <v/>
      </c>
    </row>
    <row r="830" spans="1:7" s="172" customFormat="1" ht="15" customHeight="1" x14ac:dyDescent="0.25">
      <c r="A830" s="810" t="s">
        <v>2785</v>
      </c>
      <c r="B830" s="810" t="s">
        <v>4180</v>
      </c>
      <c r="C830" s="810" t="s">
        <v>4180</v>
      </c>
      <c r="D830" s="810" t="s">
        <v>18277</v>
      </c>
      <c r="E830" s="810">
        <v>100</v>
      </c>
      <c r="F830" s="817">
        <v>5</v>
      </c>
      <c r="G830" s="202" t="str">
        <f t="shared" si="12"/>
        <v/>
      </c>
    </row>
    <row r="831" spans="1:7" s="172" customFormat="1" ht="15" customHeight="1" x14ac:dyDescent="0.25">
      <c r="A831" s="810" t="s">
        <v>12186</v>
      </c>
      <c r="B831" s="810" t="s">
        <v>4180</v>
      </c>
      <c r="C831" s="810" t="s">
        <v>4180</v>
      </c>
      <c r="D831" s="810" t="s">
        <v>18278</v>
      </c>
      <c r="E831" s="810">
        <v>25</v>
      </c>
      <c r="F831" s="817">
        <v>3</v>
      </c>
      <c r="G831" s="202" t="str">
        <f t="shared" si="12"/>
        <v/>
      </c>
    </row>
    <row r="832" spans="1:7" s="172" customFormat="1" ht="15" customHeight="1" x14ac:dyDescent="0.25">
      <c r="A832" s="810" t="s">
        <v>12186</v>
      </c>
      <c r="B832" s="810" t="s">
        <v>4180</v>
      </c>
      <c r="C832" s="810" t="s">
        <v>4180</v>
      </c>
      <c r="D832" s="810" t="s">
        <v>18279</v>
      </c>
      <c r="E832" s="810">
        <v>40</v>
      </c>
      <c r="F832" s="817">
        <v>5</v>
      </c>
      <c r="G832" s="202" t="str">
        <f t="shared" si="12"/>
        <v/>
      </c>
    </row>
    <row r="833" spans="1:7" s="172" customFormat="1" ht="15" customHeight="1" x14ac:dyDescent="0.25">
      <c r="A833" s="810" t="s">
        <v>12186</v>
      </c>
      <c r="B833" s="810" t="s">
        <v>4180</v>
      </c>
      <c r="C833" s="810" t="s">
        <v>4180</v>
      </c>
      <c r="D833" s="810" t="s">
        <v>18280</v>
      </c>
      <c r="E833" s="810">
        <v>25</v>
      </c>
      <c r="F833" s="817">
        <v>5</v>
      </c>
      <c r="G833" s="202" t="str">
        <f t="shared" si="12"/>
        <v/>
      </c>
    </row>
    <row r="834" spans="1:7" s="172" customFormat="1" ht="15" customHeight="1" x14ac:dyDescent="0.25">
      <c r="A834" s="810" t="s">
        <v>12253</v>
      </c>
      <c r="B834" s="810" t="s">
        <v>4180</v>
      </c>
      <c r="C834" s="810" t="s">
        <v>4180</v>
      </c>
      <c r="D834" s="810" t="s">
        <v>18281</v>
      </c>
      <c r="E834" s="810">
        <v>100</v>
      </c>
      <c r="F834" s="817">
        <v>10</v>
      </c>
      <c r="G834" s="202" t="str">
        <f t="shared" si="12"/>
        <v/>
      </c>
    </row>
    <row r="835" spans="1:7" s="172" customFormat="1" ht="15" customHeight="1" x14ac:dyDescent="0.25">
      <c r="A835" s="810" t="s">
        <v>7629</v>
      </c>
      <c r="B835" s="810" t="s">
        <v>4180</v>
      </c>
      <c r="C835" s="810" t="s">
        <v>4180</v>
      </c>
      <c r="D835" s="810" t="s">
        <v>18282</v>
      </c>
      <c r="E835" s="810">
        <v>10</v>
      </c>
      <c r="F835" s="817">
        <v>5</v>
      </c>
      <c r="G835" s="202" t="str">
        <f t="shared" si="12"/>
        <v/>
      </c>
    </row>
    <row r="836" spans="1:7" s="172" customFormat="1" ht="15" customHeight="1" x14ac:dyDescent="0.25">
      <c r="A836" s="810" t="s">
        <v>2922</v>
      </c>
      <c r="B836" s="810" t="s">
        <v>4180</v>
      </c>
      <c r="C836" s="810" t="s">
        <v>4180</v>
      </c>
      <c r="D836" s="810" t="s">
        <v>18283</v>
      </c>
      <c r="E836" s="810">
        <v>25</v>
      </c>
      <c r="F836" s="817">
        <v>5</v>
      </c>
      <c r="G836" s="202" t="str">
        <f t="shared" ref="G836:G899" si="13">IF(E836=F836,"не загружен","")</f>
        <v/>
      </c>
    </row>
    <row r="837" spans="1:7" s="172" customFormat="1" ht="15" customHeight="1" x14ac:dyDescent="0.25">
      <c r="A837" s="810" t="s">
        <v>12190</v>
      </c>
      <c r="B837" s="810" t="s">
        <v>4180</v>
      </c>
      <c r="C837" s="810" t="s">
        <v>4180</v>
      </c>
      <c r="D837" s="810" t="s">
        <v>7385</v>
      </c>
      <c r="E837" s="810">
        <v>10</v>
      </c>
      <c r="F837" s="817">
        <v>5</v>
      </c>
      <c r="G837" s="202" t="str">
        <f t="shared" si="13"/>
        <v/>
      </c>
    </row>
    <row r="838" spans="1:7" s="172" customFormat="1" ht="15" customHeight="1" x14ac:dyDescent="0.25">
      <c r="A838" s="810" t="s">
        <v>2597</v>
      </c>
      <c r="B838" s="810" t="s">
        <v>4180</v>
      </c>
      <c r="C838" s="810" t="s">
        <v>4180</v>
      </c>
      <c r="D838" s="810" t="s">
        <v>18284</v>
      </c>
      <c r="E838" s="810">
        <v>40</v>
      </c>
      <c r="F838" s="817">
        <v>5</v>
      </c>
      <c r="G838" s="202" t="str">
        <f t="shared" si="13"/>
        <v/>
      </c>
    </row>
    <row r="839" spans="1:7" s="172" customFormat="1" ht="15" customHeight="1" x14ac:dyDescent="0.25">
      <c r="A839" s="810" t="s">
        <v>2597</v>
      </c>
      <c r="B839" s="810" t="s">
        <v>4180</v>
      </c>
      <c r="C839" s="810" t="s">
        <v>4180</v>
      </c>
      <c r="D839" s="810" t="s">
        <v>18285</v>
      </c>
      <c r="E839" s="810">
        <v>30</v>
      </c>
      <c r="F839" s="817">
        <v>5</v>
      </c>
      <c r="G839" s="202" t="str">
        <f t="shared" si="13"/>
        <v/>
      </c>
    </row>
    <row r="840" spans="1:7" s="172" customFormat="1" ht="15" customHeight="1" x14ac:dyDescent="0.25">
      <c r="A840" s="810" t="s">
        <v>12188</v>
      </c>
      <c r="B840" s="810" t="s">
        <v>4180</v>
      </c>
      <c r="C840" s="810" t="s">
        <v>4180</v>
      </c>
      <c r="D840" s="810" t="s">
        <v>18286</v>
      </c>
      <c r="E840" s="810">
        <v>10</v>
      </c>
      <c r="F840" s="817">
        <v>5</v>
      </c>
      <c r="G840" s="202" t="str">
        <f t="shared" si="13"/>
        <v/>
      </c>
    </row>
    <row r="841" spans="1:7" s="172" customFormat="1" ht="15" customHeight="1" x14ac:dyDescent="0.25">
      <c r="A841" s="810" t="s">
        <v>12264</v>
      </c>
      <c r="B841" s="810" t="s">
        <v>4180</v>
      </c>
      <c r="C841" s="810" t="s">
        <v>4180</v>
      </c>
      <c r="D841" s="810" t="s">
        <v>18287</v>
      </c>
      <c r="E841" s="810">
        <v>630</v>
      </c>
      <c r="F841" s="817">
        <v>610</v>
      </c>
      <c r="G841" s="202" t="str">
        <f t="shared" si="13"/>
        <v/>
      </c>
    </row>
    <row r="842" spans="1:7" s="172" customFormat="1" ht="15" customHeight="1" x14ac:dyDescent="0.25">
      <c r="A842" s="810" t="s">
        <v>12213</v>
      </c>
      <c r="B842" s="810" t="s">
        <v>4180</v>
      </c>
      <c r="C842" s="810" t="s">
        <v>4180</v>
      </c>
      <c r="D842" s="810" t="s">
        <v>18288</v>
      </c>
      <c r="E842" s="810">
        <v>30</v>
      </c>
      <c r="F842" s="817">
        <v>5</v>
      </c>
      <c r="G842" s="202" t="str">
        <f t="shared" si="13"/>
        <v/>
      </c>
    </row>
    <row r="843" spans="1:7" s="172" customFormat="1" ht="15" customHeight="1" x14ac:dyDescent="0.25">
      <c r="A843" s="810" t="s">
        <v>4813</v>
      </c>
      <c r="B843" s="810" t="s">
        <v>4180</v>
      </c>
      <c r="C843" s="810" t="s">
        <v>4180</v>
      </c>
      <c r="D843" s="810" t="s">
        <v>18289</v>
      </c>
      <c r="E843" s="810">
        <v>50</v>
      </c>
      <c r="F843" s="817">
        <v>10</v>
      </c>
      <c r="G843" s="202" t="str">
        <f t="shared" si="13"/>
        <v/>
      </c>
    </row>
    <row r="844" spans="1:7" s="172" customFormat="1" ht="15" customHeight="1" x14ac:dyDescent="0.25">
      <c r="A844" s="810" t="s">
        <v>5028</v>
      </c>
      <c r="B844" s="810" t="s">
        <v>4180</v>
      </c>
      <c r="C844" s="810" t="s">
        <v>4180</v>
      </c>
      <c r="D844" s="810" t="s">
        <v>18290</v>
      </c>
      <c r="E844" s="810">
        <v>100</v>
      </c>
      <c r="F844" s="817">
        <v>15</v>
      </c>
      <c r="G844" s="202" t="str">
        <f t="shared" si="13"/>
        <v/>
      </c>
    </row>
    <row r="845" spans="1:7" s="172" customFormat="1" ht="15" customHeight="1" x14ac:dyDescent="0.25">
      <c r="A845" s="810" t="s">
        <v>5028</v>
      </c>
      <c r="B845" s="810" t="s">
        <v>4180</v>
      </c>
      <c r="C845" s="810" t="s">
        <v>4180</v>
      </c>
      <c r="D845" s="810" t="s">
        <v>7383</v>
      </c>
      <c r="E845" s="810">
        <v>250</v>
      </c>
      <c r="F845" s="817">
        <v>20</v>
      </c>
      <c r="G845" s="202" t="str">
        <f t="shared" si="13"/>
        <v/>
      </c>
    </row>
    <row r="846" spans="1:7" s="172" customFormat="1" ht="15" customHeight="1" x14ac:dyDescent="0.25">
      <c r="A846" s="810" t="s">
        <v>5028</v>
      </c>
      <c r="B846" s="810" t="s">
        <v>4180</v>
      </c>
      <c r="C846" s="810" t="s">
        <v>4180</v>
      </c>
      <c r="D846" s="810" t="s">
        <v>18291</v>
      </c>
      <c r="E846" s="810">
        <v>100</v>
      </c>
      <c r="F846" s="817">
        <v>25</v>
      </c>
      <c r="G846" s="202" t="str">
        <f t="shared" si="13"/>
        <v/>
      </c>
    </row>
    <row r="847" spans="1:7" s="172" customFormat="1" ht="15" customHeight="1" x14ac:dyDescent="0.25">
      <c r="A847" s="810" t="s">
        <v>3495</v>
      </c>
      <c r="B847" s="810" t="s">
        <v>4180</v>
      </c>
      <c r="C847" s="810" t="s">
        <v>4180</v>
      </c>
      <c r="D847" s="810" t="s">
        <v>18292</v>
      </c>
      <c r="E847" s="810">
        <v>60</v>
      </c>
      <c r="F847" s="817">
        <v>5</v>
      </c>
      <c r="G847" s="202" t="str">
        <f t="shared" si="13"/>
        <v/>
      </c>
    </row>
    <row r="848" spans="1:7" s="172" customFormat="1" ht="15" customHeight="1" x14ac:dyDescent="0.25">
      <c r="A848" s="810" t="s">
        <v>2879</v>
      </c>
      <c r="B848" s="810" t="s">
        <v>4180</v>
      </c>
      <c r="C848" s="810" t="s">
        <v>4180</v>
      </c>
      <c r="D848" s="810" t="s">
        <v>18293</v>
      </c>
      <c r="E848" s="810">
        <v>160</v>
      </c>
      <c r="F848" s="817">
        <v>60</v>
      </c>
      <c r="G848" s="202" t="str">
        <f t="shared" si="13"/>
        <v/>
      </c>
    </row>
    <row r="849" spans="1:7" s="172" customFormat="1" ht="15" customHeight="1" x14ac:dyDescent="0.25">
      <c r="A849" s="810" t="s">
        <v>2879</v>
      </c>
      <c r="B849" s="810" t="s">
        <v>4180</v>
      </c>
      <c r="C849" s="810" t="s">
        <v>4180</v>
      </c>
      <c r="D849" s="810" t="s">
        <v>18294</v>
      </c>
      <c r="E849" s="810">
        <v>30</v>
      </c>
      <c r="F849" s="817">
        <v>5</v>
      </c>
      <c r="G849" s="202" t="str">
        <f t="shared" si="13"/>
        <v/>
      </c>
    </row>
    <row r="850" spans="1:7" s="172" customFormat="1" ht="15" customHeight="1" x14ac:dyDescent="0.25">
      <c r="A850" s="810" t="s">
        <v>2879</v>
      </c>
      <c r="B850" s="810" t="s">
        <v>4180</v>
      </c>
      <c r="C850" s="810" t="s">
        <v>4180</v>
      </c>
      <c r="D850" s="810" t="s">
        <v>18295</v>
      </c>
      <c r="E850" s="810">
        <v>60</v>
      </c>
      <c r="F850" s="817">
        <v>30</v>
      </c>
      <c r="G850" s="202" t="str">
        <f t="shared" si="13"/>
        <v/>
      </c>
    </row>
    <row r="851" spans="1:7" s="172" customFormat="1" ht="15" customHeight="1" x14ac:dyDescent="0.25">
      <c r="A851" s="810" t="s">
        <v>12241</v>
      </c>
      <c r="B851" s="810" t="s">
        <v>4180</v>
      </c>
      <c r="C851" s="810" t="s">
        <v>4180</v>
      </c>
      <c r="D851" s="810" t="s">
        <v>18296</v>
      </c>
      <c r="E851" s="810">
        <v>30</v>
      </c>
      <c r="F851" s="817">
        <v>15</v>
      </c>
      <c r="G851" s="202" t="str">
        <f t="shared" si="13"/>
        <v/>
      </c>
    </row>
    <row r="852" spans="1:7" s="172" customFormat="1" ht="15" customHeight="1" x14ac:dyDescent="0.25">
      <c r="A852" s="810" t="s">
        <v>12182</v>
      </c>
      <c r="B852" s="810" t="s">
        <v>4180</v>
      </c>
      <c r="C852" s="810" t="s">
        <v>4180</v>
      </c>
      <c r="D852" s="810" t="s">
        <v>18297</v>
      </c>
      <c r="E852" s="810">
        <v>10</v>
      </c>
      <c r="F852" s="817">
        <v>5</v>
      </c>
      <c r="G852" s="202" t="str">
        <f t="shared" si="13"/>
        <v/>
      </c>
    </row>
    <row r="853" spans="1:7" s="172" customFormat="1" ht="15" customHeight="1" x14ac:dyDescent="0.25">
      <c r="A853" s="810" t="s">
        <v>12192</v>
      </c>
      <c r="B853" s="810" t="s">
        <v>4180</v>
      </c>
      <c r="C853" s="810" t="s">
        <v>4180</v>
      </c>
      <c r="D853" s="810" t="s">
        <v>7387</v>
      </c>
      <c r="E853" s="810">
        <v>160</v>
      </c>
      <c r="F853" s="817">
        <v>65</v>
      </c>
      <c r="G853" s="202" t="str">
        <f t="shared" si="13"/>
        <v/>
      </c>
    </row>
    <row r="854" spans="1:7" s="172" customFormat="1" ht="15" customHeight="1" x14ac:dyDescent="0.25">
      <c r="A854" s="810" t="s">
        <v>12192</v>
      </c>
      <c r="B854" s="810" t="s">
        <v>4180</v>
      </c>
      <c r="C854" s="810" t="s">
        <v>4180</v>
      </c>
      <c r="D854" s="810" t="s">
        <v>7389</v>
      </c>
      <c r="E854" s="810">
        <v>30</v>
      </c>
      <c r="F854" s="817">
        <v>5</v>
      </c>
      <c r="G854" s="202" t="str">
        <f t="shared" si="13"/>
        <v/>
      </c>
    </row>
    <row r="855" spans="1:7" s="172" customFormat="1" ht="15" customHeight="1" x14ac:dyDescent="0.25">
      <c r="A855" s="810" t="s">
        <v>12192</v>
      </c>
      <c r="B855" s="810" t="s">
        <v>4180</v>
      </c>
      <c r="C855" s="810" t="s">
        <v>4180</v>
      </c>
      <c r="D855" s="810" t="s">
        <v>18298</v>
      </c>
      <c r="E855" s="810">
        <v>250</v>
      </c>
      <c r="F855" s="817">
        <v>20</v>
      </c>
      <c r="G855" s="202" t="str">
        <f t="shared" si="13"/>
        <v/>
      </c>
    </row>
    <row r="856" spans="1:7" s="172" customFormat="1" ht="15" customHeight="1" x14ac:dyDescent="0.25">
      <c r="A856" s="810" t="s">
        <v>12192</v>
      </c>
      <c r="B856" s="810" t="s">
        <v>4180</v>
      </c>
      <c r="C856" s="810" t="s">
        <v>4180</v>
      </c>
      <c r="D856" s="810" t="s">
        <v>18299</v>
      </c>
      <c r="E856" s="810">
        <v>60</v>
      </c>
      <c r="F856" s="817">
        <v>35</v>
      </c>
      <c r="G856" s="202" t="str">
        <f t="shared" si="13"/>
        <v/>
      </c>
    </row>
    <row r="857" spans="1:7" s="172" customFormat="1" ht="15" customHeight="1" x14ac:dyDescent="0.25">
      <c r="A857" s="810" t="s">
        <v>12205</v>
      </c>
      <c r="B857" s="810" t="s">
        <v>4180</v>
      </c>
      <c r="C857" s="810" t="s">
        <v>4180</v>
      </c>
      <c r="D857" s="810" t="s">
        <v>18300</v>
      </c>
      <c r="E857" s="810">
        <v>100</v>
      </c>
      <c r="F857" s="817">
        <v>55</v>
      </c>
      <c r="G857" s="202" t="str">
        <f t="shared" si="13"/>
        <v/>
      </c>
    </row>
    <row r="858" spans="1:7" s="172" customFormat="1" ht="15" customHeight="1" x14ac:dyDescent="0.25">
      <c r="A858" s="810" t="s">
        <v>9187</v>
      </c>
      <c r="B858" s="810" t="s">
        <v>4180</v>
      </c>
      <c r="C858" s="810" t="s">
        <v>4180</v>
      </c>
      <c r="D858" s="810" t="s">
        <v>18301</v>
      </c>
      <c r="E858" s="810">
        <v>30</v>
      </c>
      <c r="F858" s="817">
        <v>5</v>
      </c>
      <c r="G858" s="202" t="str">
        <f t="shared" si="13"/>
        <v/>
      </c>
    </row>
    <row r="859" spans="1:7" s="172" customFormat="1" ht="15" customHeight="1" x14ac:dyDescent="0.25">
      <c r="A859" s="810" t="s">
        <v>9187</v>
      </c>
      <c r="B859" s="810" t="s">
        <v>4180</v>
      </c>
      <c r="C859" s="810" t="s">
        <v>4180</v>
      </c>
      <c r="D859" s="810" t="s">
        <v>18302</v>
      </c>
      <c r="E859" s="810">
        <v>60</v>
      </c>
      <c r="F859" s="817">
        <v>25</v>
      </c>
      <c r="G859" s="202" t="str">
        <f t="shared" si="13"/>
        <v/>
      </c>
    </row>
    <row r="860" spans="1:7" s="172" customFormat="1" ht="15" customHeight="1" x14ac:dyDescent="0.25">
      <c r="A860" s="810" t="s">
        <v>12211</v>
      </c>
      <c r="B860" s="810" t="s">
        <v>4180</v>
      </c>
      <c r="C860" s="810" t="s">
        <v>4180</v>
      </c>
      <c r="D860" s="810" t="s">
        <v>18303</v>
      </c>
      <c r="E860" s="810">
        <v>60</v>
      </c>
      <c r="F860" s="817">
        <v>5</v>
      </c>
      <c r="G860" s="202" t="str">
        <f t="shared" si="13"/>
        <v/>
      </c>
    </row>
    <row r="861" spans="1:7" s="172" customFormat="1" ht="15" customHeight="1" x14ac:dyDescent="0.25">
      <c r="A861" s="810" t="s">
        <v>11808</v>
      </c>
      <c r="B861" s="810" t="s">
        <v>4180</v>
      </c>
      <c r="C861" s="810" t="s">
        <v>4180</v>
      </c>
      <c r="D861" s="810" t="s">
        <v>18304</v>
      </c>
      <c r="E861" s="810">
        <v>25</v>
      </c>
      <c r="F861" s="817">
        <v>5</v>
      </c>
      <c r="G861" s="202" t="str">
        <f t="shared" si="13"/>
        <v/>
      </c>
    </row>
    <row r="862" spans="1:7" s="172" customFormat="1" ht="15" customHeight="1" x14ac:dyDescent="0.25">
      <c r="A862" s="810" t="s">
        <v>12231</v>
      </c>
      <c r="B862" s="810" t="s">
        <v>4180</v>
      </c>
      <c r="C862" s="810" t="s">
        <v>4180</v>
      </c>
      <c r="D862" s="810" t="s">
        <v>18305</v>
      </c>
      <c r="E862" s="810">
        <v>160</v>
      </c>
      <c r="F862" s="817">
        <v>80</v>
      </c>
      <c r="G862" s="202" t="str">
        <f t="shared" si="13"/>
        <v/>
      </c>
    </row>
    <row r="863" spans="1:7" s="172" customFormat="1" ht="15" customHeight="1" x14ac:dyDescent="0.25">
      <c r="A863" s="810" t="s">
        <v>12227</v>
      </c>
      <c r="B863" s="810" t="s">
        <v>4180</v>
      </c>
      <c r="C863" s="810" t="s">
        <v>4180</v>
      </c>
      <c r="D863" s="810" t="s">
        <v>18306</v>
      </c>
      <c r="E863" s="810">
        <v>30</v>
      </c>
      <c r="F863" s="817">
        <v>10</v>
      </c>
      <c r="G863" s="202" t="str">
        <f t="shared" si="13"/>
        <v/>
      </c>
    </row>
    <row r="864" spans="1:7" s="172" customFormat="1" ht="15" customHeight="1" x14ac:dyDescent="0.25">
      <c r="A864" s="810" t="s">
        <v>12170</v>
      </c>
      <c r="B864" s="810" t="s">
        <v>4180</v>
      </c>
      <c r="C864" s="810" t="s">
        <v>4180</v>
      </c>
      <c r="D864" s="810" t="s">
        <v>18307</v>
      </c>
      <c r="E864" s="810">
        <v>180</v>
      </c>
      <c r="F864" s="817">
        <v>5</v>
      </c>
      <c r="G864" s="202" t="str">
        <f t="shared" si="13"/>
        <v/>
      </c>
    </row>
    <row r="865" spans="1:7" s="172" customFormat="1" ht="15" customHeight="1" x14ac:dyDescent="0.25">
      <c r="A865" s="810" t="s">
        <v>12170</v>
      </c>
      <c r="B865" s="810" t="s">
        <v>4180</v>
      </c>
      <c r="C865" s="810" t="s">
        <v>4180</v>
      </c>
      <c r="D865" s="810" t="s">
        <v>18308</v>
      </c>
      <c r="E865" s="810">
        <v>250</v>
      </c>
      <c r="F865" s="817">
        <v>180</v>
      </c>
      <c r="G865" s="202" t="str">
        <f t="shared" si="13"/>
        <v/>
      </c>
    </row>
    <row r="866" spans="1:7" s="172" customFormat="1" ht="15" customHeight="1" x14ac:dyDescent="0.25">
      <c r="A866" s="810" t="s">
        <v>12238</v>
      </c>
      <c r="B866" s="810" t="s">
        <v>4180</v>
      </c>
      <c r="C866" s="810" t="s">
        <v>4180</v>
      </c>
      <c r="D866" s="810" t="s">
        <v>18309</v>
      </c>
      <c r="E866" s="810">
        <v>40</v>
      </c>
      <c r="F866" s="817">
        <v>10</v>
      </c>
      <c r="G866" s="202" t="str">
        <f t="shared" si="13"/>
        <v/>
      </c>
    </row>
    <row r="867" spans="1:7" s="172" customFormat="1" ht="15" customHeight="1" x14ac:dyDescent="0.25">
      <c r="A867" s="810" t="s">
        <v>12239</v>
      </c>
      <c r="B867" s="810" t="s">
        <v>4180</v>
      </c>
      <c r="C867" s="810" t="s">
        <v>4180</v>
      </c>
      <c r="D867" s="810" t="s">
        <v>18310</v>
      </c>
      <c r="E867" s="810">
        <v>40</v>
      </c>
      <c r="F867" s="817">
        <v>5</v>
      </c>
      <c r="G867" s="202" t="str">
        <f t="shared" si="13"/>
        <v/>
      </c>
    </row>
    <row r="868" spans="1:7" s="172" customFormat="1" ht="15" customHeight="1" x14ac:dyDescent="0.25">
      <c r="A868" s="810" t="s">
        <v>12181</v>
      </c>
      <c r="B868" s="810" t="s">
        <v>4180</v>
      </c>
      <c r="C868" s="810" t="s">
        <v>4180</v>
      </c>
      <c r="D868" s="810" t="s">
        <v>18311</v>
      </c>
      <c r="E868" s="810">
        <v>100</v>
      </c>
      <c r="F868" s="817">
        <v>25</v>
      </c>
      <c r="G868" s="202" t="str">
        <f t="shared" si="13"/>
        <v/>
      </c>
    </row>
    <row r="869" spans="1:7" s="172" customFormat="1" ht="15" customHeight="1" x14ac:dyDescent="0.25">
      <c r="A869" s="810" t="s">
        <v>12244</v>
      </c>
      <c r="B869" s="810" t="s">
        <v>4180</v>
      </c>
      <c r="C869" s="810" t="s">
        <v>4180</v>
      </c>
      <c r="D869" s="810" t="s">
        <v>18312</v>
      </c>
      <c r="E869" s="810">
        <v>60</v>
      </c>
      <c r="F869" s="817">
        <v>10</v>
      </c>
      <c r="G869" s="202" t="str">
        <f t="shared" si="13"/>
        <v/>
      </c>
    </row>
    <row r="870" spans="1:7" s="172" customFormat="1" ht="15" customHeight="1" x14ac:dyDescent="0.25">
      <c r="A870" s="810" t="s">
        <v>12256</v>
      </c>
      <c r="B870" s="810" t="s">
        <v>4180</v>
      </c>
      <c r="C870" s="810" t="s">
        <v>4180</v>
      </c>
      <c r="D870" s="810" t="s">
        <v>18313</v>
      </c>
      <c r="E870" s="810">
        <v>100</v>
      </c>
      <c r="F870" s="817">
        <v>5</v>
      </c>
      <c r="G870" s="202" t="str">
        <f t="shared" si="13"/>
        <v/>
      </c>
    </row>
    <row r="871" spans="1:7" s="172" customFormat="1" ht="15" customHeight="1" x14ac:dyDescent="0.25">
      <c r="A871" s="810" t="s">
        <v>12256</v>
      </c>
      <c r="B871" s="810" t="s">
        <v>4180</v>
      </c>
      <c r="C871" s="810" t="s">
        <v>4180</v>
      </c>
      <c r="D871" s="810" t="s">
        <v>18314</v>
      </c>
      <c r="E871" s="810">
        <v>250</v>
      </c>
      <c r="F871" s="817">
        <v>5</v>
      </c>
      <c r="G871" s="202" t="str">
        <f t="shared" si="13"/>
        <v/>
      </c>
    </row>
    <row r="872" spans="1:7" s="172" customFormat="1" ht="15" customHeight="1" x14ac:dyDescent="0.25">
      <c r="A872" s="810" t="s">
        <v>12183</v>
      </c>
      <c r="B872" s="810" t="s">
        <v>4180</v>
      </c>
      <c r="C872" s="810" t="s">
        <v>4180</v>
      </c>
      <c r="D872" s="810" t="s">
        <v>18315</v>
      </c>
      <c r="E872" s="810">
        <v>60</v>
      </c>
      <c r="F872" s="817">
        <v>5</v>
      </c>
      <c r="G872" s="202" t="str">
        <f t="shared" si="13"/>
        <v/>
      </c>
    </row>
    <row r="873" spans="1:7" s="172" customFormat="1" ht="15" customHeight="1" x14ac:dyDescent="0.25">
      <c r="A873" s="810" t="s">
        <v>12233</v>
      </c>
      <c r="B873" s="810" t="s">
        <v>4180</v>
      </c>
      <c r="C873" s="810" t="s">
        <v>4180</v>
      </c>
      <c r="D873" s="810" t="s">
        <v>18316</v>
      </c>
      <c r="E873" s="810">
        <v>100</v>
      </c>
      <c r="F873" s="817">
        <v>50</v>
      </c>
      <c r="G873" s="202" t="str">
        <f t="shared" si="13"/>
        <v/>
      </c>
    </row>
    <row r="874" spans="1:7" s="172" customFormat="1" ht="15" customHeight="1" x14ac:dyDescent="0.25">
      <c r="A874" s="810" t="s">
        <v>12233</v>
      </c>
      <c r="B874" s="810" t="s">
        <v>4180</v>
      </c>
      <c r="C874" s="810" t="s">
        <v>4180</v>
      </c>
      <c r="D874" s="810" t="s">
        <v>18317</v>
      </c>
      <c r="E874" s="810">
        <v>100</v>
      </c>
      <c r="F874" s="817">
        <v>20</v>
      </c>
      <c r="G874" s="202" t="str">
        <f t="shared" si="13"/>
        <v/>
      </c>
    </row>
    <row r="875" spans="1:7" s="172" customFormat="1" ht="15" customHeight="1" x14ac:dyDescent="0.25">
      <c r="A875" s="810" t="s">
        <v>12233</v>
      </c>
      <c r="B875" s="810" t="s">
        <v>4180</v>
      </c>
      <c r="C875" s="810" t="s">
        <v>4180</v>
      </c>
      <c r="D875" s="810" t="s">
        <v>18318</v>
      </c>
      <c r="E875" s="810">
        <v>250</v>
      </c>
      <c r="F875" s="817">
        <v>150</v>
      </c>
      <c r="G875" s="202" t="str">
        <f t="shared" si="13"/>
        <v/>
      </c>
    </row>
    <row r="876" spans="1:7" s="172" customFormat="1" ht="15" customHeight="1" x14ac:dyDescent="0.25">
      <c r="A876" s="810" t="s">
        <v>12233</v>
      </c>
      <c r="B876" s="810" t="s">
        <v>4180</v>
      </c>
      <c r="C876" s="810" t="s">
        <v>4180</v>
      </c>
      <c r="D876" s="810" t="s">
        <v>18319</v>
      </c>
      <c r="E876" s="810">
        <v>60</v>
      </c>
      <c r="F876" s="817">
        <v>25</v>
      </c>
      <c r="G876" s="202" t="str">
        <f t="shared" si="13"/>
        <v/>
      </c>
    </row>
    <row r="877" spans="1:7" s="172" customFormat="1" ht="15" customHeight="1" x14ac:dyDescent="0.25">
      <c r="A877" s="810" t="s">
        <v>12233</v>
      </c>
      <c r="B877" s="810" t="s">
        <v>4180</v>
      </c>
      <c r="C877" s="810" t="s">
        <v>4180</v>
      </c>
      <c r="D877" s="810" t="s">
        <v>18320</v>
      </c>
      <c r="E877" s="810">
        <v>800</v>
      </c>
      <c r="F877" s="817">
        <v>468</v>
      </c>
      <c r="G877" s="202" t="str">
        <f t="shared" si="13"/>
        <v/>
      </c>
    </row>
    <row r="878" spans="1:7" s="172" customFormat="1" ht="15" customHeight="1" x14ac:dyDescent="0.25">
      <c r="A878" s="810" t="s">
        <v>12233</v>
      </c>
      <c r="B878" s="810" t="s">
        <v>4180</v>
      </c>
      <c r="C878" s="810" t="s">
        <v>4180</v>
      </c>
      <c r="D878" s="810" t="s">
        <v>18321</v>
      </c>
      <c r="E878" s="810">
        <v>160</v>
      </c>
      <c r="F878" s="817">
        <v>47</v>
      </c>
      <c r="G878" s="202" t="str">
        <f t="shared" si="13"/>
        <v/>
      </c>
    </row>
    <row r="879" spans="1:7" s="172" customFormat="1" ht="15" customHeight="1" x14ac:dyDescent="0.25">
      <c r="A879" s="810" t="s">
        <v>12233</v>
      </c>
      <c r="B879" s="810" t="s">
        <v>4180</v>
      </c>
      <c r="C879" s="810" t="s">
        <v>4180</v>
      </c>
      <c r="D879" s="810" t="s">
        <v>18322</v>
      </c>
      <c r="E879" s="810">
        <v>100</v>
      </c>
      <c r="F879" s="817">
        <v>28</v>
      </c>
      <c r="G879" s="202" t="str">
        <f t="shared" si="13"/>
        <v/>
      </c>
    </row>
    <row r="880" spans="1:7" s="172" customFormat="1" ht="15" customHeight="1" x14ac:dyDescent="0.25">
      <c r="A880" s="810" t="s">
        <v>12233</v>
      </c>
      <c r="B880" s="810" t="s">
        <v>4180</v>
      </c>
      <c r="C880" s="810" t="s">
        <v>4180</v>
      </c>
      <c r="D880" s="810" t="s">
        <v>18323</v>
      </c>
      <c r="E880" s="810">
        <v>250</v>
      </c>
      <c r="F880" s="817">
        <v>100</v>
      </c>
      <c r="G880" s="202" t="str">
        <f t="shared" si="13"/>
        <v/>
      </c>
    </row>
    <row r="881" spans="1:7" s="172" customFormat="1" ht="15" customHeight="1" x14ac:dyDescent="0.25">
      <c r="A881" s="810" t="s">
        <v>12233</v>
      </c>
      <c r="B881" s="810" t="s">
        <v>4180</v>
      </c>
      <c r="C881" s="810" t="s">
        <v>4180</v>
      </c>
      <c r="D881" s="810" t="s">
        <v>18324</v>
      </c>
      <c r="E881" s="810">
        <v>160</v>
      </c>
      <c r="F881" s="817">
        <v>5</v>
      </c>
      <c r="G881" s="202" t="str">
        <f t="shared" si="13"/>
        <v/>
      </c>
    </row>
    <row r="882" spans="1:7" s="172" customFormat="1" ht="15" customHeight="1" x14ac:dyDescent="0.25">
      <c r="A882" s="810" t="s">
        <v>12233</v>
      </c>
      <c r="B882" s="810" t="s">
        <v>4180</v>
      </c>
      <c r="C882" s="810" t="s">
        <v>4180</v>
      </c>
      <c r="D882" s="810" t="s">
        <v>18325</v>
      </c>
      <c r="E882" s="810">
        <v>400</v>
      </c>
      <c r="F882" s="817">
        <v>300</v>
      </c>
      <c r="G882" s="202" t="str">
        <f t="shared" si="13"/>
        <v/>
      </c>
    </row>
    <row r="883" spans="1:7" s="172" customFormat="1" ht="15" customHeight="1" x14ac:dyDescent="0.25">
      <c r="A883" s="810" t="s">
        <v>12233</v>
      </c>
      <c r="B883" s="810" t="s">
        <v>4180</v>
      </c>
      <c r="C883" s="810" t="s">
        <v>4180</v>
      </c>
      <c r="D883" s="810" t="s">
        <v>18326</v>
      </c>
      <c r="E883" s="810">
        <v>250</v>
      </c>
      <c r="F883" s="817">
        <v>50</v>
      </c>
      <c r="G883" s="202" t="str">
        <f t="shared" si="13"/>
        <v/>
      </c>
    </row>
    <row r="884" spans="1:7" s="172" customFormat="1" ht="15" customHeight="1" x14ac:dyDescent="0.25">
      <c r="A884" s="810" t="s">
        <v>12233</v>
      </c>
      <c r="B884" s="810" t="s">
        <v>4180</v>
      </c>
      <c r="C884" s="810" t="s">
        <v>4180</v>
      </c>
      <c r="D884" s="810" t="s">
        <v>18327</v>
      </c>
      <c r="E884" s="810">
        <v>160</v>
      </c>
      <c r="F884" s="817">
        <v>45</v>
      </c>
      <c r="G884" s="202" t="str">
        <f t="shared" si="13"/>
        <v/>
      </c>
    </row>
    <row r="885" spans="1:7" s="172" customFormat="1" ht="15" customHeight="1" x14ac:dyDescent="0.25">
      <c r="A885" s="810" t="s">
        <v>12215</v>
      </c>
      <c r="B885" s="810" t="s">
        <v>4180</v>
      </c>
      <c r="C885" s="810" t="s">
        <v>4180</v>
      </c>
      <c r="D885" s="810" t="s">
        <v>18328</v>
      </c>
      <c r="E885" s="810">
        <v>63</v>
      </c>
      <c r="F885" s="817">
        <v>10</v>
      </c>
      <c r="G885" s="202" t="str">
        <f t="shared" si="13"/>
        <v/>
      </c>
    </row>
    <row r="886" spans="1:7" s="172" customFormat="1" ht="15" customHeight="1" x14ac:dyDescent="0.25">
      <c r="A886" s="810" t="s">
        <v>12262</v>
      </c>
      <c r="B886" s="810" t="s">
        <v>4180</v>
      </c>
      <c r="C886" s="810" t="s">
        <v>4180</v>
      </c>
      <c r="D886" s="810" t="s">
        <v>18329</v>
      </c>
      <c r="E886" s="810">
        <v>63</v>
      </c>
      <c r="F886" s="817">
        <v>33</v>
      </c>
      <c r="G886" s="202" t="str">
        <f t="shared" si="13"/>
        <v/>
      </c>
    </row>
    <row r="887" spans="1:7" s="172" customFormat="1" ht="15" customHeight="1" x14ac:dyDescent="0.25">
      <c r="A887" s="810" t="s">
        <v>12249</v>
      </c>
      <c r="B887" s="810" t="s">
        <v>4180</v>
      </c>
      <c r="C887" s="810" t="s">
        <v>4180</v>
      </c>
      <c r="D887" s="810" t="s">
        <v>18330</v>
      </c>
      <c r="E887" s="810">
        <v>30</v>
      </c>
      <c r="F887" s="817">
        <v>10</v>
      </c>
      <c r="G887" s="202" t="str">
        <f t="shared" si="13"/>
        <v/>
      </c>
    </row>
    <row r="888" spans="1:7" s="172" customFormat="1" ht="15" customHeight="1" x14ac:dyDescent="0.25">
      <c r="A888" s="810" t="s">
        <v>12199</v>
      </c>
      <c r="B888" s="810" t="s">
        <v>4180</v>
      </c>
      <c r="C888" s="810" t="s">
        <v>4180</v>
      </c>
      <c r="D888" s="810" t="s">
        <v>18331</v>
      </c>
      <c r="E888" s="810">
        <v>160</v>
      </c>
      <c r="F888" s="817">
        <v>15</v>
      </c>
      <c r="G888" s="202" t="str">
        <f t="shared" si="13"/>
        <v/>
      </c>
    </row>
    <row r="889" spans="1:7" s="172" customFormat="1" ht="15" customHeight="1" x14ac:dyDescent="0.25">
      <c r="A889" s="810" t="s">
        <v>12199</v>
      </c>
      <c r="B889" s="810" t="s">
        <v>4180</v>
      </c>
      <c r="C889" s="810" t="s">
        <v>4180</v>
      </c>
      <c r="D889" s="810" t="s">
        <v>18332</v>
      </c>
      <c r="E889" s="810">
        <v>160</v>
      </c>
      <c r="F889" s="817">
        <v>10</v>
      </c>
      <c r="G889" s="202" t="str">
        <f t="shared" si="13"/>
        <v/>
      </c>
    </row>
    <row r="890" spans="1:7" s="172" customFormat="1" ht="15" customHeight="1" x14ac:dyDescent="0.25">
      <c r="A890" s="810" t="s">
        <v>12199</v>
      </c>
      <c r="B890" s="810" t="s">
        <v>4180</v>
      </c>
      <c r="C890" s="810" t="s">
        <v>4180</v>
      </c>
      <c r="D890" s="810" t="s">
        <v>18333</v>
      </c>
      <c r="E890" s="810">
        <v>500</v>
      </c>
      <c r="F890" s="817">
        <v>190</v>
      </c>
      <c r="G890" s="202" t="str">
        <f t="shared" si="13"/>
        <v/>
      </c>
    </row>
    <row r="891" spans="1:7" s="172" customFormat="1" ht="15" customHeight="1" x14ac:dyDescent="0.25">
      <c r="A891" s="810" t="s">
        <v>12199</v>
      </c>
      <c r="B891" s="810" t="s">
        <v>4180</v>
      </c>
      <c r="C891" s="810" t="s">
        <v>4180</v>
      </c>
      <c r="D891" s="810" t="s">
        <v>18334</v>
      </c>
      <c r="E891" s="810">
        <v>250</v>
      </c>
      <c r="F891" s="817">
        <v>5</v>
      </c>
      <c r="G891" s="202" t="str">
        <f t="shared" si="13"/>
        <v/>
      </c>
    </row>
    <row r="892" spans="1:7" s="172" customFormat="1" ht="15" customHeight="1" x14ac:dyDescent="0.25">
      <c r="A892" s="810" t="s">
        <v>12252</v>
      </c>
      <c r="B892" s="810" t="s">
        <v>4180</v>
      </c>
      <c r="C892" s="810" t="s">
        <v>4180</v>
      </c>
      <c r="D892" s="810" t="s">
        <v>18335</v>
      </c>
      <c r="E892" s="810">
        <v>63</v>
      </c>
      <c r="F892" s="817">
        <v>5</v>
      </c>
      <c r="G892" s="202" t="str">
        <f t="shared" si="13"/>
        <v/>
      </c>
    </row>
    <row r="893" spans="1:7" s="172" customFormat="1" ht="15" customHeight="1" x14ac:dyDescent="0.25">
      <c r="A893" s="810" t="s">
        <v>12254</v>
      </c>
      <c r="B893" s="810" t="s">
        <v>4180</v>
      </c>
      <c r="C893" s="810" t="s">
        <v>4180</v>
      </c>
      <c r="D893" s="810" t="s">
        <v>18336</v>
      </c>
      <c r="E893" s="810">
        <v>50</v>
      </c>
      <c r="F893" s="817">
        <v>15</v>
      </c>
      <c r="G893" s="202" t="str">
        <f t="shared" si="13"/>
        <v/>
      </c>
    </row>
    <row r="894" spans="1:7" s="172" customFormat="1" ht="15" customHeight="1" x14ac:dyDescent="0.25">
      <c r="A894" s="810" t="s">
        <v>2535</v>
      </c>
      <c r="B894" s="810" t="s">
        <v>4180</v>
      </c>
      <c r="C894" s="810" t="s">
        <v>4180</v>
      </c>
      <c r="D894" s="810" t="s">
        <v>18337</v>
      </c>
      <c r="E894" s="810">
        <v>30</v>
      </c>
      <c r="F894" s="817">
        <v>5</v>
      </c>
      <c r="G894" s="202" t="str">
        <f t="shared" si="13"/>
        <v/>
      </c>
    </row>
    <row r="895" spans="1:7" s="172" customFormat="1" ht="15" customHeight="1" x14ac:dyDescent="0.25">
      <c r="A895" s="810" t="s">
        <v>12172</v>
      </c>
      <c r="B895" s="810" t="s">
        <v>4180</v>
      </c>
      <c r="C895" s="810" t="s">
        <v>4180</v>
      </c>
      <c r="D895" s="810" t="s">
        <v>18338</v>
      </c>
      <c r="E895" s="810">
        <v>800</v>
      </c>
      <c r="F895" s="817">
        <v>90</v>
      </c>
      <c r="G895" s="202" t="str">
        <f t="shared" si="13"/>
        <v/>
      </c>
    </row>
    <row r="896" spans="1:7" s="172" customFormat="1" ht="15" customHeight="1" x14ac:dyDescent="0.25">
      <c r="A896" s="810" t="s">
        <v>12172</v>
      </c>
      <c r="B896" s="810" t="s">
        <v>4180</v>
      </c>
      <c r="C896" s="810" t="s">
        <v>4180</v>
      </c>
      <c r="D896" s="810" t="s">
        <v>18339</v>
      </c>
      <c r="E896" s="810">
        <v>250</v>
      </c>
      <c r="F896" s="817">
        <v>190</v>
      </c>
      <c r="G896" s="202" t="str">
        <f t="shared" si="13"/>
        <v/>
      </c>
    </row>
    <row r="897" spans="1:7" s="172" customFormat="1" ht="15" customHeight="1" x14ac:dyDescent="0.25">
      <c r="A897" s="810" t="s">
        <v>12172</v>
      </c>
      <c r="B897" s="810" t="s">
        <v>4180</v>
      </c>
      <c r="C897" s="810" t="s">
        <v>4180</v>
      </c>
      <c r="D897" s="810" t="s">
        <v>18340</v>
      </c>
      <c r="E897" s="810">
        <v>500</v>
      </c>
      <c r="F897" s="817">
        <v>25</v>
      </c>
      <c r="G897" s="202" t="str">
        <f t="shared" si="13"/>
        <v/>
      </c>
    </row>
    <row r="898" spans="1:7" s="172" customFormat="1" ht="15" customHeight="1" x14ac:dyDescent="0.25">
      <c r="A898" s="810" t="s">
        <v>12172</v>
      </c>
      <c r="B898" s="810" t="s">
        <v>4180</v>
      </c>
      <c r="C898" s="810" t="s">
        <v>4180</v>
      </c>
      <c r="D898" s="810" t="s">
        <v>18341</v>
      </c>
      <c r="E898" s="810">
        <v>100</v>
      </c>
      <c r="F898" s="817">
        <v>15</v>
      </c>
      <c r="G898" s="202" t="str">
        <f t="shared" si="13"/>
        <v/>
      </c>
    </row>
    <row r="899" spans="1:7" s="172" customFormat="1" ht="15" customHeight="1" x14ac:dyDescent="0.25">
      <c r="A899" s="810" t="s">
        <v>12172</v>
      </c>
      <c r="B899" s="810" t="s">
        <v>4180</v>
      </c>
      <c r="C899" s="810" t="s">
        <v>4180</v>
      </c>
      <c r="D899" s="810" t="s">
        <v>18342</v>
      </c>
      <c r="E899" s="810">
        <v>60</v>
      </c>
      <c r="F899" s="817">
        <v>25</v>
      </c>
      <c r="G899" s="202" t="str">
        <f t="shared" si="13"/>
        <v/>
      </c>
    </row>
    <row r="900" spans="1:7" s="172" customFormat="1" ht="15" customHeight="1" x14ac:dyDescent="0.25">
      <c r="A900" s="810" t="s">
        <v>2791</v>
      </c>
      <c r="B900" s="810" t="s">
        <v>4180</v>
      </c>
      <c r="C900" s="810" t="s">
        <v>4180</v>
      </c>
      <c r="D900" s="810" t="s">
        <v>18343</v>
      </c>
      <c r="E900" s="810">
        <v>63</v>
      </c>
      <c r="F900" s="817">
        <v>15</v>
      </c>
      <c r="G900" s="202" t="str">
        <f t="shared" ref="G900:G963" si="14">IF(E900=F900,"не загружен","")</f>
        <v/>
      </c>
    </row>
    <row r="901" spans="1:7" s="172" customFormat="1" ht="15" customHeight="1" x14ac:dyDescent="0.25">
      <c r="A901" s="810" t="s">
        <v>5923</v>
      </c>
      <c r="B901" s="810" t="s">
        <v>4180</v>
      </c>
      <c r="C901" s="810" t="s">
        <v>4180</v>
      </c>
      <c r="D901" s="810" t="s">
        <v>18344</v>
      </c>
      <c r="E901" s="810">
        <v>30</v>
      </c>
      <c r="F901" s="817">
        <v>5</v>
      </c>
      <c r="G901" s="202" t="str">
        <f t="shared" si="14"/>
        <v/>
      </c>
    </row>
    <row r="902" spans="1:7" s="172" customFormat="1" ht="15" customHeight="1" x14ac:dyDescent="0.25">
      <c r="A902" s="810" t="s">
        <v>12229</v>
      </c>
      <c r="B902" s="810" t="s">
        <v>4180</v>
      </c>
      <c r="C902" s="810" t="s">
        <v>4180</v>
      </c>
      <c r="D902" s="810" t="s">
        <v>18345</v>
      </c>
      <c r="E902" s="810">
        <v>160</v>
      </c>
      <c r="F902" s="817">
        <v>20</v>
      </c>
      <c r="G902" s="202" t="str">
        <f t="shared" si="14"/>
        <v/>
      </c>
    </row>
    <row r="903" spans="1:7" s="172" customFormat="1" ht="15" customHeight="1" x14ac:dyDescent="0.25">
      <c r="A903" s="810" t="s">
        <v>12169</v>
      </c>
      <c r="B903" s="810" t="s">
        <v>4180</v>
      </c>
      <c r="C903" s="810" t="s">
        <v>4180</v>
      </c>
      <c r="D903" s="810" t="s">
        <v>18346</v>
      </c>
      <c r="E903" s="810">
        <v>63</v>
      </c>
      <c r="F903" s="817">
        <v>40</v>
      </c>
      <c r="G903" s="202" t="str">
        <f t="shared" si="14"/>
        <v/>
      </c>
    </row>
    <row r="904" spans="1:7" s="172" customFormat="1" ht="15" customHeight="1" x14ac:dyDescent="0.25">
      <c r="A904" s="810" t="s">
        <v>12198</v>
      </c>
      <c r="B904" s="810" t="s">
        <v>4180</v>
      </c>
      <c r="C904" s="810" t="s">
        <v>4180</v>
      </c>
      <c r="D904" s="810" t="s">
        <v>18347</v>
      </c>
      <c r="E904" s="810">
        <v>30</v>
      </c>
      <c r="F904" s="817">
        <v>5</v>
      </c>
      <c r="G904" s="202" t="str">
        <f t="shared" si="14"/>
        <v/>
      </c>
    </row>
    <row r="905" spans="1:7" s="172" customFormat="1" ht="15" customHeight="1" x14ac:dyDescent="0.25">
      <c r="A905" s="810" t="s">
        <v>12258</v>
      </c>
      <c r="B905" s="810" t="s">
        <v>4180</v>
      </c>
      <c r="C905" s="810" t="s">
        <v>4180</v>
      </c>
      <c r="D905" s="810" t="s">
        <v>18348</v>
      </c>
      <c r="E905" s="810">
        <v>60</v>
      </c>
      <c r="F905" s="817">
        <v>20</v>
      </c>
      <c r="G905" s="202" t="str">
        <f t="shared" si="14"/>
        <v/>
      </c>
    </row>
    <row r="906" spans="1:7" s="172" customFormat="1" ht="15" customHeight="1" x14ac:dyDescent="0.25">
      <c r="A906" s="810" t="s">
        <v>12210</v>
      </c>
      <c r="B906" s="810" t="s">
        <v>4180</v>
      </c>
      <c r="C906" s="810" t="s">
        <v>4180</v>
      </c>
      <c r="D906" s="810" t="s">
        <v>18349</v>
      </c>
      <c r="E906" s="810">
        <v>30</v>
      </c>
      <c r="F906" s="817">
        <v>5</v>
      </c>
      <c r="G906" s="202" t="str">
        <f t="shared" si="14"/>
        <v/>
      </c>
    </row>
    <row r="907" spans="1:7" s="172" customFormat="1" ht="15" customHeight="1" x14ac:dyDescent="0.25">
      <c r="A907" s="810" t="s">
        <v>12226</v>
      </c>
      <c r="B907" s="810" t="s">
        <v>4180</v>
      </c>
      <c r="C907" s="810" t="s">
        <v>4180</v>
      </c>
      <c r="D907" s="810" t="s">
        <v>18350</v>
      </c>
      <c r="E907" s="810">
        <v>40</v>
      </c>
      <c r="F907" s="817">
        <v>5</v>
      </c>
      <c r="G907" s="202" t="str">
        <f t="shared" si="14"/>
        <v/>
      </c>
    </row>
    <row r="908" spans="1:7" s="172" customFormat="1" ht="15" customHeight="1" x14ac:dyDescent="0.25">
      <c r="A908" s="810" t="s">
        <v>6836</v>
      </c>
      <c r="B908" s="810" t="s">
        <v>4180</v>
      </c>
      <c r="C908" s="810" t="s">
        <v>4180</v>
      </c>
      <c r="D908" s="810" t="s">
        <v>18351</v>
      </c>
      <c r="E908" s="810">
        <v>10</v>
      </c>
      <c r="F908" s="817">
        <v>5</v>
      </c>
      <c r="G908" s="202" t="str">
        <f t="shared" si="14"/>
        <v/>
      </c>
    </row>
    <row r="909" spans="1:7" s="172" customFormat="1" ht="15" customHeight="1" x14ac:dyDescent="0.25">
      <c r="A909" s="810" t="s">
        <v>12224</v>
      </c>
      <c r="B909" s="810" t="s">
        <v>4180</v>
      </c>
      <c r="C909" s="810" t="s">
        <v>4180</v>
      </c>
      <c r="D909" s="810" t="s">
        <v>18352</v>
      </c>
      <c r="E909" s="810">
        <v>100</v>
      </c>
      <c r="F909" s="817">
        <v>18</v>
      </c>
      <c r="G909" s="202" t="str">
        <f t="shared" si="14"/>
        <v/>
      </c>
    </row>
    <row r="910" spans="1:7" s="172" customFormat="1" ht="15" customHeight="1" x14ac:dyDescent="0.25">
      <c r="A910" s="810" t="s">
        <v>12209</v>
      </c>
      <c r="B910" s="810" t="s">
        <v>4180</v>
      </c>
      <c r="C910" s="810" t="s">
        <v>4180</v>
      </c>
      <c r="D910" s="810" t="s">
        <v>18353</v>
      </c>
      <c r="E910" s="810">
        <v>100</v>
      </c>
      <c r="F910" s="817">
        <v>10</v>
      </c>
      <c r="G910" s="202" t="str">
        <f t="shared" si="14"/>
        <v/>
      </c>
    </row>
    <row r="911" spans="1:7" s="172" customFormat="1" ht="15" customHeight="1" x14ac:dyDescent="0.25">
      <c r="A911" s="810" t="s">
        <v>12243</v>
      </c>
      <c r="B911" s="810" t="s">
        <v>4180</v>
      </c>
      <c r="C911" s="810" t="s">
        <v>4180</v>
      </c>
      <c r="D911" s="810" t="s">
        <v>18354</v>
      </c>
      <c r="E911" s="810">
        <v>100</v>
      </c>
      <c r="F911" s="817">
        <v>15</v>
      </c>
      <c r="G911" s="202" t="str">
        <f t="shared" si="14"/>
        <v/>
      </c>
    </row>
    <row r="912" spans="1:7" s="172" customFormat="1" ht="15" customHeight="1" x14ac:dyDescent="0.25">
      <c r="A912" s="810" t="s">
        <v>12230</v>
      </c>
      <c r="B912" s="810" t="s">
        <v>4180</v>
      </c>
      <c r="C912" s="810" t="s">
        <v>4180</v>
      </c>
      <c r="D912" s="810" t="s">
        <v>18355</v>
      </c>
      <c r="E912" s="810">
        <v>40</v>
      </c>
      <c r="F912" s="817">
        <v>10</v>
      </c>
      <c r="G912" s="202" t="str">
        <f t="shared" si="14"/>
        <v/>
      </c>
    </row>
    <row r="913" spans="1:7" s="172" customFormat="1" ht="15" customHeight="1" x14ac:dyDescent="0.25">
      <c r="A913" s="810" t="s">
        <v>12175</v>
      </c>
      <c r="B913" s="810" t="s">
        <v>4180</v>
      </c>
      <c r="C913" s="810" t="s">
        <v>4180</v>
      </c>
      <c r="D913" s="810" t="s">
        <v>18356</v>
      </c>
      <c r="E913" s="810">
        <v>100</v>
      </c>
      <c r="F913" s="817">
        <v>25</v>
      </c>
      <c r="G913" s="202" t="str">
        <f t="shared" si="14"/>
        <v/>
      </c>
    </row>
    <row r="914" spans="1:7" s="172" customFormat="1" ht="15" customHeight="1" x14ac:dyDescent="0.25">
      <c r="A914" s="810" t="s">
        <v>4864</v>
      </c>
      <c r="B914" s="810" t="s">
        <v>4180</v>
      </c>
      <c r="C914" s="810" t="s">
        <v>4180</v>
      </c>
      <c r="D914" s="810" t="s">
        <v>18357</v>
      </c>
      <c r="E914" s="810">
        <v>63</v>
      </c>
      <c r="F914" s="817">
        <v>25</v>
      </c>
      <c r="G914" s="202" t="str">
        <f t="shared" si="14"/>
        <v/>
      </c>
    </row>
    <row r="915" spans="1:7" s="172" customFormat="1" ht="15" customHeight="1" x14ac:dyDescent="0.25">
      <c r="A915" s="810" t="s">
        <v>4825</v>
      </c>
      <c r="B915" s="810" t="s">
        <v>4180</v>
      </c>
      <c r="C915" s="810" t="s">
        <v>4180</v>
      </c>
      <c r="D915" s="810" t="s">
        <v>18358</v>
      </c>
      <c r="E915" s="810">
        <v>100</v>
      </c>
      <c r="F915" s="817">
        <v>5</v>
      </c>
      <c r="G915" s="202" t="str">
        <f t="shared" si="14"/>
        <v/>
      </c>
    </row>
    <row r="916" spans="1:7" s="172" customFormat="1" ht="15" customHeight="1" x14ac:dyDescent="0.25">
      <c r="A916" s="810" t="s">
        <v>12216</v>
      </c>
      <c r="B916" s="810" t="s">
        <v>4180</v>
      </c>
      <c r="C916" s="810" t="s">
        <v>4180</v>
      </c>
      <c r="D916" s="810" t="s">
        <v>18359</v>
      </c>
      <c r="E916" s="810">
        <v>100</v>
      </c>
      <c r="F916" s="817">
        <v>25</v>
      </c>
      <c r="G916" s="202" t="str">
        <f t="shared" si="14"/>
        <v/>
      </c>
    </row>
    <row r="917" spans="1:7" s="172" customFormat="1" ht="15" customHeight="1" x14ac:dyDescent="0.25">
      <c r="A917" s="810" t="s">
        <v>4880</v>
      </c>
      <c r="B917" s="810" t="s">
        <v>4180</v>
      </c>
      <c r="C917" s="810" t="s">
        <v>4180</v>
      </c>
      <c r="D917" s="810" t="s">
        <v>18360</v>
      </c>
      <c r="E917" s="810">
        <v>60</v>
      </c>
      <c r="F917" s="817">
        <v>5</v>
      </c>
      <c r="G917" s="202" t="str">
        <f t="shared" si="14"/>
        <v/>
      </c>
    </row>
    <row r="918" spans="1:7" s="172" customFormat="1" ht="15" customHeight="1" x14ac:dyDescent="0.25">
      <c r="A918" s="810" t="s">
        <v>12206</v>
      </c>
      <c r="B918" s="810" t="s">
        <v>4180</v>
      </c>
      <c r="C918" s="810" t="s">
        <v>4180</v>
      </c>
      <c r="D918" s="810" t="s">
        <v>18361</v>
      </c>
      <c r="E918" s="810">
        <v>100</v>
      </c>
      <c r="F918" s="817">
        <v>40</v>
      </c>
      <c r="G918" s="202" t="str">
        <f t="shared" si="14"/>
        <v/>
      </c>
    </row>
    <row r="919" spans="1:7" s="172" customFormat="1" ht="15" customHeight="1" x14ac:dyDescent="0.25">
      <c r="A919" s="810" t="s">
        <v>4181</v>
      </c>
      <c r="B919" s="810" t="s">
        <v>4180</v>
      </c>
      <c r="C919" s="810" t="s">
        <v>4180</v>
      </c>
      <c r="D919" s="810" t="s">
        <v>18362</v>
      </c>
      <c r="E919" s="810">
        <v>63</v>
      </c>
      <c r="F919" s="817">
        <v>25</v>
      </c>
      <c r="G919" s="202" t="str">
        <f t="shared" si="14"/>
        <v/>
      </c>
    </row>
    <row r="920" spans="1:7" s="172" customFormat="1" ht="15" customHeight="1" x14ac:dyDescent="0.25">
      <c r="A920" s="810" t="s">
        <v>12196</v>
      </c>
      <c r="B920" s="810" t="s">
        <v>4180</v>
      </c>
      <c r="C920" s="810" t="s">
        <v>4180</v>
      </c>
      <c r="D920" s="810" t="s">
        <v>18363</v>
      </c>
      <c r="E920" s="810">
        <v>30</v>
      </c>
      <c r="F920" s="817">
        <v>5</v>
      </c>
      <c r="G920" s="202" t="str">
        <f t="shared" si="14"/>
        <v/>
      </c>
    </row>
    <row r="921" spans="1:7" s="172" customFormat="1" ht="15" customHeight="1" x14ac:dyDescent="0.25">
      <c r="A921" s="810" t="s">
        <v>4182</v>
      </c>
      <c r="B921" s="810" t="s">
        <v>4180</v>
      </c>
      <c r="C921" s="810" t="s">
        <v>4180</v>
      </c>
      <c r="D921" s="810" t="s">
        <v>18364</v>
      </c>
      <c r="E921" s="810">
        <v>40</v>
      </c>
      <c r="F921" s="817">
        <v>5</v>
      </c>
      <c r="G921" s="202" t="str">
        <f t="shared" si="14"/>
        <v/>
      </c>
    </row>
    <row r="922" spans="1:7" s="172" customFormat="1" ht="15" customHeight="1" x14ac:dyDescent="0.25">
      <c r="A922" s="810" t="s">
        <v>4185</v>
      </c>
      <c r="B922" s="810" t="s">
        <v>4180</v>
      </c>
      <c r="C922" s="810" t="s">
        <v>4180</v>
      </c>
      <c r="D922" s="810" t="s">
        <v>18365</v>
      </c>
      <c r="E922" s="810">
        <v>40</v>
      </c>
      <c r="F922" s="817">
        <v>5</v>
      </c>
      <c r="G922" s="202" t="str">
        <f t="shared" si="14"/>
        <v/>
      </c>
    </row>
    <row r="923" spans="1:7" s="172" customFormat="1" ht="15" customHeight="1" x14ac:dyDescent="0.25">
      <c r="A923" s="810" t="s">
        <v>12189</v>
      </c>
      <c r="B923" s="810" t="s">
        <v>4180</v>
      </c>
      <c r="C923" s="810" t="s">
        <v>4180</v>
      </c>
      <c r="D923" s="810" t="s">
        <v>18366</v>
      </c>
      <c r="E923" s="810">
        <v>63</v>
      </c>
      <c r="F923" s="817">
        <v>5</v>
      </c>
      <c r="G923" s="202" t="str">
        <f t="shared" si="14"/>
        <v/>
      </c>
    </row>
    <row r="924" spans="1:7" s="172" customFormat="1" ht="15" customHeight="1" x14ac:dyDescent="0.25">
      <c r="A924" s="810" t="s">
        <v>7633</v>
      </c>
      <c r="B924" s="810" t="s">
        <v>4180</v>
      </c>
      <c r="C924" s="810" t="s">
        <v>4180</v>
      </c>
      <c r="D924" s="810" t="s">
        <v>18367</v>
      </c>
      <c r="E924" s="810">
        <v>30</v>
      </c>
      <c r="F924" s="817">
        <v>5</v>
      </c>
      <c r="G924" s="202" t="str">
        <f t="shared" si="14"/>
        <v/>
      </c>
    </row>
    <row r="925" spans="1:7" s="172" customFormat="1" ht="15" customHeight="1" x14ac:dyDescent="0.25">
      <c r="A925" s="810" t="s">
        <v>12260</v>
      </c>
      <c r="B925" s="810" t="s">
        <v>4180</v>
      </c>
      <c r="C925" s="810" t="s">
        <v>4180</v>
      </c>
      <c r="D925" s="810" t="s">
        <v>18368</v>
      </c>
      <c r="E925" s="810">
        <v>30</v>
      </c>
      <c r="F925" s="817">
        <v>10</v>
      </c>
      <c r="G925" s="202" t="str">
        <f t="shared" si="14"/>
        <v/>
      </c>
    </row>
    <row r="926" spans="1:7" s="172" customFormat="1" ht="15" customHeight="1" x14ac:dyDescent="0.25">
      <c r="A926" s="810" t="s">
        <v>12167</v>
      </c>
      <c r="B926" s="810" t="s">
        <v>4180</v>
      </c>
      <c r="C926" s="810" t="s">
        <v>4180</v>
      </c>
      <c r="D926" s="810" t="s">
        <v>18369</v>
      </c>
      <c r="E926" s="810">
        <v>160</v>
      </c>
      <c r="F926" s="817">
        <v>25</v>
      </c>
      <c r="G926" s="202" t="str">
        <f t="shared" si="14"/>
        <v/>
      </c>
    </row>
    <row r="927" spans="1:7" s="172" customFormat="1" ht="15" customHeight="1" x14ac:dyDescent="0.25">
      <c r="A927" s="810" t="s">
        <v>12207</v>
      </c>
      <c r="B927" s="810" t="s">
        <v>4180</v>
      </c>
      <c r="C927" s="810" t="s">
        <v>4180</v>
      </c>
      <c r="D927" s="810" t="s">
        <v>18370</v>
      </c>
      <c r="E927" s="810">
        <v>160</v>
      </c>
      <c r="F927" s="817">
        <v>45</v>
      </c>
      <c r="G927" s="202" t="str">
        <f t="shared" si="14"/>
        <v/>
      </c>
    </row>
    <row r="928" spans="1:7" s="172" customFormat="1" ht="15" customHeight="1" x14ac:dyDescent="0.25">
      <c r="A928" s="810" t="s">
        <v>12251</v>
      </c>
      <c r="B928" s="810" t="s">
        <v>4180</v>
      </c>
      <c r="C928" s="810" t="s">
        <v>4180</v>
      </c>
      <c r="D928" s="810" t="s">
        <v>18371</v>
      </c>
      <c r="E928" s="810">
        <v>10</v>
      </c>
      <c r="F928" s="817">
        <v>5</v>
      </c>
      <c r="G928" s="202" t="str">
        <f t="shared" si="14"/>
        <v/>
      </c>
    </row>
    <row r="929" spans="1:7" s="172" customFormat="1" ht="15" customHeight="1" x14ac:dyDescent="0.25">
      <c r="A929" s="810" t="s">
        <v>12232</v>
      </c>
      <c r="B929" s="810" t="s">
        <v>4180</v>
      </c>
      <c r="C929" s="810" t="s">
        <v>4180</v>
      </c>
      <c r="D929" s="810" t="s">
        <v>18372</v>
      </c>
      <c r="E929" s="810">
        <v>100</v>
      </c>
      <c r="F929" s="817">
        <v>50</v>
      </c>
      <c r="G929" s="202" t="str">
        <f t="shared" si="14"/>
        <v/>
      </c>
    </row>
    <row r="930" spans="1:7" s="172" customFormat="1" ht="15" customHeight="1" x14ac:dyDescent="0.25">
      <c r="A930" s="810" t="s">
        <v>12257</v>
      </c>
      <c r="B930" s="810" t="s">
        <v>4180</v>
      </c>
      <c r="C930" s="810" t="s">
        <v>4180</v>
      </c>
      <c r="D930" s="810" t="s">
        <v>18373</v>
      </c>
      <c r="E930" s="810">
        <v>60</v>
      </c>
      <c r="F930" s="817">
        <v>20</v>
      </c>
      <c r="G930" s="202" t="str">
        <f t="shared" si="14"/>
        <v/>
      </c>
    </row>
    <row r="931" spans="1:7" s="172" customFormat="1" ht="15" customHeight="1" x14ac:dyDescent="0.25">
      <c r="A931" s="810" t="s">
        <v>12177</v>
      </c>
      <c r="B931" s="810" t="s">
        <v>4180</v>
      </c>
      <c r="C931" s="810" t="s">
        <v>4180</v>
      </c>
      <c r="D931" s="810" t="s">
        <v>18374</v>
      </c>
      <c r="E931" s="810">
        <v>10</v>
      </c>
      <c r="F931" s="817">
        <v>5</v>
      </c>
      <c r="G931" s="202" t="str">
        <f t="shared" si="14"/>
        <v/>
      </c>
    </row>
    <row r="932" spans="1:7" s="172" customFormat="1" ht="15" customHeight="1" x14ac:dyDescent="0.25">
      <c r="A932" s="810" t="s">
        <v>4183</v>
      </c>
      <c r="B932" s="810" t="s">
        <v>4180</v>
      </c>
      <c r="C932" s="810" t="s">
        <v>4180</v>
      </c>
      <c r="D932" s="810" t="s">
        <v>18375</v>
      </c>
      <c r="E932" s="810">
        <v>100</v>
      </c>
      <c r="F932" s="817">
        <v>35</v>
      </c>
      <c r="G932" s="202" t="str">
        <f t="shared" si="14"/>
        <v/>
      </c>
    </row>
    <row r="933" spans="1:7" s="172" customFormat="1" ht="15" customHeight="1" x14ac:dyDescent="0.25">
      <c r="A933" s="810" t="s">
        <v>12261</v>
      </c>
      <c r="B933" s="810" t="s">
        <v>4180</v>
      </c>
      <c r="C933" s="810" t="s">
        <v>4180</v>
      </c>
      <c r="D933" s="810" t="s">
        <v>18376</v>
      </c>
      <c r="E933" s="810">
        <v>10</v>
      </c>
      <c r="F933" s="817">
        <v>5</v>
      </c>
      <c r="G933" s="202" t="str">
        <f t="shared" si="14"/>
        <v/>
      </c>
    </row>
    <row r="934" spans="1:7" s="172" customFormat="1" ht="15" customHeight="1" x14ac:dyDescent="0.25">
      <c r="A934" s="810" t="s">
        <v>12185</v>
      </c>
      <c r="B934" s="810" t="s">
        <v>4180</v>
      </c>
      <c r="C934" s="810" t="s">
        <v>4180</v>
      </c>
      <c r="D934" s="810" t="s">
        <v>18377</v>
      </c>
      <c r="E934" s="810">
        <v>100</v>
      </c>
      <c r="F934" s="817">
        <v>15</v>
      </c>
      <c r="G934" s="202" t="str">
        <f t="shared" si="14"/>
        <v/>
      </c>
    </row>
    <row r="935" spans="1:7" s="172" customFormat="1" ht="15" customHeight="1" x14ac:dyDescent="0.25">
      <c r="A935" s="810" t="s">
        <v>3125</v>
      </c>
      <c r="B935" s="810" t="s">
        <v>4180</v>
      </c>
      <c r="C935" s="810" t="s">
        <v>4180</v>
      </c>
      <c r="D935" s="810" t="s">
        <v>18378</v>
      </c>
      <c r="E935" s="810">
        <v>160</v>
      </c>
      <c r="F935" s="817">
        <v>25</v>
      </c>
      <c r="G935" s="202" t="str">
        <f t="shared" si="14"/>
        <v/>
      </c>
    </row>
    <row r="936" spans="1:7" s="172" customFormat="1" ht="15" customHeight="1" x14ac:dyDescent="0.25">
      <c r="A936" s="810" t="s">
        <v>2609</v>
      </c>
      <c r="B936" s="810" t="s">
        <v>4180</v>
      </c>
      <c r="C936" s="810" t="s">
        <v>4180</v>
      </c>
      <c r="D936" s="810" t="s">
        <v>18379</v>
      </c>
      <c r="E936" s="810">
        <v>100</v>
      </c>
      <c r="F936" s="817">
        <v>35</v>
      </c>
      <c r="G936" s="202" t="str">
        <f t="shared" si="14"/>
        <v/>
      </c>
    </row>
    <row r="937" spans="1:7" s="172" customFormat="1" ht="15" customHeight="1" x14ac:dyDescent="0.25">
      <c r="A937" s="810" t="s">
        <v>12203</v>
      </c>
      <c r="B937" s="810" t="s">
        <v>4180</v>
      </c>
      <c r="C937" s="810" t="s">
        <v>4180</v>
      </c>
      <c r="D937" s="810" t="s">
        <v>18380</v>
      </c>
      <c r="E937" s="810">
        <v>60</v>
      </c>
      <c r="F937" s="817">
        <v>35</v>
      </c>
      <c r="G937" s="202" t="str">
        <f t="shared" si="14"/>
        <v/>
      </c>
    </row>
    <row r="938" spans="1:7" s="172" customFormat="1" ht="15" customHeight="1" x14ac:dyDescent="0.25">
      <c r="A938" s="810" t="s">
        <v>5715</v>
      </c>
      <c r="B938" s="810" t="s">
        <v>4180</v>
      </c>
      <c r="C938" s="810" t="s">
        <v>4180</v>
      </c>
      <c r="D938" s="810" t="s">
        <v>18381</v>
      </c>
      <c r="E938" s="810">
        <v>160</v>
      </c>
      <c r="F938" s="817">
        <v>60</v>
      </c>
      <c r="G938" s="202" t="str">
        <f t="shared" si="14"/>
        <v/>
      </c>
    </row>
    <row r="939" spans="1:7" s="172" customFormat="1" ht="15" customHeight="1" x14ac:dyDescent="0.25">
      <c r="A939" s="810" t="s">
        <v>5715</v>
      </c>
      <c r="B939" s="810" t="s">
        <v>4180</v>
      </c>
      <c r="C939" s="810" t="s">
        <v>4180</v>
      </c>
      <c r="D939" s="810" t="s">
        <v>18382</v>
      </c>
      <c r="E939" s="810">
        <v>100</v>
      </c>
      <c r="F939" s="817">
        <v>5</v>
      </c>
      <c r="G939" s="202" t="str">
        <f t="shared" si="14"/>
        <v/>
      </c>
    </row>
    <row r="940" spans="1:7" s="172" customFormat="1" ht="15" customHeight="1" x14ac:dyDescent="0.25">
      <c r="A940" s="810" t="s">
        <v>12202</v>
      </c>
      <c r="B940" s="810" t="s">
        <v>4180</v>
      </c>
      <c r="C940" s="810" t="s">
        <v>4180</v>
      </c>
      <c r="D940" s="810" t="s">
        <v>18383</v>
      </c>
      <c r="E940" s="810">
        <v>63</v>
      </c>
      <c r="F940" s="817">
        <v>15</v>
      </c>
      <c r="G940" s="202" t="str">
        <f t="shared" si="14"/>
        <v/>
      </c>
    </row>
    <row r="941" spans="1:7" s="172" customFormat="1" ht="15" customHeight="1" x14ac:dyDescent="0.25">
      <c r="A941" s="810" t="s">
        <v>12234</v>
      </c>
      <c r="B941" s="810" t="s">
        <v>4180</v>
      </c>
      <c r="C941" s="810" t="s">
        <v>4180</v>
      </c>
      <c r="D941" s="810" t="s">
        <v>18384</v>
      </c>
      <c r="E941" s="810">
        <v>60</v>
      </c>
      <c r="F941" s="817">
        <v>5</v>
      </c>
      <c r="G941" s="202" t="str">
        <f t="shared" si="14"/>
        <v/>
      </c>
    </row>
    <row r="942" spans="1:7" s="172" customFormat="1" ht="15" customHeight="1" x14ac:dyDescent="0.25">
      <c r="A942" s="810" t="s">
        <v>12250</v>
      </c>
      <c r="B942" s="810" t="s">
        <v>4180</v>
      </c>
      <c r="C942" s="810" t="s">
        <v>4180</v>
      </c>
      <c r="D942" s="810" t="s">
        <v>18385</v>
      </c>
      <c r="E942" s="810">
        <v>60</v>
      </c>
      <c r="F942" s="817">
        <v>10</v>
      </c>
      <c r="G942" s="202" t="str">
        <f t="shared" si="14"/>
        <v/>
      </c>
    </row>
    <row r="943" spans="1:7" s="172" customFormat="1" ht="15" customHeight="1" x14ac:dyDescent="0.25">
      <c r="A943" s="810" t="s">
        <v>12235</v>
      </c>
      <c r="B943" s="810" t="s">
        <v>4180</v>
      </c>
      <c r="C943" s="810" t="s">
        <v>4180</v>
      </c>
      <c r="D943" s="810" t="s">
        <v>18386</v>
      </c>
      <c r="E943" s="810">
        <v>10</v>
      </c>
      <c r="F943" s="817">
        <v>5</v>
      </c>
      <c r="G943" s="202" t="str">
        <f t="shared" si="14"/>
        <v/>
      </c>
    </row>
    <row r="944" spans="1:7" s="172" customFormat="1" ht="15" customHeight="1" x14ac:dyDescent="0.25">
      <c r="A944" s="810" t="s">
        <v>12214</v>
      </c>
      <c r="B944" s="810" t="s">
        <v>4180</v>
      </c>
      <c r="C944" s="810" t="s">
        <v>4180</v>
      </c>
      <c r="D944" s="810" t="s">
        <v>18387</v>
      </c>
      <c r="E944" s="810">
        <v>100</v>
      </c>
      <c r="F944" s="817">
        <v>5</v>
      </c>
      <c r="G944" s="202" t="str">
        <f t="shared" si="14"/>
        <v/>
      </c>
    </row>
    <row r="945" spans="1:7" s="172" customFormat="1" ht="15" customHeight="1" x14ac:dyDescent="0.25">
      <c r="A945" s="810" t="s">
        <v>12214</v>
      </c>
      <c r="B945" s="810" t="s">
        <v>4180</v>
      </c>
      <c r="C945" s="810" t="s">
        <v>4180</v>
      </c>
      <c r="D945" s="810" t="s">
        <v>18388</v>
      </c>
      <c r="E945" s="810">
        <v>100</v>
      </c>
      <c r="F945" s="817">
        <v>5</v>
      </c>
      <c r="G945" s="202" t="str">
        <f t="shared" si="14"/>
        <v/>
      </c>
    </row>
    <row r="946" spans="1:7" s="172" customFormat="1" ht="15" customHeight="1" x14ac:dyDescent="0.25">
      <c r="A946" s="810" t="s">
        <v>3122</v>
      </c>
      <c r="B946" s="810" t="s">
        <v>4180</v>
      </c>
      <c r="C946" s="810" t="s">
        <v>4180</v>
      </c>
      <c r="D946" s="810" t="s">
        <v>18389</v>
      </c>
      <c r="E946" s="810">
        <v>40</v>
      </c>
      <c r="F946" s="817">
        <v>5</v>
      </c>
      <c r="G946" s="202" t="str">
        <f t="shared" si="14"/>
        <v/>
      </c>
    </row>
    <row r="947" spans="1:7" s="172" customFormat="1" ht="15" customHeight="1" x14ac:dyDescent="0.25">
      <c r="A947" s="810" t="s">
        <v>3122</v>
      </c>
      <c r="B947" s="810" t="s">
        <v>4180</v>
      </c>
      <c r="C947" s="810" t="s">
        <v>4180</v>
      </c>
      <c r="D947" s="810" t="s">
        <v>18390</v>
      </c>
      <c r="E947" s="810">
        <v>160</v>
      </c>
      <c r="F947" s="817">
        <v>30</v>
      </c>
      <c r="G947" s="202" t="str">
        <f t="shared" si="14"/>
        <v/>
      </c>
    </row>
    <row r="948" spans="1:7" s="172" customFormat="1" ht="15" customHeight="1" x14ac:dyDescent="0.25">
      <c r="A948" s="810" t="s">
        <v>12242</v>
      </c>
      <c r="B948" s="810" t="s">
        <v>4180</v>
      </c>
      <c r="C948" s="810" t="s">
        <v>4180</v>
      </c>
      <c r="D948" s="810" t="s">
        <v>18391</v>
      </c>
      <c r="E948" s="810">
        <v>160</v>
      </c>
      <c r="F948" s="817">
        <v>130</v>
      </c>
      <c r="G948" s="202" t="str">
        <f t="shared" si="14"/>
        <v/>
      </c>
    </row>
    <row r="949" spans="1:7" s="172" customFormat="1" ht="15" customHeight="1" x14ac:dyDescent="0.25">
      <c r="A949" s="810" t="s">
        <v>12242</v>
      </c>
      <c r="B949" s="810" t="s">
        <v>4180</v>
      </c>
      <c r="C949" s="810" t="s">
        <v>4180</v>
      </c>
      <c r="D949" s="810" t="s">
        <v>18392</v>
      </c>
      <c r="E949" s="810">
        <v>100</v>
      </c>
      <c r="F949" s="817">
        <v>15</v>
      </c>
      <c r="G949" s="202" t="str">
        <f t="shared" si="14"/>
        <v/>
      </c>
    </row>
    <row r="950" spans="1:7" s="172" customFormat="1" ht="15" customHeight="1" x14ac:dyDescent="0.25">
      <c r="A950" s="810" t="s">
        <v>12220</v>
      </c>
      <c r="B950" s="810" t="s">
        <v>4180</v>
      </c>
      <c r="C950" s="810" t="s">
        <v>4180</v>
      </c>
      <c r="D950" s="810" t="s">
        <v>18393</v>
      </c>
      <c r="E950" s="810">
        <v>100</v>
      </c>
      <c r="F950" s="817">
        <v>20</v>
      </c>
      <c r="G950" s="202" t="str">
        <f t="shared" si="14"/>
        <v/>
      </c>
    </row>
    <row r="951" spans="1:7" s="172" customFormat="1" ht="15" customHeight="1" x14ac:dyDescent="0.25">
      <c r="A951" s="810" t="s">
        <v>12220</v>
      </c>
      <c r="B951" s="810" t="s">
        <v>4180</v>
      </c>
      <c r="C951" s="810" t="s">
        <v>4180</v>
      </c>
      <c r="D951" s="810" t="s">
        <v>18394</v>
      </c>
      <c r="E951" s="810">
        <v>100</v>
      </c>
      <c r="F951" s="817">
        <v>60</v>
      </c>
      <c r="G951" s="202" t="str">
        <f t="shared" si="14"/>
        <v/>
      </c>
    </row>
    <row r="952" spans="1:7" s="172" customFormat="1" ht="15" customHeight="1" x14ac:dyDescent="0.25">
      <c r="A952" s="810" t="s">
        <v>12246</v>
      </c>
      <c r="B952" s="810" t="s">
        <v>4180</v>
      </c>
      <c r="C952" s="810" t="s">
        <v>4180</v>
      </c>
      <c r="D952" s="810" t="s">
        <v>18395</v>
      </c>
      <c r="E952" s="810">
        <v>160</v>
      </c>
      <c r="F952" s="817">
        <v>120</v>
      </c>
      <c r="G952" s="202" t="str">
        <f t="shared" si="14"/>
        <v/>
      </c>
    </row>
    <row r="953" spans="1:7" s="172" customFormat="1" ht="15" customHeight="1" x14ac:dyDescent="0.25">
      <c r="A953" s="810" t="s">
        <v>12246</v>
      </c>
      <c r="B953" s="810" t="s">
        <v>4180</v>
      </c>
      <c r="C953" s="810" t="s">
        <v>4180</v>
      </c>
      <c r="D953" s="810" t="s">
        <v>18396</v>
      </c>
      <c r="E953" s="810">
        <v>160</v>
      </c>
      <c r="F953" s="817">
        <v>45</v>
      </c>
      <c r="G953" s="202" t="str">
        <f t="shared" si="14"/>
        <v/>
      </c>
    </row>
    <row r="954" spans="1:7" s="172" customFormat="1" ht="15" customHeight="1" x14ac:dyDescent="0.25">
      <c r="A954" s="810" t="s">
        <v>12179</v>
      </c>
      <c r="B954" s="810" t="s">
        <v>4180</v>
      </c>
      <c r="C954" s="810" t="s">
        <v>4180</v>
      </c>
      <c r="D954" s="810" t="s">
        <v>7355</v>
      </c>
      <c r="E954" s="810">
        <v>60</v>
      </c>
      <c r="F954" s="817">
        <v>5</v>
      </c>
      <c r="G954" s="202" t="str">
        <f t="shared" si="14"/>
        <v/>
      </c>
    </row>
    <row r="955" spans="1:7" s="172" customFormat="1" ht="15" customHeight="1" x14ac:dyDescent="0.25">
      <c r="A955" s="810" t="s">
        <v>12204</v>
      </c>
      <c r="B955" s="810" t="s">
        <v>4180</v>
      </c>
      <c r="C955" s="810" t="s">
        <v>4180</v>
      </c>
      <c r="D955" s="810" t="s">
        <v>18397</v>
      </c>
      <c r="E955" s="810">
        <v>100</v>
      </c>
      <c r="F955" s="817">
        <v>20</v>
      </c>
      <c r="G955" s="202" t="str">
        <f t="shared" si="14"/>
        <v/>
      </c>
    </row>
    <row r="956" spans="1:7" s="172" customFormat="1" ht="15" customHeight="1" x14ac:dyDescent="0.25">
      <c r="A956" s="810" t="s">
        <v>2515</v>
      </c>
      <c r="B956" s="810" t="s">
        <v>4180</v>
      </c>
      <c r="C956" s="810" t="s">
        <v>4180</v>
      </c>
      <c r="D956" s="810" t="s">
        <v>18398</v>
      </c>
      <c r="E956" s="810">
        <v>30</v>
      </c>
      <c r="F956" s="817">
        <v>5</v>
      </c>
      <c r="G956" s="202" t="str">
        <f t="shared" si="14"/>
        <v/>
      </c>
    </row>
    <row r="957" spans="1:7" s="172" customFormat="1" ht="15" customHeight="1" x14ac:dyDescent="0.25">
      <c r="A957" s="810" t="s">
        <v>12247</v>
      </c>
      <c r="B957" s="810" t="s">
        <v>4180</v>
      </c>
      <c r="C957" s="810" t="s">
        <v>4180</v>
      </c>
      <c r="D957" s="810" t="s">
        <v>18399</v>
      </c>
      <c r="E957" s="810">
        <v>63</v>
      </c>
      <c r="F957" s="817">
        <v>20</v>
      </c>
      <c r="G957" s="202" t="str">
        <f t="shared" si="14"/>
        <v/>
      </c>
    </row>
    <row r="958" spans="1:7" s="172" customFormat="1" ht="15" customHeight="1" x14ac:dyDescent="0.25">
      <c r="A958" s="810" t="s">
        <v>12247</v>
      </c>
      <c r="B958" s="810" t="s">
        <v>4180</v>
      </c>
      <c r="C958" s="810" t="s">
        <v>4180</v>
      </c>
      <c r="D958" s="810" t="s">
        <v>18400</v>
      </c>
      <c r="E958" s="810">
        <v>250</v>
      </c>
      <c r="F958" s="817">
        <v>65</v>
      </c>
      <c r="G958" s="202" t="str">
        <f t="shared" si="14"/>
        <v/>
      </c>
    </row>
    <row r="959" spans="1:7" s="172" customFormat="1" ht="15" customHeight="1" x14ac:dyDescent="0.25">
      <c r="A959" s="810" t="s">
        <v>12247</v>
      </c>
      <c r="B959" s="810" t="s">
        <v>4180</v>
      </c>
      <c r="C959" s="810" t="s">
        <v>4180</v>
      </c>
      <c r="D959" s="810" t="s">
        <v>18401</v>
      </c>
      <c r="E959" s="810">
        <v>160</v>
      </c>
      <c r="F959" s="817">
        <v>25</v>
      </c>
      <c r="G959" s="202" t="str">
        <f t="shared" si="14"/>
        <v/>
      </c>
    </row>
    <row r="960" spans="1:7" s="172" customFormat="1" ht="15" customHeight="1" x14ac:dyDescent="0.25">
      <c r="A960" s="810" t="s">
        <v>12247</v>
      </c>
      <c r="B960" s="810" t="s">
        <v>4180</v>
      </c>
      <c r="C960" s="810" t="s">
        <v>4180</v>
      </c>
      <c r="D960" s="810" t="s">
        <v>18402</v>
      </c>
      <c r="E960" s="810">
        <v>100</v>
      </c>
      <c r="F960" s="817">
        <v>40</v>
      </c>
      <c r="G960" s="202" t="str">
        <f t="shared" si="14"/>
        <v/>
      </c>
    </row>
    <row r="961" spans="1:7" s="172" customFormat="1" ht="15" customHeight="1" x14ac:dyDescent="0.25">
      <c r="A961" s="810" t="s">
        <v>12247</v>
      </c>
      <c r="B961" s="810" t="s">
        <v>4180</v>
      </c>
      <c r="C961" s="810" t="s">
        <v>4180</v>
      </c>
      <c r="D961" s="810" t="s">
        <v>18403</v>
      </c>
      <c r="E961" s="810">
        <v>800</v>
      </c>
      <c r="F961" s="817">
        <v>400</v>
      </c>
      <c r="G961" s="202" t="str">
        <f t="shared" si="14"/>
        <v/>
      </c>
    </row>
    <row r="962" spans="1:7" s="172" customFormat="1" ht="15" customHeight="1" x14ac:dyDescent="0.25">
      <c r="A962" s="810" t="s">
        <v>12247</v>
      </c>
      <c r="B962" s="810" t="s">
        <v>4180</v>
      </c>
      <c r="C962" s="810" t="s">
        <v>4180</v>
      </c>
      <c r="D962" s="810" t="s">
        <v>18404</v>
      </c>
      <c r="E962" s="810">
        <v>100</v>
      </c>
      <c r="F962" s="817">
        <v>5</v>
      </c>
      <c r="G962" s="202" t="str">
        <f t="shared" si="14"/>
        <v/>
      </c>
    </row>
    <row r="963" spans="1:7" s="172" customFormat="1" ht="15" customHeight="1" x14ac:dyDescent="0.25">
      <c r="A963" s="810" t="s">
        <v>12247</v>
      </c>
      <c r="B963" s="810" t="s">
        <v>4180</v>
      </c>
      <c r="C963" s="810" t="s">
        <v>4180</v>
      </c>
      <c r="D963" s="810" t="s">
        <v>18405</v>
      </c>
      <c r="E963" s="810">
        <v>160</v>
      </c>
      <c r="F963" s="817">
        <v>5</v>
      </c>
      <c r="G963" s="202" t="str">
        <f t="shared" si="14"/>
        <v/>
      </c>
    </row>
    <row r="964" spans="1:7" s="172" customFormat="1" ht="15" customHeight="1" x14ac:dyDescent="0.25">
      <c r="A964" s="810" t="s">
        <v>12265</v>
      </c>
      <c r="B964" s="810" t="s">
        <v>4180</v>
      </c>
      <c r="C964" s="810" t="s">
        <v>4180</v>
      </c>
      <c r="D964" s="810" t="s">
        <v>18406</v>
      </c>
      <c r="E964" s="810">
        <v>100</v>
      </c>
      <c r="F964" s="817">
        <v>25</v>
      </c>
      <c r="G964" s="202" t="str">
        <f t="shared" ref="G964:G1027" si="15">IF(E964=F964,"не загружен","")</f>
        <v/>
      </c>
    </row>
    <row r="965" spans="1:7" s="172" customFormat="1" ht="15" customHeight="1" x14ac:dyDescent="0.25">
      <c r="A965" s="810" t="s">
        <v>12171</v>
      </c>
      <c r="B965" s="810" t="s">
        <v>4180</v>
      </c>
      <c r="C965" s="810" t="s">
        <v>4180</v>
      </c>
      <c r="D965" s="810" t="s">
        <v>18407</v>
      </c>
      <c r="E965" s="810">
        <v>60</v>
      </c>
      <c r="F965" s="817">
        <v>3</v>
      </c>
      <c r="G965" s="202" t="str">
        <f t="shared" si="15"/>
        <v/>
      </c>
    </row>
    <row r="966" spans="1:7" s="172" customFormat="1" ht="15" customHeight="1" x14ac:dyDescent="0.25">
      <c r="A966" s="810" t="s">
        <v>12223</v>
      </c>
      <c r="B966" s="810" t="s">
        <v>4180</v>
      </c>
      <c r="C966" s="810" t="s">
        <v>4180</v>
      </c>
      <c r="D966" s="810" t="s">
        <v>18408</v>
      </c>
      <c r="E966" s="810">
        <v>50</v>
      </c>
      <c r="F966" s="817">
        <v>2</v>
      </c>
      <c r="G966" s="202" t="str">
        <f t="shared" si="15"/>
        <v/>
      </c>
    </row>
    <row r="967" spans="1:7" s="172" customFormat="1" ht="15" customHeight="1" x14ac:dyDescent="0.25">
      <c r="A967" s="810" t="s">
        <v>12208</v>
      </c>
      <c r="B967" s="810" t="s">
        <v>4180</v>
      </c>
      <c r="C967" s="810" t="s">
        <v>4180</v>
      </c>
      <c r="D967" s="810" t="s">
        <v>18409</v>
      </c>
      <c r="E967" s="810">
        <v>10</v>
      </c>
      <c r="F967" s="817">
        <v>5</v>
      </c>
      <c r="G967" s="202" t="str">
        <f t="shared" si="15"/>
        <v/>
      </c>
    </row>
    <row r="968" spans="1:7" s="172" customFormat="1" ht="15" customHeight="1" x14ac:dyDescent="0.25">
      <c r="A968" s="810" t="s">
        <v>12193</v>
      </c>
      <c r="B968" s="810" t="s">
        <v>4180</v>
      </c>
      <c r="C968" s="810" t="s">
        <v>4180</v>
      </c>
      <c r="D968" s="810" t="s">
        <v>18410</v>
      </c>
      <c r="E968" s="810">
        <v>100</v>
      </c>
      <c r="F968" s="817">
        <v>10</v>
      </c>
      <c r="G968" s="202" t="str">
        <f t="shared" si="15"/>
        <v/>
      </c>
    </row>
    <row r="969" spans="1:7" s="172" customFormat="1" ht="15" customHeight="1" x14ac:dyDescent="0.25">
      <c r="A969" s="810" t="s">
        <v>5877</v>
      </c>
      <c r="B969" s="810" t="s">
        <v>4180</v>
      </c>
      <c r="C969" s="810" t="s">
        <v>4180</v>
      </c>
      <c r="D969" s="810" t="s">
        <v>18411</v>
      </c>
      <c r="E969" s="810">
        <v>63</v>
      </c>
      <c r="F969" s="817">
        <v>5</v>
      </c>
      <c r="G969" s="202" t="str">
        <f t="shared" si="15"/>
        <v/>
      </c>
    </row>
    <row r="970" spans="1:7" s="172" customFormat="1" ht="15" customHeight="1" x14ac:dyDescent="0.25">
      <c r="A970" s="810" t="s">
        <v>12228</v>
      </c>
      <c r="B970" s="810" t="s">
        <v>4180</v>
      </c>
      <c r="C970" s="810" t="s">
        <v>4180</v>
      </c>
      <c r="D970" s="810" t="s">
        <v>18412</v>
      </c>
      <c r="E970" s="810">
        <v>30</v>
      </c>
      <c r="F970" s="817">
        <v>5</v>
      </c>
      <c r="G970" s="202" t="str">
        <f t="shared" si="15"/>
        <v/>
      </c>
    </row>
    <row r="971" spans="1:7" s="172" customFormat="1" ht="15" customHeight="1" x14ac:dyDescent="0.25">
      <c r="A971" s="810" t="s">
        <v>12236</v>
      </c>
      <c r="B971" s="810" t="s">
        <v>4180</v>
      </c>
      <c r="C971" s="810" t="s">
        <v>4180</v>
      </c>
      <c r="D971" s="810" t="s">
        <v>18413</v>
      </c>
      <c r="E971" s="810">
        <v>100</v>
      </c>
      <c r="F971" s="817">
        <v>5</v>
      </c>
      <c r="G971" s="202" t="str">
        <f t="shared" si="15"/>
        <v/>
      </c>
    </row>
    <row r="972" spans="1:7" s="172" customFormat="1" ht="15" customHeight="1" x14ac:dyDescent="0.25">
      <c r="A972" s="810" t="s">
        <v>12236</v>
      </c>
      <c r="B972" s="810" t="s">
        <v>4180</v>
      </c>
      <c r="C972" s="810" t="s">
        <v>4180</v>
      </c>
      <c r="D972" s="810" t="s">
        <v>18414</v>
      </c>
      <c r="E972" s="810">
        <v>60</v>
      </c>
      <c r="F972" s="817">
        <v>59.6</v>
      </c>
      <c r="G972" s="202" t="str">
        <f t="shared" si="15"/>
        <v/>
      </c>
    </row>
    <row r="973" spans="1:7" s="172" customFormat="1" ht="15" customHeight="1" x14ac:dyDescent="0.25">
      <c r="A973" s="810" t="s">
        <v>3699</v>
      </c>
      <c r="B973" s="810" t="s">
        <v>4180</v>
      </c>
      <c r="C973" s="810" t="s">
        <v>4180</v>
      </c>
      <c r="D973" s="810" t="s">
        <v>18415</v>
      </c>
      <c r="E973" s="810">
        <v>100</v>
      </c>
      <c r="F973" s="817">
        <v>25</v>
      </c>
      <c r="G973" s="202" t="str">
        <f t="shared" si="15"/>
        <v/>
      </c>
    </row>
    <row r="974" spans="1:7" s="172" customFormat="1" ht="15" customHeight="1" x14ac:dyDescent="0.25">
      <c r="A974" s="810" t="s">
        <v>12222</v>
      </c>
      <c r="B974" s="810" t="s">
        <v>4180</v>
      </c>
      <c r="C974" s="810" t="s">
        <v>4180</v>
      </c>
      <c r="D974" s="810" t="s">
        <v>18416</v>
      </c>
      <c r="E974" s="810">
        <v>50</v>
      </c>
      <c r="F974" s="817">
        <v>10</v>
      </c>
      <c r="G974" s="202" t="str">
        <f t="shared" si="15"/>
        <v/>
      </c>
    </row>
    <row r="975" spans="1:7" s="172" customFormat="1" ht="15" customHeight="1" x14ac:dyDescent="0.25">
      <c r="A975" s="810" t="s">
        <v>3015</v>
      </c>
      <c r="B975" s="810" t="s">
        <v>4180</v>
      </c>
      <c r="C975" s="810" t="s">
        <v>4180</v>
      </c>
      <c r="D975" s="810" t="s">
        <v>18417</v>
      </c>
      <c r="E975" s="810">
        <v>60</v>
      </c>
      <c r="F975" s="817">
        <v>10</v>
      </c>
      <c r="G975" s="202" t="str">
        <f t="shared" si="15"/>
        <v/>
      </c>
    </row>
    <row r="976" spans="1:7" s="172" customFormat="1" ht="15" customHeight="1" x14ac:dyDescent="0.25">
      <c r="A976" s="810" t="s">
        <v>3015</v>
      </c>
      <c r="B976" s="810" t="s">
        <v>4180</v>
      </c>
      <c r="C976" s="810" t="s">
        <v>4180</v>
      </c>
      <c r="D976" s="810" t="s">
        <v>18418</v>
      </c>
      <c r="E976" s="810">
        <v>100</v>
      </c>
      <c r="F976" s="817">
        <v>5</v>
      </c>
      <c r="G976" s="202" t="str">
        <f t="shared" si="15"/>
        <v/>
      </c>
    </row>
    <row r="977" spans="1:7" s="172" customFormat="1" ht="15" customHeight="1" x14ac:dyDescent="0.25">
      <c r="A977" s="810" t="s">
        <v>3015</v>
      </c>
      <c r="B977" s="810" t="s">
        <v>4180</v>
      </c>
      <c r="C977" s="810" t="s">
        <v>4180</v>
      </c>
      <c r="D977" s="810" t="s">
        <v>18419</v>
      </c>
      <c r="E977" s="810">
        <v>160</v>
      </c>
      <c r="F977" s="817">
        <v>35</v>
      </c>
      <c r="G977" s="202" t="str">
        <f t="shared" si="15"/>
        <v/>
      </c>
    </row>
    <row r="978" spans="1:7" s="172" customFormat="1" ht="15" customHeight="1" x14ac:dyDescent="0.25">
      <c r="A978" s="810" t="s">
        <v>3015</v>
      </c>
      <c r="B978" s="810" t="s">
        <v>4180</v>
      </c>
      <c r="C978" s="810" t="s">
        <v>4180</v>
      </c>
      <c r="D978" s="810" t="s">
        <v>18420</v>
      </c>
      <c r="E978" s="810">
        <v>100</v>
      </c>
      <c r="F978" s="817">
        <v>20</v>
      </c>
      <c r="G978" s="202" t="str">
        <f t="shared" si="15"/>
        <v/>
      </c>
    </row>
    <row r="979" spans="1:7" s="172" customFormat="1" ht="15" customHeight="1" x14ac:dyDescent="0.25">
      <c r="A979" s="810" t="s">
        <v>3015</v>
      </c>
      <c r="B979" s="810" t="s">
        <v>4180</v>
      </c>
      <c r="C979" s="810" t="s">
        <v>4180</v>
      </c>
      <c r="D979" s="810" t="s">
        <v>18421</v>
      </c>
      <c r="E979" s="810">
        <v>250</v>
      </c>
      <c r="F979" s="817">
        <v>200</v>
      </c>
      <c r="G979" s="202" t="str">
        <f t="shared" si="15"/>
        <v/>
      </c>
    </row>
    <row r="980" spans="1:7" s="172" customFormat="1" ht="15" customHeight="1" x14ac:dyDescent="0.25">
      <c r="A980" s="810" t="s">
        <v>12259</v>
      </c>
      <c r="B980" s="810" t="s">
        <v>4180</v>
      </c>
      <c r="C980" s="810" t="s">
        <v>4180</v>
      </c>
      <c r="D980" s="810" t="s">
        <v>18422</v>
      </c>
      <c r="E980" s="810">
        <v>160</v>
      </c>
      <c r="F980" s="817">
        <v>20</v>
      </c>
      <c r="G980" s="202" t="str">
        <f t="shared" si="15"/>
        <v/>
      </c>
    </row>
    <row r="981" spans="1:7" s="172" customFormat="1" ht="15" customHeight="1" x14ac:dyDescent="0.25">
      <c r="A981" s="810" t="s">
        <v>12108</v>
      </c>
      <c r="B981" s="810" t="s">
        <v>4180</v>
      </c>
      <c r="C981" s="810" t="s">
        <v>4180</v>
      </c>
      <c r="D981" s="810" t="s">
        <v>18423</v>
      </c>
      <c r="E981" s="810">
        <v>63</v>
      </c>
      <c r="F981" s="817">
        <v>5</v>
      </c>
      <c r="G981" s="202" t="str">
        <f t="shared" si="15"/>
        <v/>
      </c>
    </row>
    <row r="982" spans="1:7" s="172" customFormat="1" ht="15" customHeight="1" x14ac:dyDescent="0.25">
      <c r="A982" s="810" t="s">
        <v>12245</v>
      </c>
      <c r="B982" s="810" t="s">
        <v>4180</v>
      </c>
      <c r="C982" s="810" t="s">
        <v>4180</v>
      </c>
      <c r="D982" s="810" t="s">
        <v>18424</v>
      </c>
      <c r="E982" s="810">
        <v>60</v>
      </c>
      <c r="F982" s="817">
        <v>10</v>
      </c>
      <c r="G982" s="202" t="str">
        <f t="shared" si="15"/>
        <v/>
      </c>
    </row>
    <row r="983" spans="1:7" s="172" customFormat="1" ht="15" customHeight="1" x14ac:dyDescent="0.25">
      <c r="A983" s="810" t="s">
        <v>12173</v>
      </c>
      <c r="B983" s="810" t="s">
        <v>4180</v>
      </c>
      <c r="C983" s="810" t="s">
        <v>4180</v>
      </c>
      <c r="D983" s="810" t="s">
        <v>7327</v>
      </c>
      <c r="E983" s="810">
        <v>45</v>
      </c>
      <c r="F983" s="817">
        <v>5</v>
      </c>
      <c r="G983" s="202" t="str">
        <f t="shared" si="15"/>
        <v/>
      </c>
    </row>
    <row r="984" spans="1:7" s="172" customFormat="1" ht="15" customHeight="1" x14ac:dyDescent="0.25">
      <c r="A984" s="810" t="s">
        <v>12187</v>
      </c>
      <c r="B984" s="810" t="s">
        <v>4180</v>
      </c>
      <c r="C984" s="810" t="s">
        <v>4180</v>
      </c>
      <c r="D984" s="810" t="s">
        <v>18425</v>
      </c>
      <c r="E984" s="810">
        <v>160</v>
      </c>
      <c r="F984" s="817">
        <v>5</v>
      </c>
      <c r="G984" s="202" t="str">
        <f t="shared" si="15"/>
        <v/>
      </c>
    </row>
    <row r="985" spans="1:7" s="172" customFormat="1" ht="15" customHeight="1" x14ac:dyDescent="0.25">
      <c r="A985" s="810" t="s">
        <v>12187</v>
      </c>
      <c r="B985" s="810" t="s">
        <v>4180</v>
      </c>
      <c r="C985" s="810" t="s">
        <v>4180</v>
      </c>
      <c r="D985" s="810" t="s">
        <v>18426</v>
      </c>
      <c r="E985" s="810">
        <v>250</v>
      </c>
      <c r="F985" s="817">
        <v>60</v>
      </c>
      <c r="G985" s="202" t="str">
        <f t="shared" si="15"/>
        <v/>
      </c>
    </row>
    <row r="986" spans="1:7" s="172" customFormat="1" ht="15" customHeight="1" x14ac:dyDescent="0.25">
      <c r="A986" s="810" t="s">
        <v>12187</v>
      </c>
      <c r="B986" s="810" t="s">
        <v>4180</v>
      </c>
      <c r="C986" s="810" t="s">
        <v>4180</v>
      </c>
      <c r="D986" s="810" t="s">
        <v>18427</v>
      </c>
      <c r="E986" s="810">
        <v>250</v>
      </c>
      <c r="F986" s="817">
        <v>45</v>
      </c>
      <c r="G986" s="202" t="str">
        <f t="shared" si="15"/>
        <v/>
      </c>
    </row>
    <row r="987" spans="1:7" s="172" customFormat="1" ht="15" customHeight="1" x14ac:dyDescent="0.25">
      <c r="A987" s="810" t="s">
        <v>12184</v>
      </c>
      <c r="B987" s="810" t="s">
        <v>4180</v>
      </c>
      <c r="C987" s="810" t="s">
        <v>4180</v>
      </c>
      <c r="D987" s="810" t="s">
        <v>18428</v>
      </c>
      <c r="E987" s="810">
        <v>250</v>
      </c>
      <c r="F987" s="817">
        <v>180</v>
      </c>
      <c r="G987" s="202" t="str">
        <f t="shared" si="15"/>
        <v/>
      </c>
    </row>
    <row r="988" spans="1:7" s="172" customFormat="1" ht="15" customHeight="1" x14ac:dyDescent="0.25">
      <c r="A988" s="810" t="s">
        <v>12194</v>
      </c>
      <c r="B988" s="810" t="s">
        <v>4180</v>
      </c>
      <c r="C988" s="810" t="s">
        <v>4180</v>
      </c>
      <c r="D988" s="810" t="s">
        <v>18429</v>
      </c>
      <c r="E988" s="810">
        <v>160</v>
      </c>
      <c r="F988" s="817">
        <v>20</v>
      </c>
      <c r="G988" s="202" t="str">
        <f t="shared" si="15"/>
        <v/>
      </c>
    </row>
    <row r="989" spans="1:7" s="172" customFormat="1" ht="15" customHeight="1" x14ac:dyDescent="0.25">
      <c r="A989" s="810" t="s">
        <v>12194</v>
      </c>
      <c r="B989" s="810" t="s">
        <v>4180</v>
      </c>
      <c r="C989" s="810" t="s">
        <v>4180</v>
      </c>
      <c r="D989" s="810" t="s">
        <v>18430</v>
      </c>
      <c r="E989" s="810">
        <v>250</v>
      </c>
      <c r="F989" s="817">
        <v>5</v>
      </c>
      <c r="G989" s="202" t="str">
        <f t="shared" si="15"/>
        <v/>
      </c>
    </row>
    <row r="990" spans="1:7" s="172" customFormat="1" ht="15" customHeight="1" x14ac:dyDescent="0.25">
      <c r="A990" s="810" t="s">
        <v>12194</v>
      </c>
      <c r="B990" s="810" t="s">
        <v>4180</v>
      </c>
      <c r="C990" s="810" t="s">
        <v>4180</v>
      </c>
      <c r="D990" s="810" t="s">
        <v>18431</v>
      </c>
      <c r="E990" s="810">
        <v>250</v>
      </c>
      <c r="F990" s="817">
        <v>30</v>
      </c>
      <c r="G990" s="202" t="str">
        <f t="shared" si="15"/>
        <v/>
      </c>
    </row>
    <row r="991" spans="1:7" s="172" customFormat="1" ht="15" customHeight="1" x14ac:dyDescent="0.25">
      <c r="A991" s="810" t="s">
        <v>12194</v>
      </c>
      <c r="B991" s="810" t="s">
        <v>4180</v>
      </c>
      <c r="C991" s="810" t="s">
        <v>4180</v>
      </c>
      <c r="D991" s="810" t="s">
        <v>18432</v>
      </c>
      <c r="E991" s="810">
        <v>160</v>
      </c>
      <c r="F991" s="817">
        <v>5</v>
      </c>
      <c r="G991" s="202" t="str">
        <f t="shared" si="15"/>
        <v/>
      </c>
    </row>
    <row r="992" spans="1:7" s="172" customFormat="1" ht="15" customHeight="1" x14ac:dyDescent="0.25">
      <c r="A992" s="810" t="s">
        <v>12194</v>
      </c>
      <c r="B992" s="810" t="s">
        <v>4180</v>
      </c>
      <c r="C992" s="810" t="s">
        <v>4180</v>
      </c>
      <c r="D992" s="810" t="s">
        <v>18433</v>
      </c>
      <c r="E992" s="810">
        <v>160</v>
      </c>
      <c r="F992" s="817">
        <v>55</v>
      </c>
      <c r="G992" s="202" t="str">
        <f t="shared" si="15"/>
        <v/>
      </c>
    </row>
    <row r="993" spans="1:7" s="172" customFormat="1" ht="15" customHeight="1" x14ac:dyDescent="0.25">
      <c r="A993" s="810" t="s">
        <v>12194</v>
      </c>
      <c r="B993" s="810" t="s">
        <v>4180</v>
      </c>
      <c r="C993" s="810" t="s">
        <v>4180</v>
      </c>
      <c r="D993" s="810" t="s">
        <v>18434</v>
      </c>
      <c r="E993" s="810">
        <v>160</v>
      </c>
      <c r="F993" s="817">
        <v>5</v>
      </c>
      <c r="G993" s="202" t="str">
        <f t="shared" si="15"/>
        <v/>
      </c>
    </row>
    <row r="994" spans="1:7" s="172" customFormat="1" ht="15" customHeight="1" x14ac:dyDescent="0.25">
      <c r="A994" s="810" t="s">
        <v>12194</v>
      </c>
      <c r="B994" s="810" t="s">
        <v>4180</v>
      </c>
      <c r="C994" s="810" t="s">
        <v>4180</v>
      </c>
      <c r="D994" s="810" t="s">
        <v>18435</v>
      </c>
      <c r="E994" s="810">
        <v>63</v>
      </c>
      <c r="F994" s="817">
        <v>5</v>
      </c>
      <c r="G994" s="202" t="str">
        <f t="shared" si="15"/>
        <v/>
      </c>
    </row>
    <row r="995" spans="1:7" s="172" customFormat="1" ht="15" customHeight="1" x14ac:dyDescent="0.25">
      <c r="A995" s="810" t="s">
        <v>12194</v>
      </c>
      <c r="B995" s="810" t="s">
        <v>4180</v>
      </c>
      <c r="C995" s="810" t="s">
        <v>4180</v>
      </c>
      <c r="D995" s="810" t="s">
        <v>18436</v>
      </c>
      <c r="E995" s="810">
        <v>250</v>
      </c>
      <c r="F995" s="817">
        <v>130</v>
      </c>
      <c r="G995" s="202" t="str">
        <f t="shared" si="15"/>
        <v/>
      </c>
    </row>
    <row r="996" spans="1:7" s="172" customFormat="1" ht="15" customHeight="1" x14ac:dyDescent="0.25">
      <c r="A996" s="810" t="s">
        <v>12194</v>
      </c>
      <c r="B996" s="810" t="s">
        <v>4180</v>
      </c>
      <c r="C996" s="810" t="s">
        <v>4180</v>
      </c>
      <c r="D996" s="810" t="s">
        <v>18437</v>
      </c>
      <c r="E996" s="810">
        <v>60</v>
      </c>
      <c r="F996" s="817">
        <v>5</v>
      </c>
      <c r="G996" s="202" t="str">
        <f t="shared" si="15"/>
        <v/>
      </c>
    </row>
    <row r="997" spans="1:7" s="172" customFormat="1" ht="15" customHeight="1" x14ac:dyDescent="0.25">
      <c r="A997" s="810" t="s">
        <v>12194</v>
      </c>
      <c r="B997" s="810" t="s">
        <v>4180</v>
      </c>
      <c r="C997" s="810" t="s">
        <v>4180</v>
      </c>
      <c r="D997" s="810" t="s">
        <v>18438</v>
      </c>
      <c r="E997" s="810">
        <v>160</v>
      </c>
      <c r="F997" s="817">
        <v>40</v>
      </c>
      <c r="G997" s="202" t="str">
        <f t="shared" si="15"/>
        <v/>
      </c>
    </row>
    <row r="998" spans="1:7" s="172" customFormat="1" ht="15" customHeight="1" x14ac:dyDescent="0.25">
      <c r="A998" s="810" t="s">
        <v>12194</v>
      </c>
      <c r="B998" s="810" t="s">
        <v>4180</v>
      </c>
      <c r="C998" s="810" t="s">
        <v>4180</v>
      </c>
      <c r="D998" s="810" t="s">
        <v>18439</v>
      </c>
      <c r="E998" s="810">
        <v>250</v>
      </c>
      <c r="F998" s="817">
        <v>5</v>
      </c>
      <c r="G998" s="202" t="str">
        <f t="shared" si="15"/>
        <v/>
      </c>
    </row>
    <row r="999" spans="1:7" s="172" customFormat="1" ht="15" customHeight="1" x14ac:dyDescent="0.25">
      <c r="A999" s="810" t="s">
        <v>12178</v>
      </c>
      <c r="B999" s="810" t="s">
        <v>4180</v>
      </c>
      <c r="C999" s="810" t="s">
        <v>4180</v>
      </c>
      <c r="D999" s="810" t="s">
        <v>18440</v>
      </c>
      <c r="E999" s="810">
        <v>60</v>
      </c>
      <c r="F999" s="817">
        <v>15</v>
      </c>
      <c r="G999" s="202" t="str">
        <f t="shared" si="15"/>
        <v/>
      </c>
    </row>
    <row r="1000" spans="1:7" s="172" customFormat="1" ht="15" customHeight="1" x14ac:dyDescent="0.25">
      <c r="A1000" s="810" t="s">
        <v>12166</v>
      </c>
      <c r="B1000" s="810" t="s">
        <v>4180</v>
      </c>
      <c r="C1000" s="810" t="s">
        <v>4180</v>
      </c>
      <c r="D1000" s="810" t="s">
        <v>18441</v>
      </c>
      <c r="E1000" s="810">
        <v>160</v>
      </c>
      <c r="F1000" s="817">
        <v>20</v>
      </c>
      <c r="G1000" s="202" t="str">
        <f t="shared" si="15"/>
        <v/>
      </c>
    </row>
    <row r="1001" spans="1:7" s="172" customFormat="1" ht="15" customHeight="1" x14ac:dyDescent="0.25">
      <c r="A1001" s="810" t="s">
        <v>12166</v>
      </c>
      <c r="B1001" s="810" t="s">
        <v>4180</v>
      </c>
      <c r="C1001" s="810" t="s">
        <v>4180</v>
      </c>
      <c r="D1001" s="810" t="s">
        <v>18442</v>
      </c>
      <c r="E1001" s="810">
        <v>180</v>
      </c>
      <c r="F1001" s="817">
        <v>30</v>
      </c>
      <c r="G1001" s="202" t="str">
        <f t="shared" si="15"/>
        <v/>
      </c>
    </row>
    <row r="1002" spans="1:7" s="172" customFormat="1" ht="15" customHeight="1" x14ac:dyDescent="0.25">
      <c r="A1002" s="810" t="s">
        <v>12166</v>
      </c>
      <c r="B1002" s="810" t="s">
        <v>4180</v>
      </c>
      <c r="C1002" s="810" t="s">
        <v>4180</v>
      </c>
      <c r="D1002" s="810" t="s">
        <v>18443</v>
      </c>
      <c r="E1002" s="810">
        <v>100</v>
      </c>
      <c r="F1002" s="817">
        <v>5</v>
      </c>
      <c r="G1002" s="202" t="str">
        <f t="shared" si="15"/>
        <v/>
      </c>
    </row>
    <row r="1003" spans="1:7" s="172" customFormat="1" ht="15" customHeight="1" x14ac:dyDescent="0.25">
      <c r="A1003" s="810" t="s">
        <v>12166</v>
      </c>
      <c r="B1003" s="810" t="s">
        <v>4180</v>
      </c>
      <c r="C1003" s="810" t="s">
        <v>4180</v>
      </c>
      <c r="D1003" s="810" t="s">
        <v>18444</v>
      </c>
      <c r="E1003" s="810">
        <v>160</v>
      </c>
      <c r="F1003" s="817">
        <v>25</v>
      </c>
      <c r="G1003" s="202" t="str">
        <f t="shared" si="15"/>
        <v/>
      </c>
    </row>
    <row r="1004" spans="1:7" s="172" customFormat="1" ht="15" customHeight="1" x14ac:dyDescent="0.25">
      <c r="A1004" s="810" t="s">
        <v>12166</v>
      </c>
      <c r="B1004" s="810" t="s">
        <v>4180</v>
      </c>
      <c r="C1004" s="810" t="s">
        <v>4180</v>
      </c>
      <c r="D1004" s="810" t="s">
        <v>18445</v>
      </c>
      <c r="E1004" s="810">
        <v>410</v>
      </c>
      <c r="F1004" s="817">
        <v>90</v>
      </c>
      <c r="G1004" s="202" t="str">
        <f t="shared" si="15"/>
        <v/>
      </c>
    </row>
    <row r="1005" spans="1:7" s="172" customFormat="1" ht="15" customHeight="1" x14ac:dyDescent="0.25">
      <c r="A1005" s="810" t="s">
        <v>12166</v>
      </c>
      <c r="B1005" s="810" t="s">
        <v>4180</v>
      </c>
      <c r="C1005" s="810" t="s">
        <v>4180</v>
      </c>
      <c r="D1005" s="810" t="s">
        <v>18446</v>
      </c>
      <c r="E1005" s="810">
        <v>320</v>
      </c>
      <c r="F1005" s="817">
        <v>33</v>
      </c>
      <c r="G1005" s="202" t="str">
        <f t="shared" si="15"/>
        <v/>
      </c>
    </row>
    <row r="1006" spans="1:7" s="172" customFormat="1" ht="15" customHeight="1" x14ac:dyDescent="0.25">
      <c r="A1006" s="810" t="s">
        <v>12166</v>
      </c>
      <c r="B1006" s="810" t="s">
        <v>4180</v>
      </c>
      <c r="C1006" s="810" t="s">
        <v>4180</v>
      </c>
      <c r="D1006" s="810" t="s">
        <v>18447</v>
      </c>
      <c r="E1006" s="810">
        <v>100</v>
      </c>
      <c r="F1006" s="817">
        <v>5</v>
      </c>
      <c r="G1006" s="202" t="str">
        <f t="shared" si="15"/>
        <v/>
      </c>
    </row>
    <row r="1007" spans="1:7" s="172" customFormat="1" ht="15" customHeight="1" x14ac:dyDescent="0.25">
      <c r="A1007" s="810" t="s">
        <v>12166</v>
      </c>
      <c r="B1007" s="810" t="s">
        <v>4180</v>
      </c>
      <c r="C1007" s="810" t="s">
        <v>4180</v>
      </c>
      <c r="D1007" s="810" t="s">
        <v>18448</v>
      </c>
      <c r="E1007" s="810">
        <v>400</v>
      </c>
      <c r="F1007" s="817">
        <v>5</v>
      </c>
      <c r="G1007" s="202" t="str">
        <f t="shared" si="15"/>
        <v/>
      </c>
    </row>
    <row r="1008" spans="1:7" s="172" customFormat="1" ht="15" customHeight="1" x14ac:dyDescent="0.25">
      <c r="A1008" s="810" t="s">
        <v>12166</v>
      </c>
      <c r="B1008" s="810" t="s">
        <v>4180</v>
      </c>
      <c r="C1008" s="810" t="s">
        <v>4180</v>
      </c>
      <c r="D1008" s="810" t="s">
        <v>18449</v>
      </c>
      <c r="E1008" s="810">
        <v>160</v>
      </c>
      <c r="F1008" s="817">
        <v>45</v>
      </c>
      <c r="G1008" s="202" t="str">
        <f t="shared" si="15"/>
        <v/>
      </c>
    </row>
    <row r="1009" spans="1:7" s="172" customFormat="1" ht="15" customHeight="1" x14ac:dyDescent="0.25">
      <c r="A1009" s="810" t="s">
        <v>12174</v>
      </c>
      <c r="B1009" s="810" t="s">
        <v>4180</v>
      </c>
      <c r="C1009" s="810" t="s">
        <v>4180</v>
      </c>
      <c r="D1009" s="810" t="s">
        <v>18450</v>
      </c>
      <c r="E1009" s="810">
        <v>100</v>
      </c>
      <c r="F1009" s="817">
        <v>10</v>
      </c>
      <c r="G1009" s="202" t="str">
        <f t="shared" si="15"/>
        <v/>
      </c>
    </row>
    <row r="1010" spans="1:7" s="172" customFormat="1" ht="15" customHeight="1" x14ac:dyDescent="0.25">
      <c r="A1010" s="810" t="s">
        <v>12174</v>
      </c>
      <c r="B1010" s="810" t="s">
        <v>4180</v>
      </c>
      <c r="C1010" s="810" t="s">
        <v>4180</v>
      </c>
      <c r="D1010" s="810" t="s">
        <v>18451</v>
      </c>
      <c r="E1010" s="810">
        <v>160</v>
      </c>
      <c r="F1010" s="817">
        <v>30</v>
      </c>
      <c r="G1010" s="202" t="str">
        <f t="shared" si="15"/>
        <v/>
      </c>
    </row>
    <row r="1011" spans="1:7" s="172" customFormat="1" ht="15" customHeight="1" x14ac:dyDescent="0.25">
      <c r="A1011" s="810" t="s">
        <v>12174</v>
      </c>
      <c r="B1011" s="810" t="s">
        <v>4180</v>
      </c>
      <c r="C1011" s="810" t="s">
        <v>4180</v>
      </c>
      <c r="D1011" s="810" t="s">
        <v>18452</v>
      </c>
      <c r="E1011" s="810">
        <v>63</v>
      </c>
      <c r="F1011" s="817">
        <v>35</v>
      </c>
      <c r="G1011" s="202" t="str">
        <f t="shared" si="15"/>
        <v/>
      </c>
    </row>
    <row r="1012" spans="1:7" s="172" customFormat="1" ht="15" customHeight="1" x14ac:dyDescent="0.25">
      <c r="A1012" s="810" t="s">
        <v>12174</v>
      </c>
      <c r="B1012" s="810" t="s">
        <v>4180</v>
      </c>
      <c r="C1012" s="810" t="s">
        <v>4180</v>
      </c>
      <c r="D1012" s="810" t="s">
        <v>18453</v>
      </c>
      <c r="E1012" s="810">
        <v>160</v>
      </c>
      <c r="F1012" s="817">
        <v>5</v>
      </c>
      <c r="G1012" s="202" t="str">
        <f t="shared" si="15"/>
        <v/>
      </c>
    </row>
    <row r="1013" spans="1:7" s="172" customFormat="1" ht="15" customHeight="1" x14ac:dyDescent="0.25">
      <c r="A1013" s="810" t="s">
        <v>12174</v>
      </c>
      <c r="B1013" s="810" t="s">
        <v>4180</v>
      </c>
      <c r="C1013" s="810" t="s">
        <v>4180</v>
      </c>
      <c r="D1013" s="810" t="s">
        <v>18454</v>
      </c>
      <c r="E1013" s="810">
        <v>100</v>
      </c>
      <c r="F1013" s="817">
        <v>5</v>
      </c>
      <c r="G1013" s="202" t="str">
        <f t="shared" si="15"/>
        <v/>
      </c>
    </row>
    <row r="1014" spans="1:7" s="172" customFormat="1" ht="15" customHeight="1" x14ac:dyDescent="0.25">
      <c r="A1014" s="810" t="s">
        <v>12174</v>
      </c>
      <c r="B1014" s="810" t="s">
        <v>4180</v>
      </c>
      <c r="C1014" s="810" t="s">
        <v>4180</v>
      </c>
      <c r="D1014" s="810" t="s">
        <v>18455</v>
      </c>
      <c r="E1014" s="810">
        <v>160</v>
      </c>
      <c r="F1014" s="817">
        <v>3</v>
      </c>
      <c r="G1014" s="202" t="str">
        <f t="shared" si="15"/>
        <v/>
      </c>
    </row>
    <row r="1015" spans="1:7" s="172" customFormat="1" ht="15" customHeight="1" x14ac:dyDescent="0.25">
      <c r="A1015" s="810" t="s">
        <v>12174</v>
      </c>
      <c r="B1015" s="810" t="s">
        <v>4180</v>
      </c>
      <c r="C1015" s="810" t="s">
        <v>4180</v>
      </c>
      <c r="D1015" s="810" t="s">
        <v>18456</v>
      </c>
      <c r="E1015" s="810">
        <v>100</v>
      </c>
      <c r="F1015" s="817">
        <v>5</v>
      </c>
      <c r="G1015" s="202" t="str">
        <f t="shared" si="15"/>
        <v/>
      </c>
    </row>
    <row r="1016" spans="1:7" s="172" customFormat="1" ht="15" customHeight="1" x14ac:dyDescent="0.25">
      <c r="A1016" s="810" t="s">
        <v>12200</v>
      </c>
      <c r="B1016" s="810" t="s">
        <v>4180</v>
      </c>
      <c r="C1016" s="810" t="s">
        <v>4180</v>
      </c>
      <c r="D1016" s="810" t="s">
        <v>18457</v>
      </c>
      <c r="E1016" s="810">
        <v>160</v>
      </c>
      <c r="F1016" s="817">
        <v>5</v>
      </c>
      <c r="G1016" s="202" t="str">
        <f t="shared" si="15"/>
        <v/>
      </c>
    </row>
    <row r="1017" spans="1:7" s="172" customFormat="1" ht="15" customHeight="1" x14ac:dyDescent="0.25">
      <c r="A1017" s="810" t="s">
        <v>12200</v>
      </c>
      <c r="B1017" s="810" t="s">
        <v>4180</v>
      </c>
      <c r="C1017" s="810" t="s">
        <v>4180</v>
      </c>
      <c r="D1017" s="810" t="s">
        <v>18458</v>
      </c>
      <c r="E1017" s="810">
        <v>160</v>
      </c>
      <c r="F1017" s="817">
        <v>5</v>
      </c>
      <c r="G1017" s="202" t="str">
        <f t="shared" si="15"/>
        <v/>
      </c>
    </row>
    <row r="1018" spans="1:7" s="172" customFormat="1" ht="15" customHeight="1" x14ac:dyDescent="0.25">
      <c r="A1018" s="810" t="s">
        <v>12200</v>
      </c>
      <c r="B1018" s="810" t="s">
        <v>4180</v>
      </c>
      <c r="C1018" s="810" t="s">
        <v>4180</v>
      </c>
      <c r="D1018" s="810" t="s">
        <v>18459</v>
      </c>
      <c r="E1018" s="810">
        <v>160</v>
      </c>
      <c r="F1018" s="817">
        <v>5</v>
      </c>
      <c r="G1018" s="202" t="str">
        <f t="shared" si="15"/>
        <v/>
      </c>
    </row>
    <row r="1019" spans="1:7" s="172" customFormat="1" ht="15" customHeight="1" x14ac:dyDescent="0.25">
      <c r="A1019" s="810" t="s">
        <v>12176</v>
      </c>
      <c r="B1019" s="810" t="s">
        <v>4180</v>
      </c>
      <c r="C1019" s="810" t="s">
        <v>4180</v>
      </c>
      <c r="D1019" s="810" t="s">
        <v>18460</v>
      </c>
      <c r="E1019" s="810">
        <v>780</v>
      </c>
      <c r="F1019" s="817">
        <v>30</v>
      </c>
      <c r="G1019" s="202" t="str">
        <f t="shared" si="15"/>
        <v/>
      </c>
    </row>
    <row r="1020" spans="1:7" s="172" customFormat="1" ht="15" customHeight="1" x14ac:dyDescent="0.25">
      <c r="A1020" s="810" t="s">
        <v>12168</v>
      </c>
      <c r="B1020" s="810" t="s">
        <v>4180</v>
      </c>
      <c r="C1020" s="810" t="s">
        <v>4180</v>
      </c>
      <c r="D1020" s="810" t="s">
        <v>18461</v>
      </c>
      <c r="E1020" s="810">
        <v>20</v>
      </c>
      <c r="F1020" s="817">
        <v>3</v>
      </c>
      <c r="G1020" s="202" t="str">
        <f t="shared" si="15"/>
        <v/>
      </c>
    </row>
    <row r="1021" spans="1:7" s="172" customFormat="1" ht="15" customHeight="1" x14ac:dyDescent="0.25">
      <c r="A1021" s="810" t="s">
        <v>4182</v>
      </c>
      <c r="B1021" s="810" t="s">
        <v>4180</v>
      </c>
      <c r="C1021" s="810" t="s">
        <v>4180</v>
      </c>
      <c r="D1021" s="810" t="s">
        <v>18908</v>
      </c>
      <c r="E1021" s="810">
        <v>160</v>
      </c>
      <c r="F1021" s="810">
        <v>10</v>
      </c>
      <c r="G1021" s="202" t="str">
        <f t="shared" si="15"/>
        <v/>
      </c>
    </row>
    <row r="1022" spans="1:7" s="172" customFormat="1" ht="15" customHeight="1" x14ac:dyDescent="0.25">
      <c r="A1022" s="810" t="s">
        <v>4880</v>
      </c>
      <c r="B1022" s="810" t="s">
        <v>4180</v>
      </c>
      <c r="C1022" s="810" t="s">
        <v>4180</v>
      </c>
      <c r="D1022" s="810" t="s">
        <v>18909</v>
      </c>
      <c r="E1022" s="810">
        <v>250</v>
      </c>
      <c r="F1022" s="810">
        <v>175</v>
      </c>
      <c r="G1022" s="202" t="str">
        <f t="shared" si="15"/>
        <v/>
      </c>
    </row>
    <row r="1023" spans="1:7" s="172" customFormat="1" ht="15" customHeight="1" x14ac:dyDescent="0.25">
      <c r="A1023" s="810" t="s">
        <v>12176</v>
      </c>
      <c r="B1023" s="810" t="s">
        <v>4180</v>
      </c>
      <c r="C1023" s="810" t="s">
        <v>4180</v>
      </c>
      <c r="D1023" s="810" t="s">
        <v>18910</v>
      </c>
      <c r="E1023" s="810">
        <v>100</v>
      </c>
      <c r="F1023" s="810">
        <v>10</v>
      </c>
      <c r="G1023" s="202" t="str">
        <f t="shared" si="15"/>
        <v/>
      </c>
    </row>
    <row r="1024" spans="1:7" s="172" customFormat="1" ht="15" customHeight="1" x14ac:dyDescent="0.25">
      <c r="A1024" s="810" t="s">
        <v>18911</v>
      </c>
      <c r="B1024" s="810" t="s">
        <v>4180</v>
      </c>
      <c r="C1024" s="810" t="s">
        <v>4180</v>
      </c>
      <c r="D1024" s="810" t="s">
        <v>18912</v>
      </c>
      <c r="E1024" s="810">
        <v>40</v>
      </c>
      <c r="F1024" s="810">
        <v>5</v>
      </c>
      <c r="G1024" s="202" t="str">
        <f t="shared" si="15"/>
        <v/>
      </c>
    </row>
    <row r="1025" spans="1:7" s="172" customFormat="1" ht="15" customHeight="1" x14ac:dyDescent="0.25">
      <c r="A1025" s="810" t="s">
        <v>18913</v>
      </c>
      <c r="B1025" s="810" t="s">
        <v>4180</v>
      </c>
      <c r="C1025" s="810" t="s">
        <v>4180</v>
      </c>
      <c r="D1025" s="810" t="s">
        <v>18914</v>
      </c>
      <c r="E1025" s="810">
        <v>100</v>
      </c>
      <c r="F1025" s="810">
        <v>5</v>
      </c>
      <c r="G1025" s="202" t="str">
        <f t="shared" si="15"/>
        <v/>
      </c>
    </row>
    <row r="1026" spans="1:7" s="172" customFormat="1" ht="15" customHeight="1" x14ac:dyDescent="0.25">
      <c r="A1026" s="810" t="s">
        <v>12194</v>
      </c>
      <c r="B1026" s="810" t="s">
        <v>4180</v>
      </c>
      <c r="C1026" s="810" t="s">
        <v>4180</v>
      </c>
      <c r="D1026" s="810" t="s">
        <v>18915</v>
      </c>
      <c r="E1026" s="810">
        <v>160</v>
      </c>
      <c r="F1026" s="810">
        <v>5</v>
      </c>
      <c r="G1026" s="202" t="str">
        <f t="shared" si="15"/>
        <v/>
      </c>
    </row>
    <row r="1027" spans="1:7" s="172" customFormat="1" ht="15" customHeight="1" x14ac:dyDescent="0.25">
      <c r="A1027" s="810" t="s">
        <v>12194</v>
      </c>
      <c r="B1027" s="810" t="s">
        <v>4180</v>
      </c>
      <c r="C1027" s="810" t="s">
        <v>4180</v>
      </c>
      <c r="D1027" s="810" t="s">
        <v>18916</v>
      </c>
      <c r="E1027" s="810">
        <v>100</v>
      </c>
      <c r="F1027" s="810">
        <v>20</v>
      </c>
      <c r="G1027" s="202" t="str">
        <f t="shared" si="15"/>
        <v/>
      </c>
    </row>
    <row r="1028" spans="1:7" s="172" customFormat="1" ht="15" customHeight="1" x14ac:dyDescent="0.25">
      <c r="A1028" s="810" t="s">
        <v>12194</v>
      </c>
      <c r="B1028" s="810" t="s">
        <v>4180</v>
      </c>
      <c r="C1028" s="810" t="s">
        <v>4180</v>
      </c>
      <c r="D1028" s="810" t="s">
        <v>18917</v>
      </c>
      <c r="E1028" s="810">
        <v>1260</v>
      </c>
      <c r="F1028" s="810">
        <v>1000</v>
      </c>
      <c r="G1028" s="202" t="str">
        <f t="shared" ref="G1028:G1091" si="16">IF(E1028=F1028,"не загружен","")</f>
        <v/>
      </c>
    </row>
    <row r="1029" spans="1:7" s="172" customFormat="1" ht="15" customHeight="1" x14ac:dyDescent="0.25">
      <c r="A1029" s="810" t="s">
        <v>12200</v>
      </c>
      <c r="B1029" s="810" t="s">
        <v>4180</v>
      </c>
      <c r="C1029" s="810" t="s">
        <v>4180</v>
      </c>
      <c r="D1029" s="810" t="s">
        <v>18918</v>
      </c>
      <c r="E1029" s="810">
        <v>100</v>
      </c>
      <c r="F1029" s="810">
        <v>40</v>
      </c>
      <c r="G1029" s="202" t="str">
        <f t="shared" si="16"/>
        <v/>
      </c>
    </row>
    <row r="1030" spans="1:7" s="172" customFormat="1" ht="15" customHeight="1" x14ac:dyDescent="0.25">
      <c r="A1030" s="810" t="s">
        <v>4813</v>
      </c>
      <c r="B1030" s="810" t="s">
        <v>4180</v>
      </c>
      <c r="C1030" s="810" t="s">
        <v>4180</v>
      </c>
      <c r="D1030" s="810" t="s">
        <v>18919</v>
      </c>
      <c r="E1030" s="810">
        <v>40</v>
      </c>
      <c r="F1030" s="810">
        <v>15</v>
      </c>
      <c r="G1030" s="202" t="str">
        <f t="shared" si="16"/>
        <v/>
      </c>
    </row>
    <row r="1031" spans="1:7" s="172" customFormat="1" ht="15" customHeight="1" x14ac:dyDescent="0.25">
      <c r="A1031" s="810" t="s">
        <v>18920</v>
      </c>
      <c r="B1031" s="810" t="s">
        <v>4180</v>
      </c>
      <c r="C1031" s="810" t="s">
        <v>4180</v>
      </c>
      <c r="D1031" s="810" t="s">
        <v>18921</v>
      </c>
      <c r="E1031" s="810">
        <v>25</v>
      </c>
      <c r="F1031" s="810">
        <v>5</v>
      </c>
      <c r="G1031" s="202" t="str">
        <f t="shared" si="16"/>
        <v/>
      </c>
    </row>
    <row r="1032" spans="1:7" s="172" customFormat="1" ht="15" customHeight="1" x14ac:dyDescent="0.25">
      <c r="A1032" s="806" t="s">
        <v>14429</v>
      </c>
      <c r="B1032" s="806" t="s">
        <v>14430</v>
      </c>
      <c r="C1032" s="806" t="s">
        <v>14430</v>
      </c>
      <c r="D1032" s="818" t="s">
        <v>14431</v>
      </c>
      <c r="E1032" s="819">
        <v>250</v>
      </c>
      <c r="F1032" s="809">
        <v>54</v>
      </c>
      <c r="G1032" s="202" t="str">
        <f t="shared" si="16"/>
        <v/>
      </c>
    </row>
    <row r="1033" spans="1:7" s="172" customFormat="1" ht="15" customHeight="1" x14ac:dyDescent="0.25">
      <c r="A1033" s="810" t="s">
        <v>9995</v>
      </c>
      <c r="B1033" s="806" t="s">
        <v>14430</v>
      </c>
      <c r="C1033" s="806" t="s">
        <v>14430</v>
      </c>
      <c r="D1033" s="806" t="s">
        <v>19805</v>
      </c>
      <c r="E1033" s="809">
        <v>400</v>
      </c>
      <c r="F1033" s="809">
        <v>125</v>
      </c>
      <c r="G1033" s="202" t="str">
        <f t="shared" si="16"/>
        <v/>
      </c>
    </row>
    <row r="1034" spans="1:7" s="172" customFormat="1" ht="15" customHeight="1" x14ac:dyDescent="0.25">
      <c r="A1034" s="809" t="s">
        <v>9995</v>
      </c>
      <c r="B1034" s="806" t="s">
        <v>14430</v>
      </c>
      <c r="C1034" s="806" t="s">
        <v>14430</v>
      </c>
      <c r="D1034" s="806" t="s">
        <v>14432</v>
      </c>
      <c r="E1034" s="809">
        <v>63</v>
      </c>
      <c r="F1034" s="809">
        <v>26</v>
      </c>
      <c r="G1034" s="202" t="str">
        <f t="shared" si="16"/>
        <v/>
      </c>
    </row>
    <row r="1035" spans="1:7" s="172" customFormat="1" ht="15" customHeight="1" x14ac:dyDescent="0.25">
      <c r="A1035" s="809" t="s">
        <v>14433</v>
      </c>
      <c r="B1035" s="806" t="s">
        <v>14430</v>
      </c>
      <c r="C1035" s="806" t="s">
        <v>14430</v>
      </c>
      <c r="D1035" s="809" t="s">
        <v>14434</v>
      </c>
      <c r="E1035" s="809">
        <v>20</v>
      </c>
      <c r="F1035" s="809">
        <v>1</v>
      </c>
      <c r="G1035" s="202" t="str">
        <f t="shared" si="16"/>
        <v/>
      </c>
    </row>
    <row r="1036" spans="1:7" s="172" customFormat="1" ht="15" customHeight="1" x14ac:dyDescent="0.25">
      <c r="A1036" s="809" t="s">
        <v>2922</v>
      </c>
      <c r="B1036" s="806" t="s">
        <v>14430</v>
      </c>
      <c r="C1036" s="806" t="s">
        <v>14430</v>
      </c>
      <c r="D1036" s="809" t="s">
        <v>14435</v>
      </c>
      <c r="E1036" s="809">
        <v>100</v>
      </c>
      <c r="F1036" s="809">
        <v>31</v>
      </c>
      <c r="G1036" s="202" t="str">
        <f t="shared" si="16"/>
        <v/>
      </c>
    </row>
    <row r="1037" spans="1:7" s="172" customFormat="1" ht="15" customHeight="1" x14ac:dyDescent="0.25">
      <c r="A1037" s="809" t="s">
        <v>14436</v>
      </c>
      <c r="B1037" s="806" t="s">
        <v>14430</v>
      </c>
      <c r="C1037" s="806" t="s">
        <v>14430</v>
      </c>
      <c r="D1037" s="809" t="s">
        <v>14437</v>
      </c>
      <c r="E1037" s="809">
        <v>63</v>
      </c>
      <c r="F1037" s="809">
        <v>56</v>
      </c>
      <c r="G1037" s="202" t="str">
        <f t="shared" si="16"/>
        <v/>
      </c>
    </row>
    <row r="1038" spans="1:7" s="172" customFormat="1" ht="15" customHeight="1" x14ac:dyDescent="0.25">
      <c r="A1038" s="809" t="s">
        <v>14436</v>
      </c>
      <c r="B1038" s="806" t="s">
        <v>14430</v>
      </c>
      <c r="C1038" s="806" t="s">
        <v>14430</v>
      </c>
      <c r="D1038" s="820" t="s">
        <v>19806</v>
      </c>
      <c r="E1038" s="809">
        <v>100</v>
      </c>
      <c r="F1038" s="809">
        <v>1</v>
      </c>
      <c r="G1038" s="202" t="str">
        <f t="shared" si="16"/>
        <v/>
      </c>
    </row>
    <row r="1039" spans="1:7" s="172" customFormat="1" ht="15" customHeight="1" x14ac:dyDescent="0.25">
      <c r="A1039" s="809" t="s">
        <v>14436</v>
      </c>
      <c r="B1039" s="806" t="s">
        <v>14430</v>
      </c>
      <c r="C1039" s="806" t="s">
        <v>14430</v>
      </c>
      <c r="D1039" s="820" t="s">
        <v>18246</v>
      </c>
      <c r="E1039" s="809">
        <v>63</v>
      </c>
      <c r="F1039" s="809">
        <v>43</v>
      </c>
      <c r="G1039" s="202" t="str">
        <f t="shared" si="16"/>
        <v/>
      </c>
    </row>
    <row r="1040" spans="1:7" s="172" customFormat="1" ht="15" customHeight="1" x14ac:dyDescent="0.25">
      <c r="A1040" s="809" t="s">
        <v>14438</v>
      </c>
      <c r="B1040" s="806" t="s">
        <v>14430</v>
      </c>
      <c r="C1040" s="806" t="s">
        <v>14430</v>
      </c>
      <c r="D1040" s="809" t="s">
        <v>14439</v>
      </c>
      <c r="E1040" s="809">
        <v>100</v>
      </c>
      <c r="F1040" s="809">
        <v>28</v>
      </c>
      <c r="G1040" s="202" t="str">
        <f t="shared" si="16"/>
        <v/>
      </c>
    </row>
    <row r="1041" spans="1:7" s="172" customFormat="1" ht="15" customHeight="1" x14ac:dyDescent="0.25">
      <c r="A1041" s="812" t="s">
        <v>14440</v>
      </c>
      <c r="B1041" s="813" t="s">
        <v>14430</v>
      </c>
      <c r="C1041" s="813" t="s">
        <v>14430</v>
      </c>
      <c r="D1041" s="812" t="s">
        <v>19295</v>
      </c>
      <c r="E1041" s="812">
        <v>100</v>
      </c>
      <c r="F1041" s="812">
        <v>86</v>
      </c>
      <c r="G1041" s="202" t="str">
        <f t="shared" si="16"/>
        <v/>
      </c>
    </row>
    <row r="1042" spans="1:7" s="172" customFormat="1" ht="15" customHeight="1" x14ac:dyDescent="0.25">
      <c r="A1042" s="809" t="s">
        <v>14441</v>
      </c>
      <c r="B1042" s="806" t="s">
        <v>14430</v>
      </c>
      <c r="C1042" s="806" t="s">
        <v>14430</v>
      </c>
      <c r="D1042" s="809" t="s">
        <v>14442</v>
      </c>
      <c r="E1042" s="809">
        <v>100</v>
      </c>
      <c r="F1042" s="809">
        <v>22</v>
      </c>
      <c r="G1042" s="202" t="str">
        <f t="shared" si="16"/>
        <v/>
      </c>
    </row>
    <row r="1043" spans="1:7" s="172" customFormat="1" ht="15" customHeight="1" x14ac:dyDescent="0.25">
      <c r="A1043" s="809" t="s">
        <v>14443</v>
      </c>
      <c r="B1043" s="806" t="s">
        <v>14430</v>
      </c>
      <c r="C1043" s="806" t="s">
        <v>14430</v>
      </c>
      <c r="D1043" s="809" t="s">
        <v>14444</v>
      </c>
      <c r="E1043" s="809">
        <v>10</v>
      </c>
      <c r="F1043" s="809">
        <v>4</v>
      </c>
      <c r="G1043" s="202" t="str">
        <f t="shared" si="16"/>
        <v/>
      </c>
    </row>
    <row r="1044" spans="1:7" s="172" customFormat="1" ht="15" customHeight="1" x14ac:dyDescent="0.25">
      <c r="A1044" s="809" t="s">
        <v>14445</v>
      </c>
      <c r="B1044" s="806" t="s">
        <v>14430</v>
      </c>
      <c r="C1044" s="806" t="s">
        <v>14430</v>
      </c>
      <c r="D1044" s="809" t="s">
        <v>19807</v>
      </c>
      <c r="E1044" s="812">
        <v>160</v>
      </c>
      <c r="F1044" s="809">
        <v>76</v>
      </c>
      <c r="G1044" s="202" t="str">
        <f t="shared" si="16"/>
        <v/>
      </c>
    </row>
    <row r="1045" spans="1:7" s="172" customFormat="1" ht="15" customHeight="1" x14ac:dyDescent="0.25">
      <c r="A1045" s="809" t="s">
        <v>14446</v>
      </c>
      <c r="B1045" s="806" t="s">
        <v>14430</v>
      </c>
      <c r="C1045" s="806" t="s">
        <v>14430</v>
      </c>
      <c r="D1045" s="809" t="s">
        <v>19808</v>
      </c>
      <c r="E1045" s="812">
        <v>100</v>
      </c>
      <c r="F1045" s="809">
        <v>52</v>
      </c>
      <c r="G1045" s="202" t="str">
        <f t="shared" si="16"/>
        <v/>
      </c>
    </row>
    <row r="1046" spans="1:7" s="172" customFormat="1" ht="15" customHeight="1" x14ac:dyDescent="0.25">
      <c r="A1046" s="809" t="s">
        <v>14446</v>
      </c>
      <c r="B1046" s="806" t="s">
        <v>14430</v>
      </c>
      <c r="C1046" s="806" t="s">
        <v>14430</v>
      </c>
      <c r="D1046" s="809" t="s">
        <v>19296</v>
      </c>
      <c r="E1046" s="812">
        <v>160</v>
      </c>
      <c r="F1046" s="809">
        <v>108</v>
      </c>
      <c r="G1046" s="202" t="str">
        <f t="shared" si="16"/>
        <v/>
      </c>
    </row>
    <row r="1047" spans="1:7" s="172" customFormat="1" ht="15" customHeight="1" x14ac:dyDescent="0.25">
      <c r="A1047" s="809" t="s">
        <v>14447</v>
      </c>
      <c r="B1047" s="806" t="s">
        <v>14430</v>
      </c>
      <c r="C1047" s="806" t="s">
        <v>14430</v>
      </c>
      <c r="D1047" s="809" t="s">
        <v>14448</v>
      </c>
      <c r="E1047" s="809">
        <v>100</v>
      </c>
      <c r="F1047" s="809">
        <v>30</v>
      </c>
      <c r="G1047" s="202" t="str">
        <f t="shared" si="16"/>
        <v/>
      </c>
    </row>
    <row r="1048" spans="1:7" s="172" customFormat="1" ht="15" customHeight="1" x14ac:dyDescent="0.25">
      <c r="A1048" s="809" t="s">
        <v>14447</v>
      </c>
      <c r="B1048" s="806" t="s">
        <v>14430</v>
      </c>
      <c r="C1048" s="806" t="s">
        <v>14430</v>
      </c>
      <c r="D1048" s="820" t="s">
        <v>19809</v>
      </c>
      <c r="E1048" s="809">
        <v>400</v>
      </c>
      <c r="F1048" s="810">
        <v>341</v>
      </c>
      <c r="G1048" s="202" t="str">
        <f t="shared" si="16"/>
        <v/>
      </c>
    </row>
    <row r="1049" spans="1:7" s="172" customFormat="1" ht="15" customHeight="1" x14ac:dyDescent="0.25">
      <c r="A1049" s="809" t="s">
        <v>3135</v>
      </c>
      <c r="B1049" s="806" t="s">
        <v>14430</v>
      </c>
      <c r="C1049" s="806" t="s">
        <v>14430</v>
      </c>
      <c r="D1049" s="809" t="s">
        <v>14449</v>
      </c>
      <c r="E1049" s="809">
        <v>63</v>
      </c>
      <c r="F1049" s="809">
        <v>19</v>
      </c>
      <c r="G1049" s="202" t="str">
        <f t="shared" si="16"/>
        <v/>
      </c>
    </row>
    <row r="1050" spans="1:7" s="172" customFormat="1" ht="15" customHeight="1" x14ac:dyDescent="0.25">
      <c r="A1050" s="812" t="s">
        <v>14450</v>
      </c>
      <c r="B1050" s="813" t="s">
        <v>14430</v>
      </c>
      <c r="C1050" s="813" t="s">
        <v>14430</v>
      </c>
      <c r="D1050" s="812" t="s">
        <v>19180</v>
      </c>
      <c r="E1050" s="812">
        <v>400</v>
      </c>
      <c r="F1050" s="812">
        <v>350</v>
      </c>
      <c r="G1050" s="202" t="str">
        <f t="shared" si="16"/>
        <v/>
      </c>
    </row>
    <row r="1051" spans="1:7" s="172" customFormat="1" ht="15" customHeight="1" x14ac:dyDescent="0.25">
      <c r="A1051" s="812" t="s">
        <v>14450</v>
      </c>
      <c r="B1051" s="813" t="s">
        <v>14430</v>
      </c>
      <c r="C1051" s="813" t="s">
        <v>14430</v>
      </c>
      <c r="D1051" s="812" t="s">
        <v>19181</v>
      </c>
      <c r="E1051" s="812">
        <v>630</v>
      </c>
      <c r="F1051" s="812">
        <v>600</v>
      </c>
      <c r="G1051" s="202" t="str">
        <f t="shared" si="16"/>
        <v/>
      </c>
    </row>
    <row r="1052" spans="1:7" s="172" customFormat="1" ht="15" customHeight="1" x14ac:dyDescent="0.25">
      <c r="A1052" s="812" t="s">
        <v>14450</v>
      </c>
      <c r="B1052" s="813" t="s">
        <v>14430</v>
      </c>
      <c r="C1052" s="813" t="s">
        <v>14430</v>
      </c>
      <c r="D1052" s="812" t="s">
        <v>19182</v>
      </c>
      <c r="E1052" s="812">
        <v>630</v>
      </c>
      <c r="F1052" s="812">
        <v>630</v>
      </c>
      <c r="G1052" s="202" t="str">
        <f t="shared" si="16"/>
        <v>не загружен</v>
      </c>
    </row>
    <row r="1053" spans="1:7" s="172" customFormat="1" ht="15" customHeight="1" x14ac:dyDescent="0.25">
      <c r="A1053" s="809" t="s">
        <v>2709</v>
      </c>
      <c r="B1053" s="806" t="s">
        <v>14430</v>
      </c>
      <c r="C1053" s="806" t="s">
        <v>14430</v>
      </c>
      <c r="D1053" s="809" t="s">
        <v>14451</v>
      </c>
      <c r="E1053" s="809">
        <v>160</v>
      </c>
      <c r="F1053" s="810">
        <v>73</v>
      </c>
      <c r="G1053" s="202" t="str">
        <f t="shared" si="16"/>
        <v/>
      </c>
    </row>
    <row r="1054" spans="1:7" s="172" customFormat="1" ht="15" customHeight="1" x14ac:dyDescent="0.25">
      <c r="A1054" s="809" t="s">
        <v>14452</v>
      </c>
      <c r="B1054" s="806" t="s">
        <v>14430</v>
      </c>
      <c r="C1054" s="806" t="s">
        <v>14430</v>
      </c>
      <c r="D1054" s="809" t="s">
        <v>14453</v>
      </c>
      <c r="E1054" s="809">
        <v>63</v>
      </c>
      <c r="F1054" s="809">
        <v>33</v>
      </c>
      <c r="G1054" s="202" t="str">
        <f t="shared" si="16"/>
        <v/>
      </c>
    </row>
    <row r="1055" spans="1:7" s="172" customFormat="1" ht="15" customHeight="1" x14ac:dyDescent="0.25">
      <c r="A1055" s="809" t="s">
        <v>14454</v>
      </c>
      <c r="B1055" s="806" t="s">
        <v>14430</v>
      </c>
      <c r="C1055" s="806" t="s">
        <v>14430</v>
      </c>
      <c r="D1055" s="809" t="s">
        <v>14455</v>
      </c>
      <c r="E1055" s="809">
        <v>25</v>
      </c>
      <c r="F1055" s="809">
        <v>18</v>
      </c>
      <c r="G1055" s="202" t="str">
        <f t="shared" si="16"/>
        <v/>
      </c>
    </row>
    <row r="1056" spans="1:7" s="172" customFormat="1" ht="15" customHeight="1" x14ac:dyDescent="0.25">
      <c r="A1056" s="809" t="s">
        <v>4892</v>
      </c>
      <c r="B1056" s="806" t="s">
        <v>14430</v>
      </c>
      <c r="C1056" s="806" t="s">
        <v>14430</v>
      </c>
      <c r="D1056" s="809" t="s">
        <v>14456</v>
      </c>
      <c r="E1056" s="809">
        <v>30</v>
      </c>
      <c r="F1056" s="809">
        <v>21</v>
      </c>
      <c r="G1056" s="202" t="str">
        <f t="shared" si="16"/>
        <v/>
      </c>
    </row>
    <row r="1057" spans="1:7" s="172" customFormat="1" ht="15" customHeight="1" x14ac:dyDescent="0.25">
      <c r="A1057" s="809" t="s">
        <v>2515</v>
      </c>
      <c r="B1057" s="806" t="s">
        <v>14430</v>
      </c>
      <c r="C1057" s="806" t="s">
        <v>14430</v>
      </c>
      <c r="D1057" s="820" t="s">
        <v>14457</v>
      </c>
      <c r="E1057" s="809">
        <v>100</v>
      </c>
      <c r="F1057" s="809">
        <v>79</v>
      </c>
      <c r="G1057" s="202" t="str">
        <f t="shared" si="16"/>
        <v/>
      </c>
    </row>
    <row r="1058" spans="1:7" s="172" customFormat="1" ht="15" customHeight="1" x14ac:dyDescent="0.25">
      <c r="A1058" s="809" t="s">
        <v>2515</v>
      </c>
      <c r="B1058" s="806" t="s">
        <v>14430</v>
      </c>
      <c r="C1058" s="806" t="s">
        <v>14430</v>
      </c>
      <c r="D1058" s="809" t="s">
        <v>14458</v>
      </c>
      <c r="E1058" s="809">
        <v>100</v>
      </c>
      <c r="F1058" s="809">
        <v>83</v>
      </c>
      <c r="G1058" s="202" t="str">
        <f t="shared" si="16"/>
        <v/>
      </c>
    </row>
    <row r="1059" spans="1:7" s="172" customFormat="1" ht="15" customHeight="1" x14ac:dyDescent="0.25">
      <c r="A1059" s="809" t="s">
        <v>14459</v>
      </c>
      <c r="B1059" s="806" t="s">
        <v>14430</v>
      </c>
      <c r="C1059" s="806" t="s">
        <v>14430</v>
      </c>
      <c r="D1059" s="809" t="s">
        <v>14460</v>
      </c>
      <c r="E1059" s="809">
        <v>30</v>
      </c>
      <c r="F1059" s="809">
        <v>16</v>
      </c>
      <c r="G1059" s="202" t="str">
        <f t="shared" si="16"/>
        <v/>
      </c>
    </row>
    <row r="1060" spans="1:7" s="172" customFormat="1" ht="15" customHeight="1" x14ac:dyDescent="0.25">
      <c r="A1060" s="809" t="s">
        <v>14461</v>
      </c>
      <c r="B1060" s="806" t="s">
        <v>14430</v>
      </c>
      <c r="C1060" s="806" t="s">
        <v>14430</v>
      </c>
      <c r="D1060" s="809" t="s">
        <v>14462</v>
      </c>
      <c r="E1060" s="809">
        <v>100</v>
      </c>
      <c r="F1060" s="809">
        <v>32</v>
      </c>
      <c r="G1060" s="202" t="str">
        <f t="shared" si="16"/>
        <v/>
      </c>
    </row>
    <row r="1061" spans="1:7" s="172" customFormat="1" ht="15" customHeight="1" x14ac:dyDescent="0.25">
      <c r="A1061" s="809" t="s">
        <v>14461</v>
      </c>
      <c r="B1061" s="806" t="s">
        <v>14430</v>
      </c>
      <c r="C1061" s="806" t="s">
        <v>14430</v>
      </c>
      <c r="D1061" s="809" t="s">
        <v>14463</v>
      </c>
      <c r="E1061" s="809">
        <v>400</v>
      </c>
      <c r="F1061" s="809">
        <v>84</v>
      </c>
      <c r="G1061" s="202" t="str">
        <f t="shared" si="16"/>
        <v/>
      </c>
    </row>
    <row r="1062" spans="1:7" s="172" customFormat="1" ht="15" customHeight="1" x14ac:dyDescent="0.25">
      <c r="A1062" s="809" t="s">
        <v>14461</v>
      </c>
      <c r="B1062" s="806" t="s">
        <v>14430</v>
      </c>
      <c r="C1062" s="806" t="s">
        <v>14430</v>
      </c>
      <c r="D1062" s="809" t="s">
        <v>14464</v>
      </c>
      <c r="E1062" s="809">
        <v>160</v>
      </c>
      <c r="F1062" s="809">
        <v>64</v>
      </c>
      <c r="G1062" s="202" t="str">
        <f t="shared" si="16"/>
        <v/>
      </c>
    </row>
    <row r="1063" spans="1:7" s="172" customFormat="1" ht="15" customHeight="1" x14ac:dyDescent="0.25">
      <c r="A1063" s="809" t="s">
        <v>14461</v>
      </c>
      <c r="B1063" s="806" t="s">
        <v>14430</v>
      </c>
      <c r="C1063" s="806" t="s">
        <v>14430</v>
      </c>
      <c r="D1063" s="809" t="s">
        <v>18247</v>
      </c>
      <c r="E1063" s="809">
        <v>160</v>
      </c>
      <c r="F1063" s="809">
        <v>108</v>
      </c>
      <c r="G1063" s="202" t="str">
        <f t="shared" si="16"/>
        <v/>
      </c>
    </row>
    <row r="1064" spans="1:7" s="172" customFormat="1" ht="15" customHeight="1" x14ac:dyDescent="0.25">
      <c r="A1064" s="809" t="s">
        <v>14461</v>
      </c>
      <c r="B1064" s="806" t="s">
        <v>14430</v>
      </c>
      <c r="C1064" s="806" t="s">
        <v>14430</v>
      </c>
      <c r="D1064" s="809" t="s">
        <v>14465</v>
      </c>
      <c r="E1064" s="809">
        <v>63</v>
      </c>
      <c r="F1064" s="809">
        <v>24</v>
      </c>
      <c r="G1064" s="202" t="str">
        <f t="shared" si="16"/>
        <v/>
      </c>
    </row>
    <row r="1065" spans="1:7" s="172" customFormat="1" ht="15" customHeight="1" x14ac:dyDescent="0.25">
      <c r="A1065" s="809" t="s">
        <v>14466</v>
      </c>
      <c r="B1065" s="806" t="s">
        <v>14430</v>
      </c>
      <c r="C1065" s="806" t="s">
        <v>14430</v>
      </c>
      <c r="D1065" s="809" t="s">
        <v>14467</v>
      </c>
      <c r="E1065" s="809">
        <v>160</v>
      </c>
      <c r="F1065" s="809">
        <v>42</v>
      </c>
      <c r="G1065" s="202" t="str">
        <f t="shared" si="16"/>
        <v/>
      </c>
    </row>
    <row r="1066" spans="1:7" s="172" customFormat="1" ht="15" customHeight="1" x14ac:dyDescent="0.25">
      <c r="A1066" s="809" t="s">
        <v>14468</v>
      </c>
      <c r="B1066" s="806" t="s">
        <v>14430</v>
      </c>
      <c r="C1066" s="806" t="s">
        <v>14430</v>
      </c>
      <c r="D1066" s="809" t="s">
        <v>14469</v>
      </c>
      <c r="E1066" s="809">
        <v>630</v>
      </c>
      <c r="F1066" s="809">
        <v>96</v>
      </c>
      <c r="G1066" s="202" t="str">
        <f t="shared" si="16"/>
        <v/>
      </c>
    </row>
    <row r="1067" spans="1:7" s="172" customFormat="1" ht="15" customHeight="1" x14ac:dyDescent="0.25">
      <c r="A1067" s="809" t="s">
        <v>14468</v>
      </c>
      <c r="B1067" s="806" t="s">
        <v>14430</v>
      </c>
      <c r="C1067" s="806" t="s">
        <v>14430</v>
      </c>
      <c r="D1067" s="809" t="s">
        <v>14470</v>
      </c>
      <c r="E1067" s="809">
        <v>250</v>
      </c>
      <c r="F1067" s="809">
        <v>112</v>
      </c>
      <c r="G1067" s="202" t="str">
        <f t="shared" si="16"/>
        <v/>
      </c>
    </row>
    <row r="1068" spans="1:7" s="172" customFormat="1" ht="15" customHeight="1" x14ac:dyDescent="0.25">
      <c r="A1068" s="809" t="s">
        <v>14468</v>
      </c>
      <c r="B1068" s="806" t="s">
        <v>14430</v>
      </c>
      <c r="C1068" s="806" t="s">
        <v>14430</v>
      </c>
      <c r="D1068" s="809" t="s">
        <v>14471</v>
      </c>
      <c r="E1068" s="809">
        <v>100</v>
      </c>
      <c r="F1068" s="809">
        <v>48</v>
      </c>
      <c r="G1068" s="202" t="str">
        <f t="shared" si="16"/>
        <v/>
      </c>
    </row>
    <row r="1069" spans="1:7" s="172" customFormat="1" ht="15" customHeight="1" x14ac:dyDescent="0.25">
      <c r="A1069" s="809" t="s">
        <v>14468</v>
      </c>
      <c r="B1069" s="806" t="s">
        <v>14430</v>
      </c>
      <c r="C1069" s="806" t="s">
        <v>14430</v>
      </c>
      <c r="D1069" s="809" t="s">
        <v>14472</v>
      </c>
      <c r="E1069" s="809">
        <v>250</v>
      </c>
      <c r="F1069" s="809">
        <v>132</v>
      </c>
      <c r="G1069" s="202" t="str">
        <f t="shared" si="16"/>
        <v/>
      </c>
    </row>
    <row r="1070" spans="1:7" s="172" customFormat="1" ht="15" customHeight="1" x14ac:dyDescent="0.25">
      <c r="A1070" s="809" t="s">
        <v>14468</v>
      </c>
      <c r="B1070" s="806" t="s">
        <v>14430</v>
      </c>
      <c r="C1070" s="806" t="s">
        <v>14430</v>
      </c>
      <c r="D1070" s="809" t="s">
        <v>14473</v>
      </c>
      <c r="E1070" s="809">
        <v>100</v>
      </c>
      <c r="F1070" s="809">
        <v>38</v>
      </c>
      <c r="G1070" s="202" t="str">
        <f t="shared" si="16"/>
        <v/>
      </c>
    </row>
    <row r="1071" spans="1:7" s="172" customFormat="1" ht="15" customHeight="1" x14ac:dyDescent="0.25">
      <c r="A1071" s="809" t="s">
        <v>14468</v>
      </c>
      <c r="B1071" s="806" t="s">
        <v>14430</v>
      </c>
      <c r="C1071" s="806" t="s">
        <v>14430</v>
      </c>
      <c r="D1071" s="809" t="s">
        <v>14474</v>
      </c>
      <c r="E1071" s="809">
        <v>400</v>
      </c>
      <c r="F1071" s="809">
        <v>189</v>
      </c>
      <c r="G1071" s="202" t="str">
        <f t="shared" si="16"/>
        <v/>
      </c>
    </row>
    <row r="1072" spans="1:7" s="172" customFormat="1" ht="15" customHeight="1" x14ac:dyDescent="0.25">
      <c r="A1072" s="809" t="s">
        <v>4842</v>
      </c>
      <c r="B1072" s="806" t="s">
        <v>14430</v>
      </c>
      <c r="C1072" s="806" t="s">
        <v>14430</v>
      </c>
      <c r="D1072" s="809" t="s">
        <v>19810</v>
      </c>
      <c r="E1072" s="809">
        <v>63</v>
      </c>
      <c r="F1072" s="809">
        <v>24</v>
      </c>
      <c r="G1072" s="202" t="str">
        <f t="shared" si="16"/>
        <v/>
      </c>
    </row>
    <row r="1073" spans="1:7" s="172" customFormat="1" ht="15" customHeight="1" x14ac:dyDescent="0.25">
      <c r="A1073" s="809" t="s">
        <v>14475</v>
      </c>
      <c r="B1073" s="806" t="s">
        <v>14430</v>
      </c>
      <c r="C1073" s="806" t="s">
        <v>14430</v>
      </c>
      <c r="D1073" s="809" t="s">
        <v>14476</v>
      </c>
      <c r="E1073" s="809">
        <v>63</v>
      </c>
      <c r="F1073" s="809">
        <v>48</v>
      </c>
      <c r="G1073" s="202" t="str">
        <f t="shared" si="16"/>
        <v/>
      </c>
    </row>
    <row r="1074" spans="1:7" s="172" customFormat="1" ht="15" customHeight="1" x14ac:dyDescent="0.25">
      <c r="A1074" s="809" t="s">
        <v>13002</v>
      </c>
      <c r="B1074" s="806" t="s">
        <v>14430</v>
      </c>
      <c r="C1074" s="806" t="s">
        <v>14430</v>
      </c>
      <c r="D1074" s="809" t="s">
        <v>14477</v>
      </c>
      <c r="E1074" s="809">
        <v>100</v>
      </c>
      <c r="F1074" s="809">
        <v>79</v>
      </c>
      <c r="G1074" s="202" t="str">
        <f t="shared" si="16"/>
        <v/>
      </c>
    </row>
    <row r="1075" spans="1:7" s="172" customFormat="1" ht="15" customHeight="1" x14ac:dyDescent="0.25">
      <c r="A1075" s="809" t="s">
        <v>12175</v>
      </c>
      <c r="B1075" s="806" t="s">
        <v>14430</v>
      </c>
      <c r="C1075" s="806" t="s">
        <v>14430</v>
      </c>
      <c r="D1075" s="809" t="s">
        <v>14478</v>
      </c>
      <c r="E1075" s="809">
        <v>100</v>
      </c>
      <c r="F1075" s="809">
        <v>56</v>
      </c>
      <c r="G1075" s="202" t="str">
        <f t="shared" si="16"/>
        <v/>
      </c>
    </row>
    <row r="1076" spans="1:7" s="172" customFormat="1" ht="15" customHeight="1" x14ac:dyDescent="0.25">
      <c r="A1076" s="809" t="s">
        <v>14479</v>
      </c>
      <c r="B1076" s="806" t="s">
        <v>14430</v>
      </c>
      <c r="C1076" s="806" t="s">
        <v>14430</v>
      </c>
      <c r="D1076" s="809" t="s">
        <v>14480</v>
      </c>
      <c r="E1076" s="809">
        <v>20</v>
      </c>
      <c r="F1076" s="809">
        <v>11</v>
      </c>
      <c r="G1076" s="202" t="str">
        <f t="shared" si="16"/>
        <v/>
      </c>
    </row>
    <row r="1077" spans="1:7" s="172" customFormat="1" ht="15" customHeight="1" x14ac:dyDescent="0.25">
      <c r="A1077" s="809" t="s">
        <v>13009</v>
      </c>
      <c r="B1077" s="806" t="s">
        <v>14430</v>
      </c>
      <c r="C1077" s="806" t="s">
        <v>14430</v>
      </c>
      <c r="D1077" s="809" t="s">
        <v>14481</v>
      </c>
      <c r="E1077" s="809">
        <v>40</v>
      </c>
      <c r="F1077" s="809">
        <v>20</v>
      </c>
      <c r="G1077" s="202" t="str">
        <f t="shared" si="16"/>
        <v/>
      </c>
    </row>
    <row r="1078" spans="1:7" s="172" customFormat="1" ht="15" customHeight="1" x14ac:dyDescent="0.25">
      <c r="A1078" s="809" t="s">
        <v>14482</v>
      </c>
      <c r="B1078" s="806" t="s">
        <v>14430</v>
      </c>
      <c r="C1078" s="806" t="s">
        <v>14430</v>
      </c>
      <c r="D1078" s="809" t="s">
        <v>14483</v>
      </c>
      <c r="E1078" s="809">
        <v>63</v>
      </c>
      <c r="F1078" s="809">
        <v>37</v>
      </c>
      <c r="G1078" s="202" t="str">
        <f t="shared" si="16"/>
        <v/>
      </c>
    </row>
    <row r="1079" spans="1:7" s="172" customFormat="1" ht="15" customHeight="1" x14ac:dyDescent="0.25">
      <c r="A1079" s="809" t="s">
        <v>14484</v>
      </c>
      <c r="B1079" s="806" t="s">
        <v>14430</v>
      </c>
      <c r="C1079" s="806" t="s">
        <v>14430</v>
      </c>
      <c r="D1079" s="809" t="s">
        <v>14485</v>
      </c>
      <c r="E1079" s="809">
        <v>100</v>
      </c>
      <c r="F1079" s="809">
        <v>31</v>
      </c>
      <c r="G1079" s="202" t="str">
        <f t="shared" si="16"/>
        <v/>
      </c>
    </row>
    <row r="1080" spans="1:7" s="172" customFormat="1" ht="15" customHeight="1" x14ac:dyDescent="0.25">
      <c r="A1080" s="809" t="s">
        <v>14486</v>
      </c>
      <c r="B1080" s="806" t="s">
        <v>14430</v>
      </c>
      <c r="C1080" s="806" t="s">
        <v>14430</v>
      </c>
      <c r="D1080" s="809" t="s">
        <v>14487</v>
      </c>
      <c r="E1080" s="809">
        <v>63</v>
      </c>
      <c r="F1080" s="809">
        <v>17</v>
      </c>
      <c r="G1080" s="202" t="str">
        <f t="shared" si="16"/>
        <v/>
      </c>
    </row>
    <row r="1081" spans="1:7" s="172" customFormat="1" ht="15" customHeight="1" x14ac:dyDescent="0.25">
      <c r="A1081" s="809" t="s">
        <v>14488</v>
      </c>
      <c r="B1081" s="806" t="s">
        <v>14430</v>
      </c>
      <c r="C1081" s="806" t="s">
        <v>14430</v>
      </c>
      <c r="D1081" s="809" t="s">
        <v>14489</v>
      </c>
      <c r="E1081" s="809">
        <v>30</v>
      </c>
      <c r="F1081" s="809">
        <v>17</v>
      </c>
      <c r="G1081" s="202" t="str">
        <f t="shared" si="16"/>
        <v/>
      </c>
    </row>
    <row r="1082" spans="1:7" s="172" customFormat="1" ht="15" customHeight="1" x14ac:dyDescent="0.25">
      <c r="A1082" s="809" t="s">
        <v>13994</v>
      </c>
      <c r="B1082" s="806" t="s">
        <v>14430</v>
      </c>
      <c r="C1082" s="806" t="s">
        <v>14430</v>
      </c>
      <c r="D1082" s="809" t="s">
        <v>14490</v>
      </c>
      <c r="E1082" s="809">
        <v>63</v>
      </c>
      <c r="F1082" s="809">
        <v>29</v>
      </c>
      <c r="G1082" s="202" t="str">
        <f t="shared" si="16"/>
        <v/>
      </c>
    </row>
    <row r="1083" spans="1:7" s="172" customFormat="1" ht="15" customHeight="1" x14ac:dyDescent="0.25">
      <c r="A1083" s="809" t="s">
        <v>4811</v>
      </c>
      <c r="B1083" s="806" t="s">
        <v>14430</v>
      </c>
      <c r="C1083" s="806" t="s">
        <v>14430</v>
      </c>
      <c r="D1083" s="809" t="s">
        <v>14491</v>
      </c>
      <c r="E1083" s="809">
        <v>30</v>
      </c>
      <c r="F1083" s="809">
        <v>12</v>
      </c>
      <c r="G1083" s="202" t="str">
        <f t="shared" si="16"/>
        <v/>
      </c>
    </row>
    <row r="1084" spans="1:7" s="172" customFormat="1" ht="15" customHeight="1" x14ac:dyDescent="0.25">
      <c r="A1084" s="809" t="s">
        <v>13860</v>
      </c>
      <c r="B1084" s="806" t="s">
        <v>14430</v>
      </c>
      <c r="C1084" s="806" t="s">
        <v>14430</v>
      </c>
      <c r="D1084" s="809" t="s">
        <v>14492</v>
      </c>
      <c r="E1084" s="809">
        <v>100</v>
      </c>
      <c r="F1084" s="809">
        <v>64</v>
      </c>
      <c r="G1084" s="202" t="str">
        <f t="shared" si="16"/>
        <v/>
      </c>
    </row>
    <row r="1085" spans="1:7" s="172" customFormat="1" ht="15" customHeight="1" x14ac:dyDescent="0.25">
      <c r="A1085" s="809" t="s">
        <v>6576</v>
      </c>
      <c r="B1085" s="806" t="s">
        <v>14430</v>
      </c>
      <c r="C1085" s="806" t="s">
        <v>14430</v>
      </c>
      <c r="D1085" s="809" t="s">
        <v>14493</v>
      </c>
      <c r="E1085" s="809">
        <v>10</v>
      </c>
      <c r="F1085" s="809">
        <v>6</v>
      </c>
      <c r="G1085" s="202" t="str">
        <f t="shared" si="16"/>
        <v/>
      </c>
    </row>
    <row r="1086" spans="1:7" s="172" customFormat="1" ht="15" customHeight="1" x14ac:dyDescent="0.25">
      <c r="A1086" s="809" t="s">
        <v>4868</v>
      </c>
      <c r="B1086" s="806" t="s">
        <v>14430</v>
      </c>
      <c r="C1086" s="806" t="s">
        <v>14430</v>
      </c>
      <c r="D1086" s="809" t="s">
        <v>14494</v>
      </c>
      <c r="E1086" s="809">
        <v>250</v>
      </c>
      <c r="F1086" s="809">
        <v>121</v>
      </c>
      <c r="G1086" s="202" t="str">
        <f t="shared" si="16"/>
        <v/>
      </c>
    </row>
    <row r="1087" spans="1:7" s="172" customFormat="1" ht="15" customHeight="1" x14ac:dyDescent="0.25">
      <c r="A1087" s="809" t="s">
        <v>4868</v>
      </c>
      <c r="B1087" s="806" t="s">
        <v>14430</v>
      </c>
      <c r="C1087" s="806" t="s">
        <v>14430</v>
      </c>
      <c r="D1087" s="809" t="s">
        <v>14495</v>
      </c>
      <c r="E1087" s="809">
        <v>63</v>
      </c>
      <c r="F1087" s="809">
        <v>23</v>
      </c>
      <c r="G1087" s="202" t="str">
        <f t="shared" si="16"/>
        <v/>
      </c>
    </row>
    <row r="1088" spans="1:7" s="172" customFormat="1" ht="15" customHeight="1" x14ac:dyDescent="0.25">
      <c r="A1088" s="809" t="s">
        <v>14496</v>
      </c>
      <c r="B1088" s="806" t="s">
        <v>14430</v>
      </c>
      <c r="C1088" s="806" t="s">
        <v>14430</v>
      </c>
      <c r="D1088" s="809" t="s">
        <v>14497</v>
      </c>
      <c r="E1088" s="809">
        <v>160</v>
      </c>
      <c r="F1088" s="809">
        <v>84</v>
      </c>
      <c r="G1088" s="202" t="str">
        <f t="shared" si="16"/>
        <v/>
      </c>
    </row>
    <row r="1089" spans="1:7" s="172" customFormat="1" ht="15" customHeight="1" x14ac:dyDescent="0.25">
      <c r="A1089" s="809" t="s">
        <v>4868</v>
      </c>
      <c r="B1089" s="806" t="s">
        <v>14430</v>
      </c>
      <c r="C1089" s="806" t="s">
        <v>14430</v>
      </c>
      <c r="D1089" s="809" t="s">
        <v>14498</v>
      </c>
      <c r="E1089" s="809">
        <v>160</v>
      </c>
      <c r="F1089" s="809">
        <v>68</v>
      </c>
      <c r="G1089" s="202" t="str">
        <f t="shared" si="16"/>
        <v/>
      </c>
    </row>
    <row r="1090" spans="1:7" s="172" customFormat="1" ht="15" customHeight="1" x14ac:dyDescent="0.25">
      <c r="A1090" s="809" t="s">
        <v>14499</v>
      </c>
      <c r="B1090" s="806" t="s">
        <v>14430</v>
      </c>
      <c r="C1090" s="806" t="s">
        <v>14430</v>
      </c>
      <c r="D1090" s="809" t="s">
        <v>14500</v>
      </c>
      <c r="E1090" s="809">
        <v>40</v>
      </c>
      <c r="F1090" s="809">
        <v>29</v>
      </c>
      <c r="G1090" s="202" t="str">
        <f t="shared" si="16"/>
        <v/>
      </c>
    </row>
    <row r="1091" spans="1:7" s="172" customFormat="1" ht="15" customHeight="1" x14ac:dyDescent="0.25">
      <c r="A1091" s="809" t="s">
        <v>14501</v>
      </c>
      <c r="B1091" s="806" t="s">
        <v>14430</v>
      </c>
      <c r="C1091" s="806" t="s">
        <v>14430</v>
      </c>
      <c r="D1091" s="809" t="s">
        <v>14502</v>
      </c>
      <c r="E1091" s="809">
        <v>160</v>
      </c>
      <c r="F1091" s="809">
        <v>132</v>
      </c>
      <c r="G1091" s="202" t="str">
        <f t="shared" si="16"/>
        <v/>
      </c>
    </row>
    <row r="1092" spans="1:7" s="172" customFormat="1" ht="15" customHeight="1" x14ac:dyDescent="0.25">
      <c r="A1092" s="809" t="s">
        <v>14503</v>
      </c>
      <c r="B1092" s="806" t="s">
        <v>14430</v>
      </c>
      <c r="C1092" s="806" t="s">
        <v>14430</v>
      </c>
      <c r="D1092" s="809" t="s">
        <v>14504</v>
      </c>
      <c r="E1092" s="809">
        <v>30</v>
      </c>
      <c r="F1092" s="809">
        <v>18</v>
      </c>
      <c r="G1092" s="202" t="str">
        <f t="shared" ref="G1092:G1155" si="17">IF(E1092=F1092,"не загружен","")</f>
        <v/>
      </c>
    </row>
    <row r="1093" spans="1:7" s="172" customFormat="1" ht="15" customHeight="1" x14ac:dyDescent="0.25">
      <c r="A1093" s="809" t="s">
        <v>14505</v>
      </c>
      <c r="B1093" s="806" t="s">
        <v>14430</v>
      </c>
      <c r="C1093" s="806" t="s">
        <v>14430</v>
      </c>
      <c r="D1093" s="809" t="s">
        <v>14506</v>
      </c>
      <c r="E1093" s="809">
        <v>20</v>
      </c>
      <c r="F1093" s="809">
        <v>18</v>
      </c>
      <c r="G1093" s="202" t="str">
        <f t="shared" si="17"/>
        <v/>
      </c>
    </row>
    <row r="1094" spans="1:7" s="172" customFormat="1" ht="15" customHeight="1" x14ac:dyDescent="0.25">
      <c r="A1094" s="809" t="s">
        <v>14507</v>
      </c>
      <c r="B1094" s="806" t="s">
        <v>14430</v>
      </c>
      <c r="C1094" s="806" t="s">
        <v>14430</v>
      </c>
      <c r="D1094" s="809" t="s">
        <v>14508</v>
      </c>
      <c r="E1094" s="809">
        <v>63</v>
      </c>
      <c r="F1094" s="809">
        <v>29</v>
      </c>
      <c r="G1094" s="202" t="str">
        <f t="shared" si="17"/>
        <v/>
      </c>
    </row>
    <row r="1095" spans="1:7" s="172" customFormat="1" ht="15" customHeight="1" x14ac:dyDescent="0.25">
      <c r="A1095" s="809" t="s">
        <v>6466</v>
      </c>
      <c r="B1095" s="806" t="s">
        <v>14430</v>
      </c>
      <c r="C1095" s="806" t="s">
        <v>14430</v>
      </c>
      <c r="D1095" s="809" t="s">
        <v>14509</v>
      </c>
      <c r="E1095" s="809">
        <v>25</v>
      </c>
      <c r="F1095" s="809">
        <v>24</v>
      </c>
      <c r="G1095" s="202" t="str">
        <f t="shared" si="17"/>
        <v/>
      </c>
    </row>
    <row r="1096" spans="1:7" s="172" customFormat="1" ht="15" customHeight="1" x14ac:dyDescent="0.25">
      <c r="A1096" s="809" t="s">
        <v>2727</v>
      </c>
      <c r="B1096" s="806" t="s">
        <v>14430</v>
      </c>
      <c r="C1096" s="806" t="s">
        <v>14430</v>
      </c>
      <c r="D1096" s="809" t="s">
        <v>14510</v>
      </c>
      <c r="E1096" s="809">
        <v>30</v>
      </c>
      <c r="F1096" s="809">
        <v>19</v>
      </c>
      <c r="G1096" s="202" t="str">
        <f t="shared" si="17"/>
        <v/>
      </c>
    </row>
    <row r="1097" spans="1:7" s="172" customFormat="1" ht="15" customHeight="1" x14ac:dyDescent="0.25">
      <c r="A1097" s="809" t="s">
        <v>5591</v>
      </c>
      <c r="B1097" s="806" t="s">
        <v>14430</v>
      </c>
      <c r="C1097" s="806" t="s">
        <v>14430</v>
      </c>
      <c r="D1097" s="809" t="s">
        <v>14511</v>
      </c>
      <c r="E1097" s="809">
        <v>63</v>
      </c>
      <c r="F1097" s="809">
        <v>42</v>
      </c>
      <c r="G1097" s="202" t="str">
        <f t="shared" si="17"/>
        <v/>
      </c>
    </row>
    <row r="1098" spans="1:7" s="172" customFormat="1" ht="15" customHeight="1" x14ac:dyDescent="0.25">
      <c r="A1098" s="809" t="s">
        <v>12158</v>
      </c>
      <c r="B1098" s="806" t="s">
        <v>14430</v>
      </c>
      <c r="C1098" s="806" t="s">
        <v>14430</v>
      </c>
      <c r="D1098" s="809" t="s">
        <v>14512</v>
      </c>
      <c r="E1098" s="809">
        <v>100</v>
      </c>
      <c r="F1098" s="809">
        <v>87</v>
      </c>
      <c r="G1098" s="202" t="str">
        <f t="shared" si="17"/>
        <v/>
      </c>
    </row>
    <row r="1099" spans="1:7" s="172" customFormat="1" ht="15" customHeight="1" x14ac:dyDescent="0.25">
      <c r="A1099" s="809" t="s">
        <v>14513</v>
      </c>
      <c r="B1099" s="806" t="s">
        <v>14430</v>
      </c>
      <c r="C1099" s="806" t="s">
        <v>14430</v>
      </c>
      <c r="D1099" s="820" t="s">
        <v>14514</v>
      </c>
      <c r="E1099" s="809">
        <v>40</v>
      </c>
      <c r="F1099" s="809">
        <v>29</v>
      </c>
      <c r="G1099" s="202" t="str">
        <f t="shared" si="17"/>
        <v/>
      </c>
    </row>
    <row r="1100" spans="1:7" s="172" customFormat="1" ht="15" customHeight="1" x14ac:dyDescent="0.25">
      <c r="A1100" s="809" t="s">
        <v>4851</v>
      </c>
      <c r="B1100" s="806" t="s">
        <v>14430</v>
      </c>
      <c r="C1100" s="806" t="s">
        <v>14430</v>
      </c>
      <c r="D1100" s="809" t="s">
        <v>14515</v>
      </c>
      <c r="E1100" s="809">
        <v>30</v>
      </c>
      <c r="F1100" s="809">
        <v>16</v>
      </c>
      <c r="G1100" s="202" t="str">
        <f t="shared" si="17"/>
        <v/>
      </c>
    </row>
    <row r="1101" spans="1:7" s="172" customFormat="1" ht="15" customHeight="1" x14ac:dyDescent="0.25">
      <c r="A1101" s="809" t="s">
        <v>14516</v>
      </c>
      <c r="B1101" s="806" t="s">
        <v>14430</v>
      </c>
      <c r="C1101" s="806" t="s">
        <v>14430</v>
      </c>
      <c r="D1101" s="809" t="s">
        <v>14517</v>
      </c>
      <c r="E1101" s="809">
        <v>250</v>
      </c>
      <c r="F1101" s="809">
        <v>249</v>
      </c>
      <c r="G1101" s="202" t="str">
        <f t="shared" si="17"/>
        <v/>
      </c>
    </row>
    <row r="1102" spans="1:7" s="172" customFormat="1" ht="15" customHeight="1" x14ac:dyDescent="0.25">
      <c r="A1102" s="809" t="s">
        <v>14516</v>
      </c>
      <c r="B1102" s="806" t="s">
        <v>14430</v>
      </c>
      <c r="C1102" s="806" t="s">
        <v>14430</v>
      </c>
      <c r="D1102" s="809" t="s">
        <v>14518</v>
      </c>
      <c r="E1102" s="809">
        <v>100</v>
      </c>
      <c r="F1102" s="809">
        <v>78</v>
      </c>
      <c r="G1102" s="202" t="str">
        <f t="shared" si="17"/>
        <v/>
      </c>
    </row>
    <row r="1103" spans="1:7" s="172" customFormat="1" ht="15" customHeight="1" x14ac:dyDescent="0.25">
      <c r="A1103" s="809" t="s">
        <v>14519</v>
      </c>
      <c r="B1103" s="806" t="s">
        <v>14430</v>
      </c>
      <c r="C1103" s="806" t="s">
        <v>14430</v>
      </c>
      <c r="D1103" s="809" t="s">
        <v>14520</v>
      </c>
      <c r="E1103" s="809">
        <v>63</v>
      </c>
      <c r="F1103" s="809">
        <v>22</v>
      </c>
      <c r="G1103" s="202" t="str">
        <f t="shared" si="17"/>
        <v/>
      </c>
    </row>
    <row r="1104" spans="1:7" s="172" customFormat="1" ht="15" customHeight="1" x14ac:dyDescent="0.25">
      <c r="A1104" s="809" t="s">
        <v>14521</v>
      </c>
      <c r="B1104" s="806" t="s">
        <v>14430</v>
      </c>
      <c r="C1104" s="806" t="s">
        <v>14430</v>
      </c>
      <c r="D1104" s="809" t="s">
        <v>14522</v>
      </c>
      <c r="E1104" s="809">
        <v>30</v>
      </c>
      <c r="F1104" s="809">
        <v>27</v>
      </c>
      <c r="G1104" s="202" t="str">
        <f t="shared" si="17"/>
        <v/>
      </c>
    </row>
    <row r="1105" spans="1:7" s="172" customFormat="1" ht="15" customHeight="1" x14ac:dyDescent="0.25">
      <c r="A1105" s="809" t="s">
        <v>14523</v>
      </c>
      <c r="B1105" s="806" t="s">
        <v>14430</v>
      </c>
      <c r="C1105" s="806" t="s">
        <v>14430</v>
      </c>
      <c r="D1105" s="809" t="s">
        <v>14524</v>
      </c>
      <c r="E1105" s="809">
        <v>40</v>
      </c>
      <c r="F1105" s="809">
        <v>12</v>
      </c>
      <c r="G1105" s="202" t="str">
        <f t="shared" si="17"/>
        <v/>
      </c>
    </row>
    <row r="1106" spans="1:7" s="172" customFormat="1" ht="15" customHeight="1" x14ac:dyDescent="0.25">
      <c r="A1106" s="809" t="s">
        <v>14525</v>
      </c>
      <c r="B1106" s="806" t="s">
        <v>14430</v>
      </c>
      <c r="C1106" s="806" t="s">
        <v>14430</v>
      </c>
      <c r="D1106" s="809" t="s">
        <v>14526</v>
      </c>
      <c r="E1106" s="809">
        <v>30</v>
      </c>
      <c r="F1106" s="809">
        <v>8</v>
      </c>
      <c r="G1106" s="202" t="str">
        <f t="shared" si="17"/>
        <v/>
      </c>
    </row>
    <row r="1107" spans="1:7" s="172" customFormat="1" ht="15" customHeight="1" x14ac:dyDescent="0.25">
      <c r="A1107" s="809" t="s">
        <v>12031</v>
      </c>
      <c r="B1107" s="806" t="s">
        <v>14430</v>
      </c>
      <c r="C1107" s="806" t="s">
        <v>14430</v>
      </c>
      <c r="D1107" s="809" t="s">
        <v>14527</v>
      </c>
      <c r="E1107" s="809">
        <v>100</v>
      </c>
      <c r="F1107" s="809">
        <v>27</v>
      </c>
      <c r="G1107" s="202" t="str">
        <f t="shared" si="17"/>
        <v/>
      </c>
    </row>
    <row r="1108" spans="1:7" s="172" customFormat="1" ht="15" customHeight="1" x14ac:dyDescent="0.25">
      <c r="A1108" s="809" t="s">
        <v>12031</v>
      </c>
      <c r="B1108" s="806" t="s">
        <v>14430</v>
      </c>
      <c r="C1108" s="806" t="s">
        <v>14430</v>
      </c>
      <c r="D1108" s="809" t="s">
        <v>14528</v>
      </c>
      <c r="E1108" s="809">
        <v>160</v>
      </c>
      <c r="F1108" s="809">
        <v>49</v>
      </c>
      <c r="G1108" s="202" t="str">
        <f t="shared" si="17"/>
        <v/>
      </c>
    </row>
    <row r="1109" spans="1:7" s="172" customFormat="1" ht="15" customHeight="1" x14ac:dyDescent="0.25">
      <c r="A1109" s="809" t="s">
        <v>12031</v>
      </c>
      <c r="B1109" s="806" t="s">
        <v>14430</v>
      </c>
      <c r="C1109" s="806" t="s">
        <v>14430</v>
      </c>
      <c r="D1109" s="809" t="s">
        <v>14529</v>
      </c>
      <c r="E1109" s="809">
        <v>400</v>
      </c>
      <c r="F1109" s="809">
        <v>247</v>
      </c>
      <c r="G1109" s="202" t="str">
        <f t="shared" si="17"/>
        <v/>
      </c>
    </row>
    <row r="1110" spans="1:7" s="172" customFormat="1" ht="15" customHeight="1" x14ac:dyDescent="0.25">
      <c r="A1110" s="809" t="s">
        <v>12031</v>
      </c>
      <c r="B1110" s="806" t="s">
        <v>14430</v>
      </c>
      <c r="C1110" s="806" t="s">
        <v>14430</v>
      </c>
      <c r="D1110" s="809" t="s">
        <v>14530</v>
      </c>
      <c r="E1110" s="809">
        <v>160</v>
      </c>
      <c r="F1110" s="809">
        <v>54</v>
      </c>
      <c r="G1110" s="202" t="str">
        <f t="shared" si="17"/>
        <v/>
      </c>
    </row>
    <row r="1111" spans="1:7" s="172" customFormat="1" ht="15" customHeight="1" x14ac:dyDescent="0.25">
      <c r="A1111" s="809" t="s">
        <v>14531</v>
      </c>
      <c r="B1111" s="806" t="s">
        <v>14430</v>
      </c>
      <c r="C1111" s="806" t="s">
        <v>14430</v>
      </c>
      <c r="D1111" s="809" t="s">
        <v>14532</v>
      </c>
      <c r="E1111" s="809">
        <v>400</v>
      </c>
      <c r="F1111" s="809">
        <v>129</v>
      </c>
      <c r="G1111" s="202" t="str">
        <f t="shared" si="17"/>
        <v/>
      </c>
    </row>
    <row r="1112" spans="1:7" s="172" customFormat="1" ht="15" customHeight="1" x14ac:dyDescent="0.25">
      <c r="A1112" s="809" t="s">
        <v>12031</v>
      </c>
      <c r="B1112" s="806" t="s">
        <v>14430</v>
      </c>
      <c r="C1112" s="806" t="s">
        <v>14430</v>
      </c>
      <c r="D1112" s="809" t="s">
        <v>14533</v>
      </c>
      <c r="E1112" s="809">
        <v>100</v>
      </c>
      <c r="F1112" s="809">
        <v>34</v>
      </c>
      <c r="G1112" s="202" t="str">
        <f t="shared" si="17"/>
        <v/>
      </c>
    </row>
    <row r="1113" spans="1:7" s="172" customFormat="1" ht="15" customHeight="1" x14ac:dyDescent="0.25">
      <c r="A1113" s="809" t="s">
        <v>14531</v>
      </c>
      <c r="B1113" s="806" t="s">
        <v>14430</v>
      </c>
      <c r="C1113" s="806" t="s">
        <v>14430</v>
      </c>
      <c r="D1113" s="809" t="s">
        <v>14534</v>
      </c>
      <c r="E1113" s="809">
        <v>250</v>
      </c>
      <c r="F1113" s="809">
        <v>189</v>
      </c>
      <c r="G1113" s="202" t="str">
        <f t="shared" si="17"/>
        <v/>
      </c>
    </row>
    <row r="1114" spans="1:7" s="172" customFormat="1" ht="15" customHeight="1" x14ac:dyDescent="0.25">
      <c r="A1114" s="809" t="s">
        <v>9947</v>
      </c>
      <c r="B1114" s="806" t="s">
        <v>14430</v>
      </c>
      <c r="C1114" s="806" t="s">
        <v>14430</v>
      </c>
      <c r="D1114" s="809" t="s">
        <v>14535</v>
      </c>
      <c r="E1114" s="809">
        <v>100</v>
      </c>
      <c r="F1114" s="809">
        <v>35</v>
      </c>
      <c r="G1114" s="202" t="str">
        <f t="shared" si="17"/>
        <v/>
      </c>
    </row>
    <row r="1115" spans="1:7" s="172" customFormat="1" ht="15" customHeight="1" x14ac:dyDescent="0.25">
      <c r="A1115" s="809" t="s">
        <v>9947</v>
      </c>
      <c r="B1115" s="806" t="s">
        <v>14430</v>
      </c>
      <c r="C1115" s="806" t="s">
        <v>14430</v>
      </c>
      <c r="D1115" s="809" t="s">
        <v>14536</v>
      </c>
      <c r="E1115" s="809">
        <v>100</v>
      </c>
      <c r="F1115" s="809">
        <v>64</v>
      </c>
      <c r="G1115" s="202" t="str">
        <f t="shared" si="17"/>
        <v/>
      </c>
    </row>
    <row r="1116" spans="1:7" s="172" customFormat="1" ht="15" customHeight="1" x14ac:dyDescent="0.25">
      <c r="A1116" s="809" t="s">
        <v>14537</v>
      </c>
      <c r="B1116" s="806" t="s">
        <v>14430</v>
      </c>
      <c r="C1116" s="806" t="s">
        <v>14430</v>
      </c>
      <c r="D1116" s="809" t="s">
        <v>19811</v>
      </c>
      <c r="E1116" s="809">
        <v>63</v>
      </c>
      <c r="F1116" s="809">
        <v>46</v>
      </c>
      <c r="G1116" s="202" t="str">
        <f t="shared" si="17"/>
        <v/>
      </c>
    </row>
    <row r="1117" spans="1:7" s="172" customFormat="1" ht="15" customHeight="1" x14ac:dyDescent="0.25">
      <c r="A1117" s="809" t="s">
        <v>14538</v>
      </c>
      <c r="B1117" s="806" t="s">
        <v>14430</v>
      </c>
      <c r="C1117" s="806" t="s">
        <v>14430</v>
      </c>
      <c r="D1117" s="809" t="s">
        <v>14539</v>
      </c>
      <c r="E1117" s="809">
        <v>63</v>
      </c>
      <c r="F1117" s="809">
        <v>37</v>
      </c>
      <c r="G1117" s="202" t="str">
        <f t="shared" si="17"/>
        <v/>
      </c>
    </row>
    <row r="1118" spans="1:7" s="172" customFormat="1" ht="15" customHeight="1" x14ac:dyDescent="0.25">
      <c r="A1118" s="809" t="s">
        <v>14540</v>
      </c>
      <c r="B1118" s="806" t="s">
        <v>14430</v>
      </c>
      <c r="C1118" s="806" t="s">
        <v>14430</v>
      </c>
      <c r="D1118" s="809" t="s">
        <v>14541</v>
      </c>
      <c r="E1118" s="809">
        <v>400</v>
      </c>
      <c r="F1118" s="809">
        <v>137</v>
      </c>
      <c r="G1118" s="202" t="str">
        <f t="shared" si="17"/>
        <v/>
      </c>
    </row>
    <row r="1119" spans="1:7" s="172" customFormat="1" ht="15" customHeight="1" x14ac:dyDescent="0.25">
      <c r="A1119" s="809" t="s">
        <v>14542</v>
      </c>
      <c r="B1119" s="806" t="s">
        <v>14430</v>
      </c>
      <c r="C1119" s="806" t="s">
        <v>14430</v>
      </c>
      <c r="D1119" s="809" t="s">
        <v>14543</v>
      </c>
      <c r="E1119" s="809">
        <v>30</v>
      </c>
      <c r="F1119" s="809">
        <v>12</v>
      </c>
      <c r="G1119" s="202" t="str">
        <f t="shared" si="17"/>
        <v/>
      </c>
    </row>
    <row r="1120" spans="1:7" s="172" customFormat="1" ht="15" customHeight="1" x14ac:dyDescent="0.25">
      <c r="A1120" s="809" t="s">
        <v>8933</v>
      </c>
      <c r="B1120" s="806" t="s">
        <v>14430</v>
      </c>
      <c r="C1120" s="806" t="s">
        <v>14430</v>
      </c>
      <c r="D1120" s="809" t="s">
        <v>14544</v>
      </c>
      <c r="E1120" s="809">
        <v>63</v>
      </c>
      <c r="F1120" s="809">
        <v>41</v>
      </c>
      <c r="G1120" s="202" t="str">
        <f t="shared" si="17"/>
        <v/>
      </c>
    </row>
    <row r="1121" spans="1:7" s="172" customFormat="1" ht="15" customHeight="1" x14ac:dyDescent="0.25">
      <c r="A1121" s="809" t="s">
        <v>4835</v>
      </c>
      <c r="B1121" s="806" t="s">
        <v>14430</v>
      </c>
      <c r="C1121" s="806" t="s">
        <v>14430</v>
      </c>
      <c r="D1121" s="820" t="s">
        <v>14545</v>
      </c>
      <c r="E1121" s="809">
        <v>63</v>
      </c>
      <c r="F1121" s="809">
        <v>51</v>
      </c>
      <c r="G1121" s="202" t="str">
        <f t="shared" si="17"/>
        <v/>
      </c>
    </row>
    <row r="1122" spans="1:7" s="172" customFormat="1" ht="15" customHeight="1" x14ac:dyDescent="0.25">
      <c r="A1122" s="809" t="s">
        <v>14546</v>
      </c>
      <c r="B1122" s="806" t="s">
        <v>14430</v>
      </c>
      <c r="C1122" s="806" t="s">
        <v>14430</v>
      </c>
      <c r="D1122" s="809" t="s">
        <v>14547</v>
      </c>
      <c r="E1122" s="809">
        <v>250</v>
      </c>
      <c r="F1122" s="809">
        <v>180</v>
      </c>
      <c r="G1122" s="202" t="str">
        <f t="shared" si="17"/>
        <v/>
      </c>
    </row>
    <row r="1123" spans="1:7" s="172" customFormat="1" ht="15" customHeight="1" x14ac:dyDescent="0.25">
      <c r="A1123" s="809" t="s">
        <v>3545</v>
      </c>
      <c r="B1123" s="806" t="s">
        <v>14430</v>
      </c>
      <c r="C1123" s="806" t="s">
        <v>14430</v>
      </c>
      <c r="D1123" s="820" t="s">
        <v>14548</v>
      </c>
      <c r="E1123" s="809">
        <v>30</v>
      </c>
      <c r="F1123" s="809">
        <v>22</v>
      </c>
      <c r="G1123" s="202" t="str">
        <f t="shared" si="17"/>
        <v/>
      </c>
    </row>
    <row r="1124" spans="1:7" s="172" customFormat="1" ht="15" customHeight="1" x14ac:dyDescent="0.25">
      <c r="A1124" s="809" t="s">
        <v>14549</v>
      </c>
      <c r="B1124" s="806" t="s">
        <v>14430</v>
      </c>
      <c r="C1124" s="806" t="s">
        <v>14430</v>
      </c>
      <c r="D1124" s="809" t="s">
        <v>14550</v>
      </c>
      <c r="E1124" s="809">
        <v>63</v>
      </c>
      <c r="F1124" s="809">
        <v>52</v>
      </c>
      <c r="G1124" s="202" t="str">
        <f t="shared" si="17"/>
        <v/>
      </c>
    </row>
    <row r="1125" spans="1:7" s="172" customFormat="1" ht="15" customHeight="1" x14ac:dyDescent="0.25">
      <c r="A1125" s="809" t="s">
        <v>14551</v>
      </c>
      <c r="B1125" s="806" t="s">
        <v>14430</v>
      </c>
      <c r="C1125" s="806" t="s">
        <v>14430</v>
      </c>
      <c r="D1125" s="809" t="s">
        <v>14552</v>
      </c>
      <c r="E1125" s="809">
        <v>30</v>
      </c>
      <c r="F1125" s="809">
        <v>14</v>
      </c>
      <c r="G1125" s="202" t="str">
        <f t="shared" si="17"/>
        <v/>
      </c>
    </row>
    <row r="1126" spans="1:7" s="172" customFormat="1" ht="15" customHeight="1" x14ac:dyDescent="0.25">
      <c r="A1126" s="809" t="s">
        <v>4124</v>
      </c>
      <c r="B1126" s="806" t="s">
        <v>14430</v>
      </c>
      <c r="C1126" s="806" t="s">
        <v>14430</v>
      </c>
      <c r="D1126" s="809" t="s">
        <v>14553</v>
      </c>
      <c r="E1126" s="809">
        <v>160</v>
      </c>
      <c r="F1126" s="809">
        <v>138</v>
      </c>
      <c r="G1126" s="202" t="str">
        <f t="shared" si="17"/>
        <v/>
      </c>
    </row>
    <row r="1127" spans="1:7" s="172" customFormat="1" ht="15" customHeight="1" x14ac:dyDescent="0.25">
      <c r="A1127" s="809" t="s">
        <v>4124</v>
      </c>
      <c r="B1127" s="806" t="s">
        <v>14430</v>
      </c>
      <c r="C1127" s="806" t="s">
        <v>14430</v>
      </c>
      <c r="D1127" s="809" t="s">
        <v>19812</v>
      </c>
      <c r="E1127" s="809">
        <v>160</v>
      </c>
      <c r="F1127" s="809">
        <v>109</v>
      </c>
      <c r="G1127" s="202" t="str">
        <f t="shared" si="17"/>
        <v/>
      </c>
    </row>
    <row r="1128" spans="1:7" s="172" customFormat="1" ht="15" customHeight="1" x14ac:dyDescent="0.25">
      <c r="A1128" s="809" t="s">
        <v>12606</v>
      </c>
      <c r="B1128" s="806" t="s">
        <v>14430</v>
      </c>
      <c r="C1128" s="806" t="s">
        <v>14430</v>
      </c>
      <c r="D1128" s="809" t="s">
        <v>14554</v>
      </c>
      <c r="E1128" s="809">
        <v>10</v>
      </c>
      <c r="F1128" s="809">
        <v>8</v>
      </c>
      <c r="G1128" s="202" t="str">
        <f t="shared" si="17"/>
        <v/>
      </c>
    </row>
    <row r="1129" spans="1:7" s="172" customFormat="1" ht="15" customHeight="1" x14ac:dyDescent="0.25">
      <c r="A1129" s="809" t="s">
        <v>14555</v>
      </c>
      <c r="B1129" s="806" t="s">
        <v>14430</v>
      </c>
      <c r="C1129" s="806" t="s">
        <v>14430</v>
      </c>
      <c r="D1129" s="809" t="s">
        <v>14556</v>
      </c>
      <c r="E1129" s="809">
        <v>10</v>
      </c>
      <c r="F1129" s="809">
        <v>7</v>
      </c>
      <c r="G1129" s="202" t="str">
        <f t="shared" si="17"/>
        <v/>
      </c>
    </row>
    <row r="1130" spans="1:7" s="172" customFormat="1" ht="15" customHeight="1" x14ac:dyDescent="0.25">
      <c r="A1130" s="809" t="s">
        <v>14557</v>
      </c>
      <c r="B1130" s="806" t="s">
        <v>14430</v>
      </c>
      <c r="C1130" s="806" t="s">
        <v>14430</v>
      </c>
      <c r="D1130" s="809" t="s">
        <v>14558</v>
      </c>
      <c r="E1130" s="809">
        <v>250</v>
      </c>
      <c r="F1130" s="809">
        <v>81</v>
      </c>
      <c r="G1130" s="202" t="str">
        <f t="shared" si="17"/>
        <v/>
      </c>
    </row>
    <row r="1131" spans="1:7" s="172" customFormat="1" ht="15" customHeight="1" x14ac:dyDescent="0.25">
      <c r="A1131" s="809" t="s">
        <v>5141</v>
      </c>
      <c r="B1131" s="806" t="s">
        <v>14430</v>
      </c>
      <c r="C1131" s="806" t="s">
        <v>14430</v>
      </c>
      <c r="D1131" s="809" t="s">
        <v>14559</v>
      </c>
      <c r="E1131" s="809">
        <v>63</v>
      </c>
      <c r="F1131" s="809">
        <v>12</v>
      </c>
      <c r="G1131" s="202" t="str">
        <f t="shared" si="17"/>
        <v/>
      </c>
    </row>
    <row r="1132" spans="1:7" s="172" customFormat="1" ht="15" customHeight="1" x14ac:dyDescent="0.25">
      <c r="A1132" s="809" t="s">
        <v>14560</v>
      </c>
      <c r="B1132" s="806" t="s">
        <v>14430</v>
      </c>
      <c r="C1132" s="806" t="s">
        <v>14430</v>
      </c>
      <c r="D1132" s="809" t="s">
        <v>14561</v>
      </c>
      <c r="E1132" s="809">
        <v>160</v>
      </c>
      <c r="F1132" s="809">
        <v>149</v>
      </c>
      <c r="G1132" s="202" t="str">
        <f t="shared" si="17"/>
        <v/>
      </c>
    </row>
    <row r="1133" spans="1:7" s="172" customFormat="1" ht="15" customHeight="1" x14ac:dyDescent="0.25">
      <c r="A1133" s="809" t="s">
        <v>14562</v>
      </c>
      <c r="B1133" s="806" t="s">
        <v>14430</v>
      </c>
      <c r="C1133" s="806" t="s">
        <v>14430</v>
      </c>
      <c r="D1133" s="809" t="s">
        <v>14563</v>
      </c>
      <c r="E1133" s="809">
        <v>10</v>
      </c>
      <c r="F1133" s="809">
        <v>7</v>
      </c>
      <c r="G1133" s="202" t="str">
        <f t="shared" si="17"/>
        <v/>
      </c>
    </row>
    <row r="1134" spans="1:7" s="172" customFormat="1" ht="15" customHeight="1" x14ac:dyDescent="0.25">
      <c r="A1134" s="809" t="s">
        <v>12759</v>
      </c>
      <c r="B1134" s="806" t="s">
        <v>14430</v>
      </c>
      <c r="C1134" s="806" t="s">
        <v>14430</v>
      </c>
      <c r="D1134" s="809" t="s">
        <v>14564</v>
      </c>
      <c r="E1134" s="809">
        <v>40</v>
      </c>
      <c r="F1134" s="809">
        <v>40</v>
      </c>
      <c r="G1134" s="202" t="str">
        <f t="shared" si="17"/>
        <v>не загружен</v>
      </c>
    </row>
    <row r="1135" spans="1:7" s="172" customFormat="1" ht="15" customHeight="1" x14ac:dyDescent="0.25">
      <c r="A1135" s="809" t="s">
        <v>14565</v>
      </c>
      <c r="B1135" s="806" t="s">
        <v>14430</v>
      </c>
      <c r="C1135" s="806" t="s">
        <v>14430</v>
      </c>
      <c r="D1135" s="809" t="s">
        <v>14566</v>
      </c>
      <c r="E1135" s="809">
        <v>63</v>
      </c>
      <c r="F1135" s="809">
        <v>37</v>
      </c>
      <c r="G1135" s="202" t="str">
        <f t="shared" si="17"/>
        <v/>
      </c>
    </row>
    <row r="1136" spans="1:7" s="172" customFormat="1" ht="15" customHeight="1" x14ac:dyDescent="0.25">
      <c r="A1136" s="809" t="s">
        <v>14565</v>
      </c>
      <c r="B1136" s="806" t="s">
        <v>14430</v>
      </c>
      <c r="C1136" s="806" t="s">
        <v>14430</v>
      </c>
      <c r="D1136" s="809" t="s">
        <v>14567</v>
      </c>
      <c r="E1136" s="809">
        <v>400</v>
      </c>
      <c r="F1136" s="809">
        <v>227</v>
      </c>
      <c r="G1136" s="202" t="str">
        <f t="shared" si="17"/>
        <v/>
      </c>
    </row>
    <row r="1137" spans="1:7" s="172" customFormat="1" ht="15" customHeight="1" x14ac:dyDescent="0.25">
      <c r="A1137" s="809" t="s">
        <v>14565</v>
      </c>
      <c r="B1137" s="806" t="s">
        <v>14430</v>
      </c>
      <c r="C1137" s="806" t="s">
        <v>14430</v>
      </c>
      <c r="D1137" s="809" t="s">
        <v>14568</v>
      </c>
      <c r="E1137" s="809">
        <v>250</v>
      </c>
      <c r="F1137" s="809">
        <v>180</v>
      </c>
      <c r="G1137" s="202" t="str">
        <f t="shared" si="17"/>
        <v/>
      </c>
    </row>
    <row r="1138" spans="1:7" s="172" customFormat="1" ht="15" customHeight="1" x14ac:dyDescent="0.25">
      <c r="A1138" s="809" t="s">
        <v>14569</v>
      </c>
      <c r="B1138" s="806" t="s">
        <v>14430</v>
      </c>
      <c r="C1138" s="806" t="s">
        <v>14430</v>
      </c>
      <c r="D1138" s="809" t="s">
        <v>14570</v>
      </c>
      <c r="E1138" s="809">
        <v>250</v>
      </c>
      <c r="F1138" s="809">
        <v>198</v>
      </c>
      <c r="G1138" s="202" t="str">
        <f t="shared" si="17"/>
        <v/>
      </c>
    </row>
    <row r="1139" spans="1:7" s="172" customFormat="1" ht="15" customHeight="1" x14ac:dyDescent="0.25">
      <c r="A1139" s="809" t="s">
        <v>14565</v>
      </c>
      <c r="B1139" s="806" t="s">
        <v>14430</v>
      </c>
      <c r="C1139" s="806" t="s">
        <v>14430</v>
      </c>
      <c r="D1139" s="809" t="s">
        <v>14571</v>
      </c>
      <c r="E1139" s="809">
        <v>25</v>
      </c>
      <c r="F1139" s="809">
        <v>11</v>
      </c>
      <c r="G1139" s="202" t="str">
        <f t="shared" si="17"/>
        <v/>
      </c>
    </row>
    <row r="1140" spans="1:7" s="172" customFormat="1" ht="15" customHeight="1" x14ac:dyDescent="0.25">
      <c r="A1140" s="809" t="s">
        <v>14565</v>
      </c>
      <c r="B1140" s="806" t="s">
        <v>14430</v>
      </c>
      <c r="C1140" s="806" t="s">
        <v>14430</v>
      </c>
      <c r="D1140" s="809" t="s">
        <v>14572</v>
      </c>
      <c r="E1140" s="809">
        <v>63</v>
      </c>
      <c r="F1140" s="809">
        <v>28</v>
      </c>
      <c r="G1140" s="202" t="str">
        <f t="shared" si="17"/>
        <v/>
      </c>
    </row>
    <row r="1141" spans="1:7" s="172" customFormat="1" ht="15" customHeight="1" x14ac:dyDescent="0.25">
      <c r="A1141" s="809" t="s">
        <v>3545</v>
      </c>
      <c r="B1141" s="806" t="s">
        <v>14430</v>
      </c>
      <c r="C1141" s="806" t="s">
        <v>14430</v>
      </c>
      <c r="D1141" s="809" t="s">
        <v>14573</v>
      </c>
      <c r="E1141" s="809">
        <v>63</v>
      </c>
      <c r="F1141" s="809">
        <v>52</v>
      </c>
      <c r="G1141" s="202" t="str">
        <f t="shared" si="17"/>
        <v/>
      </c>
    </row>
    <row r="1142" spans="1:7" s="172" customFormat="1" ht="15" customHeight="1" x14ac:dyDescent="0.25">
      <c r="A1142" s="809" t="s">
        <v>3495</v>
      </c>
      <c r="B1142" s="806" t="s">
        <v>14430</v>
      </c>
      <c r="C1142" s="806" t="s">
        <v>14430</v>
      </c>
      <c r="D1142" s="809" t="s">
        <v>14574</v>
      </c>
      <c r="E1142" s="809">
        <v>40</v>
      </c>
      <c r="F1142" s="809">
        <v>29</v>
      </c>
      <c r="G1142" s="202" t="str">
        <f t="shared" si="17"/>
        <v/>
      </c>
    </row>
    <row r="1143" spans="1:7" s="172" customFormat="1" ht="15" customHeight="1" x14ac:dyDescent="0.25">
      <c r="A1143" s="809" t="s">
        <v>14575</v>
      </c>
      <c r="B1143" s="806" t="s">
        <v>14430</v>
      </c>
      <c r="C1143" s="806" t="s">
        <v>14430</v>
      </c>
      <c r="D1143" s="809" t="s">
        <v>14576</v>
      </c>
      <c r="E1143" s="809">
        <v>40</v>
      </c>
      <c r="F1143" s="809">
        <v>31</v>
      </c>
      <c r="G1143" s="202" t="str">
        <f t="shared" si="17"/>
        <v/>
      </c>
    </row>
    <row r="1144" spans="1:7" s="172" customFormat="1" ht="15" customHeight="1" x14ac:dyDescent="0.25">
      <c r="A1144" s="809" t="s">
        <v>14577</v>
      </c>
      <c r="B1144" s="806" t="s">
        <v>14430</v>
      </c>
      <c r="C1144" s="806" t="s">
        <v>14430</v>
      </c>
      <c r="D1144" s="809" t="s">
        <v>14578</v>
      </c>
      <c r="E1144" s="809">
        <v>40</v>
      </c>
      <c r="F1144" s="809">
        <v>11</v>
      </c>
      <c r="G1144" s="202" t="str">
        <f t="shared" si="17"/>
        <v/>
      </c>
    </row>
    <row r="1145" spans="1:7" s="172" customFormat="1" ht="15" customHeight="1" x14ac:dyDescent="0.25">
      <c r="A1145" s="809" t="s">
        <v>5649</v>
      </c>
      <c r="B1145" s="806" t="s">
        <v>14430</v>
      </c>
      <c r="C1145" s="806" t="s">
        <v>14430</v>
      </c>
      <c r="D1145" s="809" t="s">
        <v>14579</v>
      </c>
      <c r="E1145" s="809">
        <v>160</v>
      </c>
      <c r="F1145" s="809">
        <v>98</v>
      </c>
      <c r="G1145" s="202" t="str">
        <f t="shared" si="17"/>
        <v/>
      </c>
    </row>
    <row r="1146" spans="1:7" s="172" customFormat="1" ht="15" customHeight="1" x14ac:dyDescent="0.25">
      <c r="A1146" s="809" t="s">
        <v>14580</v>
      </c>
      <c r="B1146" s="806" t="s">
        <v>14430</v>
      </c>
      <c r="C1146" s="806" t="s">
        <v>14430</v>
      </c>
      <c r="D1146" s="809" t="s">
        <v>14581</v>
      </c>
      <c r="E1146" s="809">
        <v>10</v>
      </c>
      <c r="F1146" s="809">
        <v>9</v>
      </c>
      <c r="G1146" s="202" t="str">
        <f t="shared" si="17"/>
        <v/>
      </c>
    </row>
    <row r="1147" spans="1:7" s="172" customFormat="1" ht="15" customHeight="1" x14ac:dyDescent="0.25">
      <c r="A1147" s="809" t="s">
        <v>7438</v>
      </c>
      <c r="B1147" s="806" t="s">
        <v>14430</v>
      </c>
      <c r="C1147" s="806" t="s">
        <v>14430</v>
      </c>
      <c r="D1147" s="809" t="s">
        <v>14582</v>
      </c>
      <c r="E1147" s="809">
        <v>100</v>
      </c>
      <c r="F1147" s="809">
        <v>87</v>
      </c>
      <c r="G1147" s="202" t="str">
        <f t="shared" si="17"/>
        <v/>
      </c>
    </row>
    <row r="1148" spans="1:7" s="172" customFormat="1" ht="15" customHeight="1" x14ac:dyDescent="0.25">
      <c r="A1148" s="809" t="s">
        <v>14583</v>
      </c>
      <c r="B1148" s="806" t="s">
        <v>14430</v>
      </c>
      <c r="C1148" s="806" t="s">
        <v>14430</v>
      </c>
      <c r="D1148" s="809" t="s">
        <v>14584</v>
      </c>
      <c r="E1148" s="809">
        <v>40</v>
      </c>
      <c r="F1148" s="809">
        <v>38</v>
      </c>
      <c r="G1148" s="202" t="str">
        <f t="shared" si="17"/>
        <v/>
      </c>
    </row>
    <row r="1149" spans="1:7" s="172" customFormat="1" ht="15" customHeight="1" x14ac:dyDescent="0.25">
      <c r="A1149" s="809" t="s">
        <v>14585</v>
      </c>
      <c r="B1149" s="806" t="s">
        <v>14430</v>
      </c>
      <c r="C1149" s="806" t="s">
        <v>14430</v>
      </c>
      <c r="D1149" s="809" t="s">
        <v>14586</v>
      </c>
      <c r="E1149" s="809">
        <v>40</v>
      </c>
      <c r="F1149" s="809">
        <v>39</v>
      </c>
      <c r="G1149" s="202" t="str">
        <f t="shared" si="17"/>
        <v/>
      </c>
    </row>
    <row r="1150" spans="1:7" s="172" customFormat="1" ht="15" customHeight="1" x14ac:dyDescent="0.25">
      <c r="A1150" s="809" t="s">
        <v>14587</v>
      </c>
      <c r="B1150" s="806" t="s">
        <v>14430</v>
      </c>
      <c r="C1150" s="806" t="s">
        <v>14430</v>
      </c>
      <c r="D1150" s="809" t="s">
        <v>14588</v>
      </c>
      <c r="E1150" s="809">
        <v>63</v>
      </c>
      <c r="F1150" s="809">
        <v>61</v>
      </c>
      <c r="G1150" s="202" t="str">
        <f t="shared" si="17"/>
        <v/>
      </c>
    </row>
    <row r="1151" spans="1:7" s="172" customFormat="1" ht="15" customHeight="1" x14ac:dyDescent="0.25">
      <c r="A1151" s="809" t="s">
        <v>14589</v>
      </c>
      <c r="B1151" s="806" t="s">
        <v>14430</v>
      </c>
      <c r="C1151" s="806" t="s">
        <v>14430</v>
      </c>
      <c r="D1151" s="809" t="s">
        <v>14590</v>
      </c>
      <c r="E1151" s="809">
        <v>63</v>
      </c>
      <c r="F1151" s="809">
        <v>34</v>
      </c>
      <c r="G1151" s="202" t="str">
        <f t="shared" si="17"/>
        <v/>
      </c>
    </row>
    <row r="1152" spans="1:7" s="172" customFormat="1" ht="15" customHeight="1" x14ac:dyDescent="0.25">
      <c r="A1152" s="809" t="s">
        <v>14557</v>
      </c>
      <c r="B1152" s="806" t="s">
        <v>14430</v>
      </c>
      <c r="C1152" s="806" t="s">
        <v>14430</v>
      </c>
      <c r="D1152" s="809" t="s">
        <v>14591</v>
      </c>
      <c r="E1152" s="809">
        <v>100</v>
      </c>
      <c r="F1152" s="809">
        <v>31</v>
      </c>
      <c r="G1152" s="202" t="str">
        <f t="shared" si="17"/>
        <v/>
      </c>
    </row>
    <row r="1153" spans="1:7" s="172" customFormat="1" ht="15" customHeight="1" x14ac:dyDescent="0.25">
      <c r="A1153" s="809" t="s">
        <v>14557</v>
      </c>
      <c r="B1153" s="806" t="s">
        <v>14430</v>
      </c>
      <c r="C1153" s="806" t="s">
        <v>14430</v>
      </c>
      <c r="D1153" s="809" t="s">
        <v>14592</v>
      </c>
      <c r="E1153" s="809" t="s">
        <v>18196</v>
      </c>
      <c r="F1153" s="809">
        <v>127</v>
      </c>
      <c r="G1153" s="202" t="str">
        <f t="shared" si="17"/>
        <v/>
      </c>
    </row>
    <row r="1154" spans="1:7" s="172" customFormat="1" ht="15" customHeight="1" x14ac:dyDescent="0.25">
      <c r="A1154" s="809" t="s">
        <v>14557</v>
      </c>
      <c r="B1154" s="806" t="s">
        <v>14430</v>
      </c>
      <c r="C1154" s="806" t="s">
        <v>14430</v>
      </c>
      <c r="D1154" s="809" t="s">
        <v>14593</v>
      </c>
      <c r="E1154" s="809">
        <v>160</v>
      </c>
      <c r="F1154" s="809">
        <v>41</v>
      </c>
      <c r="G1154" s="202" t="str">
        <f t="shared" si="17"/>
        <v/>
      </c>
    </row>
    <row r="1155" spans="1:7" s="172" customFormat="1" ht="15" customHeight="1" x14ac:dyDescent="0.25">
      <c r="A1155" s="809" t="s">
        <v>14557</v>
      </c>
      <c r="B1155" s="806" t="s">
        <v>14430</v>
      </c>
      <c r="C1155" s="806" t="s">
        <v>14430</v>
      </c>
      <c r="D1155" s="809" t="s">
        <v>19813</v>
      </c>
      <c r="E1155" s="809">
        <v>160</v>
      </c>
      <c r="F1155" s="809">
        <v>32</v>
      </c>
      <c r="G1155" s="202" t="str">
        <f t="shared" si="17"/>
        <v/>
      </c>
    </row>
    <row r="1156" spans="1:7" s="172" customFormat="1" ht="15" customHeight="1" x14ac:dyDescent="0.25">
      <c r="A1156" s="809" t="s">
        <v>14594</v>
      </c>
      <c r="B1156" s="806" t="s">
        <v>14430</v>
      </c>
      <c r="C1156" s="806" t="s">
        <v>14430</v>
      </c>
      <c r="D1156" s="809" t="s">
        <v>14595</v>
      </c>
      <c r="E1156" s="809">
        <v>100</v>
      </c>
      <c r="F1156" s="809">
        <v>13</v>
      </c>
      <c r="G1156" s="202" t="str">
        <f t="shared" ref="G1156:G1219" si="18">IF(E1156=F1156,"не загружен","")</f>
        <v/>
      </c>
    </row>
    <row r="1157" spans="1:7" s="172" customFormat="1" ht="15" customHeight="1" x14ac:dyDescent="0.25">
      <c r="A1157" s="809" t="s">
        <v>14596</v>
      </c>
      <c r="B1157" s="806" t="s">
        <v>14430</v>
      </c>
      <c r="C1157" s="806" t="s">
        <v>14430</v>
      </c>
      <c r="D1157" s="809" t="s">
        <v>14597</v>
      </c>
      <c r="E1157" s="809">
        <v>40</v>
      </c>
      <c r="F1157" s="809">
        <v>23</v>
      </c>
      <c r="G1157" s="202" t="str">
        <f t="shared" si="18"/>
        <v/>
      </c>
    </row>
    <row r="1158" spans="1:7" s="172" customFormat="1" ht="15" customHeight="1" x14ac:dyDescent="0.25">
      <c r="A1158" s="809" t="s">
        <v>14598</v>
      </c>
      <c r="B1158" s="806" t="s">
        <v>14430</v>
      </c>
      <c r="C1158" s="806" t="s">
        <v>14430</v>
      </c>
      <c r="D1158" s="809" t="s">
        <v>14599</v>
      </c>
      <c r="E1158" s="809">
        <v>63</v>
      </c>
      <c r="F1158" s="809">
        <v>21</v>
      </c>
      <c r="G1158" s="202" t="str">
        <f t="shared" si="18"/>
        <v/>
      </c>
    </row>
    <row r="1159" spans="1:7" s="172" customFormat="1" ht="15" customHeight="1" x14ac:dyDescent="0.25">
      <c r="A1159" s="809" t="s">
        <v>14600</v>
      </c>
      <c r="B1159" s="806" t="s">
        <v>14430</v>
      </c>
      <c r="C1159" s="806" t="s">
        <v>14430</v>
      </c>
      <c r="D1159" s="809" t="s">
        <v>14601</v>
      </c>
      <c r="E1159" s="809">
        <v>160</v>
      </c>
      <c r="F1159" s="809">
        <v>138</v>
      </c>
      <c r="G1159" s="202" t="str">
        <f t="shared" si="18"/>
        <v/>
      </c>
    </row>
    <row r="1160" spans="1:7" s="172" customFormat="1" ht="15" customHeight="1" x14ac:dyDescent="0.25">
      <c r="A1160" s="809" t="s">
        <v>14602</v>
      </c>
      <c r="B1160" s="806" t="s">
        <v>14430</v>
      </c>
      <c r="C1160" s="806" t="s">
        <v>14430</v>
      </c>
      <c r="D1160" s="809" t="s">
        <v>14603</v>
      </c>
      <c r="E1160" s="809">
        <v>40</v>
      </c>
      <c r="F1160" s="809">
        <v>31</v>
      </c>
      <c r="G1160" s="202" t="str">
        <f t="shared" si="18"/>
        <v/>
      </c>
    </row>
    <row r="1161" spans="1:7" s="172" customFormat="1" ht="15" customHeight="1" x14ac:dyDescent="0.25">
      <c r="A1161" s="809" t="s">
        <v>14604</v>
      </c>
      <c r="B1161" s="806" t="s">
        <v>14430</v>
      </c>
      <c r="C1161" s="806" t="s">
        <v>14430</v>
      </c>
      <c r="D1161" s="809" t="s">
        <v>14605</v>
      </c>
      <c r="E1161" s="809">
        <v>63</v>
      </c>
      <c r="F1161" s="809">
        <v>23</v>
      </c>
      <c r="G1161" s="202" t="str">
        <f t="shared" si="18"/>
        <v/>
      </c>
    </row>
    <row r="1162" spans="1:7" s="172" customFormat="1" ht="15" customHeight="1" x14ac:dyDescent="0.25">
      <c r="A1162" s="809" t="s">
        <v>14604</v>
      </c>
      <c r="B1162" s="806" t="s">
        <v>14430</v>
      </c>
      <c r="C1162" s="806" t="s">
        <v>14430</v>
      </c>
      <c r="D1162" s="809" t="s">
        <v>14606</v>
      </c>
      <c r="E1162" s="809">
        <v>250</v>
      </c>
      <c r="F1162" s="809">
        <v>113</v>
      </c>
      <c r="G1162" s="202" t="str">
        <f t="shared" si="18"/>
        <v/>
      </c>
    </row>
    <row r="1163" spans="1:7" s="172" customFormat="1" ht="15" customHeight="1" x14ac:dyDescent="0.25">
      <c r="A1163" s="809" t="s">
        <v>14557</v>
      </c>
      <c r="B1163" s="806" t="s">
        <v>14430</v>
      </c>
      <c r="C1163" s="806" t="s">
        <v>14430</v>
      </c>
      <c r="D1163" s="809" t="s">
        <v>14607</v>
      </c>
      <c r="E1163" s="809">
        <v>63</v>
      </c>
      <c r="F1163" s="809">
        <v>20</v>
      </c>
      <c r="G1163" s="202" t="str">
        <f t="shared" si="18"/>
        <v/>
      </c>
    </row>
    <row r="1164" spans="1:7" s="172" customFormat="1" ht="15" customHeight="1" x14ac:dyDescent="0.25">
      <c r="A1164" s="809" t="s">
        <v>14608</v>
      </c>
      <c r="B1164" s="806" t="s">
        <v>14430</v>
      </c>
      <c r="C1164" s="806" t="s">
        <v>14430</v>
      </c>
      <c r="D1164" s="809" t="s">
        <v>14609</v>
      </c>
      <c r="E1164" s="809">
        <v>40</v>
      </c>
      <c r="F1164" s="809">
        <v>34</v>
      </c>
      <c r="G1164" s="202" t="str">
        <f t="shared" si="18"/>
        <v/>
      </c>
    </row>
    <row r="1165" spans="1:7" s="172" customFormat="1" ht="15" customHeight="1" x14ac:dyDescent="0.25">
      <c r="A1165" s="809" t="s">
        <v>14610</v>
      </c>
      <c r="B1165" s="806" t="s">
        <v>14430</v>
      </c>
      <c r="C1165" s="806" t="s">
        <v>14430</v>
      </c>
      <c r="D1165" s="809" t="s">
        <v>14611</v>
      </c>
      <c r="E1165" s="809">
        <v>40</v>
      </c>
      <c r="F1165" s="809">
        <v>36</v>
      </c>
      <c r="G1165" s="202" t="str">
        <f t="shared" si="18"/>
        <v/>
      </c>
    </row>
    <row r="1166" spans="1:7" s="172" customFormat="1" ht="15" customHeight="1" x14ac:dyDescent="0.25">
      <c r="A1166" s="809" t="s">
        <v>14612</v>
      </c>
      <c r="B1166" s="806" t="s">
        <v>14430</v>
      </c>
      <c r="C1166" s="806" t="s">
        <v>14430</v>
      </c>
      <c r="D1166" s="809" t="s">
        <v>14613</v>
      </c>
      <c r="E1166" s="809">
        <v>10</v>
      </c>
      <c r="F1166" s="809">
        <v>2</v>
      </c>
      <c r="G1166" s="202" t="str">
        <f t="shared" si="18"/>
        <v/>
      </c>
    </row>
    <row r="1167" spans="1:7" s="172" customFormat="1" ht="15" customHeight="1" x14ac:dyDescent="0.25">
      <c r="A1167" s="809" t="s">
        <v>14614</v>
      </c>
      <c r="B1167" s="806" t="s">
        <v>14430</v>
      </c>
      <c r="C1167" s="806" t="s">
        <v>14430</v>
      </c>
      <c r="D1167" s="809" t="s">
        <v>14615</v>
      </c>
      <c r="E1167" s="809">
        <v>63</v>
      </c>
      <c r="F1167" s="809">
        <v>8</v>
      </c>
      <c r="G1167" s="202" t="str">
        <f t="shared" si="18"/>
        <v/>
      </c>
    </row>
    <row r="1168" spans="1:7" s="172" customFormat="1" ht="15" customHeight="1" x14ac:dyDescent="0.25">
      <c r="A1168" s="809" t="s">
        <v>14616</v>
      </c>
      <c r="B1168" s="806" t="s">
        <v>14430</v>
      </c>
      <c r="C1168" s="806" t="s">
        <v>14430</v>
      </c>
      <c r="D1168" s="809" t="s">
        <v>14617</v>
      </c>
      <c r="E1168" s="809">
        <v>400</v>
      </c>
      <c r="F1168" s="809">
        <v>120</v>
      </c>
      <c r="G1168" s="202" t="str">
        <f t="shared" si="18"/>
        <v/>
      </c>
    </row>
    <row r="1169" spans="1:7" s="172" customFormat="1" ht="15" customHeight="1" x14ac:dyDescent="0.25">
      <c r="A1169" s="809" t="s">
        <v>14618</v>
      </c>
      <c r="B1169" s="806" t="s">
        <v>14430</v>
      </c>
      <c r="C1169" s="806" t="s">
        <v>14430</v>
      </c>
      <c r="D1169" s="809" t="s">
        <v>14619</v>
      </c>
      <c r="E1169" s="809">
        <v>100</v>
      </c>
      <c r="F1169" s="809">
        <v>73</v>
      </c>
      <c r="G1169" s="202" t="str">
        <f t="shared" si="18"/>
        <v/>
      </c>
    </row>
    <row r="1170" spans="1:7" s="172" customFormat="1" ht="15" customHeight="1" x14ac:dyDescent="0.25">
      <c r="A1170" s="809" t="s">
        <v>14620</v>
      </c>
      <c r="B1170" s="806" t="s">
        <v>14430</v>
      </c>
      <c r="C1170" s="806" t="s">
        <v>14430</v>
      </c>
      <c r="D1170" s="809" t="s">
        <v>14621</v>
      </c>
      <c r="E1170" s="809">
        <v>30</v>
      </c>
      <c r="F1170" s="809">
        <v>27</v>
      </c>
      <c r="G1170" s="202" t="str">
        <f t="shared" si="18"/>
        <v/>
      </c>
    </row>
    <row r="1171" spans="1:7" s="172" customFormat="1" ht="15" customHeight="1" x14ac:dyDescent="0.25">
      <c r="A1171" s="809" t="s">
        <v>6813</v>
      </c>
      <c r="B1171" s="806" t="s">
        <v>14430</v>
      </c>
      <c r="C1171" s="806" t="s">
        <v>14430</v>
      </c>
      <c r="D1171" s="809" t="s">
        <v>14622</v>
      </c>
      <c r="E1171" s="809">
        <v>40</v>
      </c>
      <c r="F1171" s="809">
        <v>22</v>
      </c>
      <c r="G1171" s="202" t="str">
        <f t="shared" si="18"/>
        <v/>
      </c>
    </row>
    <row r="1172" spans="1:7" s="172" customFormat="1" ht="15" customHeight="1" x14ac:dyDescent="0.25">
      <c r="A1172" s="809" t="s">
        <v>3109</v>
      </c>
      <c r="B1172" s="806" t="s">
        <v>14430</v>
      </c>
      <c r="C1172" s="806" t="s">
        <v>14430</v>
      </c>
      <c r="D1172" s="809" t="s">
        <v>14623</v>
      </c>
      <c r="E1172" s="809">
        <v>10</v>
      </c>
      <c r="F1172" s="809">
        <v>4</v>
      </c>
      <c r="G1172" s="202" t="str">
        <f t="shared" si="18"/>
        <v/>
      </c>
    </row>
    <row r="1173" spans="1:7" s="172" customFormat="1" ht="15" customHeight="1" x14ac:dyDescent="0.25">
      <c r="A1173" s="809" t="s">
        <v>7651</v>
      </c>
      <c r="B1173" s="806" t="s">
        <v>14430</v>
      </c>
      <c r="C1173" s="806" t="s">
        <v>14430</v>
      </c>
      <c r="D1173" s="809" t="s">
        <v>14624</v>
      </c>
      <c r="E1173" s="809">
        <v>10</v>
      </c>
      <c r="F1173" s="809">
        <v>3</v>
      </c>
      <c r="G1173" s="202" t="str">
        <f t="shared" si="18"/>
        <v/>
      </c>
    </row>
    <row r="1174" spans="1:7" s="172" customFormat="1" ht="15" customHeight="1" x14ac:dyDescent="0.25">
      <c r="A1174" s="809" t="s">
        <v>14625</v>
      </c>
      <c r="B1174" s="806" t="s">
        <v>14430</v>
      </c>
      <c r="C1174" s="806" t="s">
        <v>14430</v>
      </c>
      <c r="D1174" s="809" t="s">
        <v>14626</v>
      </c>
      <c r="E1174" s="809">
        <v>100</v>
      </c>
      <c r="F1174" s="809">
        <v>28</v>
      </c>
      <c r="G1174" s="202" t="str">
        <f t="shared" si="18"/>
        <v/>
      </c>
    </row>
    <row r="1175" spans="1:7" s="172" customFormat="1" ht="15" customHeight="1" x14ac:dyDescent="0.25">
      <c r="A1175" s="809" t="s">
        <v>14627</v>
      </c>
      <c r="B1175" s="806" t="s">
        <v>14430</v>
      </c>
      <c r="C1175" s="806" t="s">
        <v>14430</v>
      </c>
      <c r="D1175" s="809" t="s">
        <v>19814</v>
      </c>
      <c r="E1175" s="809">
        <v>100</v>
      </c>
      <c r="F1175" s="809">
        <v>16</v>
      </c>
      <c r="G1175" s="202" t="str">
        <f t="shared" si="18"/>
        <v/>
      </c>
    </row>
    <row r="1176" spans="1:7" s="172" customFormat="1" ht="15" customHeight="1" x14ac:dyDescent="0.25">
      <c r="A1176" s="809" t="s">
        <v>14628</v>
      </c>
      <c r="B1176" s="806" t="s">
        <v>14430</v>
      </c>
      <c r="C1176" s="806" t="s">
        <v>14430</v>
      </c>
      <c r="D1176" s="809" t="s">
        <v>14629</v>
      </c>
      <c r="E1176" s="809">
        <v>40</v>
      </c>
      <c r="F1176" s="809">
        <v>12</v>
      </c>
      <c r="G1176" s="202" t="str">
        <f t="shared" si="18"/>
        <v/>
      </c>
    </row>
    <row r="1177" spans="1:7" s="172" customFormat="1" ht="15" customHeight="1" x14ac:dyDescent="0.25">
      <c r="A1177" s="809" t="s">
        <v>14630</v>
      </c>
      <c r="B1177" s="806" t="s">
        <v>14430</v>
      </c>
      <c r="C1177" s="806" t="s">
        <v>14430</v>
      </c>
      <c r="D1177" s="809" t="s">
        <v>14631</v>
      </c>
      <c r="E1177" s="809">
        <v>400</v>
      </c>
      <c r="F1177" s="809">
        <v>123</v>
      </c>
      <c r="G1177" s="202" t="str">
        <f t="shared" si="18"/>
        <v/>
      </c>
    </row>
    <row r="1178" spans="1:7" s="172" customFormat="1" ht="15" customHeight="1" x14ac:dyDescent="0.25">
      <c r="A1178" s="809" t="s">
        <v>14625</v>
      </c>
      <c r="B1178" s="806" t="s">
        <v>14430</v>
      </c>
      <c r="C1178" s="806" t="s">
        <v>14430</v>
      </c>
      <c r="D1178" s="809" t="s">
        <v>14632</v>
      </c>
      <c r="E1178" s="809">
        <v>100</v>
      </c>
      <c r="F1178" s="809">
        <v>32</v>
      </c>
      <c r="G1178" s="202" t="str">
        <f t="shared" si="18"/>
        <v/>
      </c>
    </row>
    <row r="1179" spans="1:7" s="172" customFormat="1" ht="15" customHeight="1" x14ac:dyDescent="0.25">
      <c r="A1179" s="809" t="s">
        <v>2664</v>
      </c>
      <c r="B1179" s="806" t="s">
        <v>14430</v>
      </c>
      <c r="C1179" s="806" t="s">
        <v>14430</v>
      </c>
      <c r="D1179" s="809" t="s">
        <v>14633</v>
      </c>
      <c r="E1179" s="809">
        <v>63</v>
      </c>
      <c r="F1179" s="809">
        <v>31</v>
      </c>
      <c r="G1179" s="202" t="str">
        <f t="shared" si="18"/>
        <v/>
      </c>
    </row>
    <row r="1180" spans="1:7" s="172" customFormat="1" ht="15" customHeight="1" x14ac:dyDescent="0.25">
      <c r="A1180" s="809" t="s">
        <v>14634</v>
      </c>
      <c r="B1180" s="806" t="s">
        <v>14430</v>
      </c>
      <c r="C1180" s="806" t="s">
        <v>14430</v>
      </c>
      <c r="D1180" s="809" t="s">
        <v>14635</v>
      </c>
      <c r="E1180" s="809">
        <v>30</v>
      </c>
      <c r="F1180" s="809">
        <v>19</v>
      </c>
      <c r="G1180" s="202" t="str">
        <f t="shared" si="18"/>
        <v/>
      </c>
    </row>
    <row r="1181" spans="1:7" s="172" customFormat="1" ht="15" customHeight="1" x14ac:dyDescent="0.25">
      <c r="A1181" s="809" t="s">
        <v>14636</v>
      </c>
      <c r="B1181" s="806" t="s">
        <v>14430</v>
      </c>
      <c r="C1181" s="806" t="s">
        <v>14430</v>
      </c>
      <c r="D1181" s="809" t="s">
        <v>14637</v>
      </c>
      <c r="E1181" s="809">
        <v>250</v>
      </c>
      <c r="F1181" s="809">
        <v>119</v>
      </c>
      <c r="G1181" s="202" t="str">
        <f t="shared" si="18"/>
        <v/>
      </c>
    </row>
    <row r="1182" spans="1:7" s="172" customFormat="1" ht="15" customHeight="1" x14ac:dyDescent="0.25">
      <c r="A1182" s="809" t="s">
        <v>14636</v>
      </c>
      <c r="B1182" s="806" t="s">
        <v>14430</v>
      </c>
      <c r="C1182" s="806" t="s">
        <v>14430</v>
      </c>
      <c r="D1182" s="809" t="s">
        <v>14638</v>
      </c>
      <c r="E1182" s="809">
        <v>100</v>
      </c>
      <c r="F1182" s="809">
        <v>61</v>
      </c>
      <c r="G1182" s="202" t="str">
        <f t="shared" si="18"/>
        <v/>
      </c>
    </row>
    <row r="1183" spans="1:7" s="172" customFormat="1" ht="15" customHeight="1" x14ac:dyDescent="0.25">
      <c r="A1183" s="809" t="s">
        <v>14636</v>
      </c>
      <c r="B1183" s="806" t="s">
        <v>14430</v>
      </c>
      <c r="C1183" s="806" t="s">
        <v>14430</v>
      </c>
      <c r="D1183" s="809" t="s">
        <v>14639</v>
      </c>
      <c r="E1183" s="809">
        <v>100</v>
      </c>
      <c r="F1183" s="809">
        <v>39</v>
      </c>
      <c r="G1183" s="202" t="str">
        <f t="shared" si="18"/>
        <v/>
      </c>
    </row>
    <row r="1184" spans="1:7" s="172" customFormat="1" ht="15" customHeight="1" x14ac:dyDescent="0.25">
      <c r="A1184" s="809" t="s">
        <v>14636</v>
      </c>
      <c r="B1184" s="806" t="s">
        <v>14430</v>
      </c>
      <c r="C1184" s="806" t="s">
        <v>14430</v>
      </c>
      <c r="D1184" s="809" t="s">
        <v>14640</v>
      </c>
      <c r="E1184" s="809">
        <v>63</v>
      </c>
      <c r="F1184" s="809">
        <v>19</v>
      </c>
      <c r="G1184" s="202" t="str">
        <f t="shared" si="18"/>
        <v/>
      </c>
    </row>
    <row r="1185" spans="1:7" s="172" customFormat="1" ht="15" customHeight="1" x14ac:dyDescent="0.25">
      <c r="A1185" s="809" t="s">
        <v>14636</v>
      </c>
      <c r="B1185" s="806" t="s">
        <v>14430</v>
      </c>
      <c r="C1185" s="806" t="s">
        <v>14430</v>
      </c>
      <c r="D1185" s="809" t="s">
        <v>14641</v>
      </c>
      <c r="E1185" s="809">
        <v>63</v>
      </c>
      <c r="F1185" s="809">
        <v>23</v>
      </c>
      <c r="G1185" s="202" t="str">
        <f t="shared" si="18"/>
        <v/>
      </c>
    </row>
    <row r="1186" spans="1:7" s="172" customFormat="1" ht="15" customHeight="1" x14ac:dyDescent="0.25">
      <c r="A1186" s="809" t="s">
        <v>14636</v>
      </c>
      <c r="B1186" s="806" t="s">
        <v>14430</v>
      </c>
      <c r="C1186" s="806" t="s">
        <v>14430</v>
      </c>
      <c r="D1186" s="809" t="s">
        <v>14642</v>
      </c>
      <c r="E1186" s="809">
        <v>250</v>
      </c>
      <c r="F1186" s="809">
        <v>167</v>
      </c>
      <c r="G1186" s="202" t="str">
        <f t="shared" si="18"/>
        <v/>
      </c>
    </row>
    <row r="1187" spans="1:7" s="172" customFormat="1" ht="15" customHeight="1" x14ac:dyDescent="0.25">
      <c r="A1187" s="809" t="s">
        <v>2664</v>
      </c>
      <c r="B1187" s="806" t="s">
        <v>14430</v>
      </c>
      <c r="C1187" s="806" t="s">
        <v>14430</v>
      </c>
      <c r="D1187" s="809" t="s">
        <v>14643</v>
      </c>
      <c r="E1187" s="809">
        <v>100</v>
      </c>
      <c r="F1187" s="809">
        <v>29</v>
      </c>
      <c r="G1187" s="202" t="str">
        <f t="shared" si="18"/>
        <v/>
      </c>
    </row>
    <row r="1188" spans="1:7" s="172" customFormat="1" ht="15" customHeight="1" x14ac:dyDescent="0.25">
      <c r="A1188" s="809" t="s">
        <v>14636</v>
      </c>
      <c r="B1188" s="806" t="s">
        <v>14430</v>
      </c>
      <c r="C1188" s="806" t="s">
        <v>14430</v>
      </c>
      <c r="D1188" s="809" t="s">
        <v>14644</v>
      </c>
      <c r="E1188" s="809">
        <v>250</v>
      </c>
      <c r="F1188" s="809">
        <v>187</v>
      </c>
      <c r="G1188" s="202" t="str">
        <f t="shared" si="18"/>
        <v/>
      </c>
    </row>
    <row r="1189" spans="1:7" s="172" customFormat="1" ht="15" customHeight="1" x14ac:dyDescent="0.25">
      <c r="A1189" s="809" t="s">
        <v>2685</v>
      </c>
      <c r="B1189" s="806" t="s">
        <v>14430</v>
      </c>
      <c r="C1189" s="806" t="s">
        <v>14430</v>
      </c>
      <c r="D1189" s="809" t="s">
        <v>14645</v>
      </c>
      <c r="E1189" s="809">
        <v>30</v>
      </c>
      <c r="F1189" s="809">
        <v>11</v>
      </c>
      <c r="G1189" s="202" t="str">
        <f t="shared" si="18"/>
        <v/>
      </c>
    </row>
    <row r="1190" spans="1:7" s="172" customFormat="1" ht="15" customHeight="1" x14ac:dyDescent="0.25">
      <c r="A1190" s="809" t="s">
        <v>14646</v>
      </c>
      <c r="B1190" s="806" t="s">
        <v>14430</v>
      </c>
      <c r="C1190" s="806" t="s">
        <v>14430</v>
      </c>
      <c r="D1190" s="809" t="s">
        <v>14647</v>
      </c>
      <c r="E1190" s="809">
        <v>250</v>
      </c>
      <c r="F1190" s="809">
        <v>67</v>
      </c>
      <c r="G1190" s="202" t="str">
        <f t="shared" si="18"/>
        <v/>
      </c>
    </row>
    <row r="1191" spans="1:7" s="172" customFormat="1" ht="15" customHeight="1" x14ac:dyDescent="0.25">
      <c r="A1191" s="809" t="s">
        <v>14648</v>
      </c>
      <c r="B1191" s="806" t="s">
        <v>14430</v>
      </c>
      <c r="C1191" s="806" t="s">
        <v>14430</v>
      </c>
      <c r="D1191" s="809" t="s">
        <v>14649</v>
      </c>
      <c r="E1191" s="809">
        <v>100</v>
      </c>
      <c r="F1191" s="809">
        <v>71</v>
      </c>
      <c r="G1191" s="202" t="str">
        <f t="shared" si="18"/>
        <v/>
      </c>
    </row>
    <row r="1192" spans="1:7" s="172" customFormat="1" ht="15" customHeight="1" x14ac:dyDescent="0.25">
      <c r="A1192" s="809" t="s">
        <v>14650</v>
      </c>
      <c r="B1192" s="806" t="s">
        <v>14430</v>
      </c>
      <c r="C1192" s="806" t="s">
        <v>14430</v>
      </c>
      <c r="D1192" s="809" t="s">
        <v>14651</v>
      </c>
      <c r="E1192" s="809">
        <v>63</v>
      </c>
      <c r="F1192" s="809">
        <v>52</v>
      </c>
      <c r="G1192" s="202" t="str">
        <f t="shared" si="18"/>
        <v/>
      </c>
    </row>
    <row r="1193" spans="1:7" s="172" customFormat="1" ht="15" customHeight="1" x14ac:dyDescent="0.25">
      <c r="A1193" s="809" t="s">
        <v>2709</v>
      </c>
      <c r="B1193" s="806" t="s">
        <v>14430</v>
      </c>
      <c r="C1193" s="806" t="s">
        <v>14430</v>
      </c>
      <c r="D1193" s="809" t="s">
        <v>14652</v>
      </c>
      <c r="E1193" s="809">
        <v>30</v>
      </c>
      <c r="F1193" s="809">
        <v>13</v>
      </c>
      <c r="G1193" s="202" t="str">
        <f t="shared" si="18"/>
        <v/>
      </c>
    </row>
    <row r="1194" spans="1:7" s="172" customFormat="1" ht="15" customHeight="1" x14ac:dyDescent="0.25">
      <c r="A1194" s="809" t="s">
        <v>13011</v>
      </c>
      <c r="B1194" s="806" t="s">
        <v>14430</v>
      </c>
      <c r="C1194" s="806" t="s">
        <v>14430</v>
      </c>
      <c r="D1194" s="809" t="s">
        <v>14653</v>
      </c>
      <c r="E1194" s="809">
        <v>30</v>
      </c>
      <c r="F1194" s="809">
        <v>11</v>
      </c>
      <c r="G1194" s="202" t="str">
        <f t="shared" si="18"/>
        <v/>
      </c>
    </row>
    <row r="1195" spans="1:7" s="172" customFormat="1" ht="15" customHeight="1" x14ac:dyDescent="0.25">
      <c r="A1195" s="809" t="s">
        <v>14521</v>
      </c>
      <c r="B1195" s="806" t="s">
        <v>14430</v>
      </c>
      <c r="C1195" s="806" t="s">
        <v>14430</v>
      </c>
      <c r="D1195" s="809" t="s">
        <v>14654</v>
      </c>
      <c r="E1195" s="809">
        <v>63</v>
      </c>
      <c r="F1195" s="809">
        <v>13</v>
      </c>
      <c r="G1195" s="202" t="str">
        <f t="shared" si="18"/>
        <v/>
      </c>
    </row>
    <row r="1196" spans="1:7" s="172" customFormat="1" ht="15" customHeight="1" x14ac:dyDescent="0.25">
      <c r="A1196" s="809" t="s">
        <v>4909</v>
      </c>
      <c r="B1196" s="806" t="s">
        <v>14430</v>
      </c>
      <c r="C1196" s="806" t="s">
        <v>14430</v>
      </c>
      <c r="D1196" s="809" t="s">
        <v>14655</v>
      </c>
      <c r="E1196" s="809">
        <v>400</v>
      </c>
      <c r="F1196" s="809">
        <v>62</v>
      </c>
      <c r="G1196" s="202" t="str">
        <f t="shared" si="18"/>
        <v/>
      </c>
    </row>
    <row r="1197" spans="1:7" s="172" customFormat="1" ht="15" customHeight="1" x14ac:dyDescent="0.25">
      <c r="A1197" s="809" t="s">
        <v>14656</v>
      </c>
      <c r="B1197" s="806" t="s">
        <v>14430</v>
      </c>
      <c r="C1197" s="806" t="s">
        <v>14430</v>
      </c>
      <c r="D1197" s="809" t="s">
        <v>14657</v>
      </c>
      <c r="E1197" s="809">
        <v>160</v>
      </c>
      <c r="F1197" s="809">
        <v>76</v>
      </c>
      <c r="G1197" s="202" t="str">
        <f t="shared" si="18"/>
        <v/>
      </c>
    </row>
    <row r="1198" spans="1:7" s="172" customFormat="1" ht="15" customHeight="1" x14ac:dyDescent="0.25">
      <c r="A1198" s="809" t="s">
        <v>14658</v>
      </c>
      <c r="B1198" s="806" t="s">
        <v>14430</v>
      </c>
      <c r="C1198" s="806" t="s">
        <v>14430</v>
      </c>
      <c r="D1198" s="809" t="s">
        <v>14659</v>
      </c>
      <c r="E1198" s="809">
        <v>100</v>
      </c>
      <c r="F1198" s="809">
        <v>27</v>
      </c>
      <c r="G1198" s="202" t="str">
        <f t="shared" si="18"/>
        <v/>
      </c>
    </row>
    <row r="1199" spans="1:7" s="172" customFormat="1" ht="15" customHeight="1" x14ac:dyDescent="0.25">
      <c r="A1199" s="809" t="s">
        <v>14660</v>
      </c>
      <c r="B1199" s="806" t="s">
        <v>14430</v>
      </c>
      <c r="C1199" s="806" t="s">
        <v>14430</v>
      </c>
      <c r="D1199" s="809" t="s">
        <v>14661</v>
      </c>
      <c r="E1199" s="809">
        <v>40</v>
      </c>
      <c r="F1199" s="809">
        <v>32</v>
      </c>
      <c r="G1199" s="202" t="str">
        <f t="shared" si="18"/>
        <v/>
      </c>
    </row>
    <row r="1200" spans="1:7" s="172" customFormat="1" ht="15" customHeight="1" x14ac:dyDescent="0.25">
      <c r="A1200" s="809" t="s">
        <v>14662</v>
      </c>
      <c r="B1200" s="806" t="s">
        <v>14430</v>
      </c>
      <c r="C1200" s="806" t="s">
        <v>14430</v>
      </c>
      <c r="D1200" s="809" t="s">
        <v>14663</v>
      </c>
      <c r="E1200" s="809">
        <v>10</v>
      </c>
      <c r="F1200" s="809">
        <v>3</v>
      </c>
      <c r="G1200" s="202" t="str">
        <f t="shared" si="18"/>
        <v/>
      </c>
    </row>
    <row r="1201" spans="1:7" s="172" customFormat="1" ht="15" customHeight="1" x14ac:dyDescent="0.25">
      <c r="A1201" s="809" t="s">
        <v>14646</v>
      </c>
      <c r="B1201" s="806" t="s">
        <v>14430</v>
      </c>
      <c r="C1201" s="806" t="s">
        <v>14430</v>
      </c>
      <c r="D1201" s="809" t="s">
        <v>14664</v>
      </c>
      <c r="E1201" s="809">
        <v>160</v>
      </c>
      <c r="F1201" s="809">
        <v>72</v>
      </c>
      <c r="G1201" s="202" t="str">
        <f t="shared" si="18"/>
        <v/>
      </c>
    </row>
    <row r="1202" spans="1:7" s="172" customFormat="1" ht="15" customHeight="1" x14ac:dyDescent="0.25">
      <c r="A1202" s="809" t="s">
        <v>14665</v>
      </c>
      <c r="B1202" s="806" t="s">
        <v>14430</v>
      </c>
      <c r="C1202" s="806" t="s">
        <v>14430</v>
      </c>
      <c r="D1202" s="809" t="s">
        <v>14666</v>
      </c>
      <c r="E1202" s="809">
        <v>63</v>
      </c>
      <c r="F1202" s="809">
        <v>21</v>
      </c>
      <c r="G1202" s="202" t="str">
        <f t="shared" si="18"/>
        <v/>
      </c>
    </row>
    <row r="1203" spans="1:7" s="172" customFormat="1" ht="15" customHeight="1" x14ac:dyDescent="0.25">
      <c r="A1203" s="809" t="s">
        <v>14646</v>
      </c>
      <c r="B1203" s="806" t="s">
        <v>14430</v>
      </c>
      <c r="C1203" s="806" t="s">
        <v>14430</v>
      </c>
      <c r="D1203" s="809" t="s">
        <v>14667</v>
      </c>
      <c r="E1203" s="809">
        <v>160</v>
      </c>
      <c r="F1203" s="809">
        <v>39</v>
      </c>
      <c r="G1203" s="202" t="str">
        <f t="shared" si="18"/>
        <v/>
      </c>
    </row>
    <row r="1204" spans="1:7" s="172" customFormat="1" ht="15" customHeight="1" x14ac:dyDescent="0.25">
      <c r="A1204" s="809" t="s">
        <v>14646</v>
      </c>
      <c r="B1204" s="806" t="s">
        <v>14430</v>
      </c>
      <c r="C1204" s="806" t="s">
        <v>14430</v>
      </c>
      <c r="D1204" s="809" t="s">
        <v>14668</v>
      </c>
      <c r="E1204" s="809">
        <v>400</v>
      </c>
      <c r="F1204" s="809">
        <v>139</v>
      </c>
      <c r="G1204" s="202" t="str">
        <f t="shared" si="18"/>
        <v/>
      </c>
    </row>
    <row r="1205" spans="1:7" s="172" customFormat="1" ht="15" customHeight="1" x14ac:dyDescent="0.25">
      <c r="A1205" s="809" t="s">
        <v>14646</v>
      </c>
      <c r="B1205" s="806" t="s">
        <v>14430</v>
      </c>
      <c r="C1205" s="806" t="s">
        <v>14430</v>
      </c>
      <c r="D1205" s="809" t="s">
        <v>14669</v>
      </c>
      <c r="E1205" s="809">
        <v>160</v>
      </c>
      <c r="F1205" s="809">
        <v>78</v>
      </c>
      <c r="G1205" s="202" t="str">
        <f t="shared" si="18"/>
        <v/>
      </c>
    </row>
    <row r="1206" spans="1:7" s="172" customFormat="1" ht="15" customHeight="1" x14ac:dyDescent="0.25">
      <c r="A1206" s="809" t="s">
        <v>14670</v>
      </c>
      <c r="B1206" s="806" t="s">
        <v>14430</v>
      </c>
      <c r="C1206" s="806" t="s">
        <v>14430</v>
      </c>
      <c r="D1206" s="809" t="s">
        <v>14671</v>
      </c>
      <c r="E1206" s="809">
        <v>400</v>
      </c>
      <c r="F1206" s="809">
        <v>212</v>
      </c>
      <c r="G1206" s="202" t="str">
        <f t="shared" si="18"/>
        <v/>
      </c>
    </row>
    <row r="1207" spans="1:7" s="172" customFormat="1" ht="15" customHeight="1" x14ac:dyDescent="0.25">
      <c r="A1207" s="809" t="s">
        <v>14646</v>
      </c>
      <c r="B1207" s="806" t="s">
        <v>14430</v>
      </c>
      <c r="C1207" s="806" t="s">
        <v>14430</v>
      </c>
      <c r="D1207" s="809" t="s">
        <v>14672</v>
      </c>
      <c r="E1207" s="809">
        <v>30</v>
      </c>
      <c r="F1207" s="809">
        <v>12</v>
      </c>
      <c r="G1207" s="202" t="str">
        <f t="shared" si="18"/>
        <v/>
      </c>
    </row>
    <row r="1208" spans="1:7" s="172" customFormat="1" ht="15" customHeight="1" x14ac:dyDescent="0.25">
      <c r="A1208" s="809" t="s">
        <v>4909</v>
      </c>
      <c r="B1208" s="806" t="s">
        <v>14430</v>
      </c>
      <c r="C1208" s="806" t="s">
        <v>14430</v>
      </c>
      <c r="D1208" s="809" t="s">
        <v>14673</v>
      </c>
      <c r="E1208" s="809">
        <v>63</v>
      </c>
      <c r="F1208" s="809">
        <v>34</v>
      </c>
      <c r="G1208" s="202" t="str">
        <f t="shared" si="18"/>
        <v/>
      </c>
    </row>
    <row r="1209" spans="1:7" s="172" customFormat="1" ht="15" customHeight="1" x14ac:dyDescent="0.25">
      <c r="A1209" s="809" t="s">
        <v>14656</v>
      </c>
      <c r="B1209" s="806" t="s">
        <v>14430</v>
      </c>
      <c r="C1209" s="806" t="s">
        <v>14430</v>
      </c>
      <c r="D1209" s="809" t="s">
        <v>14674</v>
      </c>
      <c r="E1209" s="809">
        <v>160</v>
      </c>
      <c r="F1209" s="809">
        <v>64</v>
      </c>
      <c r="G1209" s="202" t="str">
        <f t="shared" si="18"/>
        <v/>
      </c>
    </row>
    <row r="1210" spans="1:7" s="172" customFormat="1" ht="15" customHeight="1" x14ac:dyDescent="0.25">
      <c r="A1210" s="809" t="s">
        <v>4909</v>
      </c>
      <c r="B1210" s="806" t="s">
        <v>14430</v>
      </c>
      <c r="C1210" s="806" t="s">
        <v>14430</v>
      </c>
      <c r="D1210" s="809" t="s">
        <v>14675</v>
      </c>
      <c r="E1210" s="809">
        <v>25</v>
      </c>
      <c r="F1210" s="809">
        <v>12</v>
      </c>
      <c r="G1210" s="202" t="str">
        <f t="shared" si="18"/>
        <v/>
      </c>
    </row>
    <row r="1211" spans="1:7" s="172" customFormat="1" ht="15" customHeight="1" x14ac:dyDescent="0.25">
      <c r="A1211" s="809" t="s">
        <v>4909</v>
      </c>
      <c r="B1211" s="806" t="s">
        <v>14430</v>
      </c>
      <c r="C1211" s="806" t="s">
        <v>14430</v>
      </c>
      <c r="D1211" s="809" t="s">
        <v>14676</v>
      </c>
      <c r="E1211" s="809">
        <v>100</v>
      </c>
      <c r="F1211" s="809">
        <v>39</v>
      </c>
      <c r="G1211" s="202" t="str">
        <f t="shared" si="18"/>
        <v/>
      </c>
    </row>
    <row r="1212" spans="1:7" s="172" customFormat="1" ht="15" customHeight="1" x14ac:dyDescent="0.25">
      <c r="A1212" s="809" t="s">
        <v>8039</v>
      </c>
      <c r="B1212" s="806" t="s">
        <v>14430</v>
      </c>
      <c r="C1212" s="806" t="s">
        <v>14430</v>
      </c>
      <c r="D1212" s="809" t="s">
        <v>19815</v>
      </c>
      <c r="E1212" s="809">
        <v>40</v>
      </c>
      <c r="F1212" s="809">
        <v>24</v>
      </c>
      <c r="G1212" s="202" t="str">
        <f t="shared" si="18"/>
        <v/>
      </c>
    </row>
    <row r="1213" spans="1:7" s="172" customFormat="1" ht="15" customHeight="1" x14ac:dyDescent="0.25">
      <c r="A1213" s="809" t="s">
        <v>8494</v>
      </c>
      <c r="B1213" s="806" t="s">
        <v>14430</v>
      </c>
      <c r="C1213" s="806" t="s">
        <v>14430</v>
      </c>
      <c r="D1213" s="809" t="s">
        <v>14677</v>
      </c>
      <c r="E1213" s="809">
        <v>160</v>
      </c>
      <c r="F1213" s="809">
        <v>79</v>
      </c>
      <c r="G1213" s="202" t="str">
        <f t="shared" si="18"/>
        <v/>
      </c>
    </row>
    <row r="1214" spans="1:7" s="172" customFormat="1" ht="15" customHeight="1" x14ac:dyDescent="0.25">
      <c r="A1214" s="809" t="s">
        <v>8494</v>
      </c>
      <c r="B1214" s="806" t="s">
        <v>14430</v>
      </c>
      <c r="C1214" s="806" t="s">
        <v>14430</v>
      </c>
      <c r="D1214" s="809" t="s">
        <v>14678</v>
      </c>
      <c r="E1214" s="809">
        <v>100</v>
      </c>
      <c r="F1214" s="809">
        <v>68</v>
      </c>
      <c r="G1214" s="202" t="str">
        <f t="shared" si="18"/>
        <v/>
      </c>
    </row>
    <row r="1215" spans="1:7" s="172" customFormat="1" ht="15" customHeight="1" x14ac:dyDescent="0.25">
      <c r="A1215" s="809" t="s">
        <v>6158</v>
      </c>
      <c r="B1215" s="806" t="s">
        <v>14430</v>
      </c>
      <c r="C1215" s="806" t="s">
        <v>14430</v>
      </c>
      <c r="D1215" s="809" t="s">
        <v>14679</v>
      </c>
      <c r="E1215" s="809">
        <v>160</v>
      </c>
      <c r="F1215" s="809">
        <v>93</v>
      </c>
      <c r="G1215" s="202" t="str">
        <f t="shared" si="18"/>
        <v/>
      </c>
    </row>
    <row r="1216" spans="1:7" s="172" customFormat="1" ht="15" customHeight="1" x14ac:dyDescent="0.25">
      <c r="A1216" s="809" t="s">
        <v>14680</v>
      </c>
      <c r="B1216" s="806" t="s">
        <v>14430</v>
      </c>
      <c r="C1216" s="806" t="s">
        <v>14430</v>
      </c>
      <c r="D1216" s="809" t="s">
        <v>14681</v>
      </c>
      <c r="E1216" s="809">
        <v>160</v>
      </c>
      <c r="F1216" s="809">
        <v>127</v>
      </c>
      <c r="G1216" s="202" t="str">
        <f t="shared" si="18"/>
        <v/>
      </c>
    </row>
    <row r="1217" spans="1:7" s="172" customFormat="1" ht="15" customHeight="1" x14ac:dyDescent="0.25">
      <c r="A1217" s="809" t="s">
        <v>14682</v>
      </c>
      <c r="B1217" s="806" t="s">
        <v>14430</v>
      </c>
      <c r="C1217" s="806" t="s">
        <v>14430</v>
      </c>
      <c r="D1217" s="809" t="s">
        <v>14683</v>
      </c>
      <c r="E1217" s="809">
        <v>30</v>
      </c>
      <c r="F1217" s="809">
        <v>19</v>
      </c>
      <c r="G1217" s="202" t="str">
        <f t="shared" si="18"/>
        <v/>
      </c>
    </row>
    <row r="1218" spans="1:7" s="172" customFormat="1" ht="15" customHeight="1" x14ac:dyDescent="0.25">
      <c r="A1218" s="809" t="s">
        <v>14684</v>
      </c>
      <c r="B1218" s="806" t="s">
        <v>14430</v>
      </c>
      <c r="C1218" s="806" t="s">
        <v>14430</v>
      </c>
      <c r="D1218" s="809" t="s">
        <v>14685</v>
      </c>
      <c r="E1218" s="809">
        <v>30</v>
      </c>
      <c r="F1218" s="809">
        <v>26</v>
      </c>
      <c r="G1218" s="202" t="str">
        <f t="shared" si="18"/>
        <v/>
      </c>
    </row>
    <row r="1219" spans="1:7" s="172" customFormat="1" ht="15" customHeight="1" x14ac:dyDescent="0.25">
      <c r="A1219" s="809" t="s">
        <v>12241</v>
      </c>
      <c r="B1219" s="806" t="s">
        <v>14430</v>
      </c>
      <c r="C1219" s="806" t="s">
        <v>14430</v>
      </c>
      <c r="D1219" s="809" t="s">
        <v>14686</v>
      </c>
      <c r="E1219" s="809">
        <v>63</v>
      </c>
      <c r="F1219" s="809">
        <v>37</v>
      </c>
      <c r="G1219" s="202" t="str">
        <f t="shared" si="18"/>
        <v/>
      </c>
    </row>
    <row r="1220" spans="1:7" s="172" customFormat="1" ht="15" customHeight="1" x14ac:dyDescent="0.25">
      <c r="A1220" s="809" t="s">
        <v>4819</v>
      </c>
      <c r="B1220" s="806" t="s">
        <v>14430</v>
      </c>
      <c r="C1220" s="806" t="s">
        <v>14430</v>
      </c>
      <c r="D1220" s="809" t="s">
        <v>14687</v>
      </c>
      <c r="E1220" s="809">
        <v>63</v>
      </c>
      <c r="F1220" s="809">
        <v>31</v>
      </c>
      <c r="G1220" s="202" t="str">
        <f t="shared" ref="G1220:G1283" si="19">IF(E1220=F1220,"не загружен","")</f>
        <v/>
      </c>
    </row>
    <row r="1221" spans="1:7" s="172" customFormat="1" ht="15" customHeight="1" x14ac:dyDescent="0.25">
      <c r="A1221" s="809" t="s">
        <v>5637</v>
      </c>
      <c r="B1221" s="806" t="s">
        <v>14430</v>
      </c>
      <c r="C1221" s="806" t="s">
        <v>14430</v>
      </c>
      <c r="D1221" s="809" t="s">
        <v>14688</v>
      </c>
      <c r="E1221" s="809">
        <v>100</v>
      </c>
      <c r="F1221" s="809">
        <v>28</v>
      </c>
      <c r="G1221" s="202" t="str">
        <f t="shared" si="19"/>
        <v/>
      </c>
    </row>
    <row r="1222" spans="1:7" s="172" customFormat="1" ht="15" customHeight="1" x14ac:dyDescent="0.25">
      <c r="A1222" s="809" t="s">
        <v>5637</v>
      </c>
      <c r="B1222" s="806" t="s">
        <v>14430</v>
      </c>
      <c r="C1222" s="806" t="s">
        <v>14430</v>
      </c>
      <c r="D1222" s="809" t="s">
        <v>14689</v>
      </c>
      <c r="E1222" s="809">
        <v>250</v>
      </c>
      <c r="F1222" s="809">
        <v>131</v>
      </c>
      <c r="G1222" s="202" t="str">
        <f t="shared" si="19"/>
        <v/>
      </c>
    </row>
    <row r="1223" spans="1:7" s="172" customFormat="1" ht="15" customHeight="1" x14ac:dyDescent="0.25">
      <c r="A1223" s="809" t="s">
        <v>5637</v>
      </c>
      <c r="B1223" s="806" t="s">
        <v>14430</v>
      </c>
      <c r="C1223" s="806" t="s">
        <v>14430</v>
      </c>
      <c r="D1223" s="809" t="s">
        <v>14690</v>
      </c>
      <c r="E1223" s="809">
        <v>400</v>
      </c>
      <c r="F1223" s="809">
        <v>380</v>
      </c>
      <c r="G1223" s="202" t="str">
        <f t="shared" si="19"/>
        <v/>
      </c>
    </row>
    <row r="1224" spans="1:7" s="172" customFormat="1" ht="15" customHeight="1" x14ac:dyDescent="0.25">
      <c r="A1224" s="809" t="s">
        <v>5637</v>
      </c>
      <c r="B1224" s="806" t="s">
        <v>14430</v>
      </c>
      <c r="C1224" s="806" t="s">
        <v>14430</v>
      </c>
      <c r="D1224" s="809" t="s">
        <v>14691</v>
      </c>
      <c r="E1224" s="809">
        <v>160</v>
      </c>
      <c r="F1224" s="809">
        <v>82</v>
      </c>
      <c r="G1224" s="202" t="str">
        <f t="shared" si="19"/>
        <v/>
      </c>
    </row>
    <row r="1225" spans="1:7" s="172" customFormat="1" ht="15" customHeight="1" x14ac:dyDescent="0.25">
      <c r="A1225" s="809" t="s">
        <v>5637</v>
      </c>
      <c r="B1225" s="806" t="s">
        <v>14430</v>
      </c>
      <c r="C1225" s="806" t="s">
        <v>14430</v>
      </c>
      <c r="D1225" s="809" t="s">
        <v>14692</v>
      </c>
      <c r="E1225" s="809">
        <v>160</v>
      </c>
      <c r="F1225" s="809">
        <v>94</v>
      </c>
      <c r="G1225" s="202" t="str">
        <f t="shared" si="19"/>
        <v/>
      </c>
    </row>
    <row r="1226" spans="1:7" s="172" customFormat="1" ht="15" customHeight="1" x14ac:dyDescent="0.25">
      <c r="A1226" s="809" t="s">
        <v>14693</v>
      </c>
      <c r="B1226" s="806" t="s">
        <v>14430</v>
      </c>
      <c r="C1226" s="806" t="s">
        <v>14430</v>
      </c>
      <c r="D1226" s="809" t="s">
        <v>14694</v>
      </c>
      <c r="E1226" s="809">
        <v>25</v>
      </c>
      <c r="F1226" s="809">
        <v>13</v>
      </c>
      <c r="G1226" s="202" t="str">
        <f t="shared" si="19"/>
        <v/>
      </c>
    </row>
    <row r="1227" spans="1:7" s="172" customFormat="1" ht="15" customHeight="1" x14ac:dyDescent="0.25">
      <c r="A1227" s="809" t="s">
        <v>14695</v>
      </c>
      <c r="B1227" s="806" t="s">
        <v>14430</v>
      </c>
      <c r="C1227" s="806" t="s">
        <v>14430</v>
      </c>
      <c r="D1227" s="809" t="s">
        <v>14696</v>
      </c>
      <c r="E1227" s="809">
        <v>30</v>
      </c>
      <c r="F1227" s="809">
        <v>14</v>
      </c>
      <c r="G1227" s="202" t="str">
        <f t="shared" si="19"/>
        <v/>
      </c>
    </row>
    <row r="1228" spans="1:7" s="172" customFormat="1" ht="15" customHeight="1" x14ac:dyDescent="0.25">
      <c r="A1228" s="809" t="s">
        <v>14697</v>
      </c>
      <c r="B1228" s="806" t="s">
        <v>14430</v>
      </c>
      <c r="C1228" s="806" t="s">
        <v>14430</v>
      </c>
      <c r="D1228" s="809" t="s">
        <v>14698</v>
      </c>
      <c r="E1228" s="809">
        <v>30</v>
      </c>
      <c r="F1228" s="809">
        <v>21</v>
      </c>
      <c r="G1228" s="202" t="str">
        <f t="shared" si="19"/>
        <v/>
      </c>
    </row>
    <row r="1229" spans="1:7" s="172" customFormat="1" ht="15" customHeight="1" x14ac:dyDescent="0.25">
      <c r="A1229" s="809" t="s">
        <v>3446</v>
      </c>
      <c r="B1229" s="806" t="s">
        <v>14430</v>
      </c>
      <c r="C1229" s="806" t="s">
        <v>14430</v>
      </c>
      <c r="D1229" s="809" t="s">
        <v>14699</v>
      </c>
      <c r="E1229" s="809">
        <v>25</v>
      </c>
      <c r="F1229" s="809">
        <v>11</v>
      </c>
      <c r="G1229" s="202" t="str">
        <f t="shared" si="19"/>
        <v/>
      </c>
    </row>
    <row r="1230" spans="1:7" s="172" customFormat="1" ht="15" customHeight="1" x14ac:dyDescent="0.25">
      <c r="A1230" s="809" t="s">
        <v>14700</v>
      </c>
      <c r="B1230" s="806" t="s">
        <v>14430</v>
      </c>
      <c r="C1230" s="806" t="s">
        <v>14430</v>
      </c>
      <c r="D1230" s="809" t="s">
        <v>14701</v>
      </c>
      <c r="E1230" s="809">
        <v>30</v>
      </c>
      <c r="F1230" s="809">
        <v>13</v>
      </c>
      <c r="G1230" s="202" t="str">
        <f t="shared" si="19"/>
        <v/>
      </c>
    </row>
    <row r="1231" spans="1:7" s="172" customFormat="1" ht="15" customHeight="1" x14ac:dyDescent="0.25">
      <c r="A1231" s="809" t="s">
        <v>17694</v>
      </c>
      <c r="B1231" s="806" t="s">
        <v>14430</v>
      </c>
      <c r="C1231" s="806" t="s">
        <v>14430</v>
      </c>
      <c r="D1231" s="809" t="s">
        <v>17730</v>
      </c>
      <c r="E1231" s="809">
        <v>250</v>
      </c>
      <c r="F1231" s="809">
        <v>233</v>
      </c>
      <c r="G1231" s="202" t="str">
        <f t="shared" si="19"/>
        <v/>
      </c>
    </row>
    <row r="1232" spans="1:7" s="172" customFormat="1" ht="15" customHeight="1" x14ac:dyDescent="0.25">
      <c r="A1232" s="809" t="s">
        <v>13057</v>
      </c>
      <c r="B1232" s="806" t="s">
        <v>14430</v>
      </c>
      <c r="C1232" s="806" t="s">
        <v>14430</v>
      </c>
      <c r="D1232" s="809" t="s">
        <v>17731</v>
      </c>
      <c r="E1232" s="809">
        <v>100</v>
      </c>
      <c r="F1232" s="809">
        <v>40</v>
      </c>
      <c r="G1232" s="202" t="str">
        <f t="shared" si="19"/>
        <v/>
      </c>
    </row>
    <row r="1233" spans="1:7" s="172" customFormat="1" ht="15" customHeight="1" x14ac:dyDescent="0.25">
      <c r="A1233" s="809" t="s">
        <v>17695</v>
      </c>
      <c r="B1233" s="806" t="s">
        <v>14430</v>
      </c>
      <c r="C1233" s="806" t="s">
        <v>14430</v>
      </c>
      <c r="D1233" s="809" t="s">
        <v>17732</v>
      </c>
      <c r="E1233" s="809">
        <v>400</v>
      </c>
      <c r="F1233" s="809">
        <v>328</v>
      </c>
      <c r="G1233" s="202" t="str">
        <f t="shared" si="19"/>
        <v/>
      </c>
    </row>
    <row r="1234" spans="1:7" s="172" customFormat="1" ht="15" customHeight="1" x14ac:dyDescent="0.25">
      <c r="A1234" s="809" t="s">
        <v>17695</v>
      </c>
      <c r="B1234" s="806" t="s">
        <v>14430</v>
      </c>
      <c r="C1234" s="806" t="s">
        <v>14430</v>
      </c>
      <c r="D1234" s="809" t="s">
        <v>17733</v>
      </c>
      <c r="E1234" s="809">
        <v>100</v>
      </c>
      <c r="F1234" s="809">
        <v>30</v>
      </c>
      <c r="G1234" s="202" t="str">
        <f t="shared" si="19"/>
        <v/>
      </c>
    </row>
    <row r="1235" spans="1:7" s="172" customFormat="1" ht="15" customHeight="1" x14ac:dyDescent="0.25">
      <c r="A1235" s="809" t="s">
        <v>17695</v>
      </c>
      <c r="B1235" s="806" t="s">
        <v>14430</v>
      </c>
      <c r="C1235" s="806" t="s">
        <v>14430</v>
      </c>
      <c r="D1235" s="809" t="s">
        <v>17734</v>
      </c>
      <c r="E1235" s="809">
        <v>100</v>
      </c>
      <c r="F1235" s="809">
        <v>28</v>
      </c>
      <c r="G1235" s="202" t="str">
        <f t="shared" si="19"/>
        <v/>
      </c>
    </row>
    <row r="1236" spans="1:7" s="172" customFormat="1" ht="15" customHeight="1" x14ac:dyDescent="0.25">
      <c r="A1236" s="809" t="s">
        <v>14616</v>
      </c>
      <c r="B1236" s="806" t="s">
        <v>14430</v>
      </c>
      <c r="C1236" s="806" t="s">
        <v>14430</v>
      </c>
      <c r="D1236" s="809" t="s">
        <v>17735</v>
      </c>
      <c r="E1236" s="812">
        <v>10</v>
      </c>
      <c r="F1236" s="812">
        <v>2</v>
      </c>
      <c r="G1236" s="202" t="str">
        <f t="shared" si="19"/>
        <v/>
      </c>
    </row>
    <row r="1237" spans="1:7" s="172" customFormat="1" ht="15" customHeight="1" x14ac:dyDescent="0.25">
      <c r="A1237" s="809" t="s">
        <v>17696</v>
      </c>
      <c r="B1237" s="806" t="s">
        <v>14430</v>
      </c>
      <c r="C1237" s="806" t="s">
        <v>14430</v>
      </c>
      <c r="D1237" s="809" t="s">
        <v>17736</v>
      </c>
      <c r="E1237" s="809">
        <v>250</v>
      </c>
      <c r="F1237" s="809">
        <v>186</v>
      </c>
      <c r="G1237" s="202" t="str">
        <f t="shared" si="19"/>
        <v/>
      </c>
    </row>
    <row r="1238" spans="1:7" s="172" customFormat="1" ht="15" customHeight="1" x14ac:dyDescent="0.25">
      <c r="A1238" s="809" t="s">
        <v>17696</v>
      </c>
      <c r="B1238" s="806" t="s">
        <v>14430</v>
      </c>
      <c r="C1238" s="806" t="s">
        <v>14430</v>
      </c>
      <c r="D1238" s="809" t="s">
        <v>17737</v>
      </c>
      <c r="E1238" s="809">
        <v>60</v>
      </c>
      <c r="F1238" s="809">
        <v>21</v>
      </c>
      <c r="G1238" s="202" t="str">
        <f t="shared" si="19"/>
        <v/>
      </c>
    </row>
    <row r="1239" spans="1:7" s="172" customFormat="1" ht="15" customHeight="1" x14ac:dyDescent="0.25">
      <c r="A1239" s="809" t="s">
        <v>6576</v>
      </c>
      <c r="B1239" s="806" t="s">
        <v>14430</v>
      </c>
      <c r="C1239" s="806" t="s">
        <v>14430</v>
      </c>
      <c r="D1239" s="809" t="s">
        <v>17738</v>
      </c>
      <c r="E1239" s="809">
        <v>30</v>
      </c>
      <c r="F1239" s="809">
        <v>15</v>
      </c>
      <c r="G1239" s="202" t="str">
        <f t="shared" si="19"/>
        <v/>
      </c>
    </row>
    <row r="1240" spans="1:7" s="172" customFormat="1" ht="15" customHeight="1" x14ac:dyDescent="0.25">
      <c r="A1240" s="809" t="s">
        <v>17697</v>
      </c>
      <c r="B1240" s="806" t="s">
        <v>14430</v>
      </c>
      <c r="C1240" s="806" t="s">
        <v>14430</v>
      </c>
      <c r="D1240" s="809" t="s">
        <v>17739</v>
      </c>
      <c r="E1240" s="809">
        <v>30</v>
      </c>
      <c r="F1240" s="809">
        <v>18</v>
      </c>
      <c r="G1240" s="202" t="str">
        <f t="shared" si="19"/>
        <v/>
      </c>
    </row>
    <row r="1241" spans="1:7" s="172" customFormat="1" ht="15" customHeight="1" x14ac:dyDescent="0.25">
      <c r="A1241" s="809" t="s">
        <v>3135</v>
      </c>
      <c r="B1241" s="806" t="s">
        <v>14430</v>
      </c>
      <c r="C1241" s="806" t="s">
        <v>14430</v>
      </c>
      <c r="D1241" s="809" t="s">
        <v>17740</v>
      </c>
      <c r="E1241" s="809">
        <v>100</v>
      </c>
      <c r="F1241" s="809">
        <v>47</v>
      </c>
      <c r="G1241" s="202" t="str">
        <f t="shared" si="19"/>
        <v/>
      </c>
    </row>
    <row r="1242" spans="1:7" s="172" customFormat="1" ht="15" customHeight="1" x14ac:dyDescent="0.25">
      <c r="A1242" s="809" t="s">
        <v>3023</v>
      </c>
      <c r="B1242" s="806" t="s">
        <v>14430</v>
      </c>
      <c r="C1242" s="806" t="s">
        <v>14430</v>
      </c>
      <c r="D1242" s="809" t="s">
        <v>17741</v>
      </c>
      <c r="E1242" s="809">
        <v>60</v>
      </c>
      <c r="F1242" s="809">
        <v>42</v>
      </c>
      <c r="G1242" s="202" t="str">
        <f t="shared" si="19"/>
        <v/>
      </c>
    </row>
    <row r="1243" spans="1:7" s="172" customFormat="1" ht="15" customHeight="1" x14ac:dyDescent="0.25">
      <c r="A1243" s="809" t="s">
        <v>3981</v>
      </c>
      <c r="B1243" s="806" t="s">
        <v>14430</v>
      </c>
      <c r="C1243" s="806" t="s">
        <v>14430</v>
      </c>
      <c r="D1243" s="809" t="s">
        <v>17742</v>
      </c>
      <c r="E1243" s="809">
        <v>160</v>
      </c>
      <c r="F1243" s="809">
        <v>102</v>
      </c>
      <c r="G1243" s="202" t="str">
        <f t="shared" si="19"/>
        <v/>
      </c>
    </row>
    <row r="1244" spans="1:7" s="172" customFormat="1" ht="15" customHeight="1" x14ac:dyDescent="0.25">
      <c r="A1244" s="809" t="s">
        <v>9839</v>
      </c>
      <c r="B1244" s="806" t="s">
        <v>14430</v>
      </c>
      <c r="C1244" s="806" t="s">
        <v>14430</v>
      </c>
      <c r="D1244" s="809" t="s">
        <v>17743</v>
      </c>
      <c r="E1244" s="809">
        <v>100</v>
      </c>
      <c r="F1244" s="809">
        <v>25</v>
      </c>
      <c r="G1244" s="202" t="str">
        <f t="shared" si="19"/>
        <v/>
      </c>
    </row>
    <row r="1245" spans="1:7" s="172" customFormat="1" ht="15" customHeight="1" x14ac:dyDescent="0.25">
      <c r="A1245" s="809" t="s">
        <v>9839</v>
      </c>
      <c r="B1245" s="806" t="s">
        <v>14430</v>
      </c>
      <c r="C1245" s="806" t="s">
        <v>14430</v>
      </c>
      <c r="D1245" s="809" t="s">
        <v>17744</v>
      </c>
      <c r="E1245" s="809">
        <v>400</v>
      </c>
      <c r="F1245" s="809">
        <v>237</v>
      </c>
      <c r="G1245" s="202" t="str">
        <f t="shared" si="19"/>
        <v/>
      </c>
    </row>
    <row r="1246" spans="1:7" s="172" customFormat="1" ht="15" customHeight="1" x14ac:dyDescent="0.25">
      <c r="A1246" s="809" t="s">
        <v>17698</v>
      </c>
      <c r="B1246" s="806" t="s">
        <v>14430</v>
      </c>
      <c r="C1246" s="806" t="s">
        <v>14430</v>
      </c>
      <c r="D1246" s="809" t="s">
        <v>17745</v>
      </c>
      <c r="E1246" s="809">
        <v>60</v>
      </c>
      <c r="F1246" s="809">
        <v>36</v>
      </c>
      <c r="G1246" s="202" t="str">
        <f t="shared" si="19"/>
        <v/>
      </c>
    </row>
    <row r="1247" spans="1:7" s="172" customFormat="1" ht="15" customHeight="1" x14ac:dyDescent="0.25">
      <c r="A1247" s="809" t="s">
        <v>3486</v>
      </c>
      <c r="B1247" s="806" t="s">
        <v>14430</v>
      </c>
      <c r="C1247" s="806" t="s">
        <v>14430</v>
      </c>
      <c r="D1247" s="809" t="s">
        <v>17746</v>
      </c>
      <c r="E1247" s="809">
        <v>30</v>
      </c>
      <c r="F1247" s="809">
        <v>21</v>
      </c>
      <c r="G1247" s="202" t="str">
        <f t="shared" si="19"/>
        <v/>
      </c>
    </row>
    <row r="1248" spans="1:7" s="172" customFormat="1" ht="15" customHeight="1" x14ac:dyDescent="0.25">
      <c r="A1248" s="809" t="s">
        <v>2739</v>
      </c>
      <c r="B1248" s="806" t="s">
        <v>14430</v>
      </c>
      <c r="C1248" s="806" t="s">
        <v>14430</v>
      </c>
      <c r="D1248" s="809" t="s">
        <v>17747</v>
      </c>
      <c r="E1248" s="809">
        <v>20</v>
      </c>
      <c r="F1248" s="809">
        <v>10</v>
      </c>
      <c r="G1248" s="202" t="str">
        <f t="shared" si="19"/>
        <v/>
      </c>
    </row>
    <row r="1249" spans="1:7" s="172" customFormat="1" ht="15" customHeight="1" x14ac:dyDescent="0.25">
      <c r="A1249" s="809" t="s">
        <v>17699</v>
      </c>
      <c r="B1249" s="806" t="s">
        <v>14430</v>
      </c>
      <c r="C1249" s="806" t="s">
        <v>14430</v>
      </c>
      <c r="D1249" s="809" t="s">
        <v>17748</v>
      </c>
      <c r="E1249" s="809">
        <v>20</v>
      </c>
      <c r="F1249" s="809">
        <v>12</v>
      </c>
      <c r="G1249" s="202" t="str">
        <f t="shared" si="19"/>
        <v/>
      </c>
    </row>
    <row r="1250" spans="1:7" s="172" customFormat="1" ht="15" customHeight="1" x14ac:dyDescent="0.25">
      <c r="A1250" s="809" t="s">
        <v>17700</v>
      </c>
      <c r="B1250" s="806" t="s">
        <v>14430</v>
      </c>
      <c r="C1250" s="806" t="s">
        <v>14430</v>
      </c>
      <c r="D1250" s="809" t="s">
        <v>17749</v>
      </c>
      <c r="E1250" s="809">
        <v>40</v>
      </c>
      <c r="F1250" s="809">
        <v>24</v>
      </c>
      <c r="G1250" s="202" t="str">
        <f t="shared" si="19"/>
        <v/>
      </c>
    </row>
    <row r="1251" spans="1:7" s="172" customFormat="1" ht="15" customHeight="1" x14ac:dyDescent="0.25">
      <c r="A1251" s="809" t="s">
        <v>17701</v>
      </c>
      <c r="B1251" s="806" t="s">
        <v>14430</v>
      </c>
      <c r="C1251" s="806" t="s">
        <v>14430</v>
      </c>
      <c r="D1251" s="809" t="s">
        <v>17750</v>
      </c>
      <c r="E1251" s="809">
        <v>20</v>
      </c>
      <c r="F1251" s="809">
        <v>14</v>
      </c>
      <c r="G1251" s="202" t="str">
        <f t="shared" si="19"/>
        <v/>
      </c>
    </row>
    <row r="1252" spans="1:7" s="172" customFormat="1" ht="15" customHeight="1" x14ac:dyDescent="0.25">
      <c r="A1252" s="809" t="s">
        <v>17702</v>
      </c>
      <c r="B1252" s="806" t="s">
        <v>14430</v>
      </c>
      <c r="C1252" s="806" t="s">
        <v>14430</v>
      </c>
      <c r="D1252" s="809" t="s">
        <v>17751</v>
      </c>
      <c r="E1252" s="809">
        <v>10</v>
      </c>
      <c r="F1252" s="809">
        <v>3</v>
      </c>
      <c r="G1252" s="202" t="str">
        <f t="shared" si="19"/>
        <v/>
      </c>
    </row>
    <row r="1253" spans="1:7" s="172" customFormat="1" ht="15" customHeight="1" x14ac:dyDescent="0.25">
      <c r="A1253" s="809" t="s">
        <v>17703</v>
      </c>
      <c r="B1253" s="806" t="s">
        <v>14430</v>
      </c>
      <c r="C1253" s="806" t="s">
        <v>14430</v>
      </c>
      <c r="D1253" s="809" t="s">
        <v>17752</v>
      </c>
      <c r="E1253" s="809">
        <v>30</v>
      </c>
      <c r="F1253" s="809">
        <v>17</v>
      </c>
      <c r="G1253" s="202" t="str">
        <f t="shared" si="19"/>
        <v/>
      </c>
    </row>
    <row r="1254" spans="1:7" s="172" customFormat="1" ht="15" customHeight="1" x14ac:dyDescent="0.25">
      <c r="A1254" s="809" t="s">
        <v>17704</v>
      </c>
      <c r="B1254" s="806" t="s">
        <v>14430</v>
      </c>
      <c r="C1254" s="806" t="s">
        <v>14430</v>
      </c>
      <c r="D1254" s="809" t="s">
        <v>17753</v>
      </c>
      <c r="E1254" s="809">
        <v>30</v>
      </c>
      <c r="F1254" s="809">
        <v>12</v>
      </c>
      <c r="G1254" s="202" t="str">
        <f t="shared" si="19"/>
        <v/>
      </c>
    </row>
    <row r="1255" spans="1:7" s="172" customFormat="1" ht="15" customHeight="1" x14ac:dyDescent="0.25">
      <c r="A1255" s="809" t="s">
        <v>17705</v>
      </c>
      <c r="B1255" s="806" t="s">
        <v>14430</v>
      </c>
      <c r="C1255" s="806" t="s">
        <v>14430</v>
      </c>
      <c r="D1255" s="809" t="s">
        <v>17754</v>
      </c>
      <c r="E1255" s="809">
        <v>30</v>
      </c>
      <c r="F1255" s="809">
        <v>15</v>
      </c>
      <c r="G1255" s="202" t="str">
        <f t="shared" si="19"/>
        <v/>
      </c>
    </row>
    <row r="1256" spans="1:7" s="172" customFormat="1" ht="15" customHeight="1" x14ac:dyDescent="0.25">
      <c r="A1256" s="809" t="s">
        <v>6374</v>
      </c>
      <c r="B1256" s="806" t="s">
        <v>14430</v>
      </c>
      <c r="C1256" s="806" t="s">
        <v>14430</v>
      </c>
      <c r="D1256" s="809" t="s">
        <v>17755</v>
      </c>
      <c r="E1256" s="809">
        <v>30</v>
      </c>
      <c r="F1256" s="809">
        <v>20</v>
      </c>
      <c r="G1256" s="202" t="str">
        <f t="shared" si="19"/>
        <v/>
      </c>
    </row>
    <row r="1257" spans="1:7" s="172" customFormat="1" ht="15" customHeight="1" x14ac:dyDescent="0.25">
      <c r="A1257" s="809" t="s">
        <v>12951</v>
      </c>
      <c r="B1257" s="806" t="s">
        <v>14430</v>
      </c>
      <c r="C1257" s="806" t="s">
        <v>14430</v>
      </c>
      <c r="D1257" s="809" t="s">
        <v>17756</v>
      </c>
      <c r="E1257" s="809">
        <v>40</v>
      </c>
      <c r="F1257" s="809">
        <v>14</v>
      </c>
      <c r="G1257" s="202" t="str">
        <f t="shared" si="19"/>
        <v/>
      </c>
    </row>
    <row r="1258" spans="1:7" s="172" customFormat="1" ht="15" customHeight="1" x14ac:dyDescent="0.25">
      <c r="A1258" s="809" t="s">
        <v>6796</v>
      </c>
      <c r="B1258" s="806" t="s">
        <v>14430</v>
      </c>
      <c r="C1258" s="806" t="s">
        <v>14430</v>
      </c>
      <c r="D1258" s="809" t="s">
        <v>17757</v>
      </c>
      <c r="E1258" s="809">
        <v>20</v>
      </c>
      <c r="F1258" s="809">
        <v>10</v>
      </c>
      <c r="G1258" s="202" t="str">
        <f t="shared" si="19"/>
        <v/>
      </c>
    </row>
    <row r="1259" spans="1:7" s="172" customFormat="1" ht="15" customHeight="1" x14ac:dyDescent="0.25">
      <c r="A1259" s="809" t="s">
        <v>12529</v>
      </c>
      <c r="B1259" s="806" t="s">
        <v>14430</v>
      </c>
      <c r="C1259" s="806" t="s">
        <v>14430</v>
      </c>
      <c r="D1259" s="809" t="s">
        <v>17758</v>
      </c>
      <c r="E1259" s="809">
        <v>63</v>
      </c>
      <c r="F1259" s="809">
        <v>36</v>
      </c>
      <c r="G1259" s="202" t="str">
        <f t="shared" si="19"/>
        <v/>
      </c>
    </row>
    <row r="1260" spans="1:7" s="172" customFormat="1" ht="15" customHeight="1" x14ac:dyDescent="0.25">
      <c r="A1260" s="809" t="s">
        <v>17706</v>
      </c>
      <c r="B1260" s="806" t="s">
        <v>14430</v>
      </c>
      <c r="C1260" s="806" t="s">
        <v>14430</v>
      </c>
      <c r="D1260" s="809" t="s">
        <v>17759</v>
      </c>
      <c r="E1260" s="809">
        <v>10</v>
      </c>
      <c r="F1260" s="809">
        <v>3</v>
      </c>
      <c r="G1260" s="202" t="str">
        <f t="shared" si="19"/>
        <v/>
      </c>
    </row>
    <row r="1261" spans="1:7" s="172" customFormat="1" ht="15" customHeight="1" x14ac:dyDescent="0.25">
      <c r="A1261" s="809" t="s">
        <v>17707</v>
      </c>
      <c r="B1261" s="806" t="s">
        <v>14430</v>
      </c>
      <c r="C1261" s="806" t="s">
        <v>14430</v>
      </c>
      <c r="D1261" s="809" t="s">
        <v>17760</v>
      </c>
      <c r="E1261" s="809">
        <v>400</v>
      </c>
      <c r="F1261" s="809">
        <v>340</v>
      </c>
      <c r="G1261" s="202" t="str">
        <f t="shared" si="19"/>
        <v/>
      </c>
    </row>
    <row r="1262" spans="1:7" s="172" customFormat="1" ht="15" customHeight="1" x14ac:dyDescent="0.25">
      <c r="A1262" s="809" t="s">
        <v>17708</v>
      </c>
      <c r="B1262" s="806" t="s">
        <v>14430</v>
      </c>
      <c r="C1262" s="806" t="s">
        <v>14430</v>
      </c>
      <c r="D1262" s="809" t="s">
        <v>17761</v>
      </c>
      <c r="E1262" s="809">
        <v>40</v>
      </c>
      <c r="F1262" s="809">
        <v>23</v>
      </c>
      <c r="G1262" s="202" t="str">
        <f t="shared" si="19"/>
        <v/>
      </c>
    </row>
    <row r="1263" spans="1:7" s="172" customFormat="1" ht="15" customHeight="1" x14ac:dyDescent="0.25">
      <c r="A1263" s="809" t="s">
        <v>17709</v>
      </c>
      <c r="B1263" s="806" t="s">
        <v>14430</v>
      </c>
      <c r="C1263" s="806" t="s">
        <v>14430</v>
      </c>
      <c r="D1263" s="809" t="s">
        <v>17762</v>
      </c>
      <c r="E1263" s="809">
        <v>250</v>
      </c>
      <c r="F1263" s="809">
        <v>196</v>
      </c>
      <c r="G1263" s="202" t="str">
        <f t="shared" si="19"/>
        <v/>
      </c>
    </row>
    <row r="1264" spans="1:7" s="172" customFormat="1" ht="15" customHeight="1" x14ac:dyDescent="0.25">
      <c r="A1264" s="809" t="s">
        <v>17710</v>
      </c>
      <c r="B1264" s="806" t="s">
        <v>14430</v>
      </c>
      <c r="C1264" s="806" t="s">
        <v>14430</v>
      </c>
      <c r="D1264" s="809" t="s">
        <v>17763</v>
      </c>
      <c r="E1264" s="809">
        <v>40</v>
      </c>
      <c r="F1264" s="809">
        <v>21</v>
      </c>
      <c r="G1264" s="202" t="str">
        <f t="shared" si="19"/>
        <v/>
      </c>
    </row>
    <row r="1265" spans="1:7" s="172" customFormat="1" ht="15" customHeight="1" x14ac:dyDescent="0.25">
      <c r="A1265" s="809" t="s">
        <v>17711</v>
      </c>
      <c r="B1265" s="806" t="s">
        <v>14430</v>
      </c>
      <c r="C1265" s="806" t="s">
        <v>14430</v>
      </c>
      <c r="D1265" s="809" t="s">
        <v>17764</v>
      </c>
      <c r="E1265" s="809">
        <v>40</v>
      </c>
      <c r="F1265" s="809">
        <v>26</v>
      </c>
      <c r="G1265" s="202" t="str">
        <f t="shared" si="19"/>
        <v/>
      </c>
    </row>
    <row r="1266" spans="1:7" s="172" customFormat="1" ht="15" customHeight="1" x14ac:dyDescent="0.25">
      <c r="A1266" s="809" t="s">
        <v>17707</v>
      </c>
      <c r="B1266" s="806" t="s">
        <v>14430</v>
      </c>
      <c r="C1266" s="806" t="s">
        <v>14430</v>
      </c>
      <c r="D1266" s="809" t="s">
        <v>17765</v>
      </c>
      <c r="E1266" s="809">
        <v>400</v>
      </c>
      <c r="F1266" s="809">
        <v>302</v>
      </c>
      <c r="G1266" s="202" t="str">
        <f t="shared" si="19"/>
        <v/>
      </c>
    </row>
    <row r="1267" spans="1:7" s="172" customFormat="1" ht="15" customHeight="1" x14ac:dyDescent="0.25">
      <c r="A1267" s="809" t="s">
        <v>17707</v>
      </c>
      <c r="B1267" s="806" t="s">
        <v>14430</v>
      </c>
      <c r="C1267" s="806" t="s">
        <v>14430</v>
      </c>
      <c r="D1267" s="809" t="s">
        <v>17766</v>
      </c>
      <c r="E1267" s="809">
        <v>400</v>
      </c>
      <c r="F1267" s="809">
        <v>286</v>
      </c>
      <c r="G1267" s="202" t="str">
        <f t="shared" si="19"/>
        <v/>
      </c>
    </row>
    <row r="1268" spans="1:7" s="172" customFormat="1" ht="15" customHeight="1" x14ac:dyDescent="0.25">
      <c r="A1268" s="809" t="s">
        <v>6317</v>
      </c>
      <c r="B1268" s="806" t="s">
        <v>14430</v>
      </c>
      <c r="C1268" s="806" t="s">
        <v>14430</v>
      </c>
      <c r="D1268" s="809" t="s">
        <v>17767</v>
      </c>
      <c r="E1268" s="809">
        <v>40</v>
      </c>
      <c r="F1268" s="809">
        <v>18</v>
      </c>
      <c r="G1268" s="202" t="str">
        <f t="shared" si="19"/>
        <v/>
      </c>
    </row>
    <row r="1269" spans="1:7" s="172" customFormat="1" ht="15" customHeight="1" x14ac:dyDescent="0.25">
      <c r="A1269" s="809" t="s">
        <v>12679</v>
      </c>
      <c r="B1269" s="806" t="s">
        <v>14430</v>
      </c>
      <c r="C1269" s="806" t="s">
        <v>14430</v>
      </c>
      <c r="D1269" s="809" t="s">
        <v>17768</v>
      </c>
      <c r="E1269" s="809">
        <v>63</v>
      </c>
      <c r="F1269" s="809">
        <v>18</v>
      </c>
      <c r="G1269" s="202" t="str">
        <f t="shared" si="19"/>
        <v/>
      </c>
    </row>
    <row r="1270" spans="1:7" s="172" customFormat="1" ht="15" customHeight="1" x14ac:dyDescent="0.25">
      <c r="A1270" s="809" t="s">
        <v>17712</v>
      </c>
      <c r="B1270" s="806" t="s">
        <v>14430</v>
      </c>
      <c r="C1270" s="806" t="s">
        <v>14430</v>
      </c>
      <c r="D1270" s="809" t="s">
        <v>17769</v>
      </c>
      <c r="E1270" s="809">
        <v>160</v>
      </c>
      <c r="F1270" s="809">
        <v>68</v>
      </c>
      <c r="G1270" s="202" t="str">
        <f t="shared" si="19"/>
        <v/>
      </c>
    </row>
    <row r="1271" spans="1:7" s="172" customFormat="1" ht="15" customHeight="1" x14ac:dyDescent="0.25">
      <c r="A1271" s="809" t="s">
        <v>17712</v>
      </c>
      <c r="B1271" s="806" t="s">
        <v>14430</v>
      </c>
      <c r="C1271" s="806" t="s">
        <v>14430</v>
      </c>
      <c r="D1271" s="809" t="s">
        <v>17770</v>
      </c>
      <c r="E1271" s="809">
        <v>250</v>
      </c>
      <c r="F1271" s="809">
        <v>176</v>
      </c>
      <c r="G1271" s="202" t="str">
        <f t="shared" si="19"/>
        <v/>
      </c>
    </row>
    <row r="1272" spans="1:7" s="172" customFormat="1" ht="15" customHeight="1" x14ac:dyDescent="0.25">
      <c r="A1272" s="809" t="s">
        <v>5649</v>
      </c>
      <c r="B1272" s="806" t="s">
        <v>14430</v>
      </c>
      <c r="C1272" s="806" t="s">
        <v>14430</v>
      </c>
      <c r="D1272" s="809" t="s">
        <v>17771</v>
      </c>
      <c r="E1272" s="809">
        <v>100</v>
      </c>
      <c r="F1272" s="809">
        <v>62</v>
      </c>
      <c r="G1272" s="202" t="str">
        <f t="shared" si="19"/>
        <v/>
      </c>
    </row>
    <row r="1273" spans="1:7" s="172" customFormat="1" ht="15" customHeight="1" x14ac:dyDescent="0.25">
      <c r="A1273" s="809" t="s">
        <v>17713</v>
      </c>
      <c r="B1273" s="806" t="s">
        <v>14430</v>
      </c>
      <c r="C1273" s="806" t="s">
        <v>14430</v>
      </c>
      <c r="D1273" s="809" t="s">
        <v>17772</v>
      </c>
      <c r="E1273" s="809">
        <v>400</v>
      </c>
      <c r="F1273" s="809">
        <v>78</v>
      </c>
      <c r="G1273" s="202" t="str">
        <f t="shared" si="19"/>
        <v/>
      </c>
    </row>
    <row r="1274" spans="1:7" s="172" customFormat="1" ht="15" customHeight="1" x14ac:dyDescent="0.25">
      <c r="A1274" s="809" t="s">
        <v>17713</v>
      </c>
      <c r="B1274" s="806" t="s">
        <v>14430</v>
      </c>
      <c r="C1274" s="806" t="s">
        <v>14430</v>
      </c>
      <c r="D1274" s="809" t="s">
        <v>17773</v>
      </c>
      <c r="E1274" s="809">
        <v>100</v>
      </c>
      <c r="F1274" s="809">
        <v>32</v>
      </c>
      <c r="G1274" s="202" t="str">
        <f t="shared" si="19"/>
        <v/>
      </c>
    </row>
    <row r="1275" spans="1:7" s="172" customFormat="1" ht="15" customHeight="1" x14ac:dyDescent="0.25">
      <c r="A1275" s="809" t="s">
        <v>17713</v>
      </c>
      <c r="B1275" s="806" t="s">
        <v>14430</v>
      </c>
      <c r="C1275" s="806" t="s">
        <v>14430</v>
      </c>
      <c r="D1275" s="809" t="s">
        <v>17774</v>
      </c>
      <c r="E1275" s="809">
        <v>100</v>
      </c>
      <c r="F1275" s="809">
        <v>45</v>
      </c>
      <c r="G1275" s="202" t="str">
        <f t="shared" si="19"/>
        <v/>
      </c>
    </row>
    <row r="1276" spans="1:7" s="172" customFormat="1" ht="15" customHeight="1" x14ac:dyDescent="0.25">
      <c r="A1276" s="809" t="s">
        <v>17713</v>
      </c>
      <c r="B1276" s="806" t="s">
        <v>14430</v>
      </c>
      <c r="C1276" s="806" t="s">
        <v>14430</v>
      </c>
      <c r="D1276" s="809" t="s">
        <v>17775</v>
      </c>
      <c r="E1276" s="809">
        <v>100</v>
      </c>
      <c r="F1276" s="809">
        <v>58</v>
      </c>
      <c r="G1276" s="202" t="str">
        <f t="shared" si="19"/>
        <v/>
      </c>
    </row>
    <row r="1277" spans="1:7" s="172" customFormat="1" ht="15" customHeight="1" x14ac:dyDescent="0.25">
      <c r="A1277" s="810" t="s">
        <v>6813</v>
      </c>
      <c r="B1277" s="806" t="s">
        <v>14430</v>
      </c>
      <c r="C1277" s="806" t="s">
        <v>14430</v>
      </c>
      <c r="D1277" s="809" t="s">
        <v>17776</v>
      </c>
      <c r="E1277" s="809">
        <v>20</v>
      </c>
      <c r="F1277" s="809">
        <v>8</v>
      </c>
      <c r="G1277" s="202" t="str">
        <f t="shared" si="19"/>
        <v/>
      </c>
    </row>
    <row r="1278" spans="1:7" s="172" customFormat="1" ht="15" customHeight="1" x14ac:dyDescent="0.25">
      <c r="A1278" s="810" t="s">
        <v>15818</v>
      </c>
      <c r="B1278" s="806" t="s">
        <v>14430</v>
      </c>
      <c r="C1278" s="806" t="s">
        <v>14430</v>
      </c>
      <c r="D1278" s="809" t="s">
        <v>17777</v>
      </c>
      <c r="E1278" s="809">
        <v>30</v>
      </c>
      <c r="F1278" s="809">
        <v>16</v>
      </c>
      <c r="G1278" s="202" t="str">
        <f t="shared" si="19"/>
        <v/>
      </c>
    </row>
    <row r="1279" spans="1:7" s="172" customFormat="1" ht="15" customHeight="1" x14ac:dyDescent="0.25">
      <c r="A1279" s="810" t="s">
        <v>17714</v>
      </c>
      <c r="B1279" s="806" t="s">
        <v>14430</v>
      </c>
      <c r="C1279" s="806" t="s">
        <v>14430</v>
      </c>
      <c r="D1279" s="809" t="s">
        <v>17778</v>
      </c>
      <c r="E1279" s="809">
        <v>160</v>
      </c>
      <c r="F1279" s="809">
        <v>93</v>
      </c>
      <c r="G1279" s="202" t="str">
        <f t="shared" si="19"/>
        <v/>
      </c>
    </row>
    <row r="1280" spans="1:7" s="172" customFormat="1" ht="15" customHeight="1" x14ac:dyDescent="0.25">
      <c r="A1280" s="809" t="s">
        <v>17713</v>
      </c>
      <c r="B1280" s="806" t="s">
        <v>14430</v>
      </c>
      <c r="C1280" s="806" t="s">
        <v>14430</v>
      </c>
      <c r="D1280" s="809" t="s">
        <v>17779</v>
      </c>
      <c r="E1280" s="809">
        <v>250</v>
      </c>
      <c r="F1280" s="809">
        <v>190</v>
      </c>
      <c r="G1280" s="202" t="str">
        <f t="shared" si="19"/>
        <v/>
      </c>
    </row>
    <row r="1281" spans="1:7" s="172" customFormat="1" ht="15" customHeight="1" x14ac:dyDescent="0.25">
      <c r="A1281" s="809" t="s">
        <v>17713</v>
      </c>
      <c r="B1281" s="806" t="s">
        <v>14430</v>
      </c>
      <c r="C1281" s="806" t="s">
        <v>14430</v>
      </c>
      <c r="D1281" s="809" t="s">
        <v>17780</v>
      </c>
      <c r="E1281" s="809">
        <v>250</v>
      </c>
      <c r="F1281" s="809">
        <v>93</v>
      </c>
      <c r="G1281" s="202" t="str">
        <f t="shared" si="19"/>
        <v/>
      </c>
    </row>
    <row r="1282" spans="1:7" s="172" customFormat="1" ht="15" customHeight="1" x14ac:dyDescent="0.25">
      <c r="A1282" s="809" t="s">
        <v>17713</v>
      </c>
      <c r="B1282" s="806" t="s">
        <v>14430</v>
      </c>
      <c r="C1282" s="806" t="s">
        <v>14430</v>
      </c>
      <c r="D1282" s="809" t="s">
        <v>17781</v>
      </c>
      <c r="E1282" s="809">
        <v>400</v>
      </c>
      <c r="F1282" s="809">
        <v>267</v>
      </c>
      <c r="G1282" s="202" t="str">
        <f t="shared" si="19"/>
        <v/>
      </c>
    </row>
    <row r="1283" spans="1:7" s="172" customFormat="1" ht="15" customHeight="1" x14ac:dyDescent="0.25">
      <c r="A1283" s="809" t="s">
        <v>17713</v>
      </c>
      <c r="B1283" s="806" t="s">
        <v>14430</v>
      </c>
      <c r="C1283" s="806" t="s">
        <v>14430</v>
      </c>
      <c r="D1283" s="809" t="s">
        <v>17782</v>
      </c>
      <c r="E1283" s="809">
        <v>100</v>
      </c>
      <c r="F1283" s="809">
        <v>35</v>
      </c>
      <c r="G1283" s="202" t="str">
        <f t="shared" si="19"/>
        <v/>
      </c>
    </row>
    <row r="1284" spans="1:7" s="172" customFormat="1" ht="15" customHeight="1" x14ac:dyDescent="0.25">
      <c r="A1284" s="809" t="s">
        <v>17713</v>
      </c>
      <c r="B1284" s="806" t="s">
        <v>14430</v>
      </c>
      <c r="C1284" s="806" t="s">
        <v>14430</v>
      </c>
      <c r="D1284" s="809" t="s">
        <v>17783</v>
      </c>
      <c r="E1284" s="809">
        <v>400</v>
      </c>
      <c r="F1284" s="809">
        <v>263</v>
      </c>
      <c r="G1284" s="202" t="str">
        <f t="shared" ref="G1284:G1347" si="20">IF(E1284=F1284,"не загружен","")</f>
        <v/>
      </c>
    </row>
    <row r="1285" spans="1:7" s="172" customFormat="1" ht="15" customHeight="1" x14ac:dyDescent="0.25">
      <c r="A1285" s="809" t="s">
        <v>17713</v>
      </c>
      <c r="B1285" s="806" t="s">
        <v>14430</v>
      </c>
      <c r="C1285" s="806" t="s">
        <v>14430</v>
      </c>
      <c r="D1285" s="809" t="s">
        <v>17784</v>
      </c>
      <c r="E1285" s="809">
        <v>400</v>
      </c>
      <c r="F1285" s="809">
        <v>307</v>
      </c>
      <c r="G1285" s="202" t="str">
        <f t="shared" si="20"/>
        <v/>
      </c>
    </row>
    <row r="1286" spans="1:7" s="172" customFormat="1" ht="15" customHeight="1" x14ac:dyDescent="0.25">
      <c r="A1286" s="805" t="s">
        <v>2922</v>
      </c>
      <c r="B1286" s="805" t="s">
        <v>2436</v>
      </c>
      <c r="C1286" s="805" t="s">
        <v>2436</v>
      </c>
      <c r="D1286" s="805" t="s">
        <v>2437</v>
      </c>
      <c r="E1286" s="805">
        <v>63</v>
      </c>
      <c r="F1286" s="805">
        <v>15</v>
      </c>
      <c r="G1286" s="202" t="str">
        <f t="shared" si="20"/>
        <v/>
      </c>
    </row>
    <row r="1287" spans="1:7" s="172" customFormat="1" ht="15" customHeight="1" x14ac:dyDescent="0.25">
      <c r="A1287" s="805" t="s">
        <v>4862</v>
      </c>
      <c r="B1287" s="805" t="s">
        <v>2436</v>
      </c>
      <c r="C1287" s="805" t="s">
        <v>2436</v>
      </c>
      <c r="D1287" s="805" t="s">
        <v>2438</v>
      </c>
      <c r="E1287" s="805">
        <v>100</v>
      </c>
      <c r="F1287" s="805">
        <v>40</v>
      </c>
      <c r="G1287" s="202" t="str">
        <f t="shared" si="20"/>
        <v/>
      </c>
    </row>
    <row r="1288" spans="1:7" s="172" customFormat="1" ht="15" customHeight="1" x14ac:dyDescent="0.25">
      <c r="A1288" s="805" t="s">
        <v>5028</v>
      </c>
      <c r="B1288" s="805" t="s">
        <v>2436</v>
      </c>
      <c r="C1288" s="805" t="s">
        <v>2436</v>
      </c>
      <c r="D1288" s="805" t="s">
        <v>2439</v>
      </c>
      <c r="E1288" s="805">
        <v>25</v>
      </c>
      <c r="F1288" s="805">
        <v>5</v>
      </c>
      <c r="G1288" s="202" t="str">
        <f t="shared" si="20"/>
        <v/>
      </c>
    </row>
    <row r="1289" spans="1:7" s="172" customFormat="1" ht="15" customHeight="1" x14ac:dyDescent="0.25">
      <c r="A1289" s="805" t="s">
        <v>2440</v>
      </c>
      <c r="B1289" s="805" t="s">
        <v>2436</v>
      </c>
      <c r="C1289" s="805" t="s">
        <v>2436</v>
      </c>
      <c r="D1289" s="805" t="s">
        <v>2441</v>
      </c>
      <c r="E1289" s="805">
        <v>10</v>
      </c>
      <c r="F1289" s="805">
        <v>2</v>
      </c>
      <c r="G1289" s="202" t="str">
        <f t="shared" si="20"/>
        <v/>
      </c>
    </row>
    <row r="1290" spans="1:7" s="172" customFormat="1" ht="15" customHeight="1" x14ac:dyDescent="0.25">
      <c r="A1290" s="805" t="s">
        <v>12266</v>
      </c>
      <c r="B1290" s="805" t="s">
        <v>2436</v>
      </c>
      <c r="C1290" s="805" t="s">
        <v>2436</v>
      </c>
      <c r="D1290" s="805" t="s">
        <v>2442</v>
      </c>
      <c r="E1290" s="805">
        <v>100</v>
      </c>
      <c r="F1290" s="805">
        <v>30</v>
      </c>
      <c r="G1290" s="202" t="str">
        <f t="shared" si="20"/>
        <v/>
      </c>
    </row>
    <row r="1291" spans="1:7" s="172" customFormat="1" ht="15" customHeight="1" x14ac:dyDescent="0.25">
      <c r="A1291" s="805" t="s">
        <v>12266</v>
      </c>
      <c r="B1291" s="805" t="s">
        <v>2436</v>
      </c>
      <c r="C1291" s="805" t="s">
        <v>2436</v>
      </c>
      <c r="D1291" s="805" t="s">
        <v>2443</v>
      </c>
      <c r="E1291" s="805">
        <v>400</v>
      </c>
      <c r="F1291" s="805">
        <v>110</v>
      </c>
      <c r="G1291" s="202" t="str">
        <f t="shared" si="20"/>
        <v/>
      </c>
    </row>
    <row r="1292" spans="1:7" s="172" customFormat="1" ht="15" customHeight="1" x14ac:dyDescent="0.25">
      <c r="A1292" s="805" t="s">
        <v>12266</v>
      </c>
      <c r="B1292" s="805" t="s">
        <v>2436</v>
      </c>
      <c r="C1292" s="805" t="s">
        <v>2436</v>
      </c>
      <c r="D1292" s="805" t="s">
        <v>2444</v>
      </c>
      <c r="E1292" s="805">
        <v>160</v>
      </c>
      <c r="F1292" s="805">
        <v>10</v>
      </c>
      <c r="G1292" s="202" t="str">
        <f t="shared" si="20"/>
        <v/>
      </c>
    </row>
    <row r="1293" spans="1:7" s="172" customFormat="1" ht="15" customHeight="1" x14ac:dyDescent="0.25">
      <c r="A1293" s="805" t="s">
        <v>12266</v>
      </c>
      <c r="B1293" s="805" t="s">
        <v>2436</v>
      </c>
      <c r="C1293" s="805" t="s">
        <v>2436</v>
      </c>
      <c r="D1293" s="805" t="s">
        <v>2445</v>
      </c>
      <c r="E1293" s="805">
        <v>250</v>
      </c>
      <c r="F1293" s="805">
        <v>65</v>
      </c>
      <c r="G1293" s="202" t="str">
        <f t="shared" si="20"/>
        <v/>
      </c>
    </row>
    <row r="1294" spans="1:7" s="172" customFormat="1" ht="15" customHeight="1" x14ac:dyDescent="0.25">
      <c r="A1294" s="805" t="s">
        <v>2446</v>
      </c>
      <c r="B1294" s="805" t="s">
        <v>2436</v>
      </c>
      <c r="C1294" s="805" t="s">
        <v>2436</v>
      </c>
      <c r="D1294" s="805" t="s">
        <v>2447</v>
      </c>
      <c r="E1294" s="805">
        <v>250</v>
      </c>
      <c r="F1294" s="805">
        <v>35</v>
      </c>
      <c r="G1294" s="202" t="str">
        <f t="shared" si="20"/>
        <v/>
      </c>
    </row>
    <row r="1295" spans="1:7" s="172" customFormat="1" ht="15" customHeight="1" x14ac:dyDescent="0.25">
      <c r="A1295" s="805" t="s">
        <v>2446</v>
      </c>
      <c r="B1295" s="805" t="s">
        <v>2436</v>
      </c>
      <c r="C1295" s="805" t="s">
        <v>2436</v>
      </c>
      <c r="D1295" s="805" t="s">
        <v>2448</v>
      </c>
      <c r="E1295" s="805">
        <v>100</v>
      </c>
      <c r="F1295" s="805">
        <v>38</v>
      </c>
      <c r="G1295" s="202" t="str">
        <f t="shared" si="20"/>
        <v/>
      </c>
    </row>
    <row r="1296" spans="1:7" s="172" customFormat="1" ht="15" customHeight="1" x14ac:dyDescent="0.25">
      <c r="A1296" s="805" t="s">
        <v>2449</v>
      </c>
      <c r="B1296" s="805" t="s">
        <v>2436</v>
      </c>
      <c r="C1296" s="805" t="s">
        <v>2436</v>
      </c>
      <c r="D1296" s="805" t="s">
        <v>2450</v>
      </c>
      <c r="E1296" s="805">
        <v>63</v>
      </c>
      <c r="F1296" s="805">
        <v>5</v>
      </c>
      <c r="G1296" s="202" t="str">
        <f t="shared" si="20"/>
        <v/>
      </c>
    </row>
    <row r="1297" spans="1:7" s="172" customFormat="1" ht="15" customHeight="1" x14ac:dyDescent="0.25">
      <c r="A1297" s="805" t="s">
        <v>2451</v>
      </c>
      <c r="B1297" s="805" t="s">
        <v>2436</v>
      </c>
      <c r="C1297" s="805" t="s">
        <v>2436</v>
      </c>
      <c r="D1297" s="805" t="s">
        <v>2452</v>
      </c>
      <c r="E1297" s="805">
        <v>63</v>
      </c>
      <c r="F1297" s="805">
        <v>10</v>
      </c>
      <c r="G1297" s="202" t="str">
        <f t="shared" si="20"/>
        <v/>
      </c>
    </row>
    <row r="1298" spans="1:7" s="172" customFormat="1" ht="15" customHeight="1" x14ac:dyDescent="0.25">
      <c r="A1298" s="805" t="s">
        <v>2453</v>
      </c>
      <c r="B1298" s="805" t="s">
        <v>2436</v>
      </c>
      <c r="C1298" s="805" t="s">
        <v>2436</v>
      </c>
      <c r="D1298" s="805" t="s">
        <v>2454</v>
      </c>
      <c r="E1298" s="805">
        <v>30</v>
      </c>
      <c r="F1298" s="805">
        <v>2</v>
      </c>
      <c r="G1298" s="202" t="str">
        <f t="shared" si="20"/>
        <v/>
      </c>
    </row>
    <row r="1299" spans="1:7" s="172" customFormat="1" ht="15" customHeight="1" x14ac:dyDescent="0.25">
      <c r="A1299" s="805" t="s">
        <v>2455</v>
      </c>
      <c r="B1299" s="805" t="s">
        <v>2436</v>
      </c>
      <c r="C1299" s="805" t="s">
        <v>2436</v>
      </c>
      <c r="D1299" s="805" t="s">
        <v>2456</v>
      </c>
      <c r="E1299" s="805">
        <v>160</v>
      </c>
      <c r="F1299" s="805">
        <v>50</v>
      </c>
      <c r="G1299" s="202" t="str">
        <f t="shared" si="20"/>
        <v/>
      </c>
    </row>
    <row r="1300" spans="1:7" s="172" customFormat="1" ht="15" customHeight="1" x14ac:dyDescent="0.25">
      <c r="A1300" s="805" t="s">
        <v>2457</v>
      </c>
      <c r="B1300" s="805" t="s">
        <v>2436</v>
      </c>
      <c r="C1300" s="805" t="s">
        <v>2436</v>
      </c>
      <c r="D1300" s="805" t="s">
        <v>2458</v>
      </c>
      <c r="E1300" s="805">
        <v>10</v>
      </c>
      <c r="F1300" s="805">
        <v>1</v>
      </c>
      <c r="G1300" s="202" t="str">
        <f t="shared" si="20"/>
        <v/>
      </c>
    </row>
    <row r="1301" spans="1:7" s="172" customFormat="1" ht="15" customHeight="1" x14ac:dyDescent="0.25">
      <c r="A1301" s="805" t="s">
        <v>2459</v>
      </c>
      <c r="B1301" s="805" t="s">
        <v>2436</v>
      </c>
      <c r="C1301" s="805" t="s">
        <v>2436</v>
      </c>
      <c r="D1301" s="805" t="s">
        <v>2460</v>
      </c>
      <c r="E1301" s="805">
        <v>30</v>
      </c>
      <c r="F1301" s="805">
        <v>2</v>
      </c>
      <c r="G1301" s="202" t="str">
        <f t="shared" si="20"/>
        <v/>
      </c>
    </row>
    <row r="1302" spans="1:7" s="172" customFormat="1" ht="15" customHeight="1" x14ac:dyDescent="0.25">
      <c r="A1302" s="805" t="s">
        <v>2461</v>
      </c>
      <c r="B1302" s="805" t="s">
        <v>2436</v>
      </c>
      <c r="C1302" s="805" t="s">
        <v>2436</v>
      </c>
      <c r="D1302" s="805" t="s">
        <v>2462</v>
      </c>
      <c r="E1302" s="805">
        <v>63</v>
      </c>
      <c r="F1302" s="805">
        <v>45</v>
      </c>
      <c r="G1302" s="202" t="str">
        <f t="shared" si="20"/>
        <v/>
      </c>
    </row>
    <row r="1303" spans="1:7" s="172" customFormat="1" ht="15" customHeight="1" x14ac:dyDescent="0.25">
      <c r="A1303" s="805" t="s">
        <v>2463</v>
      </c>
      <c r="B1303" s="805" t="s">
        <v>2436</v>
      </c>
      <c r="C1303" s="805" t="s">
        <v>2436</v>
      </c>
      <c r="D1303" s="805" t="s">
        <v>2464</v>
      </c>
      <c r="E1303" s="805">
        <v>10</v>
      </c>
      <c r="F1303" s="805">
        <v>1</v>
      </c>
      <c r="G1303" s="202" t="str">
        <f t="shared" si="20"/>
        <v/>
      </c>
    </row>
    <row r="1304" spans="1:7" s="172" customFormat="1" ht="15" customHeight="1" x14ac:dyDescent="0.25">
      <c r="A1304" s="805" t="s">
        <v>2465</v>
      </c>
      <c r="B1304" s="805" t="s">
        <v>2436</v>
      </c>
      <c r="C1304" s="805" t="s">
        <v>2436</v>
      </c>
      <c r="D1304" s="805" t="s">
        <v>2466</v>
      </c>
      <c r="E1304" s="805">
        <v>100</v>
      </c>
      <c r="F1304" s="805">
        <v>30</v>
      </c>
      <c r="G1304" s="202" t="str">
        <f t="shared" si="20"/>
        <v/>
      </c>
    </row>
    <row r="1305" spans="1:7" s="172" customFormat="1" ht="15" customHeight="1" x14ac:dyDescent="0.25">
      <c r="A1305" s="805" t="s">
        <v>2467</v>
      </c>
      <c r="B1305" s="805" t="s">
        <v>2436</v>
      </c>
      <c r="C1305" s="805" t="s">
        <v>2436</v>
      </c>
      <c r="D1305" s="805" t="s">
        <v>2468</v>
      </c>
      <c r="E1305" s="805">
        <v>63</v>
      </c>
      <c r="F1305" s="805">
        <v>25</v>
      </c>
      <c r="G1305" s="202" t="str">
        <f t="shared" si="20"/>
        <v/>
      </c>
    </row>
    <row r="1306" spans="1:7" s="172" customFormat="1" ht="15" customHeight="1" x14ac:dyDescent="0.25">
      <c r="A1306" s="805" t="s">
        <v>2465</v>
      </c>
      <c r="B1306" s="805" t="s">
        <v>2436</v>
      </c>
      <c r="C1306" s="805" t="s">
        <v>2436</v>
      </c>
      <c r="D1306" s="805" t="s">
        <v>2469</v>
      </c>
      <c r="E1306" s="805">
        <v>400</v>
      </c>
      <c r="F1306" s="805">
        <v>160</v>
      </c>
      <c r="G1306" s="202" t="str">
        <f t="shared" si="20"/>
        <v/>
      </c>
    </row>
    <row r="1307" spans="1:7" s="172" customFormat="1" ht="15" customHeight="1" x14ac:dyDescent="0.25">
      <c r="A1307" s="805" t="s">
        <v>12267</v>
      </c>
      <c r="B1307" s="805" t="s">
        <v>2436</v>
      </c>
      <c r="C1307" s="805" t="s">
        <v>2436</v>
      </c>
      <c r="D1307" s="805" t="s">
        <v>2470</v>
      </c>
      <c r="E1307" s="805">
        <v>400</v>
      </c>
      <c r="F1307" s="805">
        <v>75</v>
      </c>
      <c r="G1307" s="202" t="str">
        <f t="shared" si="20"/>
        <v/>
      </c>
    </row>
    <row r="1308" spans="1:7" s="172" customFormat="1" ht="15" customHeight="1" x14ac:dyDescent="0.25">
      <c r="A1308" s="805" t="s">
        <v>2471</v>
      </c>
      <c r="B1308" s="805" t="s">
        <v>2436</v>
      </c>
      <c r="C1308" s="805" t="s">
        <v>2436</v>
      </c>
      <c r="D1308" s="805" t="s">
        <v>2472</v>
      </c>
      <c r="E1308" s="805">
        <v>30</v>
      </c>
      <c r="F1308" s="805">
        <v>10</v>
      </c>
      <c r="G1308" s="202" t="str">
        <f t="shared" si="20"/>
        <v/>
      </c>
    </row>
    <row r="1309" spans="1:7" s="172" customFormat="1" ht="15" customHeight="1" x14ac:dyDescent="0.25">
      <c r="A1309" s="805" t="s">
        <v>2473</v>
      </c>
      <c r="B1309" s="805" t="s">
        <v>2436</v>
      </c>
      <c r="C1309" s="805" t="s">
        <v>2436</v>
      </c>
      <c r="D1309" s="805" t="s">
        <v>2474</v>
      </c>
      <c r="E1309" s="805">
        <v>100</v>
      </c>
      <c r="F1309" s="805">
        <v>30</v>
      </c>
      <c r="G1309" s="202" t="str">
        <f t="shared" si="20"/>
        <v/>
      </c>
    </row>
    <row r="1310" spans="1:7" s="172" customFormat="1" ht="15" customHeight="1" x14ac:dyDescent="0.25">
      <c r="A1310" s="805" t="s">
        <v>2473</v>
      </c>
      <c r="B1310" s="805" t="s">
        <v>2436</v>
      </c>
      <c r="C1310" s="805" t="s">
        <v>2436</v>
      </c>
      <c r="D1310" s="805" t="s">
        <v>2475</v>
      </c>
      <c r="E1310" s="805">
        <v>160</v>
      </c>
      <c r="F1310" s="805">
        <v>40</v>
      </c>
      <c r="G1310" s="202" t="str">
        <f t="shared" si="20"/>
        <v/>
      </c>
    </row>
    <row r="1311" spans="1:7" s="172" customFormat="1" ht="15" customHeight="1" x14ac:dyDescent="0.25">
      <c r="A1311" s="805" t="s">
        <v>2473</v>
      </c>
      <c r="B1311" s="805" t="s">
        <v>2436</v>
      </c>
      <c r="C1311" s="805" t="s">
        <v>2436</v>
      </c>
      <c r="D1311" s="805" t="s">
        <v>2476</v>
      </c>
      <c r="E1311" s="805">
        <v>63</v>
      </c>
      <c r="F1311" s="805">
        <v>25</v>
      </c>
      <c r="G1311" s="202" t="str">
        <f t="shared" si="20"/>
        <v/>
      </c>
    </row>
    <row r="1312" spans="1:7" s="172" customFormat="1" ht="15" customHeight="1" x14ac:dyDescent="0.25">
      <c r="A1312" s="805" t="s">
        <v>2473</v>
      </c>
      <c r="B1312" s="805" t="s">
        <v>2436</v>
      </c>
      <c r="C1312" s="805" t="s">
        <v>2436</v>
      </c>
      <c r="D1312" s="805" t="s">
        <v>2477</v>
      </c>
      <c r="E1312" s="805">
        <v>160</v>
      </c>
      <c r="F1312" s="805">
        <v>100</v>
      </c>
      <c r="G1312" s="202" t="str">
        <f t="shared" si="20"/>
        <v/>
      </c>
    </row>
    <row r="1313" spans="1:7" s="172" customFormat="1" ht="15" customHeight="1" x14ac:dyDescent="0.25">
      <c r="A1313" s="805" t="s">
        <v>2478</v>
      </c>
      <c r="B1313" s="805" t="s">
        <v>2436</v>
      </c>
      <c r="C1313" s="805" t="s">
        <v>2436</v>
      </c>
      <c r="D1313" s="805" t="s">
        <v>2479</v>
      </c>
      <c r="E1313" s="805">
        <v>160</v>
      </c>
      <c r="F1313" s="805">
        <v>100</v>
      </c>
      <c r="G1313" s="202" t="str">
        <f t="shared" si="20"/>
        <v/>
      </c>
    </row>
    <row r="1314" spans="1:7" s="172" customFormat="1" ht="15" customHeight="1" x14ac:dyDescent="0.25">
      <c r="A1314" s="805" t="s">
        <v>12268</v>
      </c>
      <c r="B1314" s="805" t="s">
        <v>2436</v>
      </c>
      <c r="C1314" s="805" t="s">
        <v>2436</v>
      </c>
      <c r="D1314" s="805" t="s">
        <v>2480</v>
      </c>
      <c r="E1314" s="805">
        <v>100</v>
      </c>
      <c r="F1314" s="805">
        <v>80</v>
      </c>
      <c r="G1314" s="202" t="str">
        <f t="shared" si="20"/>
        <v/>
      </c>
    </row>
    <row r="1315" spans="1:7" s="172" customFormat="1" ht="15" customHeight="1" x14ac:dyDescent="0.25">
      <c r="A1315" s="805" t="s">
        <v>2481</v>
      </c>
      <c r="B1315" s="805" t="s">
        <v>2436</v>
      </c>
      <c r="C1315" s="805" t="s">
        <v>2436</v>
      </c>
      <c r="D1315" s="805" t="s">
        <v>2482</v>
      </c>
      <c r="E1315" s="805">
        <v>100</v>
      </c>
      <c r="F1315" s="805">
        <v>30</v>
      </c>
      <c r="G1315" s="202" t="str">
        <f t="shared" si="20"/>
        <v/>
      </c>
    </row>
    <row r="1316" spans="1:7" s="172" customFormat="1" ht="15" customHeight="1" x14ac:dyDescent="0.25">
      <c r="A1316" s="805" t="s">
        <v>2483</v>
      </c>
      <c r="B1316" s="805" t="s">
        <v>2436</v>
      </c>
      <c r="C1316" s="805" t="s">
        <v>2436</v>
      </c>
      <c r="D1316" s="805" t="s">
        <v>2484</v>
      </c>
      <c r="E1316" s="805">
        <v>100</v>
      </c>
      <c r="F1316" s="805">
        <v>70</v>
      </c>
      <c r="G1316" s="202" t="str">
        <f t="shared" si="20"/>
        <v/>
      </c>
    </row>
    <row r="1317" spans="1:7" s="172" customFormat="1" ht="15" customHeight="1" x14ac:dyDescent="0.25">
      <c r="A1317" s="805" t="s">
        <v>2485</v>
      </c>
      <c r="B1317" s="805" t="s">
        <v>2436</v>
      </c>
      <c r="C1317" s="805" t="s">
        <v>2436</v>
      </c>
      <c r="D1317" s="805" t="s">
        <v>2486</v>
      </c>
      <c r="E1317" s="805">
        <v>63</v>
      </c>
      <c r="F1317" s="805">
        <v>30</v>
      </c>
      <c r="G1317" s="202" t="str">
        <f t="shared" si="20"/>
        <v/>
      </c>
    </row>
    <row r="1318" spans="1:7" s="172" customFormat="1" ht="15" customHeight="1" x14ac:dyDescent="0.25">
      <c r="A1318" s="805" t="s">
        <v>2487</v>
      </c>
      <c r="B1318" s="805" t="s">
        <v>2436</v>
      </c>
      <c r="C1318" s="805" t="s">
        <v>2436</v>
      </c>
      <c r="D1318" s="805" t="s">
        <v>2488</v>
      </c>
      <c r="E1318" s="805">
        <v>100</v>
      </c>
      <c r="F1318" s="805">
        <v>5</v>
      </c>
      <c r="G1318" s="202" t="str">
        <f t="shared" si="20"/>
        <v/>
      </c>
    </row>
    <row r="1319" spans="1:7" s="172" customFormat="1" ht="15" customHeight="1" x14ac:dyDescent="0.25">
      <c r="A1319" s="805" t="s">
        <v>2489</v>
      </c>
      <c r="B1319" s="805" t="s">
        <v>2436</v>
      </c>
      <c r="C1319" s="805" t="s">
        <v>2436</v>
      </c>
      <c r="D1319" s="805" t="s">
        <v>2490</v>
      </c>
      <c r="E1319" s="805">
        <v>63</v>
      </c>
      <c r="F1319" s="805">
        <v>20</v>
      </c>
      <c r="G1319" s="202" t="str">
        <f t="shared" si="20"/>
        <v/>
      </c>
    </row>
    <row r="1320" spans="1:7" s="172" customFormat="1" ht="15" customHeight="1" x14ac:dyDescent="0.25">
      <c r="A1320" s="805" t="s">
        <v>2491</v>
      </c>
      <c r="B1320" s="805" t="s">
        <v>2436</v>
      </c>
      <c r="C1320" s="805" t="s">
        <v>2436</v>
      </c>
      <c r="D1320" s="805" t="s">
        <v>2492</v>
      </c>
      <c r="E1320" s="805">
        <v>100</v>
      </c>
      <c r="F1320" s="805">
        <v>5</v>
      </c>
      <c r="G1320" s="202" t="str">
        <f t="shared" si="20"/>
        <v/>
      </c>
    </row>
    <row r="1321" spans="1:7" s="172" customFormat="1" ht="15" customHeight="1" x14ac:dyDescent="0.25">
      <c r="A1321" s="805" t="s">
        <v>2493</v>
      </c>
      <c r="B1321" s="805" t="s">
        <v>2436</v>
      </c>
      <c r="C1321" s="805" t="s">
        <v>2436</v>
      </c>
      <c r="D1321" s="805" t="s">
        <v>2494</v>
      </c>
      <c r="E1321" s="805">
        <v>63</v>
      </c>
      <c r="F1321" s="805">
        <v>5</v>
      </c>
      <c r="G1321" s="202" t="str">
        <f t="shared" si="20"/>
        <v/>
      </c>
    </row>
    <row r="1322" spans="1:7" s="172" customFormat="1" ht="15" customHeight="1" x14ac:dyDescent="0.25">
      <c r="A1322" s="805" t="s">
        <v>2495</v>
      </c>
      <c r="B1322" s="805" t="s">
        <v>2436</v>
      </c>
      <c r="C1322" s="805" t="s">
        <v>2436</v>
      </c>
      <c r="D1322" s="805" t="s">
        <v>2496</v>
      </c>
      <c r="E1322" s="805">
        <v>160</v>
      </c>
      <c r="F1322" s="805">
        <v>2</v>
      </c>
      <c r="G1322" s="202" t="str">
        <f t="shared" si="20"/>
        <v/>
      </c>
    </row>
    <row r="1323" spans="1:7" s="172" customFormat="1" ht="15" customHeight="1" x14ac:dyDescent="0.25">
      <c r="A1323" s="805" t="s">
        <v>12269</v>
      </c>
      <c r="B1323" s="805" t="s">
        <v>2436</v>
      </c>
      <c r="C1323" s="805" t="s">
        <v>2436</v>
      </c>
      <c r="D1323" s="805" t="s">
        <v>2497</v>
      </c>
      <c r="E1323" s="805">
        <v>63</v>
      </c>
      <c r="F1323" s="805">
        <v>10</v>
      </c>
      <c r="G1323" s="202" t="str">
        <f t="shared" si="20"/>
        <v/>
      </c>
    </row>
    <row r="1324" spans="1:7" s="172" customFormat="1" ht="15" customHeight="1" x14ac:dyDescent="0.25">
      <c r="A1324" s="805" t="s">
        <v>12269</v>
      </c>
      <c r="B1324" s="805" t="s">
        <v>2436</v>
      </c>
      <c r="C1324" s="805" t="s">
        <v>2436</v>
      </c>
      <c r="D1324" s="805" t="s">
        <v>2498</v>
      </c>
      <c r="E1324" s="805">
        <v>160</v>
      </c>
      <c r="F1324" s="805">
        <v>130</v>
      </c>
      <c r="G1324" s="202" t="str">
        <f t="shared" si="20"/>
        <v/>
      </c>
    </row>
    <row r="1325" spans="1:7" s="172" customFormat="1" ht="15" customHeight="1" x14ac:dyDescent="0.25">
      <c r="A1325" s="805" t="s">
        <v>12270</v>
      </c>
      <c r="B1325" s="805" t="s">
        <v>2436</v>
      </c>
      <c r="C1325" s="805" t="s">
        <v>2436</v>
      </c>
      <c r="D1325" s="805" t="s">
        <v>2499</v>
      </c>
      <c r="E1325" s="805">
        <v>400</v>
      </c>
      <c r="F1325" s="805">
        <v>350</v>
      </c>
      <c r="G1325" s="202" t="str">
        <f t="shared" si="20"/>
        <v/>
      </c>
    </row>
    <row r="1326" spans="1:7" s="172" customFormat="1" ht="15" customHeight="1" x14ac:dyDescent="0.25">
      <c r="A1326" s="805" t="s">
        <v>12270</v>
      </c>
      <c r="B1326" s="805" t="s">
        <v>2436</v>
      </c>
      <c r="C1326" s="805" t="s">
        <v>2436</v>
      </c>
      <c r="D1326" s="805" t="s">
        <v>2500</v>
      </c>
      <c r="E1326" s="805" t="s">
        <v>18198</v>
      </c>
      <c r="F1326" s="805">
        <v>100</v>
      </c>
      <c r="G1326" s="202" t="str">
        <f t="shared" si="20"/>
        <v/>
      </c>
    </row>
    <row r="1327" spans="1:7" s="172" customFormat="1" ht="15" customHeight="1" x14ac:dyDescent="0.25">
      <c r="A1327" s="805" t="s">
        <v>12270</v>
      </c>
      <c r="B1327" s="805" t="s">
        <v>2436</v>
      </c>
      <c r="C1327" s="805" t="s">
        <v>2436</v>
      </c>
      <c r="D1327" s="805" t="s">
        <v>2501</v>
      </c>
      <c r="E1327" s="805">
        <v>320</v>
      </c>
      <c r="F1327" s="805">
        <v>200</v>
      </c>
      <c r="G1327" s="202" t="str">
        <f t="shared" si="20"/>
        <v/>
      </c>
    </row>
    <row r="1328" spans="1:7" s="172" customFormat="1" ht="15" customHeight="1" x14ac:dyDescent="0.25">
      <c r="A1328" s="805" t="s">
        <v>12270</v>
      </c>
      <c r="B1328" s="805" t="s">
        <v>2436</v>
      </c>
      <c r="C1328" s="805" t="s">
        <v>2436</v>
      </c>
      <c r="D1328" s="805" t="s">
        <v>2502</v>
      </c>
      <c r="E1328" s="805">
        <v>400</v>
      </c>
      <c r="F1328" s="805">
        <v>340</v>
      </c>
      <c r="G1328" s="202" t="str">
        <f t="shared" si="20"/>
        <v/>
      </c>
    </row>
    <row r="1329" spans="1:7" s="172" customFormat="1" ht="15" customHeight="1" x14ac:dyDescent="0.25">
      <c r="A1329" s="805" t="s">
        <v>2503</v>
      </c>
      <c r="B1329" s="805" t="s">
        <v>2436</v>
      </c>
      <c r="C1329" s="805" t="s">
        <v>2436</v>
      </c>
      <c r="D1329" s="805" t="s">
        <v>2504</v>
      </c>
      <c r="E1329" s="805">
        <v>30</v>
      </c>
      <c r="F1329" s="805">
        <v>2</v>
      </c>
      <c r="G1329" s="202" t="str">
        <f t="shared" si="20"/>
        <v/>
      </c>
    </row>
    <row r="1330" spans="1:7" s="172" customFormat="1" ht="15" customHeight="1" x14ac:dyDescent="0.25">
      <c r="A1330" s="805" t="s">
        <v>12271</v>
      </c>
      <c r="B1330" s="805" t="s">
        <v>2436</v>
      </c>
      <c r="C1330" s="805" t="s">
        <v>2436</v>
      </c>
      <c r="D1330" s="805" t="s">
        <v>2505</v>
      </c>
      <c r="E1330" s="805">
        <v>100</v>
      </c>
      <c r="F1330" s="805">
        <v>28</v>
      </c>
      <c r="G1330" s="202" t="str">
        <f t="shared" si="20"/>
        <v/>
      </c>
    </row>
    <row r="1331" spans="1:7" s="172" customFormat="1" ht="15" customHeight="1" x14ac:dyDescent="0.25">
      <c r="A1331" s="805" t="s">
        <v>12270</v>
      </c>
      <c r="B1331" s="805" t="s">
        <v>2436</v>
      </c>
      <c r="C1331" s="805" t="s">
        <v>2436</v>
      </c>
      <c r="D1331" s="805" t="s">
        <v>2506</v>
      </c>
      <c r="E1331" s="805">
        <v>250</v>
      </c>
      <c r="F1331" s="805">
        <v>5</v>
      </c>
      <c r="G1331" s="202" t="str">
        <f t="shared" si="20"/>
        <v/>
      </c>
    </row>
    <row r="1332" spans="1:7" s="172" customFormat="1" ht="15" customHeight="1" x14ac:dyDescent="0.25">
      <c r="A1332" s="805" t="s">
        <v>12270</v>
      </c>
      <c r="B1332" s="805" t="s">
        <v>2436</v>
      </c>
      <c r="C1332" s="805" t="s">
        <v>2436</v>
      </c>
      <c r="D1332" s="805" t="s">
        <v>2507</v>
      </c>
      <c r="E1332" s="805">
        <v>63</v>
      </c>
      <c r="F1332" s="805">
        <v>20</v>
      </c>
      <c r="G1332" s="202" t="str">
        <f t="shared" si="20"/>
        <v/>
      </c>
    </row>
    <row r="1333" spans="1:7" s="172" customFormat="1" ht="15" customHeight="1" x14ac:dyDescent="0.25">
      <c r="A1333" s="805" t="s">
        <v>12270</v>
      </c>
      <c r="B1333" s="805" t="s">
        <v>2436</v>
      </c>
      <c r="C1333" s="805" t="s">
        <v>2436</v>
      </c>
      <c r="D1333" s="805" t="s">
        <v>2508</v>
      </c>
      <c r="E1333" s="805">
        <v>63</v>
      </c>
      <c r="F1333" s="805">
        <v>3</v>
      </c>
      <c r="G1333" s="202" t="str">
        <f t="shared" si="20"/>
        <v/>
      </c>
    </row>
    <row r="1334" spans="1:7" s="172" customFormat="1" ht="15" customHeight="1" x14ac:dyDescent="0.25">
      <c r="A1334" s="805" t="s">
        <v>2509</v>
      </c>
      <c r="B1334" s="805" t="s">
        <v>2436</v>
      </c>
      <c r="C1334" s="805" t="s">
        <v>2436</v>
      </c>
      <c r="D1334" s="805" t="s">
        <v>2510</v>
      </c>
      <c r="E1334" s="805">
        <v>63</v>
      </c>
      <c r="F1334" s="805">
        <v>16</v>
      </c>
      <c r="G1334" s="202" t="str">
        <f t="shared" si="20"/>
        <v/>
      </c>
    </row>
    <row r="1335" spans="1:7" s="172" customFormat="1" ht="15" customHeight="1" x14ac:dyDescent="0.25">
      <c r="A1335" s="805" t="s">
        <v>2511</v>
      </c>
      <c r="B1335" s="805" t="s">
        <v>2436</v>
      </c>
      <c r="C1335" s="805" t="s">
        <v>2436</v>
      </c>
      <c r="D1335" s="805" t="s">
        <v>2512</v>
      </c>
      <c r="E1335" s="805">
        <v>30</v>
      </c>
      <c r="F1335" s="805">
        <v>10</v>
      </c>
      <c r="G1335" s="202" t="str">
        <f t="shared" si="20"/>
        <v/>
      </c>
    </row>
    <row r="1336" spans="1:7" s="172" customFormat="1" ht="15" customHeight="1" x14ac:dyDescent="0.25">
      <c r="A1336" s="805" t="s">
        <v>2513</v>
      </c>
      <c r="B1336" s="805" t="s">
        <v>2436</v>
      </c>
      <c r="C1336" s="805" t="s">
        <v>2436</v>
      </c>
      <c r="D1336" s="805" t="s">
        <v>2514</v>
      </c>
      <c r="E1336" s="805">
        <v>100</v>
      </c>
      <c r="F1336" s="805">
        <v>50</v>
      </c>
      <c r="G1336" s="202" t="str">
        <f t="shared" si="20"/>
        <v/>
      </c>
    </row>
    <row r="1337" spans="1:7" s="172" customFormat="1" ht="15" customHeight="1" x14ac:dyDescent="0.25">
      <c r="A1337" s="805" t="s">
        <v>2515</v>
      </c>
      <c r="B1337" s="805" t="s">
        <v>2436</v>
      </c>
      <c r="C1337" s="805" t="s">
        <v>2436</v>
      </c>
      <c r="D1337" s="805" t="s">
        <v>2516</v>
      </c>
      <c r="E1337" s="805">
        <v>160</v>
      </c>
      <c r="F1337" s="805">
        <v>7</v>
      </c>
      <c r="G1337" s="202" t="str">
        <f t="shared" si="20"/>
        <v/>
      </c>
    </row>
    <row r="1338" spans="1:7" s="172" customFormat="1" ht="15" customHeight="1" x14ac:dyDescent="0.25">
      <c r="A1338" s="805" t="s">
        <v>12272</v>
      </c>
      <c r="B1338" s="805" t="s">
        <v>2436</v>
      </c>
      <c r="C1338" s="805" t="s">
        <v>2436</v>
      </c>
      <c r="D1338" s="805" t="s">
        <v>2517</v>
      </c>
      <c r="E1338" s="805">
        <v>10</v>
      </c>
      <c r="F1338" s="805">
        <v>5</v>
      </c>
      <c r="G1338" s="202" t="str">
        <f t="shared" si="20"/>
        <v/>
      </c>
    </row>
    <row r="1339" spans="1:7" s="172" customFormat="1" ht="15" customHeight="1" x14ac:dyDescent="0.25">
      <c r="A1339" s="805" t="s">
        <v>2518</v>
      </c>
      <c r="B1339" s="805" t="s">
        <v>2436</v>
      </c>
      <c r="C1339" s="805" t="s">
        <v>2436</v>
      </c>
      <c r="D1339" s="805" t="s">
        <v>2519</v>
      </c>
      <c r="E1339" s="805">
        <v>40</v>
      </c>
      <c r="F1339" s="822">
        <v>17.5</v>
      </c>
      <c r="G1339" s="202" t="str">
        <f t="shared" si="20"/>
        <v/>
      </c>
    </row>
    <row r="1340" spans="1:7" s="172" customFormat="1" ht="15" customHeight="1" x14ac:dyDescent="0.25">
      <c r="A1340" s="805" t="s">
        <v>2520</v>
      </c>
      <c r="B1340" s="805" t="s">
        <v>2436</v>
      </c>
      <c r="C1340" s="805" t="s">
        <v>2436</v>
      </c>
      <c r="D1340" s="805" t="s">
        <v>2521</v>
      </c>
      <c r="E1340" s="805">
        <v>10</v>
      </c>
      <c r="F1340" s="805">
        <v>5</v>
      </c>
      <c r="G1340" s="202" t="str">
        <f t="shared" si="20"/>
        <v/>
      </c>
    </row>
    <row r="1341" spans="1:7" s="172" customFormat="1" ht="15" customHeight="1" x14ac:dyDescent="0.25">
      <c r="A1341" s="805" t="s">
        <v>2522</v>
      </c>
      <c r="B1341" s="805" t="s">
        <v>2436</v>
      </c>
      <c r="C1341" s="805" t="s">
        <v>2436</v>
      </c>
      <c r="D1341" s="805" t="s">
        <v>2523</v>
      </c>
      <c r="E1341" s="805" t="s">
        <v>18196</v>
      </c>
      <c r="F1341" s="805">
        <v>300</v>
      </c>
      <c r="G1341" s="202" t="str">
        <f t="shared" si="20"/>
        <v/>
      </c>
    </row>
    <row r="1342" spans="1:7" s="172" customFormat="1" ht="15" customHeight="1" x14ac:dyDescent="0.25">
      <c r="A1342" s="805" t="s">
        <v>2522</v>
      </c>
      <c r="B1342" s="805" t="s">
        <v>2436</v>
      </c>
      <c r="C1342" s="805" t="s">
        <v>2436</v>
      </c>
      <c r="D1342" s="805" t="s">
        <v>2524</v>
      </c>
      <c r="E1342" s="805" t="s">
        <v>18567</v>
      </c>
      <c r="F1342" s="805">
        <v>30</v>
      </c>
      <c r="G1342" s="202" t="str">
        <f t="shared" si="20"/>
        <v/>
      </c>
    </row>
    <row r="1343" spans="1:7" s="172" customFormat="1" ht="15" customHeight="1" x14ac:dyDescent="0.25">
      <c r="A1343" s="805" t="s">
        <v>2522</v>
      </c>
      <c r="B1343" s="805" t="s">
        <v>2436</v>
      </c>
      <c r="C1343" s="805" t="s">
        <v>2436</v>
      </c>
      <c r="D1343" s="805" t="s">
        <v>2525</v>
      </c>
      <c r="E1343" s="805">
        <v>160</v>
      </c>
      <c r="F1343" s="805">
        <v>30</v>
      </c>
      <c r="G1343" s="202" t="str">
        <f t="shared" si="20"/>
        <v/>
      </c>
    </row>
    <row r="1344" spans="1:7" s="172" customFormat="1" ht="15" customHeight="1" x14ac:dyDescent="0.25">
      <c r="A1344" s="805" t="s">
        <v>2526</v>
      </c>
      <c r="B1344" s="805" t="s">
        <v>2436</v>
      </c>
      <c r="C1344" s="805" t="s">
        <v>2436</v>
      </c>
      <c r="D1344" s="805" t="s">
        <v>2527</v>
      </c>
      <c r="E1344" s="805">
        <v>100</v>
      </c>
      <c r="F1344" s="805">
        <v>10</v>
      </c>
      <c r="G1344" s="202" t="str">
        <f t="shared" si="20"/>
        <v/>
      </c>
    </row>
    <row r="1345" spans="1:7" s="172" customFormat="1" ht="15" customHeight="1" x14ac:dyDescent="0.25">
      <c r="A1345" s="805" t="s">
        <v>2528</v>
      </c>
      <c r="B1345" s="805" t="s">
        <v>2436</v>
      </c>
      <c r="C1345" s="805" t="s">
        <v>2436</v>
      </c>
      <c r="D1345" s="805" t="s">
        <v>2529</v>
      </c>
      <c r="E1345" s="805">
        <v>10</v>
      </c>
      <c r="F1345" s="805">
        <v>5</v>
      </c>
      <c r="G1345" s="202" t="str">
        <f t="shared" si="20"/>
        <v/>
      </c>
    </row>
    <row r="1346" spans="1:7" s="172" customFormat="1" ht="15" customHeight="1" x14ac:dyDescent="0.25">
      <c r="A1346" s="805" t="s">
        <v>2530</v>
      </c>
      <c r="B1346" s="805" t="s">
        <v>2436</v>
      </c>
      <c r="C1346" s="805" t="s">
        <v>2436</v>
      </c>
      <c r="D1346" s="805" t="s">
        <v>2531</v>
      </c>
      <c r="E1346" s="805">
        <v>400</v>
      </c>
      <c r="F1346" s="805">
        <v>350</v>
      </c>
      <c r="G1346" s="202" t="str">
        <f t="shared" si="20"/>
        <v/>
      </c>
    </row>
    <row r="1347" spans="1:7" s="172" customFormat="1" ht="15" customHeight="1" x14ac:dyDescent="0.25">
      <c r="A1347" s="805" t="s">
        <v>2530</v>
      </c>
      <c r="B1347" s="805" t="s">
        <v>2436</v>
      </c>
      <c r="C1347" s="805" t="s">
        <v>2436</v>
      </c>
      <c r="D1347" s="805" t="s">
        <v>2532</v>
      </c>
      <c r="E1347" s="805">
        <v>250</v>
      </c>
      <c r="F1347" s="805">
        <v>100</v>
      </c>
      <c r="G1347" s="202" t="str">
        <f t="shared" si="20"/>
        <v/>
      </c>
    </row>
    <row r="1348" spans="1:7" s="172" customFormat="1" ht="15" customHeight="1" x14ac:dyDescent="0.25">
      <c r="A1348" s="805" t="s">
        <v>2530</v>
      </c>
      <c r="B1348" s="805" t="s">
        <v>2436</v>
      </c>
      <c r="C1348" s="805" t="s">
        <v>2436</v>
      </c>
      <c r="D1348" s="805" t="s">
        <v>19816</v>
      </c>
      <c r="E1348" s="805" t="s">
        <v>2143</v>
      </c>
      <c r="F1348" s="805" t="s">
        <v>2143</v>
      </c>
      <c r="G1348" s="202" t="str">
        <f t="shared" ref="G1348:G1411" si="21">IF(E1348=F1348,"не загружен","")</f>
        <v>не загружен</v>
      </c>
    </row>
    <row r="1349" spans="1:7" s="172" customFormat="1" ht="15" customHeight="1" x14ac:dyDescent="0.25">
      <c r="A1349" s="805" t="s">
        <v>2533</v>
      </c>
      <c r="B1349" s="805" t="s">
        <v>2436</v>
      </c>
      <c r="C1349" s="805" t="s">
        <v>2436</v>
      </c>
      <c r="D1349" s="805" t="s">
        <v>2534</v>
      </c>
      <c r="E1349" s="805">
        <v>30</v>
      </c>
      <c r="F1349" s="805">
        <v>1</v>
      </c>
      <c r="G1349" s="202" t="str">
        <f t="shared" si="21"/>
        <v/>
      </c>
    </row>
    <row r="1350" spans="1:7" s="172" customFormat="1" ht="15" customHeight="1" x14ac:dyDescent="0.25">
      <c r="A1350" s="805" t="s">
        <v>2535</v>
      </c>
      <c r="B1350" s="805" t="s">
        <v>2436</v>
      </c>
      <c r="C1350" s="805" t="s">
        <v>2436</v>
      </c>
      <c r="D1350" s="805" t="s">
        <v>2536</v>
      </c>
      <c r="E1350" s="805">
        <v>30</v>
      </c>
      <c r="F1350" s="805">
        <v>5</v>
      </c>
      <c r="G1350" s="202" t="str">
        <f t="shared" si="21"/>
        <v/>
      </c>
    </row>
    <row r="1351" spans="1:7" s="172" customFormat="1" ht="15" customHeight="1" x14ac:dyDescent="0.25">
      <c r="A1351" s="805" t="s">
        <v>2537</v>
      </c>
      <c r="B1351" s="805" t="s">
        <v>2436</v>
      </c>
      <c r="C1351" s="805" t="s">
        <v>2436</v>
      </c>
      <c r="D1351" s="805" t="s">
        <v>2538</v>
      </c>
      <c r="E1351" s="805">
        <v>63</v>
      </c>
      <c r="F1351" s="805">
        <v>20</v>
      </c>
      <c r="G1351" s="202" t="str">
        <f t="shared" si="21"/>
        <v/>
      </c>
    </row>
    <row r="1352" spans="1:7" s="172" customFormat="1" ht="15" customHeight="1" x14ac:dyDescent="0.25">
      <c r="A1352" s="805" t="s">
        <v>2539</v>
      </c>
      <c r="B1352" s="805" t="s">
        <v>2436</v>
      </c>
      <c r="C1352" s="805" t="s">
        <v>2436</v>
      </c>
      <c r="D1352" s="805" t="s">
        <v>2540</v>
      </c>
      <c r="E1352" s="805">
        <v>63</v>
      </c>
      <c r="F1352" s="805">
        <v>20</v>
      </c>
      <c r="G1352" s="202" t="str">
        <f t="shared" si="21"/>
        <v/>
      </c>
    </row>
    <row r="1353" spans="1:7" s="172" customFormat="1" ht="15" customHeight="1" x14ac:dyDescent="0.25">
      <c r="A1353" s="805" t="s">
        <v>2541</v>
      </c>
      <c r="B1353" s="805" t="s">
        <v>2436</v>
      </c>
      <c r="C1353" s="805" t="s">
        <v>2436</v>
      </c>
      <c r="D1353" s="805" t="s">
        <v>2542</v>
      </c>
      <c r="E1353" s="805">
        <v>40</v>
      </c>
      <c r="F1353" s="805">
        <v>2</v>
      </c>
      <c r="G1353" s="202" t="str">
        <f t="shared" si="21"/>
        <v/>
      </c>
    </row>
    <row r="1354" spans="1:7" s="172" customFormat="1" ht="15" customHeight="1" x14ac:dyDescent="0.25">
      <c r="A1354" s="805" t="s">
        <v>2543</v>
      </c>
      <c r="B1354" s="805" t="s">
        <v>2436</v>
      </c>
      <c r="C1354" s="805" t="s">
        <v>2436</v>
      </c>
      <c r="D1354" s="805" t="s">
        <v>2544</v>
      </c>
      <c r="E1354" s="805">
        <v>160</v>
      </c>
      <c r="F1354" s="805">
        <v>60</v>
      </c>
      <c r="G1354" s="202" t="str">
        <f t="shared" si="21"/>
        <v/>
      </c>
    </row>
    <row r="1355" spans="1:7" s="172" customFormat="1" ht="15" customHeight="1" x14ac:dyDescent="0.25">
      <c r="A1355" s="805" t="s">
        <v>2541</v>
      </c>
      <c r="B1355" s="805" t="s">
        <v>2436</v>
      </c>
      <c r="C1355" s="805" t="s">
        <v>2436</v>
      </c>
      <c r="D1355" s="805" t="s">
        <v>2545</v>
      </c>
      <c r="E1355" s="805">
        <v>260</v>
      </c>
      <c r="F1355" s="805">
        <v>100</v>
      </c>
      <c r="G1355" s="202" t="str">
        <f t="shared" si="21"/>
        <v/>
      </c>
    </row>
    <row r="1356" spans="1:7" s="172" customFormat="1" ht="15" customHeight="1" x14ac:dyDescent="0.25">
      <c r="A1356" s="805" t="s">
        <v>2543</v>
      </c>
      <c r="B1356" s="805" t="s">
        <v>2436</v>
      </c>
      <c r="C1356" s="805" t="s">
        <v>2436</v>
      </c>
      <c r="D1356" s="805" t="s">
        <v>2546</v>
      </c>
      <c r="E1356" s="805">
        <v>100</v>
      </c>
      <c r="F1356" s="805">
        <v>30</v>
      </c>
      <c r="G1356" s="202" t="str">
        <f t="shared" si="21"/>
        <v/>
      </c>
    </row>
    <row r="1357" spans="1:7" s="172" customFormat="1" ht="15" customHeight="1" x14ac:dyDescent="0.25">
      <c r="A1357" s="805" t="s">
        <v>2543</v>
      </c>
      <c r="B1357" s="805" t="s">
        <v>2436</v>
      </c>
      <c r="C1357" s="805" t="s">
        <v>2436</v>
      </c>
      <c r="D1357" s="805" t="s">
        <v>2547</v>
      </c>
      <c r="E1357" s="805">
        <v>160</v>
      </c>
      <c r="F1357" s="805">
        <v>100</v>
      </c>
      <c r="G1357" s="202" t="str">
        <f t="shared" si="21"/>
        <v/>
      </c>
    </row>
    <row r="1358" spans="1:7" s="172" customFormat="1" ht="15" customHeight="1" x14ac:dyDescent="0.25">
      <c r="A1358" s="805" t="s">
        <v>2543</v>
      </c>
      <c r="B1358" s="805" t="s">
        <v>2436</v>
      </c>
      <c r="C1358" s="805" t="s">
        <v>2436</v>
      </c>
      <c r="D1358" s="805" t="s">
        <v>2548</v>
      </c>
      <c r="E1358" s="805">
        <v>63</v>
      </c>
      <c r="F1358" s="805">
        <v>40</v>
      </c>
      <c r="G1358" s="202" t="str">
        <f t="shared" si="21"/>
        <v/>
      </c>
    </row>
    <row r="1359" spans="1:7" s="172" customFormat="1" ht="15" customHeight="1" x14ac:dyDescent="0.25">
      <c r="A1359" s="805" t="s">
        <v>2549</v>
      </c>
      <c r="B1359" s="805" t="s">
        <v>2436</v>
      </c>
      <c r="C1359" s="805" t="s">
        <v>2436</v>
      </c>
      <c r="D1359" s="805" t="s">
        <v>2525</v>
      </c>
      <c r="E1359" s="805">
        <v>160</v>
      </c>
      <c r="F1359" s="805">
        <v>10</v>
      </c>
      <c r="G1359" s="202" t="str">
        <f t="shared" si="21"/>
        <v/>
      </c>
    </row>
    <row r="1360" spans="1:7" s="172" customFormat="1" ht="15" customHeight="1" x14ac:dyDescent="0.25">
      <c r="A1360" s="805" t="s">
        <v>2549</v>
      </c>
      <c r="B1360" s="805" t="s">
        <v>2436</v>
      </c>
      <c r="C1360" s="805" t="s">
        <v>2436</v>
      </c>
      <c r="D1360" s="805" t="s">
        <v>2550</v>
      </c>
      <c r="E1360" s="805">
        <v>320</v>
      </c>
      <c r="F1360" s="805">
        <v>5</v>
      </c>
      <c r="G1360" s="202" t="str">
        <f t="shared" si="21"/>
        <v/>
      </c>
    </row>
    <row r="1361" spans="1:7" s="172" customFormat="1" ht="15" customHeight="1" x14ac:dyDescent="0.25">
      <c r="A1361" s="805" t="s">
        <v>2549</v>
      </c>
      <c r="B1361" s="805" t="s">
        <v>2436</v>
      </c>
      <c r="C1361" s="805" t="s">
        <v>2436</v>
      </c>
      <c r="D1361" s="805" t="s">
        <v>2551</v>
      </c>
      <c r="E1361" s="805">
        <v>100</v>
      </c>
      <c r="F1361" s="805">
        <v>30</v>
      </c>
      <c r="G1361" s="202" t="str">
        <f t="shared" si="21"/>
        <v/>
      </c>
    </row>
    <row r="1362" spans="1:7" s="172" customFormat="1" ht="15" customHeight="1" x14ac:dyDescent="0.25">
      <c r="A1362" s="805" t="s">
        <v>2552</v>
      </c>
      <c r="B1362" s="805" t="s">
        <v>2436</v>
      </c>
      <c r="C1362" s="805" t="s">
        <v>2436</v>
      </c>
      <c r="D1362" s="805" t="s">
        <v>2553</v>
      </c>
      <c r="E1362" s="805">
        <v>160</v>
      </c>
      <c r="F1362" s="805">
        <v>5</v>
      </c>
      <c r="G1362" s="202" t="str">
        <f t="shared" si="21"/>
        <v/>
      </c>
    </row>
    <row r="1363" spans="1:7" s="172" customFormat="1" ht="15" customHeight="1" x14ac:dyDescent="0.25">
      <c r="A1363" s="805" t="s">
        <v>2552</v>
      </c>
      <c r="B1363" s="805" t="s">
        <v>2436</v>
      </c>
      <c r="C1363" s="805" t="s">
        <v>2436</v>
      </c>
      <c r="D1363" s="805" t="s">
        <v>2554</v>
      </c>
      <c r="E1363" s="805">
        <v>160</v>
      </c>
      <c r="F1363" s="805">
        <v>100</v>
      </c>
      <c r="G1363" s="202" t="str">
        <f t="shared" si="21"/>
        <v/>
      </c>
    </row>
    <row r="1364" spans="1:7" s="172" customFormat="1" ht="15" customHeight="1" x14ac:dyDescent="0.25">
      <c r="A1364" s="805" t="s">
        <v>2555</v>
      </c>
      <c r="B1364" s="805" t="s">
        <v>2436</v>
      </c>
      <c r="C1364" s="805" t="s">
        <v>2436</v>
      </c>
      <c r="D1364" s="805" t="s">
        <v>2556</v>
      </c>
      <c r="E1364" s="805">
        <v>100</v>
      </c>
      <c r="F1364" s="805">
        <v>80</v>
      </c>
      <c r="G1364" s="202" t="str">
        <f t="shared" si="21"/>
        <v/>
      </c>
    </row>
    <row r="1365" spans="1:7" s="172" customFormat="1" ht="15" customHeight="1" x14ac:dyDescent="0.25">
      <c r="A1365" s="805" t="s">
        <v>2557</v>
      </c>
      <c r="B1365" s="805" t="s">
        <v>2436</v>
      </c>
      <c r="C1365" s="805" t="s">
        <v>2436</v>
      </c>
      <c r="D1365" s="805" t="s">
        <v>2558</v>
      </c>
      <c r="E1365" s="805">
        <v>63</v>
      </c>
      <c r="F1365" s="805">
        <v>20</v>
      </c>
      <c r="G1365" s="202" t="str">
        <f t="shared" si="21"/>
        <v/>
      </c>
    </row>
    <row r="1366" spans="1:7" s="172" customFormat="1" ht="15" customHeight="1" x14ac:dyDescent="0.25">
      <c r="A1366" s="805" t="s">
        <v>2559</v>
      </c>
      <c r="B1366" s="805" t="s">
        <v>2436</v>
      </c>
      <c r="C1366" s="805" t="s">
        <v>2436</v>
      </c>
      <c r="D1366" s="805" t="s">
        <v>2560</v>
      </c>
      <c r="E1366" s="805">
        <v>63</v>
      </c>
      <c r="F1366" s="805">
        <v>10</v>
      </c>
      <c r="G1366" s="202" t="str">
        <f t="shared" si="21"/>
        <v/>
      </c>
    </row>
    <row r="1367" spans="1:7" s="172" customFormat="1" ht="15" customHeight="1" x14ac:dyDescent="0.25">
      <c r="A1367" s="805" t="s">
        <v>2561</v>
      </c>
      <c r="B1367" s="805" t="s">
        <v>2436</v>
      </c>
      <c r="C1367" s="805" t="s">
        <v>2436</v>
      </c>
      <c r="D1367" s="805" t="s">
        <v>2562</v>
      </c>
      <c r="E1367" s="805">
        <v>10</v>
      </c>
      <c r="F1367" s="805">
        <v>5</v>
      </c>
      <c r="G1367" s="202" t="str">
        <f t="shared" si="21"/>
        <v/>
      </c>
    </row>
    <row r="1368" spans="1:7" s="172" customFormat="1" ht="15" customHeight="1" x14ac:dyDescent="0.25">
      <c r="A1368" s="805" t="s">
        <v>2465</v>
      </c>
      <c r="B1368" s="805" t="s">
        <v>2436</v>
      </c>
      <c r="C1368" s="805" t="s">
        <v>2436</v>
      </c>
      <c r="D1368" s="805" t="s">
        <v>2563</v>
      </c>
      <c r="E1368" s="805">
        <v>400</v>
      </c>
      <c r="F1368" s="805">
        <v>360</v>
      </c>
      <c r="G1368" s="202" t="str">
        <f t="shared" si="21"/>
        <v/>
      </c>
    </row>
    <row r="1369" spans="1:7" s="172" customFormat="1" ht="15" customHeight="1" x14ac:dyDescent="0.25">
      <c r="A1369" s="805" t="s">
        <v>2465</v>
      </c>
      <c r="B1369" s="805" t="s">
        <v>2436</v>
      </c>
      <c r="C1369" s="805" t="s">
        <v>2436</v>
      </c>
      <c r="D1369" s="805" t="s">
        <v>2550</v>
      </c>
      <c r="E1369" s="805">
        <v>100</v>
      </c>
      <c r="F1369" s="805">
        <v>5</v>
      </c>
      <c r="G1369" s="202" t="str">
        <f t="shared" si="21"/>
        <v/>
      </c>
    </row>
    <row r="1370" spans="1:7" s="172" customFormat="1" ht="15" customHeight="1" x14ac:dyDescent="0.25">
      <c r="A1370" s="805" t="s">
        <v>2465</v>
      </c>
      <c r="B1370" s="805" t="s">
        <v>2436</v>
      </c>
      <c r="C1370" s="805" t="s">
        <v>2436</v>
      </c>
      <c r="D1370" s="805" t="s">
        <v>2564</v>
      </c>
      <c r="E1370" s="805">
        <v>100</v>
      </c>
      <c r="F1370" s="805">
        <v>5</v>
      </c>
      <c r="G1370" s="202" t="str">
        <f t="shared" si="21"/>
        <v/>
      </c>
    </row>
    <row r="1371" spans="1:7" s="172" customFormat="1" ht="15" customHeight="1" x14ac:dyDescent="0.25">
      <c r="A1371" s="805" t="s">
        <v>2565</v>
      </c>
      <c r="B1371" s="805" t="s">
        <v>2436</v>
      </c>
      <c r="C1371" s="805" t="s">
        <v>2436</v>
      </c>
      <c r="D1371" s="805" t="s">
        <v>2566</v>
      </c>
      <c r="E1371" s="805">
        <v>63</v>
      </c>
      <c r="F1371" s="805">
        <v>10</v>
      </c>
      <c r="G1371" s="202" t="str">
        <f t="shared" si="21"/>
        <v/>
      </c>
    </row>
    <row r="1372" spans="1:7" s="172" customFormat="1" ht="15" customHeight="1" x14ac:dyDescent="0.25">
      <c r="A1372" s="805" t="s">
        <v>2567</v>
      </c>
      <c r="B1372" s="805" t="s">
        <v>2436</v>
      </c>
      <c r="C1372" s="805" t="s">
        <v>2436</v>
      </c>
      <c r="D1372" s="805" t="s">
        <v>2568</v>
      </c>
      <c r="E1372" s="805">
        <v>100</v>
      </c>
      <c r="F1372" s="805">
        <v>40</v>
      </c>
      <c r="G1372" s="202" t="str">
        <f t="shared" si="21"/>
        <v/>
      </c>
    </row>
    <row r="1373" spans="1:7" s="172" customFormat="1" ht="15" customHeight="1" x14ac:dyDescent="0.25">
      <c r="A1373" s="805" t="s">
        <v>2569</v>
      </c>
      <c r="B1373" s="805" t="s">
        <v>2436</v>
      </c>
      <c r="C1373" s="805" t="s">
        <v>2436</v>
      </c>
      <c r="D1373" s="805" t="s">
        <v>2570</v>
      </c>
      <c r="E1373" s="805">
        <v>63</v>
      </c>
      <c r="F1373" s="805">
        <v>24</v>
      </c>
      <c r="G1373" s="202" t="str">
        <f t="shared" si="21"/>
        <v/>
      </c>
    </row>
    <row r="1374" spans="1:7" s="172" customFormat="1" ht="15" customHeight="1" x14ac:dyDescent="0.25">
      <c r="A1374" s="805" t="s">
        <v>2571</v>
      </c>
      <c r="B1374" s="805" t="s">
        <v>2436</v>
      </c>
      <c r="C1374" s="805" t="s">
        <v>2436</v>
      </c>
      <c r="D1374" s="805" t="s">
        <v>2572</v>
      </c>
      <c r="E1374" s="805">
        <v>30</v>
      </c>
      <c r="F1374" s="805">
        <v>10</v>
      </c>
      <c r="G1374" s="202" t="str">
        <f t="shared" si="21"/>
        <v/>
      </c>
    </row>
    <row r="1375" spans="1:7" s="172" customFormat="1" ht="15" customHeight="1" x14ac:dyDescent="0.25">
      <c r="A1375" s="805" t="s">
        <v>2573</v>
      </c>
      <c r="B1375" s="805" t="s">
        <v>2436</v>
      </c>
      <c r="C1375" s="805" t="s">
        <v>2436</v>
      </c>
      <c r="D1375" s="805" t="s">
        <v>2574</v>
      </c>
      <c r="E1375" s="805">
        <v>63</v>
      </c>
      <c r="F1375" s="805">
        <v>30</v>
      </c>
      <c r="G1375" s="202" t="str">
        <f t="shared" si="21"/>
        <v/>
      </c>
    </row>
    <row r="1376" spans="1:7" s="172" customFormat="1" ht="15" customHeight="1" x14ac:dyDescent="0.25">
      <c r="A1376" s="805" t="s">
        <v>2575</v>
      </c>
      <c r="B1376" s="805" t="s">
        <v>2436</v>
      </c>
      <c r="C1376" s="805" t="s">
        <v>2436</v>
      </c>
      <c r="D1376" s="805" t="s">
        <v>2576</v>
      </c>
      <c r="E1376" s="805">
        <v>63</v>
      </c>
      <c r="F1376" s="805">
        <v>30</v>
      </c>
      <c r="G1376" s="202" t="str">
        <f t="shared" si="21"/>
        <v/>
      </c>
    </row>
    <row r="1377" spans="1:7" s="172" customFormat="1" ht="15" customHeight="1" x14ac:dyDescent="0.25">
      <c r="A1377" s="805" t="s">
        <v>12269</v>
      </c>
      <c r="B1377" s="805" t="s">
        <v>2436</v>
      </c>
      <c r="C1377" s="805" t="s">
        <v>2436</v>
      </c>
      <c r="D1377" s="805" t="s">
        <v>19817</v>
      </c>
      <c r="E1377" s="805" t="s">
        <v>2143</v>
      </c>
      <c r="F1377" s="805" t="s">
        <v>2143</v>
      </c>
      <c r="G1377" s="202" t="str">
        <f t="shared" si="21"/>
        <v>не загружен</v>
      </c>
    </row>
    <row r="1378" spans="1:7" s="172" customFormat="1" ht="15" customHeight="1" x14ac:dyDescent="0.25">
      <c r="A1378" s="805" t="s">
        <v>12273</v>
      </c>
      <c r="B1378" s="805" t="s">
        <v>2436</v>
      </c>
      <c r="C1378" s="805" t="s">
        <v>2436</v>
      </c>
      <c r="D1378" s="805" t="s">
        <v>2577</v>
      </c>
      <c r="E1378" s="805">
        <v>630</v>
      </c>
      <c r="F1378" s="805">
        <v>280</v>
      </c>
      <c r="G1378" s="202" t="str">
        <f t="shared" si="21"/>
        <v/>
      </c>
    </row>
    <row r="1379" spans="1:7" s="172" customFormat="1" ht="15" customHeight="1" x14ac:dyDescent="0.25">
      <c r="A1379" s="805" t="s">
        <v>12273</v>
      </c>
      <c r="B1379" s="805" t="s">
        <v>2436</v>
      </c>
      <c r="C1379" s="805" t="s">
        <v>2436</v>
      </c>
      <c r="D1379" s="805" t="s">
        <v>2578</v>
      </c>
      <c r="E1379" s="805">
        <v>100</v>
      </c>
      <c r="F1379" s="805">
        <v>50</v>
      </c>
      <c r="G1379" s="202" t="str">
        <f t="shared" si="21"/>
        <v/>
      </c>
    </row>
    <row r="1380" spans="1:7" s="172" customFormat="1" ht="15" customHeight="1" x14ac:dyDescent="0.25">
      <c r="A1380" s="805" t="s">
        <v>2579</v>
      </c>
      <c r="B1380" s="805" t="s">
        <v>2436</v>
      </c>
      <c r="C1380" s="805" t="s">
        <v>2436</v>
      </c>
      <c r="D1380" s="805" t="s">
        <v>2580</v>
      </c>
      <c r="E1380" s="805">
        <v>160</v>
      </c>
      <c r="F1380" s="805">
        <v>75</v>
      </c>
      <c r="G1380" s="202" t="str">
        <f t="shared" si="21"/>
        <v/>
      </c>
    </row>
    <row r="1381" spans="1:7" s="172" customFormat="1" ht="15" customHeight="1" x14ac:dyDescent="0.25">
      <c r="A1381" s="805" t="s">
        <v>2581</v>
      </c>
      <c r="B1381" s="805" t="s">
        <v>2436</v>
      </c>
      <c r="C1381" s="805" t="s">
        <v>2436</v>
      </c>
      <c r="D1381" s="805" t="s">
        <v>2582</v>
      </c>
      <c r="E1381" s="805">
        <v>160</v>
      </c>
      <c r="F1381" s="805">
        <v>50</v>
      </c>
      <c r="G1381" s="202" t="str">
        <f t="shared" si="21"/>
        <v/>
      </c>
    </row>
    <row r="1382" spans="1:7" s="172" customFormat="1" ht="15" customHeight="1" x14ac:dyDescent="0.25">
      <c r="A1382" s="805" t="s">
        <v>2581</v>
      </c>
      <c r="B1382" s="805" t="s">
        <v>2436</v>
      </c>
      <c r="C1382" s="805" t="s">
        <v>2436</v>
      </c>
      <c r="D1382" s="805" t="s">
        <v>19818</v>
      </c>
      <c r="E1382" s="805">
        <v>100</v>
      </c>
      <c r="F1382" s="805" t="s">
        <v>2143</v>
      </c>
      <c r="G1382" s="202" t="str">
        <f t="shared" si="21"/>
        <v/>
      </c>
    </row>
    <row r="1383" spans="1:7" s="172" customFormat="1" ht="15" customHeight="1" x14ac:dyDescent="0.25">
      <c r="A1383" s="805" t="s">
        <v>2583</v>
      </c>
      <c r="B1383" s="805" t="s">
        <v>2436</v>
      </c>
      <c r="C1383" s="805" t="s">
        <v>2436</v>
      </c>
      <c r="D1383" s="805" t="s">
        <v>2584</v>
      </c>
      <c r="E1383" s="805">
        <v>100</v>
      </c>
      <c r="F1383" s="805">
        <v>3</v>
      </c>
      <c r="G1383" s="202" t="str">
        <f t="shared" si="21"/>
        <v/>
      </c>
    </row>
    <row r="1384" spans="1:7" s="172" customFormat="1" ht="15" customHeight="1" x14ac:dyDescent="0.25">
      <c r="A1384" s="805" t="s">
        <v>2585</v>
      </c>
      <c r="B1384" s="805" t="s">
        <v>2436</v>
      </c>
      <c r="C1384" s="805" t="s">
        <v>2436</v>
      </c>
      <c r="D1384" s="805" t="s">
        <v>2586</v>
      </c>
      <c r="E1384" s="805">
        <v>100</v>
      </c>
      <c r="F1384" s="805">
        <v>3</v>
      </c>
      <c r="G1384" s="202" t="str">
        <f t="shared" si="21"/>
        <v/>
      </c>
    </row>
    <row r="1385" spans="1:7" s="172" customFormat="1" ht="15" customHeight="1" x14ac:dyDescent="0.25">
      <c r="A1385" s="805" t="s">
        <v>2581</v>
      </c>
      <c r="B1385" s="805" t="s">
        <v>2436</v>
      </c>
      <c r="C1385" s="805" t="s">
        <v>2436</v>
      </c>
      <c r="D1385" s="805" t="s">
        <v>2506</v>
      </c>
      <c r="E1385" s="805">
        <v>250</v>
      </c>
      <c r="F1385" s="805">
        <v>50</v>
      </c>
      <c r="G1385" s="202" t="str">
        <f t="shared" si="21"/>
        <v/>
      </c>
    </row>
    <row r="1386" spans="1:7" s="172" customFormat="1" ht="15" customHeight="1" x14ac:dyDescent="0.25">
      <c r="A1386" s="805" t="s">
        <v>2581</v>
      </c>
      <c r="B1386" s="805" t="s">
        <v>2436</v>
      </c>
      <c r="C1386" s="805" t="s">
        <v>2436</v>
      </c>
      <c r="D1386" s="805" t="s">
        <v>2525</v>
      </c>
      <c r="E1386" s="805">
        <v>400</v>
      </c>
      <c r="F1386" s="805">
        <v>100</v>
      </c>
      <c r="G1386" s="202" t="str">
        <f t="shared" si="21"/>
        <v/>
      </c>
    </row>
    <row r="1387" spans="1:7" s="172" customFormat="1" ht="15" customHeight="1" x14ac:dyDescent="0.25">
      <c r="A1387" s="805" t="s">
        <v>2587</v>
      </c>
      <c r="B1387" s="805" t="s">
        <v>2436</v>
      </c>
      <c r="C1387" s="805" t="s">
        <v>2436</v>
      </c>
      <c r="D1387" s="805" t="s">
        <v>2588</v>
      </c>
      <c r="E1387" s="805">
        <v>63</v>
      </c>
      <c r="F1387" s="805">
        <v>13</v>
      </c>
      <c r="G1387" s="202" t="str">
        <f t="shared" si="21"/>
        <v/>
      </c>
    </row>
    <row r="1388" spans="1:7" s="172" customFormat="1" ht="15" customHeight="1" x14ac:dyDescent="0.25">
      <c r="A1388" s="805" t="s">
        <v>2589</v>
      </c>
      <c r="B1388" s="805" t="s">
        <v>2436</v>
      </c>
      <c r="C1388" s="805" t="s">
        <v>2436</v>
      </c>
      <c r="D1388" s="805" t="s">
        <v>2590</v>
      </c>
      <c r="E1388" s="805">
        <v>160</v>
      </c>
      <c r="F1388" s="805">
        <v>5</v>
      </c>
      <c r="G1388" s="202" t="str">
        <f t="shared" si="21"/>
        <v/>
      </c>
    </row>
    <row r="1389" spans="1:7" s="172" customFormat="1" ht="15" customHeight="1" x14ac:dyDescent="0.25">
      <c r="A1389" s="805" t="s">
        <v>2591</v>
      </c>
      <c r="B1389" s="805" t="s">
        <v>2436</v>
      </c>
      <c r="C1389" s="805" t="s">
        <v>2436</v>
      </c>
      <c r="D1389" s="805" t="s">
        <v>2592</v>
      </c>
      <c r="E1389" s="805">
        <v>160</v>
      </c>
      <c r="F1389" s="805">
        <v>5</v>
      </c>
      <c r="G1389" s="202" t="str">
        <f t="shared" si="21"/>
        <v/>
      </c>
    </row>
    <row r="1390" spans="1:7" s="172" customFormat="1" ht="15" customHeight="1" x14ac:dyDescent="0.25">
      <c r="A1390" s="805" t="s">
        <v>2593</v>
      </c>
      <c r="B1390" s="805" t="s">
        <v>2436</v>
      </c>
      <c r="C1390" s="805" t="s">
        <v>2436</v>
      </c>
      <c r="D1390" s="805" t="s">
        <v>2594</v>
      </c>
      <c r="E1390" s="805">
        <v>63</v>
      </c>
      <c r="F1390" s="805">
        <v>3</v>
      </c>
      <c r="G1390" s="202" t="str">
        <f t="shared" si="21"/>
        <v/>
      </c>
    </row>
    <row r="1391" spans="1:7" s="172" customFormat="1" ht="15" customHeight="1" x14ac:dyDescent="0.25">
      <c r="A1391" s="805" t="s">
        <v>2595</v>
      </c>
      <c r="B1391" s="805" t="s">
        <v>2436</v>
      </c>
      <c r="C1391" s="805" t="s">
        <v>2436</v>
      </c>
      <c r="D1391" s="805" t="s">
        <v>2596</v>
      </c>
      <c r="E1391" s="805">
        <v>100</v>
      </c>
      <c r="F1391" s="805">
        <v>30</v>
      </c>
      <c r="G1391" s="202" t="str">
        <f t="shared" si="21"/>
        <v/>
      </c>
    </row>
    <row r="1392" spans="1:7" s="172" customFormat="1" ht="15" customHeight="1" x14ac:dyDescent="0.25">
      <c r="A1392" s="805" t="s">
        <v>2597</v>
      </c>
      <c r="B1392" s="805" t="s">
        <v>2436</v>
      </c>
      <c r="C1392" s="805" t="s">
        <v>2436</v>
      </c>
      <c r="D1392" s="805" t="s">
        <v>2598</v>
      </c>
      <c r="E1392" s="805">
        <v>30</v>
      </c>
      <c r="F1392" s="805">
        <v>3</v>
      </c>
      <c r="G1392" s="202" t="str">
        <f t="shared" si="21"/>
        <v/>
      </c>
    </row>
    <row r="1393" spans="1:7" s="172" customFormat="1" ht="15" customHeight="1" x14ac:dyDescent="0.25">
      <c r="A1393" s="805" t="s">
        <v>2587</v>
      </c>
      <c r="B1393" s="805" t="s">
        <v>2436</v>
      </c>
      <c r="C1393" s="805" t="s">
        <v>2436</v>
      </c>
      <c r="D1393" s="805" t="s">
        <v>2599</v>
      </c>
      <c r="E1393" s="805">
        <v>30</v>
      </c>
      <c r="F1393" s="805">
        <v>30</v>
      </c>
      <c r="G1393" s="202" t="str">
        <f t="shared" si="21"/>
        <v>не загружен</v>
      </c>
    </row>
    <row r="1394" spans="1:7" s="172" customFormat="1" ht="15" customHeight="1" x14ac:dyDescent="0.25">
      <c r="A1394" s="805" t="s">
        <v>2600</v>
      </c>
      <c r="B1394" s="805" t="s">
        <v>2436</v>
      </c>
      <c r="C1394" s="805" t="s">
        <v>2436</v>
      </c>
      <c r="D1394" s="805" t="s">
        <v>2601</v>
      </c>
      <c r="E1394" s="805">
        <v>400</v>
      </c>
      <c r="F1394" s="805">
        <v>110</v>
      </c>
      <c r="G1394" s="202" t="str">
        <f t="shared" si="21"/>
        <v/>
      </c>
    </row>
    <row r="1395" spans="1:7" s="172" customFormat="1" ht="15" customHeight="1" x14ac:dyDescent="0.25">
      <c r="A1395" s="805" t="s">
        <v>2602</v>
      </c>
      <c r="B1395" s="805" t="s">
        <v>2436</v>
      </c>
      <c r="C1395" s="805" t="s">
        <v>2436</v>
      </c>
      <c r="D1395" s="805" t="s">
        <v>2603</v>
      </c>
      <c r="E1395" s="805">
        <v>160</v>
      </c>
      <c r="F1395" s="805">
        <v>100</v>
      </c>
      <c r="G1395" s="202" t="str">
        <f t="shared" si="21"/>
        <v/>
      </c>
    </row>
    <row r="1396" spans="1:7" s="172" customFormat="1" ht="15" customHeight="1" x14ac:dyDescent="0.25">
      <c r="A1396" s="805" t="s">
        <v>2604</v>
      </c>
      <c r="B1396" s="805" t="s">
        <v>2436</v>
      </c>
      <c r="C1396" s="805" t="s">
        <v>2436</v>
      </c>
      <c r="D1396" s="805" t="s">
        <v>2605</v>
      </c>
      <c r="E1396" s="805">
        <v>250</v>
      </c>
      <c r="F1396" s="805">
        <v>45</v>
      </c>
      <c r="G1396" s="202" t="str">
        <f t="shared" si="21"/>
        <v/>
      </c>
    </row>
    <row r="1397" spans="1:7" s="172" customFormat="1" ht="15" customHeight="1" x14ac:dyDescent="0.25">
      <c r="A1397" s="805" t="s">
        <v>2606</v>
      </c>
      <c r="B1397" s="805" t="s">
        <v>2436</v>
      </c>
      <c r="C1397" s="805" t="s">
        <v>2436</v>
      </c>
      <c r="D1397" s="805" t="s">
        <v>2607</v>
      </c>
      <c r="E1397" s="805">
        <v>40</v>
      </c>
      <c r="F1397" s="805">
        <v>3</v>
      </c>
      <c r="G1397" s="202" t="str">
        <f t="shared" si="21"/>
        <v/>
      </c>
    </row>
    <row r="1398" spans="1:7" s="172" customFormat="1" ht="15" customHeight="1" x14ac:dyDescent="0.25">
      <c r="A1398" s="805" t="s">
        <v>2604</v>
      </c>
      <c r="B1398" s="805" t="s">
        <v>2436</v>
      </c>
      <c r="C1398" s="805" t="s">
        <v>2436</v>
      </c>
      <c r="D1398" s="805" t="s">
        <v>2608</v>
      </c>
      <c r="E1398" s="805">
        <v>250</v>
      </c>
      <c r="F1398" s="805">
        <v>161</v>
      </c>
      <c r="G1398" s="202" t="str">
        <f t="shared" si="21"/>
        <v/>
      </c>
    </row>
    <row r="1399" spans="1:7" s="172" customFormat="1" ht="15" customHeight="1" x14ac:dyDescent="0.25">
      <c r="A1399" s="805" t="s">
        <v>2609</v>
      </c>
      <c r="B1399" s="805" t="s">
        <v>2436</v>
      </c>
      <c r="C1399" s="805" t="s">
        <v>2436</v>
      </c>
      <c r="D1399" s="805" t="s">
        <v>2610</v>
      </c>
      <c r="E1399" s="805">
        <v>100</v>
      </c>
      <c r="F1399" s="805">
        <v>5</v>
      </c>
      <c r="G1399" s="202" t="str">
        <f t="shared" si="21"/>
        <v/>
      </c>
    </row>
    <row r="1400" spans="1:7" s="172" customFormat="1" ht="15" customHeight="1" x14ac:dyDescent="0.25">
      <c r="A1400" s="805" t="s">
        <v>2609</v>
      </c>
      <c r="B1400" s="805" t="s">
        <v>2436</v>
      </c>
      <c r="C1400" s="805" t="s">
        <v>2436</v>
      </c>
      <c r="D1400" s="805" t="s">
        <v>2611</v>
      </c>
      <c r="E1400" s="805">
        <v>100</v>
      </c>
      <c r="F1400" s="805">
        <v>2</v>
      </c>
      <c r="G1400" s="202" t="str">
        <f t="shared" si="21"/>
        <v/>
      </c>
    </row>
    <row r="1401" spans="1:7" s="172" customFormat="1" ht="15" customHeight="1" x14ac:dyDescent="0.25">
      <c r="A1401" s="805" t="s">
        <v>2612</v>
      </c>
      <c r="B1401" s="805" t="s">
        <v>2436</v>
      </c>
      <c r="C1401" s="805" t="s">
        <v>2436</v>
      </c>
      <c r="D1401" s="805" t="s">
        <v>2613</v>
      </c>
      <c r="E1401" s="805">
        <v>63</v>
      </c>
      <c r="F1401" s="805">
        <v>3</v>
      </c>
      <c r="G1401" s="202" t="str">
        <f t="shared" si="21"/>
        <v/>
      </c>
    </row>
    <row r="1402" spans="1:7" s="172" customFormat="1" ht="15" customHeight="1" x14ac:dyDescent="0.25">
      <c r="A1402" s="805" t="s">
        <v>2614</v>
      </c>
      <c r="B1402" s="805" t="s">
        <v>2436</v>
      </c>
      <c r="C1402" s="805" t="s">
        <v>2436</v>
      </c>
      <c r="D1402" s="805" t="s">
        <v>2615</v>
      </c>
      <c r="E1402" s="805">
        <v>100</v>
      </c>
      <c r="F1402" s="805">
        <v>5</v>
      </c>
      <c r="G1402" s="202" t="str">
        <f t="shared" si="21"/>
        <v/>
      </c>
    </row>
    <row r="1403" spans="1:7" s="172" customFormat="1" ht="15" customHeight="1" x14ac:dyDescent="0.25">
      <c r="A1403" s="805" t="s">
        <v>2614</v>
      </c>
      <c r="B1403" s="805" t="s">
        <v>2436</v>
      </c>
      <c r="C1403" s="805" t="s">
        <v>2436</v>
      </c>
      <c r="D1403" s="805" t="s">
        <v>19819</v>
      </c>
      <c r="E1403" s="805">
        <v>100</v>
      </c>
      <c r="F1403" s="805" t="s">
        <v>2143</v>
      </c>
      <c r="G1403" s="202" t="str">
        <f t="shared" si="21"/>
        <v/>
      </c>
    </row>
    <row r="1404" spans="1:7" s="172" customFormat="1" ht="15" customHeight="1" x14ac:dyDescent="0.25">
      <c r="A1404" s="805" t="s">
        <v>2616</v>
      </c>
      <c r="B1404" s="805" t="s">
        <v>2436</v>
      </c>
      <c r="C1404" s="805" t="s">
        <v>2436</v>
      </c>
      <c r="D1404" s="805" t="s">
        <v>2617</v>
      </c>
      <c r="E1404" s="805">
        <v>63</v>
      </c>
      <c r="F1404" s="805">
        <v>3</v>
      </c>
      <c r="G1404" s="202" t="str">
        <f t="shared" si="21"/>
        <v/>
      </c>
    </row>
    <row r="1405" spans="1:7" s="172" customFormat="1" ht="15" customHeight="1" x14ac:dyDescent="0.25">
      <c r="A1405" s="805" t="s">
        <v>2618</v>
      </c>
      <c r="B1405" s="805" t="s">
        <v>2436</v>
      </c>
      <c r="C1405" s="805" t="s">
        <v>2436</v>
      </c>
      <c r="D1405" s="805" t="s">
        <v>2619</v>
      </c>
      <c r="E1405" s="805">
        <v>63</v>
      </c>
      <c r="F1405" s="805">
        <v>3</v>
      </c>
      <c r="G1405" s="202" t="str">
        <f t="shared" si="21"/>
        <v/>
      </c>
    </row>
    <row r="1406" spans="1:7" s="172" customFormat="1" ht="15" customHeight="1" x14ac:dyDescent="0.25">
      <c r="A1406" s="805" t="s">
        <v>2620</v>
      </c>
      <c r="B1406" s="805" t="s">
        <v>2436</v>
      </c>
      <c r="C1406" s="805" t="s">
        <v>2436</v>
      </c>
      <c r="D1406" s="805" t="s">
        <v>2621</v>
      </c>
      <c r="E1406" s="805">
        <v>63</v>
      </c>
      <c r="F1406" s="805">
        <v>30</v>
      </c>
      <c r="G1406" s="202" t="str">
        <f t="shared" si="21"/>
        <v/>
      </c>
    </row>
    <row r="1407" spans="1:7" s="172" customFormat="1" ht="15" customHeight="1" x14ac:dyDescent="0.25">
      <c r="A1407" s="805" t="s">
        <v>2600</v>
      </c>
      <c r="B1407" s="805" t="s">
        <v>2436</v>
      </c>
      <c r="C1407" s="805" t="s">
        <v>2436</v>
      </c>
      <c r="D1407" s="805" t="s">
        <v>2622</v>
      </c>
      <c r="E1407" s="805">
        <v>250</v>
      </c>
      <c r="F1407" s="805">
        <v>130</v>
      </c>
      <c r="G1407" s="202" t="str">
        <f t="shared" si="21"/>
        <v/>
      </c>
    </row>
    <row r="1408" spans="1:7" s="172" customFormat="1" ht="15" customHeight="1" x14ac:dyDescent="0.25">
      <c r="A1408" s="805" t="s">
        <v>2623</v>
      </c>
      <c r="B1408" s="805" t="s">
        <v>2436</v>
      </c>
      <c r="C1408" s="805" t="s">
        <v>2436</v>
      </c>
      <c r="D1408" s="805" t="s">
        <v>2624</v>
      </c>
      <c r="E1408" s="805">
        <v>100</v>
      </c>
      <c r="F1408" s="805">
        <v>2</v>
      </c>
      <c r="G1408" s="202" t="str">
        <f t="shared" si="21"/>
        <v/>
      </c>
    </row>
    <row r="1409" spans="1:7" s="172" customFormat="1" ht="15" customHeight="1" x14ac:dyDescent="0.25">
      <c r="A1409" s="805" t="s">
        <v>2625</v>
      </c>
      <c r="B1409" s="805" t="s">
        <v>2436</v>
      </c>
      <c r="C1409" s="805" t="s">
        <v>2436</v>
      </c>
      <c r="D1409" s="805" t="s">
        <v>2626</v>
      </c>
      <c r="E1409" s="805">
        <v>63</v>
      </c>
      <c r="F1409" s="805">
        <v>40</v>
      </c>
      <c r="G1409" s="202" t="str">
        <f t="shared" si="21"/>
        <v/>
      </c>
    </row>
    <row r="1410" spans="1:7" s="172" customFormat="1" ht="15" customHeight="1" x14ac:dyDescent="0.25">
      <c r="A1410" s="805" t="s">
        <v>12269</v>
      </c>
      <c r="B1410" s="805" t="s">
        <v>2436</v>
      </c>
      <c r="C1410" s="805" t="s">
        <v>2436</v>
      </c>
      <c r="D1410" s="805" t="s">
        <v>2627</v>
      </c>
      <c r="E1410" s="805">
        <v>100</v>
      </c>
      <c r="F1410" s="805">
        <v>50</v>
      </c>
      <c r="G1410" s="202" t="str">
        <f t="shared" si="21"/>
        <v/>
      </c>
    </row>
    <row r="1411" spans="1:7" s="172" customFormat="1" ht="15" customHeight="1" x14ac:dyDescent="0.25">
      <c r="A1411" s="805" t="s">
        <v>12269</v>
      </c>
      <c r="B1411" s="805" t="s">
        <v>2436</v>
      </c>
      <c r="C1411" s="805" t="s">
        <v>2436</v>
      </c>
      <c r="D1411" s="805" t="s">
        <v>2628</v>
      </c>
      <c r="E1411" s="805">
        <v>60</v>
      </c>
      <c r="F1411" s="805">
        <v>50</v>
      </c>
      <c r="G1411" s="202" t="str">
        <f t="shared" si="21"/>
        <v/>
      </c>
    </row>
    <row r="1412" spans="1:7" s="172" customFormat="1" ht="15" customHeight="1" x14ac:dyDescent="0.25">
      <c r="A1412" s="805" t="s">
        <v>2629</v>
      </c>
      <c r="B1412" s="805" t="s">
        <v>2436</v>
      </c>
      <c r="C1412" s="805" t="s">
        <v>2436</v>
      </c>
      <c r="D1412" s="805" t="s">
        <v>2630</v>
      </c>
      <c r="E1412" s="805">
        <v>50</v>
      </c>
      <c r="F1412" s="805">
        <v>3</v>
      </c>
      <c r="G1412" s="202" t="str">
        <f t="shared" ref="G1412:G1475" si="22">IF(E1412=F1412,"не загружен","")</f>
        <v/>
      </c>
    </row>
    <row r="1413" spans="1:7" s="172" customFormat="1" ht="15" customHeight="1" x14ac:dyDescent="0.25">
      <c r="A1413" s="805" t="s">
        <v>2629</v>
      </c>
      <c r="B1413" s="805" t="s">
        <v>2436</v>
      </c>
      <c r="C1413" s="805" t="s">
        <v>2436</v>
      </c>
      <c r="D1413" s="805" t="s">
        <v>2631</v>
      </c>
      <c r="E1413" s="805">
        <v>160</v>
      </c>
      <c r="F1413" s="805">
        <v>100</v>
      </c>
      <c r="G1413" s="202" t="str">
        <f t="shared" si="22"/>
        <v/>
      </c>
    </row>
    <row r="1414" spans="1:7" s="172" customFormat="1" ht="15" customHeight="1" x14ac:dyDescent="0.25">
      <c r="A1414" s="805" t="s">
        <v>2629</v>
      </c>
      <c r="B1414" s="805" t="s">
        <v>2436</v>
      </c>
      <c r="C1414" s="805" t="s">
        <v>2436</v>
      </c>
      <c r="D1414" s="805" t="s">
        <v>2632</v>
      </c>
      <c r="E1414" s="805">
        <v>160</v>
      </c>
      <c r="F1414" s="805">
        <v>61.1</v>
      </c>
      <c r="G1414" s="202" t="str">
        <f t="shared" si="22"/>
        <v/>
      </c>
    </row>
    <row r="1415" spans="1:7" s="172" customFormat="1" ht="15" customHeight="1" x14ac:dyDescent="0.25">
      <c r="A1415" s="805" t="s">
        <v>2629</v>
      </c>
      <c r="B1415" s="805" t="s">
        <v>2436</v>
      </c>
      <c r="C1415" s="805" t="s">
        <v>2436</v>
      </c>
      <c r="D1415" s="805" t="s">
        <v>2633</v>
      </c>
      <c r="E1415" s="805">
        <v>100</v>
      </c>
      <c r="F1415" s="805">
        <v>2</v>
      </c>
      <c r="G1415" s="202" t="str">
        <f t="shared" si="22"/>
        <v/>
      </c>
    </row>
    <row r="1416" spans="1:7" s="172" customFormat="1" ht="15" customHeight="1" x14ac:dyDescent="0.25">
      <c r="A1416" s="805" t="s">
        <v>2629</v>
      </c>
      <c r="B1416" s="805" t="s">
        <v>2436</v>
      </c>
      <c r="C1416" s="805" t="s">
        <v>2436</v>
      </c>
      <c r="D1416" s="805" t="s">
        <v>2634</v>
      </c>
      <c r="E1416" s="805">
        <v>250</v>
      </c>
      <c r="F1416" s="805">
        <v>160</v>
      </c>
      <c r="G1416" s="202" t="str">
        <f t="shared" si="22"/>
        <v/>
      </c>
    </row>
    <row r="1417" spans="1:7" s="172" customFormat="1" ht="15" customHeight="1" x14ac:dyDescent="0.25">
      <c r="A1417" s="805" t="s">
        <v>2635</v>
      </c>
      <c r="B1417" s="805" t="s">
        <v>2436</v>
      </c>
      <c r="C1417" s="805" t="s">
        <v>2436</v>
      </c>
      <c r="D1417" s="805" t="s">
        <v>2636</v>
      </c>
      <c r="E1417" s="805">
        <v>63</v>
      </c>
      <c r="F1417" s="805">
        <v>4</v>
      </c>
      <c r="G1417" s="202" t="str">
        <f t="shared" si="22"/>
        <v/>
      </c>
    </row>
    <row r="1418" spans="1:7" s="172" customFormat="1" ht="15" customHeight="1" x14ac:dyDescent="0.25">
      <c r="A1418" s="805" t="s">
        <v>2635</v>
      </c>
      <c r="B1418" s="805" t="s">
        <v>2436</v>
      </c>
      <c r="C1418" s="805" t="s">
        <v>2436</v>
      </c>
      <c r="D1418" s="805" t="s">
        <v>2637</v>
      </c>
      <c r="E1418" s="805">
        <v>100</v>
      </c>
      <c r="F1418" s="805">
        <v>50</v>
      </c>
      <c r="G1418" s="202" t="str">
        <f t="shared" si="22"/>
        <v/>
      </c>
    </row>
    <row r="1419" spans="1:7" s="172" customFormat="1" ht="15" customHeight="1" x14ac:dyDescent="0.25">
      <c r="A1419" s="805" t="s">
        <v>2629</v>
      </c>
      <c r="B1419" s="805" t="s">
        <v>2436</v>
      </c>
      <c r="C1419" s="805" t="s">
        <v>2436</v>
      </c>
      <c r="D1419" s="805" t="s">
        <v>2638</v>
      </c>
      <c r="E1419" s="805">
        <v>250</v>
      </c>
      <c r="F1419" s="805">
        <v>120</v>
      </c>
      <c r="G1419" s="202" t="str">
        <f t="shared" si="22"/>
        <v/>
      </c>
    </row>
    <row r="1420" spans="1:7" s="172" customFormat="1" ht="15" customHeight="1" x14ac:dyDescent="0.25">
      <c r="A1420" s="805" t="s">
        <v>2629</v>
      </c>
      <c r="B1420" s="805" t="s">
        <v>2436</v>
      </c>
      <c r="C1420" s="805" t="s">
        <v>2436</v>
      </c>
      <c r="D1420" s="805" t="s">
        <v>2639</v>
      </c>
      <c r="E1420" s="805">
        <v>160</v>
      </c>
      <c r="F1420" s="805">
        <v>100</v>
      </c>
      <c r="G1420" s="202" t="str">
        <f t="shared" si="22"/>
        <v/>
      </c>
    </row>
    <row r="1421" spans="1:7" s="172" customFormat="1" ht="15" customHeight="1" x14ac:dyDescent="0.25">
      <c r="A1421" s="805" t="s">
        <v>2640</v>
      </c>
      <c r="B1421" s="805" t="s">
        <v>2436</v>
      </c>
      <c r="C1421" s="805" t="s">
        <v>2436</v>
      </c>
      <c r="D1421" s="805" t="s">
        <v>2641</v>
      </c>
      <c r="E1421" s="805">
        <v>50</v>
      </c>
      <c r="F1421" s="805">
        <v>5</v>
      </c>
      <c r="G1421" s="202" t="str">
        <f t="shared" si="22"/>
        <v/>
      </c>
    </row>
    <row r="1422" spans="1:7" s="172" customFormat="1" ht="15" customHeight="1" x14ac:dyDescent="0.25">
      <c r="A1422" s="805" t="s">
        <v>2642</v>
      </c>
      <c r="B1422" s="805" t="s">
        <v>2436</v>
      </c>
      <c r="C1422" s="805" t="s">
        <v>2436</v>
      </c>
      <c r="D1422" s="805" t="s">
        <v>2643</v>
      </c>
      <c r="E1422" s="805">
        <v>100</v>
      </c>
      <c r="F1422" s="805">
        <v>10</v>
      </c>
      <c r="G1422" s="202" t="str">
        <f t="shared" si="22"/>
        <v/>
      </c>
    </row>
    <row r="1423" spans="1:7" s="172" customFormat="1" ht="15" customHeight="1" x14ac:dyDescent="0.25">
      <c r="A1423" s="805" t="s">
        <v>2644</v>
      </c>
      <c r="B1423" s="805" t="s">
        <v>2436</v>
      </c>
      <c r="C1423" s="805" t="s">
        <v>2436</v>
      </c>
      <c r="D1423" s="805" t="s">
        <v>2645</v>
      </c>
      <c r="E1423" s="805">
        <v>50</v>
      </c>
      <c r="F1423" s="805">
        <v>5</v>
      </c>
      <c r="G1423" s="202" t="str">
        <f t="shared" si="22"/>
        <v/>
      </c>
    </row>
    <row r="1424" spans="1:7" s="172" customFormat="1" ht="15" customHeight="1" x14ac:dyDescent="0.25">
      <c r="A1424" s="805" t="s">
        <v>2644</v>
      </c>
      <c r="B1424" s="805" t="s">
        <v>2436</v>
      </c>
      <c r="C1424" s="805" t="s">
        <v>2436</v>
      </c>
      <c r="D1424" s="805" t="s">
        <v>19820</v>
      </c>
      <c r="E1424" s="805">
        <v>100</v>
      </c>
      <c r="F1424" s="805" t="s">
        <v>2143</v>
      </c>
      <c r="G1424" s="202" t="str">
        <f t="shared" si="22"/>
        <v/>
      </c>
    </row>
    <row r="1425" spans="1:7" s="172" customFormat="1" ht="15" customHeight="1" x14ac:dyDescent="0.25">
      <c r="A1425" s="805" t="s">
        <v>2646</v>
      </c>
      <c r="B1425" s="805" t="s">
        <v>2436</v>
      </c>
      <c r="C1425" s="805" t="s">
        <v>2436</v>
      </c>
      <c r="D1425" s="805" t="s">
        <v>2647</v>
      </c>
      <c r="E1425" s="805">
        <v>63</v>
      </c>
      <c r="F1425" s="805">
        <v>50</v>
      </c>
      <c r="G1425" s="202" t="str">
        <f t="shared" si="22"/>
        <v/>
      </c>
    </row>
    <row r="1426" spans="1:7" s="172" customFormat="1" ht="15" customHeight="1" x14ac:dyDescent="0.25">
      <c r="A1426" s="805" t="s">
        <v>2646</v>
      </c>
      <c r="B1426" s="805" t="s">
        <v>2436</v>
      </c>
      <c r="C1426" s="805" t="s">
        <v>2436</v>
      </c>
      <c r="D1426" s="805" t="s">
        <v>2628</v>
      </c>
      <c r="E1426" s="805" t="s">
        <v>18197</v>
      </c>
      <c r="F1426" s="805">
        <v>10</v>
      </c>
      <c r="G1426" s="202" t="str">
        <f t="shared" si="22"/>
        <v/>
      </c>
    </row>
    <row r="1427" spans="1:7" s="172" customFormat="1" ht="15" customHeight="1" x14ac:dyDescent="0.25">
      <c r="A1427" s="805" t="s">
        <v>2648</v>
      </c>
      <c r="B1427" s="805" t="s">
        <v>2436</v>
      </c>
      <c r="C1427" s="805" t="s">
        <v>2436</v>
      </c>
      <c r="D1427" s="805" t="s">
        <v>2649</v>
      </c>
      <c r="E1427" s="805">
        <v>30</v>
      </c>
      <c r="F1427" s="805">
        <v>6</v>
      </c>
      <c r="G1427" s="202" t="str">
        <f t="shared" si="22"/>
        <v/>
      </c>
    </row>
    <row r="1428" spans="1:7" s="172" customFormat="1" ht="15" customHeight="1" x14ac:dyDescent="0.25">
      <c r="A1428" s="805" t="s">
        <v>2575</v>
      </c>
      <c r="B1428" s="805" t="s">
        <v>2436</v>
      </c>
      <c r="C1428" s="805" t="s">
        <v>2436</v>
      </c>
      <c r="D1428" s="805" t="s">
        <v>2576</v>
      </c>
      <c r="E1428" s="805">
        <v>63</v>
      </c>
      <c r="F1428" s="805">
        <v>45</v>
      </c>
      <c r="G1428" s="202" t="str">
        <f t="shared" si="22"/>
        <v/>
      </c>
    </row>
    <row r="1429" spans="1:7" s="172" customFormat="1" ht="15" customHeight="1" x14ac:dyDescent="0.25">
      <c r="A1429" s="805" t="s">
        <v>2650</v>
      </c>
      <c r="B1429" s="805" t="s">
        <v>2436</v>
      </c>
      <c r="C1429" s="805" t="s">
        <v>2436</v>
      </c>
      <c r="D1429" s="805" t="s">
        <v>2651</v>
      </c>
      <c r="E1429" s="805">
        <v>63</v>
      </c>
      <c r="F1429" s="805">
        <v>5</v>
      </c>
      <c r="G1429" s="202" t="str">
        <f t="shared" si="22"/>
        <v/>
      </c>
    </row>
    <row r="1430" spans="1:7" s="172" customFormat="1" ht="15" customHeight="1" x14ac:dyDescent="0.25">
      <c r="A1430" s="805" t="s">
        <v>2652</v>
      </c>
      <c r="B1430" s="805" t="s">
        <v>2436</v>
      </c>
      <c r="C1430" s="805" t="s">
        <v>2436</v>
      </c>
      <c r="D1430" s="805" t="s">
        <v>2653</v>
      </c>
      <c r="E1430" s="805">
        <v>25</v>
      </c>
      <c r="F1430" s="805">
        <v>10</v>
      </c>
      <c r="G1430" s="202" t="str">
        <f t="shared" si="22"/>
        <v/>
      </c>
    </row>
    <row r="1431" spans="1:7" s="172" customFormat="1" ht="15" customHeight="1" x14ac:dyDescent="0.25">
      <c r="A1431" s="805" t="s">
        <v>2530</v>
      </c>
      <c r="B1431" s="805" t="s">
        <v>2436</v>
      </c>
      <c r="C1431" s="805" t="s">
        <v>2436</v>
      </c>
      <c r="D1431" s="805" t="s">
        <v>2654</v>
      </c>
      <c r="E1431" s="805">
        <v>30</v>
      </c>
      <c r="F1431" s="805">
        <v>2</v>
      </c>
      <c r="G1431" s="202" t="str">
        <f t="shared" si="22"/>
        <v/>
      </c>
    </row>
    <row r="1432" spans="1:7" s="172" customFormat="1" ht="15" customHeight="1" x14ac:dyDescent="0.25">
      <c r="A1432" s="805" t="s">
        <v>2655</v>
      </c>
      <c r="B1432" s="805" t="s">
        <v>2436</v>
      </c>
      <c r="C1432" s="805" t="s">
        <v>2436</v>
      </c>
      <c r="D1432" s="805" t="s">
        <v>2656</v>
      </c>
      <c r="E1432" s="805">
        <v>40</v>
      </c>
      <c r="F1432" s="805">
        <v>2</v>
      </c>
      <c r="G1432" s="202" t="str">
        <f t="shared" si="22"/>
        <v/>
      </c>
    </row>
    <row r="1433" spans="1:7" s="172" customFormat="1" ht="15" customHeight="1" x14ac:dyDescent="0.25">
      <c r="A1433" s="805" t="s">
        <v>2657</v>
      </c>
      <c r="B1433" s="805" t="s">
        <v>2436</v>
      </c>
      <c r="C1433" s="805" t="s">
        <v>2436</v>
      </c>
      <c r="D1433" s="805" t="s">
        <v>2658</v>
      </c>
      <c r="E1433" s="805">
        <v>160</v>
      </c>
      <c r="F1433" s="805">
        <v>90</v>
      </c>
      <c r="G1433" s="202" t="str">
        <f t="shared" si="22"/>
        <v/>
      </c>
    </row>
    <row r="1434" spans="1:7" s="172" customFormat="1" ht="15" customHeight="1" x14ac:dyDescent="0.25">
      <c r="A1434" s="805" t="s">
        <v>2657</v>
      </c>
      <c r="B1434" s="805" t="s">
        <v>2436</v>
      </c>
      <c r="C1434" s="805" t="s">
        <v>2436</v>
      </c>
      <c r="D1434" s="805" t="s">
        <v>2659</v>
      </c>
      <c r="E1434" s="805" t="s">
        <v>18197</v>
      </c>
      <c r="F1434" s="805">
        <v>157</v>
      </c>
      <c r="G1434" s="202" t="str">
        <f t="shared" si="22"/>
        <v/>
      </c>
    </row>
    <row r="1435" spans="1:7" s="172" customFormat="1" ht="15" customHeight="1" x14ac:dyDescent="0.25">
      <c r="A1435" s="805" t="s">
        <v>2660</v>
      </c>
      <c r="B1435" s="805" t="s">
        <v>2436</v>
      </c>
      <c r="C1435" s="805" t="s">
        <v>2436</v>
      </c>
      <c r="D1435" s="805" t="s">
        <v>2661</v>
      </c>
      <c r="E1435" s="805">
        <v>100</v>
      </c>
      <c r="F1435" s="805">
        <v>58</v>
      </c>
      <c r="G1435" s="202" t="str">
        <f t="shared" si="22"/>
        <v/>
      </c>
    </row>
    <row r="1436" spans="1:7" s="172" customFormat="1" ht="15" customHeight="1" x14ac:dyDescent="0.25">
      <c r="A1436" s="805" t="s">
        <v>2662</v>
      </c>
      <c r="B1436" s="805" t="s">
        <v>2436</v>
      </c>
      <c r="C1436" s="805" t="s">
        <v>2436</v>
      </c>
      <c r="D1436" s="805" t="s">
        <v>2663</v>
      </c>
      <c r="E1436" s="805">
        <v>25</v>
      </c>
      <c r="F1436" s="805">
        <v>2</v>
      </c>
      <c r="G1436" s="202" t="str">
        <f t="shared" si="22"/>
        <v/>
      </c>
    </row>
    <row r="1437" spans="1:7" s="172" customFormat="1" ht="15" customHeight="1" x14ac:dyDescent="0.25">
      <c r="A1437" s="805" t="s">
        <v>2664</v>
      </c>
      <c r="B1437" s="805" t="s">
        <v>2436</v>
      </c>
      <c r="C1437" s="805" t="s">
        <v>2436</v>
      </c>
      <c r="D1437" s="805" t="s">
        <v>2665</v>
      </c>
      <c r="E1437" s="805">
        <v>20</v>
      </c>
      <c r="F1437" s="805">
        <v>2</v>
      </c>
      <c r="G1437" s="202" t="str">
        <f t="shared" si="22"/>
        <v/>
      </c>
    </row>
    <row r="1438" spans="1:7" s="172" customFormat="1" ht="15" customHeight="1" x14ac:dyDescent="0.25">
      <c r="A1438" s="805" t="s">
        <v>2666</v>
      </c>
      <c r="B1438" s="805" t="s">
        <v>2436</v>
      </c>
      <c r="C1438" s="805" t="s">
        <v>2436</v>
      </c>
      <c r="D1438" s="805" t="s">
        <v>2667</v>
      </c>
      <c r="E1438" s="805">
        <v>25</v>
      </c>
      <c r="F1438" s="805">
        <v>2</v>
      </c>
      <c r="G1438" s="202" t="str">
        <f t="shared" si="22"/>
        <v/>
      </c>
    </row>
    <row r="1439" spans="1:7" s="172" customFormat="1" ht="15" customHeight="1" x14ac:dyDescent="0.25">
      <c r="A1439" s="805" t="s">
        <v>2668</v>
      </c>
      <c r="B1439" s="805" t="s">
        <v>2436</v>
      </c>
      <c r="C1439" s="805" t="s">
        <v>2436</v>
      </c>
      <c r="D1439" s="805" t="s">
        <v>2669</v>
      </c>
      <c r="E1439" s="805">
        <v>30</v>
      </c>
      <c r="F1439" s="805">
        <v>2</v>
      </c>
      <c r="G1439" s="202" t="str">
        <f t="shared" si="22"/>
        <v/>
      </c>
    </row>
    <row r="1440" spans="1:7" s="172" customFormat="1" ht="15" customHeight="1" x14ac:dyDescent="0.25">
      <c r="A1440" s="805" t="s">
        <v>2670</v>
      </c>
      <c r="B1440" s="805" t="s">
        <v>2436</v>
      </c>
      <c r="C1440" s="805" t="s">
        <v>2436</v>
      </c>
      <c r="D1440" s="805" t="s">
        <v>2671</v>
      </c>
      <c r="E1440" s="805">
        <v>100</v>
      </c>
      <c r="F1440" s="805">
        <v>50</v>
      </c>
      <c r="G1440" s="202" t="str">
        <f t="shared" si="22"/>
        <v/>
      </c>
    </row>
    <row r="1441" spans="1:7" s="172" customFormat="1" ht="15" customHeight="1" x14ac:dyDescent="0.25">
      <c r="A1441" s="805" t="s">
        <v>2672</v>
      </c>
      <c r="B1441" s="805" t="s">
        <v>2436</v>
      </c>
      <c r="C1441" s="805" t="s">
        <v>2436</v>
      </c>
      <c r="D1441" s="805" t="s">
        <v>2673</v>
      </c>
      <c r="E1441" s="805">
        <v>160</v>
      </c>
      <c r="F1441" s="805">
        <v>5</v>
      </c>
      <c r="G1441" s="202" t="str">
        <f t="shared" si="22"/>
        <v/>
      </c>
    </row>
    <row r="1442" spans="1:7" s="172" customFormat="1" ht="15" customHeight="1" x14ac:dyDescent="0.25">
      <c r="A1442" s="805" t="s">
        <v>2602</v>
      </c>
      <c r="B1442" s="805" t="s">
        <v>2436</v>
      </c>
      <c r="C1442" s="805" t="s">
        <v>2436</v>
      </c>
      <c r="D1442" s="805" t="s">
        <v>2603</v>
      </c>
      <c r="E1442" s="805">
        <v>30</v>
      </c>
      <c r="F1442" s="805">
        <v>20</v>
      </c>
      <c r="G1442" s="202" t="str">
        <f t="shared" si="22"/>
        <v/>
      </c>
    </row>
    <row r="1443" spans="1:7" s="172" customFormat="1" ht="15" customHeight="1" x14ac:dyDescent="0.25">
      <c r="A1443" s="805" t="s">
        <v>2600</v>
      </c>
      <c r="B1443" s="805" t="s">
        <v>2436</v>
      </c>
      <c r="C1443" s="805" t="s">
        <v>2436</v>
      </c>
      <c r="D1443" s="805" t="s">
        <v>2674</v>
      </c>
      <c r="E1443" s="805">
        <v>100</v>
      </c>
      <c r="F1443" s="805">
        <v>65</v>
      </c>
      <c r="G1443" s="202" t="str">
        <f t="shared" si="22"/>
        <v/>
      </c>
    </row>
    <row r="1444" spans="1:7" s="172" customFormat="1" ht="15" customHeight="1" x14ac:dyDescent="0.25">
      <c r="A1444" s="805" t="s">
        <v>2675</v>
      </c>
      <c r="B1444" s="805" t="s">
        <v>2436</v>
      </c>
      <c r="C1444" s="805" t="s">
        <v>2436</v>
      </c>
      <c r="D1444" s="805" t="s">
        <v>2676</v>
      </c>
      <c r="E1444" s="805">
        <v>20</v>
      </c>
      <c r="F1444" s="805">
        <v>3</v>
      </c>
      <c r="G1444" s="202" t="str">
        <f t="shared" si="22"/>
        <v/>
      </c>
    </row>
    <row r="1445" spans="1:7" s="172" customFormat="1" ht="15" customHeight="1" x14ac:dyDescent="0.25">
      <c r="A1445" s="805" t="s">
        <v>2559</v>
      </c>
      <c r="B1445" s="805" t="s">
        <v>2436</v>
      </c>
      <c r="C1445" s="805" t="s">
        <v>2436</v>
      </c>
      <c r="D1445" s="805" t="s">
        <v>2560</v>
      </c>
      <c r="E1445" s="805">
        <v>63</v>
      </c>
      <c r="F1445" s="805">
        <v>20</v>
      </c>
      <c r="G1445" s="202" t="str">
        <f t="shared" si="22"/>
        <v/>
      </c>
    </row>
    <row r="1446" spans="1:7" s="172" customFormat="1" ht="15" customHeight="1" x14ac:dyDescent="0.25">
      <c r="A1446" s="805" t="s">
        <v>2677</v>
      </c>
      <c r="B1446" s="805" t="s">
        <v>2436</v>
      </c>
      <c r="C1446" s="805" t="s">
        <v>2436</v>
      </c>
      <c r="D1446" s="805" t="s">
        <v>2678</v>
      </c>
      <c r="E1446" s="805">
        <v>20</v>
      </c>
      <c r="F1446" s="805">
        <v>10</v>
      </c>
      <c r="G1446" s="202" t="str">
        <f t="shared" si="22"/>
        <v/>
      </c>
    </row>
    <row r="1447" spans="1:7" s="172" customFormat="1" ht="15" customHeight="1" x14ac:dyDescent="0.25">
      <c r="A1447" s="805" t="s">
        <v>2679</v>
      </c>
      <c r="B1447" s="805" t="s">
        <v>2436</v>
      </c>
      <c r="C1447" s="805" t="s">
        <v>2436</v>
      </c>
      <c r="D1447" s="805" t="s">
        <v>2680</v>
      </c>
      <c r="E1447" s="805">
        <v>20</v>
      </c>
      <c r="F1447" s="805">
        <v>3</v>
      </c>
      <c r="G1447" s="202" t="str">
        <f t="shared" si="22"/>
        <v/>
      </c>
    </row>
    <row r="1448" spans="1:7" s="172" customFormat="1" ht="15" customHeight="1" x14ac:dyDescent="0.25">
      <c r="A1448" s="805" t="s">
        <v>2681</v>
      </c>
      <c r="B1448" s="805" t="s">
        <v>2436</v>
      </c>
      <c r="C1448" s="805" t="s">
        <v>2436</v>
      </c>
      <c r="D1448" s="805" t="s">
        <v>2682</v>
      </c>
      <c r="E1448" s="805">
        <v>63</v>
      </c>
      <c r="F1448" s="805">
        <v>20</v>
      </c>
      <c r="G1448" s="202" t="str">
        <f t="shared" si="22"/>
        <v/>
      </c>
    </row>
    <row r="1449" spans="1:7" s="172" customFormat="1" ht="15" customHeight="1" x14ac:dyDescent="0.25">
      <c r="A1449" s="805" t="s">
        <v>2683</v>
      </c>
      <c r="B1449" s="805" t="s">
        <v>2436</v>
      </c>
      <c r="C1449" s="805" t="s">
        <v>2436</v>
      </c>
      <c r="D1449" s="805" t="s">
        <v>2684</v>
      </c>
      <c r="E1449" s="805">
        <v>30</v>
      </c>
      <c r="F1449" s="805">
        <v>1</v>
      </c>
      <c r="G1449" s="202" t="str">
        <f t="shared" si="22"/>
        <v/>
      </c>
    </row>
    <row r="1450" spans="1:7" s="172" customFormat="1" ht="15" customHeight="1" x14ac:dyDescent="0.25">
      <c r="A1450" s="805" t="s">
        <v>2685</v>
      </c>
      <c r="B1450" s="805" t="s">
        <v>2436</v>
      </c>
      <c r="C1450" s="805" t="s">
        <v>2436</v>
      </c>
      <c r="D1450" s="805" t="s">
        <v>2686</v>
      </c>
      <c r="E1450" s="805">
        <v>30</v>
      </c>
      <c r="F1450" s="805">
        <v>5</v>
      </c>
      <c r="G1450" s="202" t="str">
        <f t="shared" si="22"/>
        <v/>
      </c>
    </row>
    <row r="1451" spans="1:7" s="172" customFormat="1" ht="15" customHeight="1" x14ac:dyDescent="0.25">
      <c r="A1451" s="805" t="s">
        <v>2687</v>
      </c>
      <c r="B1451" s="805" t="s">
        <v>2436</v>
      </c>
      <c r="C1451" s="805" t="s">
        <v>2436</v>
      </c>
      <c r="D1451" s="805" t="s">
        <v>2688</v>
      </c>
      <c r="E1451" s="805">
        <v>63</v>
      </c>
      <c r="F1451" s="805">
        <v>3</v>
      </c>
      <c r="G1451" s="202" t="str">
        <f t="shared" si="22"/>
        <v/>
      </c>
    </row>
    <row r="1452" spans="1:7" s="172" customFormat="1" ht="15" customHeight="1" x14ac:dyDescent="0.25">
      <c r="A1452" s="805" t="s">
        <v>2689</v>
      </c>
      <c r="B1452" s="805" t="s">
        <v>2436</v>
      </c>
      <c r="C1452" s="805" t="s">
        <v>2436</v>
      </c>
      <c r="D1452" s="805" t="s">
        <v>2690</v>
      </c>
      <c r="E1452" s="805">
        <v>100</v>
      </c>
      <c r="F1452" s="805">
        <v>20</v>
      </c>
      <c r="G1452" s="202" t="str">
        <f t="shared" si="22"/>
        <v/>
      </c>
    </row>
    <row r="1453" spans="1:7" s="172" customFormat="1" ht="15" customHeight="1" x14ac:dyDescent="0.25">
      <c r="A1453" s="805" t="s">
        <v>2691</v>
      </c>
      <c r="B1453" s="805" t="s">
        <v>2436</v>
      </c>
      <c r="C1453" s="805" t="s">
        <v>2436</v>
      </c>
      <c r="D1453" s="805" t="s">
        <v>2692</v>
      </c>
      <c r="E1453" s="805">
        <v>160</v>
      </c>
      <c r="F1453" s="805">
        <v>10</v>
      </c>
      <c r="G1453" s="202" t="str">
        <f t="shared" si="22"/>
        <v/>
      </c>
    </row>
    <row r="1454" spans="1:7" s="172" customFormat="1" ht="15" customHeight="1" x14ac:dyDescent="0.25">
      <c r="A1454" s="805" t="s">
        <v>2693</v>
      </c>
      <c r="B1454" s="805" t="s">
        <v>2436</v>
      </c>
      <c r="C1454" s="805" t="s">
        <v>2436</v>
      </c>
      <c r="D1454" s="805" t="s">
        <v>2694</v>
      </c>
      <c r="E1454" s="805">
        <v>10</v>
      </c>
      <c r="F1454" s="805">
        <v>10</v>
      </c>
      <c r="G1454" s="202" t="str">
        <f t="shared" si="22"/>
        <v>не загружен</v>
      </c>
    </row>
    <row r="1455" spans="1:7" s="172" customFormat="1" ht="15" customHeight="1" x14ac:dyDescent="0.25">
      <c r="A1455" s="805" t="s">
        <v>12274</v>
      </c>
      <c r="B1455" s="805" t="s">
        <v>2436</v>
      </c>
      <c r="C1455" s="805" t="s">
        <v>2436</v>
      </c>
      <c r="D1455" s="805" t="s">
        <v>2695</v>
      </c>
      <c r="E1455" s="805">
        <v>30</v>
      </c>
      <c r="F1455" s="805">
        <v>3</v>
      </c>
      <c r="G1455" s="202" t="str">
        <f t="shared" si="22"/>
        <v/>
      </c>
    </row>
    <row r="1456" spans="1:7" s="172" customFormat="1" ht="15" customHeight="1" x14ac:dyDescent="0.25">
      <c r="A1456" s="805" t="s">
        <v>12275</v>
      </c>
      <c r="B1456" s="805" t="s">
        <v>2436</v>
      </c>
      <c r="C1456" s="805" t="s">
        <v>2436</v>
      </c>
      <c r="D1456" s="805" t="s">
        <v>2696</v>
      </c>
      <c r="E1456" s="805">
        <v>63</v>
      </c>
      <c r="F1456" s="805">
        <v>5</v>
      </c>
      <c r="G1456" s="202" t="str">
        <f t="shared" si="22"/>
        <v/>
      </c>
    </row>
    <row r="1457" spans="1:7" s="172" customFormat="1" ht="15" customHeight="1" x14ac:dyDescent="0.25">
      <c r="A1457" s="805" t="s">
        <v>2697</v>
      </c>
      <c r="B1457" s="805" t="s">
        <v>2436</v>
      </c>
      <c r="C1457" s="805" t="s">
        <v>2436</v>
      </c>
      <c r="D1457" s="805" t="s">
        <v>2698</v>
      </c>
      <c r="E1457" s="805">
        <v>100</v>
      </c>
      <c r="F1457" s="805">
        <v>70</v>
      </c>
      <c r="G1457" s="202" t="str">
        <f t="shared" si="22"/>
        <v/>
      </c>
    </row>
    <row r="1458" spans="1:7" s="172" customFormat="1" ht="15" customHeight="1" x14ac:dyDescent="0.25">
      <c r="A1458" s="805" t="s">
        <v>2697</v>
      </c>
      <c r="B1458" s="805" t="s">
        <v>2436</v>
      </c>
      <c r="C1458" s="805" t="s">
        <v>2436</v>
      </c>
      <c r="D1458" s="805" t="s">
        <v>2699</v>
      </c>
      <c r="E1458" s="805">
        <v>100</v>
      </c>
      <c r="F1458" s="805">
        <v>20</v>
      </c>
      <c r="G1458" s="202" t="str">
        <f t="shared" si="22"/>
        <v/>
      </c>
    </row>
    <row r="1459" spans="1:7" s="172" customFormat="1" ht="15" customHeight="1" x14ac:dyDescent="0.25">
      <c r="A1459" s="805" t="s">
        <v>2697</v>
      </c>
      <c r="B1459" s="805" t="s">
        <v>2436</v>
      </c>
      <c r="C1459" s="805" t="s">
        <v>2436</v>
      </c>
      <c r="D1459" s="805" t="s">
        <v>2700</v>
      </c>
      <c r="E1459" s="805">
        <v>250</v>
      </c>
      <c r="F1459" s="805">
        <v>97</v>
      </c>
      <c r="G1459" s="202" t="str">
        <f t="shared" si="22"/>
        <v/>
      </c>
    </row>
    <row r="1460" spans="1:7" s="172" customFormat="1" ht="15" customHeight="1" x14ac:dyDescent="0.25">
      <c r="A1460" s="805" t="s">
        <v>2697</v>
      </c>
      <c r="B1460" s="805" t="s">
        <v>2436</v>
      </c>
      <c r="C1460" s="805" t="s">
        <v>2436</v>
      </c>
      <c r="D1460" s="805" t="s">
        <v>2701</v>
      </c>
      <c r="E1460" s="805">
        <v>400</v>
      </c>
      <c r="F1460" s="805">
        <v>250</v>
      </c>
      <c r="G1460" s="202" t="str">
        <f t="shared" si="22"/>
        <v/>
      </c>
    </row>
    <row r="1461" spans="1:7" s="172" customFormat="1" ht="15" customHeight="1" x14ac:dyDescent="0.25">
      <c r="A1461" s="805" t="s">
        <v>2697</v>
      </c>
      <c r="B1461" s="805" t="s">
        <v>2436</v>
      </c>
      <c r="C1461" s="805" t="s">
        <v>2436</v>
      </c>
      <c r="D1461" s="805" t="s">
        <v>2702</v>
      </c>
      <c r="E1461" s="805">
        <v>100</v>
      </c>
      <c r="F1461" s="805">
        <v>5</v>
      </c>
      <c r="G1461" s="202" t="str">
        <f t="shared" si="22"/>
        <v/>
      </c>
    </row>
    <row r="1462" spans="1:7" s="172" customFormat="1" ht="15" customHeight="1" x14ac:dyDescent="0.25">
      <c r="A1462" s="805" t="s">
        <v>2697</v>
      </c>
      <c r="B1462" s="805" t="s">
        <v>2436</v>
      </c>
      <c r="C1462" s="805" t="s">
        <v>2436</v>
      </c>
      <c r="D1462" s="805" t="s">
        <v>2703</v>
      </c>
      <c r="E1462" s="805">
        <v>250</v>
      </c>
      <c r="F1462" s="805">
        <v>150</v>
      </c>
      <c r="G1462" s="202" t="str">
        <f t="shared" si="22"/>
        <v/>
      </c>
    </row>
    <row r="1463" spans="1:7" s="172" customFormat="1" ht="15" customHeight="1" x14ac:dyDescent="0.25">
      <c r="A1463" s="805" t="s">
        <v>2697</v>
      </c>
      <c r="B1463" s="805" t="s">
        <v>2436</v>
      </c>
      <c r="C1463" s="805" t="s">
        <v>2436</v>
      </c>
      <c r="D1463" s="805" t="s">
        <v>2704</v>
      </c>
      <c r="E1463" s="805" t="s">
        <v>18567</v>
      </c>
      <c r="F1463" s="805">
        <v>100</v>
      </c>
      <c r="G1463" s="202" t="str">
        <f t="shared" si="22"/>
        <v/>
      </c>
    </row>
    <row r="1464" spans="1:7" s="172" customFormat="1" ht="15" customHeight="1" x14ac:dyDescent="0.25">
      <c r="A1464" s="805" t="s">
        <v>2705</v>
      </c>
      <c r="B1464" s="805" t="s">
        <v>2436</v>
      </c>
      <c r="C1464" s="805" t="s">
        <v>2436</v>
      </c>
      <c r="D1464" s="805" t="s">
        <v>2706</v>
      </c>
      <c r="E1464" s="805">
        <v>50</v>
      </c>
      <c r="F1464" s="805">
        <v>5</v>
      </c>
      <c r="G1464" s="202" t="str">
        <f t="shared" si="22"/>
        <v/>
      </c>
    </row>
    <row r="1465" spans="1:7" s="172" customFormat="1" ht="15" customHeight="1" x14ac:dyDescent="0.25">
      <c r="A1465" s="805" t="s">
        <v>2707</v>
      </c>
      <c r="B1465" s="805" t="s">
        <v>2436</v>
      </c>
      <c r="C1465" s="805" t="s">
        <v>2436</v>
      </c>
      <c r="D1465" s="805" t="s">
        <v>2708</v>
      </c>
      <c r="E1465" s="805">
        <v>50</v>
      </c>
      <c r="F1465" s="805">
        <v>5</v>
      </c>
      <c r="G1465" s="202" t="str">
        <f t="shared" si="22"/>
        <v/>
      </c>
    </row>
    <row r="1466" spans="1:7" s="172" customFormat="1" ht="15" customHeight="1" x14ac:dyDescent="0.25">
      <c r="A1466" s="805" t="s">
        <v>2709</v>
      </c>
      <c r="B1466" s="805" t="s">
        <v>2436</v>
      </c>
      <c r="C1466" s="805" t="s">
        <v>2436</v>
      </c>
      <c r="D1466" s="805" t="s">
        <v>2710</v>
      </c>
      <c r="E1466" s="805">
        <v>30</v>
      </c>
      <c r="F1466" s="805">
        <v>5</v>
      </c>
      <c r="G1466" s="202" t="str">
        <f t="shared" si="22"/>
        <v/>
      </c>
    </row>
    <row r="1467" spans="1:7" s="172" customFormat="1" ht="15" customHeight="1" x14ac:dyDescent="0.25">
      <c r="A1467" s="805" t="s">
        <v>2711</v>
      </c>
      <c r="B1467" s="805" t="s">
        <v>2436</v>
      </c>
      <c r="C1467" s="805" t="s">
        <v>2436</v>
      </c>
      <c r="D1467" s="805" t="s">
        <v>2712</v>
      </c>
      <c r="E1467" s="805">
        <v>180</v>
      </c>
      <c r="F1467" s="805">
        <v>10</v>
      </c>
      <c r="G1467" s="202" t="str">
        <f t="shared" si="22"/>
        <v/>
      </c>
    </row>
    <row r="1468" spans="1:7" s="172" customFormat="1" ht="15" customHeight="1" x14ac:dyDescent="0.25">
      <c r="A1468" s="805" t="s">
        <v>2713</v>
      </c>
      <c r="B1468" s="805" t="s">
        <v>2436</v>
      </c>
      <c r="C1468" s="805" t="s">
        <v>2436</v>
      </c>
      <c r="D1468" s="805" t="s">
        <v>2714</v>
      </c>
      <c r="E1468" s="805">
        <v>180</v>
      </c>
      <c r="F1468" s="805">
        <v>100</v>
      </c>
      <c r="G1468" s="202" t="str">
        <f t="shared" si="22"/>
        <v/>
      </c>
    </row>
    <row r="1469" spans="1:7" s="172" customFormat="1" ht="15" customHeight="1" x14ac:dyDescent="0.25">
      <c r="A1469" s="805" t="s">
        <v>2713</v>
      </c>
      <c r="B1469" s="805" t="s">
        <v>2436</v>
      </c>
      <c r="C1469" s="805" t="s">
        <v>2436</v>
      </c>
      <c r="D1469" s="805" t="s">
        <v>2715</v>
      </c>
      <c r="E1469" s="805">
        <v>63</v>
      </c>
      <c r="F1469" s="805">
        <v>3</v>
      </c>
      <c r="G1469" s="202" t="str">
        <f t="shared" si="22"/>
        <v/>
      </c>
    </row>
    <row r="1470" spans="1:7" s="172" customFormat="1" ht="15" customHeight="1" x14ac:dyDescent="0.25">
      <c r="A1470" s="805" t="s">
        <v>2713</v>
      </c>
      <c r="B1470" s="805" t="s">
        <v>2436</v>
      </c>
      <c r="C1470" s="805" t="s">
        <v>2436</v>
      </c>
      <c r="D1470" s="805" t="s">
        <v>2716</v>
      </c>
      <c r="E1470" s="805">
        <v>100</v>
      </c>
      <c r="F1470" s="805">
        <v>3</v>
      </c>
      <c r="G1470" s="202" t="str">
        <f t="shared" si="22"/>
        <v/>
      </c>
    </row>
    <row r="1471" spans="1:7" s="172" customFormat="1" ht="15" customHeight="1" x14ac:dyDescent="0.25">
      <c r="A1471" s="805" t="s">
        <v>2717</v>
      </c>
      <c r="B1471" s="805" t="s">
        <v>2436</v>
      </c>
      <c r="C1471" s="805" t="s">
        <v>2436</v>
      </c>
      <c r="D1471" s="805" t="s">
        <v>2718</v>
      </c>
      <c r="E1471" s="805">
        <v>63</v>
      </c>
      <c r="F1471" s="805">
        <v>50</v>
      </c>
      <c r="G1471" s="202" t="str">
        <f t="shared" si="22"/>
        <v/>
      </c>
    </row>
    <row r="1472" spans="1:7" s="172" customFormat="1" ht="15" customHeight="1" x14ac:dyDescent="0.25">
      <c r="A1472" s="805" t="s">
        <v>2719</v>
      </c>
      <c r="B1472" s="805" t="s">
        <v>2436</v>
      </c>
      <c r="C1472" s="805" t="s">
        <v>2436</v>
      </c>
      <c r="D1472" s="805" t="s">
        <v>2720</v>
      </c>
      <c r="E1472" s="805">
        <v>630</v>
      </c>
      <c r="F1472" s="805">
        <v>350</v>
      </c>
      <c r="G1472" s="202" t="str">
        <f t="shared" si="22"/>
        <v/>
      </c>
    </row>
    <row r="1473" spans="1:7" s="172" customFormat="1" ht="15" customHeight="1" x14ac:dyDescent="0.25">
      <c r="A1473" s="805" t="s">
        <v>2721</v>
      </c>
      <c r="B1473" s="805" t="s">
        <v>2436</v>
      </c>
      <c r="C1473" s="805" t="s">
        <v>2436</v>
      </c>
      <c r="D1473" s="805" t="s">
        <v>2722</v>
      </c>
      <c r="E1473" s="805">
        <v>40</v>
      </c>
      <c r="F1473" s="805">
        <v>2</v>
      </c>
      <c r="G1473" s="202" t="str">
        <f t="shared" si="22"/>
        <v/>
      </c>
    </row>
    <row r="1474" spans="1:7" s="172" customFormat="1" ht="15" customHeight="1" x14ac:dyDescent="0.25">
      <c r="A1474" s="805" t="s">
        <v>2719</v>
      </c>
      <c r="B1474" s="805" t="s">
        <v>2436</v>
      </c>
      <c r="C1474" s="805" t="s">
        <v>2436</v>
      </c>
      <c r="D1474" s="805" t="s">
        <v>2723</v>
      </c>
      <c r="E1474" s="805">
        <v>250</v>
      </c>
      <c r="F1474" s="805">
        <v>120</v>
      </c>
      <c r="G1474" s="202" t="str">
        <f t="shared" si="22"/>
        <v/>
      </c>
    </row>
    <row r="1475" spans="1:7" s="172" customFormat="1" ht="15" customHeight="1" x14ac:dyDescent="0.25">
      <c r="A1475" s="805" t="s">
        <v>2724</v>
      </c>
      <c r="B1475" s="805" t="s">
        <v>2436</v>
      </c>
      <c r="C1475" s="805" t="s">
        <v>2436</v>
      </c>
      <c r="D1475" s="805" t="s">
        <v>2725</v>
      </c>
      <c r="E1475" s="805">
        <v>160</v>
      </c>
      <c r="F1475" s="805">
        <v>60</v>
      </c>
      <c r="G1475" s="202" t="str">
        <f t="shared" si="22"/>
        <v/>
      </c>
    </row>
    <row r="1476" spans="1:7" s="172" customFormat="1" ht="15" customHeight="1" x14ac:dyDescent="0.25">
      <c r="A1476" s="805" t="s">
        <v>2724</v>
      </c>
      <c r="B1476" s="805" t="s">
        <v>2436</v>
      </c>
      <c r="C1476" s="805" t="s">
        <v>2436</v>
      </c>
      <c r="D1476" s="805" t="s">
        <v>2726</v>
      </c>
      <c r="E1476" s="805">
        <v>160</v>
      </c>
      <c r="F1476" s="805" t="s">
        <v>18568</v>
      </c>
      <c r="G1476" s="202" t="str">
        <f t="shared" ref="G1476:G1539" si="23">IF(E1476=F1476,"не загружен","")</f>
        <v/>
      </c>
    </row>
    <row r="1477" spans="1:7" s="172" customFormat="1" ht="15" customHeight="1" x14ac:dyDescent="0.25">
      <c r="A1477" s="805" t="s">
        <v>2727</v>
      </c>
      <c r="B1477" s="805" t="s">
        <v>2436</v>
      </c>
      <c r="C1477" s="805" t="s">
        <v>2436</v>
      </c>
      <c r="D1477" s="805" t="s">
        <v>2728</v>
      </c>
      <c r="E1477" s="805">
        <v>160</v>
      </c>
      <c r="F1477" s="805">
        <v>90</v>
      </c>
      <c r="G1477" s="202" t="str">
        <f t="shared" si="23"/>
        <v/>
      </c>
    </row>
    <row r="1478" spans="1:7" s="172" customFormat="1" ht="15" customHeight="1" x14ac:dyDescent="0.25">
      <c r="A1478" s="805" t="s">
        <v>2727</v>
      </c>
      <c r="B1478" s="805" t="s">
        <v>2436</v>
      </c>
      <c r="C1478" s="805" t="s">
        <v>2436</v>
      </c>
      <c r="D1478" s="805" t="s">
        <v>2729</v>
      </c>
      <c r="E1478" s="805">
        <v>160</v>
      </c>
      <c r="F1478" s="805">
        <v>5</v>
      </c>
      <c r="G1478" s="202" t="str">
        <f t="shared" si="23"/>
        <v/>
      </c>
    </row>
    <row r="1479" spans="1:7" s="172" customFormat="1" ht="15" customHeight="1" x14ac:dyDescent="0.25">
      <c r="A1479" s="805" t="s">
        <v>2727</v>
      </c>
      <c r="B1479" s="805" t="s">
        <v>2436</v>
      </c>
      <c r="C1479" s="805" t="s">
        <v>2436</v>
      </c>
      <c r="D1479" s="805" t="s">
        <v>2730</v>
      </c>
      <c r="E1479" s="805">
        <v>100</v>
      </c>
      <c r="F1479" s="805">
        <v>85</v>
      </c>
      <c r="G1479" s="202" t="str">
        <f t="shared" si="23"/>
        <v/>
      </c>
    </row>
    <row r="1480" spans="1:7" s="172" customFormat="1" ht="15" customHeight="1" x14ac:dyDescent="0.25">
      <c r="A1480" s="805" t="s">
        <v>2727</v>
      </c>
      <c r="B1480" s="805" t="s">
        <v>2436</v>
      </c>
      <c r="C1480" s="805" t="s">
        <v>2436</v>
      </c>
      <c r="D1480" s="805" t="s">
        <v>2731</v>
      </c>
      <c r="E1480" s="805">
        <v>160</v>
      </c>
      <c r="F1480" s="805">
        <v>10</v>
      </c>
      <c r="G1480" s="202" t="str">
        <f t="shared" si="23"/>
        <v/>
      </c>
    </row>
    <row r="1481" spans="1:7" s="172" customFormat="1" ht="15" customHeight="1" x14ac:dyDescent="0.25">
      <c r="A1481" s="805" t="s">
        <v>2727</v>
      </c>
      <c r="B1481" s="805" t="s">
        <v>2436</v>
      </c>
      <c r="C1481" s="805" t="s">
        <v>2436</v>
      </c>
      <c r="D1481" s="805" t="s">
        <v>2732</v>
      </c>
      <c r="E1481" s="805">
        <v>160</v>
      </c>
      <c r="F1481" s="805">
        <v>100</v>
      </c>
      <c r="G1481" s="202" t="str">
        <f t="shared" si="23"/>
        <v/>
      </c>
    </row>
    <row r="1482" spans="1:7" s="172" customFormat="1" ht="15" customHeight="1" x14ac:dyDescent="0.25">
      <c r="A1482" s="805" t="s">
        <v>2733</v>
      </c>
      <c r="B1482" s="805" t="s">
        <v>2436</v>
      </c>
      <c r="C1482" s="805" t="s">
        <v>2436</v>
      </c>
      <c r="D1482" s="805" t="s">
        <v>2734</v>
      </c>
      <c r="E1482" s="805">
        <v>30</v>
      </c>
      <c r="F1482" s="805">
        <v>3</v>
      </c>
      <c r="G1482" s="202" t="str">
        <f t="shared" si="23"/>
        <v/>
      </c>
    </row>
    <row r="1483" spans="1:7" s="172" customFormat="1" ht="15" customHeight="1" x14ac:dyDescent="0.25">
      <c r="A1483" s="805" t="s">
        <v>2735</v>
      </c>
      <c r="B1483" s="805" t="s">
        <v>2436</v>
      </c>
      <c r="C1483" s="805" t="s">
        <v>2436</v>
      </c>
      <c r="D1483" s="805" t="s">
        <v>2736</v>
      </c>
      <c r="E1483" s="805">
        <v>30</v>
      </c>
      <c r="F1483" s="805">
        <v>3</v>
      </c>
      <c r="G1483" s="202" t="str">
        <f t="shared" si="23"/>
        <v/>
      </c>
    </row>
    <row r="1484" spans="1:7" s="172" customFormat="1" ht="15" customHeight="1" x14ac:dyDescent="0.25">
      <c r="A1484" s="805" t="s">
        <v>2737</v>
      </c>
      <c r="B1484" s="805" t="s">
        <v>2436</v>
      </c>
      <c r="C1484" s="805" t="s">
        <v>2436</v>
      </c>
      <c r="D1484" s="805" t="s">
        <v>2738</v>
      </c>
      <c r="E1484" s="805">
        <v>20</v>
      </c>
      <c r="F1484" s="805">
        <v>5</v>
      </c>
      <c r="G1484" s="202" t="str">
        <f t="shared" si="23"/>
        <v/>
      </c>
    </row>
    <row r="1485" spans="1:7" s="172" customFormat="1" ht="15" customHeight="1" x14ac:dyDescent="0.25">
      <c r="A1485" s="805" t="s">
        <v>2739</v>
      </c>
      <c r="B1485" s="805" t="s">
        <v>2436</v>
      </c>
      <c r="C1485" s="805" t="s">
        <v>2436</v>
      </c>
      <c r="D1485" s="805" t="s">
        <v>2740</v>
      </c>
      <c r="E1485" s="805">
        <v>30</v>
      </c>
      <c r="F1485" s="805">
        <v>5</v>
      </c>
      <c r="G1485" s="202" t="str">
        <f t="shared" si="23"/>
        <v/>
      </c>
    </row>
    <row r="1486" spans="1:7" s="172" customFormat="1" ht="15" customHeight="1" x14ac:dyDescent="0.25">
      <c r="A1486" s="805" t="s">
        <v>2741</v>
      </c>
      <c r="B1486" s="805" t="s">
        <v>2436</v>
      </c>
      <c r="C1486" s="805" t="s">
        <v>2436</v>
      </c>
      <c r="D1486" s="805" t="s">
        <v>2742</v>
      </c>
      <c r="E1486" s="805">
        <v>20</v>
      </c>
      <c r="F1486" s="805">
        <v>2</v>
      </c>
      <c r="G1486" s="202" t="str">
        <f t="shared" si="23"/>
        <v/>
      </c>
    </row>
    <row r="1487" spans="1:7" s="172" customFormat="1" ht="15" customHeight="1" x14ac:dyDescent="0.25">
      <c r="A1487" s="805" t="s">
        <v>2743</v>
      </c>
      <c r="B1487" s="805" t="s">
        <v>2436</v>
      </c>
      <c r="C1487" s="805" t="s">
        <v>2436</v>
      </c>
      <c r="D1487" s="805" t="s">
        <v>2744</v>
      </c>
      <c r="E1487" s="805">
        <v>25</v>
      </c>
      <c r="F1487" s="805">
        <v>5</v>
      </c>
      <c r="G1487" s="202" t="str">
        <f t="shared" si="23"/>
        <v/>
      </c>
    </row>
    <row r="1488" spans="1:7" s="172" customFormat="1" ht="15" customHeight="1" x14ac:dyDescent="0.25">
      <c r="A1488" s="805" t="s">
        <v>2745</v>
      </c>
      <c r="B1488" s="805" t="s">
        <v>2436</v>
      </c>
      <c r="C1488" s="805" t="s">
        <v>2436</v>
      </c>
      <c r="D1488" s="805" t="s">
        <v>2746</v>
      </c>
      <c r="E1488" s="805">
        <v>25</v>
      </c>
      <c r="F1488" s="805">
        <v>15</v>
      </c>
      <c r="G1488" s="202" t="str">
        <f t="shared" si="23"/>
        <v/>
      </c>
    </row>
    <row r="1489" spans="1:7" s="172" customFormat="1" ht="15" customHeight="1" x14ac:dyDescent="0.25">
      <c r="A1489" s="805" t="s">
        <v>12276</v>
      </c>
      <c r="B1489" s="805" t="s">
        <v>2436</v>
      </c>
      <c r="C1489" s="805" t="s">
        <v>2436</v>
      </c>
      <c r="D1489" s="805" t="s">
        <v>2747</v>
      </c>
      <c r="E1489" s="805">
        <v>30</v>
      </c>
      <c r="F1489" s="805">
        <v>2</v>
      </c>
      <c r="G1489" s="202" t="str">
        <f t="shared" si="23"/>
        <v/>
      </c>
    </row>
    <row r="1490" spans="1:7" s="172" customFormat="1" ht="15" customHeight="1" x14ac:dyDescent="0.25">
      <c r="A1490" s="805" t="s">
        <v>12277</v>
      </c>
      <c r="B1490" s="805" t="s">
        <v>2436</v>
      </c>
      <c r="C1490" s="805" t="s">
        <v>2436</v>
      </c>
      <c r="D1490" s="805" t="s">
        <v>2748</v>
      </c>
      <c r="E1490" s="805">
        <v>160</v>
      </c>
      <c r="F1490" s="805">
        <v>30</v>
      </c>
      <c r="G1490" s="202" t="str">
        <f t="shared" si="23"/>
        <v/>
      </c>
    </row>
    <row r="1491" spans="1:7" s="172" customFormat="1" ht="15" customHeight="1" x14ac:dyDescent="0.25">
      <c r="A1491" s="805" t="s">
        <v>2749</v>
      </c>
      <c r="B1491" s="805" t="s">
        <v>2436</v>
      </c>
      <c r="C1491" s="805" t="s">
        <v>2436</v>
      </c>
      <c r="D1491" s="805" t="s">
        <v>2750</v>
      </c>
      <c r="E1491" s="805">
        <v>100</v>
      </c>
      <c r="F1491" s="805">
        <v>5</v>
      </c>
      <c r="G1491" s="202" t="str">
        <f t="shared" si="23"/>
        <v/>
      </c>
    </row>
    <row r="1492" spans="1:7" s="172" customFormat="1" ht="15" customHeight="1" x14ac:dyDescent="0.25">
      <c r="A1492" s="805" t="s">
        <v>2751</v>
      </c>
      <c r="B1492" s="805" t="s">
        <v>2436</v>
      </c>
      <c r="C1492" s="805" t="s">
        <v>2436</v>
      </c>
      <c r="D1492" s="805" t="s">
        <v>2752</v>
      </c>
      <c r="E1492" s="805">
        <v>30</v>
      </c>
      <c r="F1492" s="805">
        <v>2</v>
      </c>
      <c r="G1492" s="202" t="str">
        <f t="shared" si="23"/>
        <v/>
      </c>
    </row>
    <row r="1493" spans="1:7" s="172" customFormat="1" ht="15" customHeight="1" x14ac:dyDescent="0.25">
      <c r="A1493" s="805" t="s">
        <v>2753</v>
      </c>
      <c r="B1493" s="805" t="s">
        <v>2436</v>
      </c>
      <c r="C1493" s="805" t="s">
        <v>2436</v>
      </c>
      <c r="D1493" s="805" t="s">
        <v>2754</v>
      </c>
      <c r="E1493" s="805">
        <v>30</v>
      </c>
      <c r="F1493" s="805">
        <v>2</v>
      </c>
      <c r="G1493" s="202" t="str">
        <f t="shared" si="23"/>
        <v/>
      </c>
    </row>
    <row r="1494" spans="1:7" s="172" customFormat="1" ht="15" customHeight="1" x14ac:dyDescent="0.25">
      <c r="A1494" s="805" t="s">
        <v>2755</v>
      </c>
      <c r="B1494" s="805" t="s">
        <v>2436</v>
      </c>
      <c r="C1494" s="805" t="s">
        <v>2436</v>
      </c>
      <c r="D1494" s="805" t="s">
        <v>2756</v>
      </c>
      <c r="E1494" s="805">
        <v>60</v>
      </c>
      <c r="F1494" s="805">
        <v>10</v>
      </c>
      <c r="G1494" s="202" t="str">
        <f t="shared" si="23"/>
        <v/>
      </c>
    </row>
    <row r="1495" spans="1:7" s="172" customFormat="1" ht="15" customHeight="1" x14ac:dyDescent="0.25">
      <c r="A1495" s="805" t="s">
        <v>2757</v>
      </c>
      <c r="B1495" s="805" t="s">
        <v>2436</v>
      </c>
      <c r="C1495" s="805" t="s">
        <v>2436</v>
      </c>
      <c r="D1495" s="805" t="s">
        <v>2758</v>
      </c>
      <c r="E1495" s="805">
        <v>30</v>
      </c>
      <c r="F1495" s="805">
        <v>2</v>
      </c>
      <c r="G1495" s="202" t="str">
        <f t="shared" si="23"/>
        <v/>
      </c>
    </row>
    <row r="1496" spans="1:7" s="172" customFormat="1" ht="15" customHeight="1" x14ac:dyDescent="0.25">
      <c r="A1496" s="805" t="s">
        <v>2759</v>
      </c>
      <c r="B1496" s="805" t="s">
        <v>2436</v>
      </c>
      <c r="C1496" s="805" t="s">
        <v>2436</v>
      </c>
      <c r="D1496" s="805" t="s">
        <v>2760</v>
      </c>
      <c r="E1496" s="805" t="s">
        <v>18197</v>
      </c>
      <c r="F1496" s="805">
        <v>239.1</v>
      </c>
      <c r="G1496" s="202" t="str">
        <f t="shared" si="23"/>
        <v/>
      </c>
    </row>
    <row r="1497" spans="1:7" s="172" customFormat="1" ht="15" customHeight="1" x14ac:dyDescent="0.25">
      <c r="A1497" s="805" t="s">
        <v>2759</v>
      </c>
      <c r="B1497" s="805" t="s">
        <v>2436</v>
      </c>
      <c r="C1497" s="805" t="s">
        <v>2436</v>
      </c>
      <c r="D1497" s="805" t="s">
        <v>2761</v>
      </c>
      <c r="E1497" s="805">
        <v>100</v>
      </c>
      <c r="F1497" s="805">
        <v>3</v>
      </c>
      <c r="G1497" s="202" t="str">
        <f t="shared" si="23"/>
        <v/>
      </c>
    </row>
    <row r="1498" spans="1:7" s="172" customFormat="1" ht="15" customHeight="1" x14ac:dyDescent="0.25">
      <c r="A1498" s="805" t="s">
        <v>2759</v>
      </c>
      <c r="B1498" s="805" t="s">
        <v>2436</v>
      </c>
      <c r="C1498" s="805" t="s">
        <v>2436</v>
      </c>
      <c r="D1498" s="805" t="s">
        <v>2762</v>
      </c>
      <c r="E1498" s="805">
        <v>250</v>
      </c>
      <c r="F1498" s="805">
        <v>180</v>
      </c>
      <c r="G1498" s="202" t="str">
        <f t="shared" si="23"/>
        <v/>
      </c>
    </row>
    <row r="1499" spans="1:7" s="172" customFormat="1" ht="15" customHeight="1" x14ac:dyDescent="0.25">
      <c r="A1499" s="805" t="s">
        <v>2763</v>
      </c>
      <c r="B1499" s="805" t="s">
        <v>2436</v>
      </c>
      <c r="C1499" s="805" t="s">
        <v>2436</v>
      </c>
      <c r="D1499" s="805" t="s">
        <v>2764</v>
      </c>
      <c r="E1499" s="805">
        <v>30</v>
      </c>
      <c r="F1499" s="805">
        <v>5</v>
      </c>
      <c r="G1499" s="202" t="str">
        <f t="shared" si="23"/>
        <v/>
      </c>
    </row>
    <row r="1500" spans="1:7" s="172" customFormat="1" ht="15" customHeight="1" x14ac:dyDescent="0.25">
      <c r="A1500" s="805" t="s">
        <v>2765</v>
      </c>
      <c r="B1500" s="805" t="s">
        <v>2436</v>
      </c>
      <c r="C1500" s="805" t="s">
        <v>2436</v>
      </c>
      <c r="D1500" s="805" t="s">
        <v>2766</v>
      </c>
      <c r="E1500" s="805">
        <v>10</v>
      </c>
      <c r="F1500" s="805">
        <v>2</v>
      </c>
      <c r="G1500" s="202" t="str">
        <f t="shared" si="23"/>
        <v/>
      </c>
    </row>
    <row r="1501" spans="1:7" s="172" customFormat="1" ht="15" customHeight="1" x14ac:dyDescent="0.25">
      <c r="A1501" s="805" t="s">
        <v>2767</v>
      </c>
      <c r="B1501" s="805" t="s">
        <v>2436</v>
      </c>
      <c r="C1501" s="805" t="s">
        <v>2436</v>
      </c>
      <c r="D1501" s="805" t="s">
        <v>2768</v>
      </c>
      <c r="E1501" s="805">
        <v>40</v>
      </c>
      <c r="F1501" s="805">
        <v>3</v>
      </c>
      <c r="G1501" s="202" t="str">
        <f t="shared" si="23"/>
        <v/>
      </c>
    </row>
    <row r="1502" spans="1:7" s="172" customFormat="1" ht="15" customHeight="1" x14ac:dyDescent="0.25">
      <c r="A1502" s="805" t="s">
        <v>2515</v>
      </c>
      <c r="B1502" s="805" t="s">
        <v>2436</v>
      </c>
      <c r="C1502" s="805" t="s">
        <v>2436</v>
      </c>
      <c r="D1502" s="805" t="s">
        <v>2769</v>
      </c>
      <c r="E1502" s="805">
        <v>250</v>
      </c>
      <c r="F1502" s="805">
        <v>180</v>
      </c>
      <c r="G1502" s="202" t="str">
        <f t="shared" si="23"/>
        <v/>
      </c>
    </row>
    <row r="1503" spans="1:7" s="172" customFormat="1" ht="15" customHeight="1" x14ac:dyDescent="0.25">
      <c r="A1503" s="805" t="s">
        <v>2515</v>
      </c>
      <c r="B1503" s="805" t="s">
        <v>2436</v>
      </c>
      <c r="C1503" s="805" t="s">
        <v>2436</v>
      </c>
      <c r="D1503" s="805" t="s">
        <v>2770</v>
      </c>
      <c r="E1503" s="805">
        <v>100</v>
      </c>
      <c r="F1503" s="805">
        <v>20</v>
      </c>
      <c r="G1503" s="202" t="str">
        <f t="shared" si="23"/>
        <v/>
      </c>
    </row>
    <row r="1504" spans="1:7" s="172" customFormat="1" ht="15" customHeight="1" x14ac:dyDescent="0.25">
      <c r="A1504" s="805" t="s">
        <v>2557</v>
      </c>
      <c r="B1504" s="805" t="s">
        <v>2436</v>
      </c>
      <c r="C1504" s="805" t="s">
        <v>2436</v>
      </c>
      <c r="D1504" s="805" t="s">
        <v>2558</v>
      </c>
      <c r="E1504" s="805">
        <v>10</v>
      </c>
      <c r="F1504" s="805">
        <v>2</v>
      </c>
      <c r="G1504" s="202" t="str">
        <f t="shared" si="23"/>
        <v/>
      </c>
    </row>
    <row r="1505" spans="1:7" s="172" customFormat="1" ht="15" customHeight="1" x14ac:dyDescent="0.25">
      <c r="A1505" s="805" t="s">
        <v>2515</v>
      </c>
      <c r="B1505" s="805" t="s">
        <v>2436</v>
      </c>
      <c r="C1505" s="805" t="s">
        <v>2436</v>
      </c>
      <c r="D1505" s="805" t="s">
        <v>2771</v>
      </c>
      <c r="E1505" s="805">
        <v>150</v>
      </c>
      <c r="F1505" s="805">
        <v>5</v>
      </c>
      <c r="G1505" s="202" t="str">
        <f t="shared" si="23"/>
        <v/>
      </c>
    </row>
    <row r="1506" spans="1:7" s="172" customFormat="1" ht="15" customHeight="1" x14ac:dyDescent="0.25">
      <c r="A1506" s="805" t="s">
        <v>2772</v>
      </c>
      <c r="B1506" s="805" t="s">
        <v>2436</v>
      </c>
      <c r="C1506" s="805" t="s">
        <v>2436</v>
      </c>
      <c r="D1506" s="805" t="s">
        <v>2773</v>
      </c>
      <c r="E1506" s="805">
        <v>30</v>
      </c>
      <c r="F1506" s="805">
        <v>2</v>
      </c>
      <c r="G1506" s="202" t="str">
        <f t="shared" si="23"/>
        <v/>
      </c>
    </row>
    <row r="1507" spans="1:7" s="172" customFormat="1" ht="15" customHeight="1" x14ac:dyDescent="0.25">
      <c r="A1507" s="805" t="s">
        <v>2774</v>
      </c>
      <c r="B1507" s="805" t="s">
        <v>2436</v>
      </c>
      <c r="C1507" s="805" t="s">
        <v>2436</v>
      </c>
      <c r="D1507" s="805" t="s">
        <v>2775</v>
      </c>
      <c r="E1507" s="805">
        <v>100</v>
      </c>
      <c r="F1507" s="805">
        <v>70</v>
      </c>
      <c r="G1507" s="202" t="str">
        <f t="shared" si="23"/>
        <v/>
      </c>
    </row>
    <row r="1508" spans="1:7" s="172" customFormat="1" ht="15" customHeight="1" x14ac:dyDescent="0.25">
      <c r="A1508" s="805" t="s">
        <v>2776</v>
      </c>
      <c r="B1508" s="805" t="s">
        <v>2436</v>
      </c>
      <c r="C1508" s="805" t="s">
        <v>2436</v>
      </c>
      <c r="D1508" s="805" t="s">
        <v>2777</v>
      </c>
      <c r="E1508" s="805">
        <v>100</v>
      </c>
      <c r="F1508" s="805">
        <v>40</v>
      </c>
      <c r="G1508" s="202" t="str">
        <f t="shared" si="23"/>
        <v/>
      </c>
    </row>
    <row r="1509" spans="1:7" s="172" customFormat="1" ht="15" customHeight="1" x14ac:dyDescent="0.25">
      <c r="A1509" s="805" t="s">
        <v>2778</v>
      </c>
      <c r="B1509" s="805" t="s">
        <v>2436</v>
      </c>
      <c r="C1509" s="805" t="s">
        <v>2436</v>
      </c>
      <c r="D1509" s="805" t="s">
        <v>2779</v>
      </c>
      <c r="E1509" s="805">
        <v>100</v>
      </c>
      <c r="F1509" s="805">
        <v>20</v>
      </c>
      <c r="G1509" s="202" t="str">
        <f t="shared" si="23"/>
        <v/>
      </c>
    </row>
    <row r="1510" spans="1:7" s="172" customFormat="1" ht="15" customHeight="1" x14ac:dyDescent="0.25">
      <c r="A1510" s="805" t="s">
        <v>2778</v>
      </c>
      <c r="B1510" s="805" t="s">
        <v>2436</v>
      </c>
      <c r="C1510" s="805" t="s">
        <v>2436</v>
      </c>
      <c r="D1510" s="805" t="s">
        <v>2780</v>
      </c>
      <c r="E1510" s="805">
        <v>100</v>
      </c>
      <c r="F1510" s="805">
        <v>5</v>
      </c>
      <c r="G1510" s="202" t="str">
        <f t="shared" si="23"/>
        <v/>
      </c>
    </row>
    <row r="1511" spans="1:7" s="172" customFormat="1" ht="15" customHeight="1" x14ac:dyDescent="0.25">
      <c r="A1511" s="805" t="s">
        <v>2781</v>
      </c>
      <c r="B1511" s="805" t="s">
        <v>2436</v>
      </c>
      <c r="C1511" s="805" t="s">
        <v>2436</v>
      </c>
      <c r="D1511" s="805" t="s">
        <v>2782</v>
      </c>
      <c r="E1511" s="805">
        <v>20</v>
      </c>
      <c r="F1511" s="805">
        <v>5</v>
      </c>
      <c r="G1511" s="202" t="str">
        <f t="shared" si="23"/>
        <v/>
      </c>
    </row>
    <row r="1512" spans="1:7" s="172" customFormat="1" ht="15" customHeight="1" x14ac:dyDescent="0.25">
      <c r="A1512" s="805" t="s">
        <v>2783</v>
      </c>
      <c r="B1512" s="805" t="s">
        <v>2436</v>
      </c>
      <c r="C1512" s="805" t="s">
        <v>2436</v>
      </c>
      <c r="D1512" s="805" t="s">
        <v>2784</v>
      </c>
      <c r="E1512" s="805">
        <v>50</v>
      </c>
      <c r="F1512" s="805">
        <v>3</v>
      </c>
      <c r="G1512" s="202" t="str">
        <f t="shared" si="23"/>
        <v/>
      </c>
    </row>
    <row r="1513" spans="1:7" s="172" customFormat="1" ht="15" customHeight="1" x14ac:dyDescent="0.25">
      <c r="A1513" s="805" t="s">
        <v>2785</v>
      </c>
      <c r="B1513" s="805" t="s">
        <v>2436</v>
      </c>
      <c r="C1513" s="805" t="s">
        <v>2436</v>
      </c>
      <c r="D1513" s="805" t="s">
        <v>2786</v>
      </c>
      <c r="E1513" s="805">
        <v>63</v>
      </c>
      <c r="F1513" s="805">
        <v>4</v>
      </c>
      <c r="G1513" s="202" t="str">
        <f t="shared" si="23"/>
        <v/>
      </c>
    </row>
    <row r="1514" spans="1:7" s="172" customFormat="1" ht="15" customHeight="1" x14ac:dyDescent="0.25">
      <c r="A1514" s="805" t="s">
        <v>2787</v>
      </c>
      <c r="B1514" s="805" t="s">
        <v>2436</v>
      </c>
      <c r="C1514" s="805" t="s">
        <v>2436</v>
      </c>
      <c r="D1514" s="805" t="s">
        <v>2788</v>
      </c>
      <c r="E1514" s="805">
        <v>30</v>
      </c>
      <c r="F1514" s="805">
        <v>2</v>
      </c>
      <c r="G1514" s="202" t="str">
        <f t="shared" si="23"/>
        <v/>
      </c>
    </row>
    <row r="1515" spans="1:7" s="172" customFormat="1" ht="15" customHeight="1" x14ac:dyDescent="0.25">
      <c r="A1515" s="805" t="s">
        <v>2789</v>
      </c>
      <c r="B1515" s="805" t="s">
        <v>2436</v>
      </c>
      <c r="C1515" s="805" t="s">
        <v>2436</v>
      </c>
      <c r="D1515" s="805" t="s">
        <v>2790</v>
      </c>
      <c r="E1515" s="805">
        <v>100</v>
      </c>
      <c r="F1515" s="805">
        <v>30</v>
      </c>
      <c r="G1515" s="202" t="str">
        <f t="shared" si="23"/>
        <v/>
      </c>
    </row>
    <row r="1516" spans="1:7" s="172" customFormat="1" ht="15" customHeight="1" x14ac:dyDescent="0.25">
      <c r="A1516" s="805" t="s">
        <v>2791</v>
      </c>
      <c r="B1516" s="805" t="s">
        <v>2436</v>
      </c>
      <c r="C1516" s="805" t="s">
        <v>2436</v>
      </c>
      <c r="D1516" s="805" t="s">
        <v>2792</v>
      </c>
      <c r="E1516" s="805">
        <v>250</v>
      </c>
      <c r="F1516" s="805">
        <v>200</v>
      </c>
      <c r="G1516" s="202" t="str">
        <f t="shared" si="23"/>
        <v/>
      </c>
    </row>
    <row r="1517" spans="1:7" s="172" customFormat="1" ht="15" customHeight="1" x14ac:dyDescent="0.25">
      <c r="A1517" s="805" t="s">
        <v>2791</v>
      </c>
      <c r="B1517" s="805" t="s">
        <v>2436</v>
      </c>
      <c r="C1517" s="805" t="s">
        <v>2436</v>
      </c>
      <c r="D1517" s="805" t="s">
        <v>2793</v>
      </c>
      <c r="E1517" s="805">
        <v>250</v>
      </c>
      <c r="F1517" s="805">
        <v>200</v>
      </c>
      <c r="G1517" s="202" t="str">
        <f t="shared" si="23"/>
        <v/>
      </c>
    </row>
    <row r="1518" spans="1:7" s="172" customFormat="1" ht="15" customHeight="1" x14ac:dyDescent="0.25">
      <c r="A1518" s="805" t="s">
        <v>2791</v>
      </c>
      <c r="B1518" s="805" t="s">
        <v>2436</v>
      </c>
      <c r="C1518" s="805" t="s">
        <v>2436</v>
      </c>
      <c r="D1518" s="805" t="s">
        <v>2794</v>
      </c>
      <c r="E1518" s="805">
        <v>100</v>
      </c>
      <c r="F1518" s="805">
        <v>5</v>
      </c>
      <c r="G1518" s="202" t="str">
        <f t="shared" si="23"/>
        <v/>
      </c>
    </row>
    <row r="1519" spans="1:7" s="172" customFormat="1" ht="15" customHeight="1" x14ac:dyDescent="0.25">
      <c r="A1519" s="805" t="s">
        <v>2791</v>
      </c>
      <c r="B1519" s="805" t="s">
        <v>2436</v>
      </c>
      <c r="C1519" s="805" t="s">
        <v>2436</v>
      </c>
      <c r="D1519" s="805" t="s">
        <v>2795</v>
      </c>
      <c r="E1519" s="805">
        <v>250</v>
      </c>
      <c r="F1519" s="805">
        <v>170</v>
      </c>
      <c r="G1519" s="202" t="str">
        <f t="shared" si="23"/>
        <v/>
      </c>
    </row>
    <row r="1520" spans="1:7" s="172" customFormat="1" ht="15" customHeight="1" x14ac:dyDescent="0.25">
      <c r="A1520" s="805" t="s">
        <v>2796</v>
      </c>
      <c r="B1520" s="805" t="s">
        <v>2436</v>
      </c>
      <c r="C1520" s="805" t="s">
        <v>2436</v>
      </c>
      <c r="D1520" s="805" t="s">
        <v>2797</v>
      </c>
      <c r="E1520" s="805">
        <v>100</v>
      </c>
      <c r="F1520" s="805">
        <v>30</v>
      </c>
      <c r="G1520" s="202" t="str">
        <f t="shared" si="23"/>
        <v/>
      </c>
    </row>
    <row r="1521" spans="1:7" s="172" customFormat="1" ht="15" customHeight="1" x14ac:dyDescent="0.25">
      <c r="A1521" s="805" t="s">
        <v>2798</v>
      </c>
      <c r="B1521" s="805" t="s">
        <v>2436</v>
      </c>
      <c r="C1521" s="805" t="s">
        <v>2436</v>
      </c>
      <c r="D1521" s="805" t="s">
        <v>2799</v>
      </c>
      <c r="E1521" s="805">
        <v>100</v>
      </c>
      <c r="F1521" s="805">
        <v>10</v>
      </c>
      <c r="G1521" s="202" t="str">
        <f t="shared" si="23"/>
        <v/>
      </c>
    </row>
    <row r="1522" spans="1:7" s="172" customFormat="1" ht="15" customHeight="1" x14ac:dyDescent="0.25">
      <c r="A1522" s="805" t="s">
        <v>2800</v>
      </c>
      <c r="B1522" s="805" t="s">
        <v>2436</v>
      </c>
      <c r="C1522" s="805" t="s">
        <v>2436</v>
      </c>
      <c r="D1522" s="805" t="s">
        <v>2801</v>
      </c>
      <c r="E1522" s="805">
        <v>30</v>
      </c>
      <c r="F1522" s="805">
        <v>5</v>
      </c>
      <c r="G1522" s="202" t="str">
        <f t="shared" si="23"/>
        <v/>
      </c>
    </row>
    <row r="1523" spans="1:7" s="172" customFormat="1" ht="15" customHeight="1" x14ac:dyDescent="0.25">
      <c r="A1523" s="805" t="s">
        <v>2802</v>
      </c>
      <c r="B1523" s="805" t="s">
        <v>2436</v>
      </c>
      <c r="C1523" s="805" t="s">
        <v>2436</v>
      </c>
      <c r="D1523" s="805" t="s">
        <v>2803</v>
      </c>
      <c r="E1523" s="805">
        <v>100</v>
      </c>
      <c r="F1523" s="805">
        <v>40</v>
      </c>
      <c r="G1523" s="202" t="str">
        <f t="shared" si="23"/>
        <v/>
      </c>
    </row>
    <row r="1524" spans="1:7" s="172" customFormat="1" ht="15" customHeight="1" x14ac:dyDescent="0.25">
      <c r="A1524" s="805" t="s">
        <v>2804</v>
      </c>
      <c r="B1524" s="805" t="s">
        <v>2436</v>
      </c>
      <c r="C1524" s="805" t="s">
        <v>2436</v>
      </c>
      <c r="D1524" s="805" t="s">
        <v>2805</v>
      </c>
      <c r="E1524" s="805">
        <v>60</v>
      </c>
      <c r="F1524" s="805">
        <v>2</v>
      </c>
      <c r="G1524" s="202" t="str">
        <f t="shared" si="23"/>
        <v/>
      </c>
    </row>
    <row r="1525" spans="1:7" s="172" customFormat="1" ht="15" customHeight="1" x14ac:dyDescent="0.25">
      <c r="A1525" s="805" t="s">
        <v>2806</v>
      </c>
      <c r="B1525" s="805" t="s">
        <v>2436</v>
      </c>
      <c r="C1525" s="805" t="s">
        <v>2436</v>
      </c>
      <c r="D1525" s="805" t="s">
        <v>2807</v>
      </c>
      <c r="E1525" s="805">
        <v>30</v>
      </c>
      <c r="F1525" s="805">
        <v>2</v>
      </c>
      <c r="G1525" s="202" t="str">
        <f t="shared" si="23"/>
        <v/>
      </c>
    </row>
    <row r="1526" spans="1:7" s="172" customFormat="1" ht="15" customHeight="1" x14ac:dyDescent="0.25">
      <c r="A1526" s="805" t="s">
        <v>2808</v>
      </c>
      <c r="B1526" s="805" t="s">
        <v>2436</v>
      </c>
      <c r="C1526" s="805" t="s">
        <v>2436</v>
      </c>
      <c r="D1526" s="805" t="s">
        <v>2809</v>
      </c>
      <c r="E1526" s="805">
        <v>400</v>
      </c>
      <c r="F1526" s="805">
        <v>196</v>
      </c>
      <c r="G1526" s="202" t="str">
        <f t="shared" si="23"/>
        <v/>
      </c>
    </row>
    <row r="1527" spans="1:7" s="172" customFormat="1" ht="15" customHeight="1" x14ac:dyDescent="0.25">
      <c r="A1527" s="805" t="s">
        <v>2810</v>
      </c>
      <c r="B1527" s="805" t="s">
        <v>2436</v>
      </c>
      <c r="C1527" s="805" t="s">
        <v>2436</v>
      </c>
      <c r="D1527" s="805" t="s">
        <v>2811</v>
      </c>
      <c r="E1527" s="805">
        <v>40</v>
      </c>
      <c r="F1527" s="805">
        <v>10</v>
      </c>
      <c r="G1527" s="202" t="str">
        <f t="shared" si="23"/>
        <v/>
      </c>
    </row>
    <row r="1528" spans="1:7" s="172" customFormat="1" ht="15" customHeight="1" x14ac:dyDescent="0.25">
      <c r="A1528" s="805" t="s">
        <v>2812</v>
      </c>
      <c r="B1528" s="805" t="s">
        <v>2436</v>
      </c>
      <c r="C1528" s="805" t="s">
        <v>2436</v>
      </c>
      <c r="D1528" s="805" t="s">
        <v>2813</v>
      </c>
      <c r="E1528" s="805">
        <v>60</v>
      </c>
      <c r="F1528" s="805">
        <v>10</v>
      </c>
      <c r="G1528" s="202" t="str">
        <f t="shared" si="23"/>
        <v/>
      </c>
    </row>
    <row r="1529" spans="1:7" s="172" customFormat="1" ht="15" customHeight="1" x14ac:dyDescent="0.25">
      <c r="A1529" s="805" t="s">
        <v>2814</v>
      </c>
      <c r="B1529" s="805" t="s">
        <v>2436</v>
      </c>
      <c r="C1529" s="805" t="s">
        <v>2436</v>
      </c>
      <c r="D1529" s="805" t="s">
        <v>2815</v>
      </c>
      <c r="E1529" s="805">
        <v>100</v>
      </c>
      <c r="F1529" s="805">
        <v>50</v>
      </c>
      <c r="G1529" s="202" t="str">
        <f t="shared" si="23"/>
        <v/>
      </c>
    </row>
    <row r="1530" spans="1:7" s="172" customFormat="1" ht="15" customHeight="1" x14ac:dyDescent="0.25">
      <c r="A1530" s="805" t="s">
        <v>2816</v>
      </c>
      <c r="B1530" s="805" t="s">
        <v>2436</v>
      </c>
      <c r="C1530" s="805" t="s">
        <v>2436</v>
      </c>
      <c r="D1530" s="805" t="s">
        <v>19821</v>
      </c>
      <c r="E1530" s="805">
        <v>180</v>
      </c>
      <c r="F1530" s="805" t="s">
        <v>2143</v>
      </c>
      <c r="G1530" s="202" t="str">
        <f t="shared" si="23"/>
        <v/>
      </c>
    </row>
    <row r="1531" spans="1:7" s="172" customFormat="1" ht="15" customHeight="1" x14ac:dyDescent="0.25">
      <c r="A1531" s="805" t="s">
        <v>2816</v>
      </c>
      <c r="B1531" s="805" t="s">
        <v>2436</v>
      </c>
      <c r="C1531" s="805" t="s">
        <v>2436</v>
      </c>
      <c r="D1531" s="805" t="s">
        <v>2817</v>
      </c>
      <c r="E1531" s="805">
        <v>100</v>
      </c>
      <c r="F1531" s="805">
        <v>20</v>
      </c>
      <c r="G1531" s="202" t="str">
        <f t="shared" si="23"/>
        <v/>
      </c>
    </row>
    <row r="1532" spans="1:7" s="172" customFormat="1" ht="15" customHeight="1" x14ac:dyDescent="0.25">
      <c r="A1532" s="805" t="s">
        <v>2816</v>
      </c>
      <c r="B1532" s="805" t="s">
        <v>2436</v>
      </c>
      <c r="C1532" s="805" t="s">
        <v>2436</v>
      </c>
      <c r="D1532" s="805" t="s">
        <v>2818</v>
      </c>
      <c r="E1532" s="805">
        <v>160</v>
      </c>
      <c r="F1532" s="805">
        <v>60</v>
      </c>
      <c r="G1532" s="202" t="str">
        <f t="shared" si="23"/>
        <v/>
      </c>
    </row>
    <row r="1533" spans="1:7" s="172" customFormat="1" ht="15" customHeight="1" x14ac:dyDescent="0.25">
      <c r="A1533" s="805" t="s">
        <v>2816</v>
      </c>
      <c r="B1533" s="805" t="s">
        <v>2436</v>
      </c>
      <c r="C1533" s="805" t="s">
        <v>2436</v>
      </c>
      <c r="D1533" s="805" t="s">
        <v>2582</v>
      </c>
      <c r="E1533" s="805">
        <v>250</v>
      </c>
      <c r="F1533" s="805">
        <v>200</v>
      </c>
      <c r="G1533" s="202" t="str">
        <f t="shared" si="23"/>
        <v/>
      </c>
    </row>
    <row r="1534" spans="1:7" s="172" customFormat="1" ht="15" customHeight="1" x14ac:dyDescent="0.25">
      <c r="A1534" s="805" t="s">
        <v>2819</v>
      </c>
      <c r="B1534" s="805" t="s">
        <v>2436</v>
      </c>
      <c r="C1534" s="805" t="s">
        <v>2436</v>
      </c>
      <c r="D1534" s="805" t="s">
        <v>2820</v>
      </c>
      <c r="E1534" s="805">
        <v>20</v>
      </c>
      <c r="F1534" s="805">
        <v>2</v>
      </c>
      <c r="G1534" s="202" t="str">
        <f t="shared" si="23"/>
        <v/>
      </c>
    </row>
    <row r="1535" spans="1:7" s="172" customFormat="1" ht="15" customHeight="1" x14ac:dyDescent="0.25">
      <c r="A1535" s="805" t="s">
        <v>2821</v>
      </c>
      <c r="B1535" s="805" t="s">
        <v>2436</v>
      </c>
      <c r="C1535" s="805" t="s">
        <v>2436</v>
      </c>
      <c r="D1535" s="805" t="s">
        <v>2822</v>
      </c>
      <c r="E1535" s="805">
        <v>20</v>
      </c>
      <c r="F1535" s="805">
        <v>2</v>
      </c>
      <c r="G1535" s="202" t="str">
        <f t="shared" si="23"/>
        <v/>
      </c>
    </row>
    <row r="1536" spans="1:7" s="172" customFormat="1" ht="15" customHeight="1" x14ac:dyDescent="0.25">
      <c r="A1536" s="805" t="s">
        <v>2823</v>
      </c>
      <c r="B1536" s="805" t="s">
        <v>2436</v>
      </c>
      <c r="C1536" s="805" t="s">
        <v>2436</v>
      </c>
      <c r="D1536" s="805" t="s">
        <v>2824</v>
      </c>
      <c r="E1536" s="805">
        <v>30</v>
      </c>
      <c r="F1536" s="805">
        <v>3</v>
      </c>
      <c r="G1536" s="202" t="str">
        <f t="shared" si="23"/>
        <v/>
      </c>
    </row>
    <row r="1537" spans="1:7" s="172" customFormat="1" ht="15" customHeight="1" x14ac:dyDescent="0.25">
      <c r="A1537" s="805" t="s">
        <v>2825</v>
      </c>
      <c r="B1537" s="805" t="s">
        <v>2436</v>
      </c>
      <c r="C1537" s="805" t="s">
        <v>2436</v>
      </c>
      <c r="D1537" s="805" t="s">
        <v>2826</v>
      </c>
      <c r="E1537" s="805">
        <v>30</v>
      </c>
      <c r="F1537" s="805">
        <v>20</v>
      </c>
      <c r="G1537" s="202" t="str">
        <f t="shared" si="23"/>
        <v/>
      </c>
    </row>
    <row r="1538" spans="1:7" s="172" customFormat="1" ht="15" customHeight="1" x14ac:dyDescent="0.25">
      <c r="A1538" s="805" t="s">
        <v>2827</v>
      </c>
      <c r="B1538" s="805" t="s">
        <v>2436</v>
      </c>
      <c r="C1538" s="805" t="s">
        <v>2436</v>
      </c>
      <c r="D1538" s="805" t="s">
        <v>2828</v>
      </c>
      <c r="E1538" s="805">
        <v>30</v>
      </c>
      <c r="F1538" s="805">
        <v>5</v>
      </c>
      <c r="G1538" s="202" t="str">
        <f t="shared" si="23"/>
        <v/>
      </c>
    </row>
    <row r="1539" spans="1:7" s="172" customFormat="1" ht="15" customHeight="1" x14ac:dyDescent="0.25">
      <c r="A1539" s="805" t="s">
        <v>2829</v>
      </c>
      <c r="B1539" s="805" t="s">
        <v>2436</v>
      </c>
      <c r="C1539" s="805" t="s">
        <v>2436</v>
      </c>
      <c r="D1539" s="805" t="s">
        <v>2830</v>
      </c>
      <c r="E1539" s="805">
        <v>60</v>
      </c>
      <c r="F1539" s="805">
        <v>20</v>
      </c>
      <c r="G1539" s="202" t="str">
        <f t="shared" si="23"/>
        <v/>
      </c>
    </row>
    <row r="1540" spans="1:7" s="172" customFormat="1" ht="15" customHeight="1" x14ac:dyDescent="0.25">
      <c r="A1540" s="805" t="s">
        <v>2831</v>
      </c>
      <c r="B1540" s="805" t="s">
        <v>2436</v>
      </c>
      <c r="C1540" s="805" t="s">
        <v>2436</v>
      </c>
      <c r="D1540" s="805" t="s">
        <v>2832</v>
      </c>
      <c r="E1540" s="805">
        <v>100</v>
      </c>
      <c r="F1540" s="805">
        <v>75</v>
      </c>
      <c r="G1540" s="202" t="str">
        <f t="shared" ref="G1540:G1603" si="24">IF(E1540=F1540,"не загружен","")</f>
        <v/>
      </c>
    </row>
    <row r="1541" spans="1:7" s="172" customFormat="1" ht="15" customHeight="1" x14ac:dyDescent="0.25">
      <c r="A1541" s="805" t="s">
        <v>2833</v>
      </c>
      <c r="B1541" s="805" t="s">
        <v>2436</v>
      </c>
      <c r="C1541" s="805" t="s">
        <v>2436</v>
      </c>
      <c r="D1541" s="805" t="s">
        <v>2834</v>
      </c>
      <c r="E1541" s="805">
        <v>50</v>
      </c>
      <c r="F1541" s="805">
        <v>5</v>
      </c>
      <c r="G1541" s="202" t="str">
        <f t="shared" si="24"/>
        <v/>
      </c>
    </row>
    <row r="1542" spans="1:7" s="172" customFormat="1" ht="15" customHeight="1" x14ac:dyDescent="0.25">
      <c r="A1542" s="805" t="s">
        <v>2835</v>
      </c>
      <c r="B1542" s="805" t="s">
        <v>2436</v>
      </c>
      <c r="C1542" s="805" t="s">
        <v>2436</v>
      </c>
      <c r="D1542" s="805" t="s">
        <v>2836</v>
      </c>
      <c r="E1542" s="805">
        <v>63</v>
      </c>
      <c r="F1542" s="805">
        <v>3</v>
      </c>
      <c r="G1542" s="202" t="str">
        <f t="shared" si="24"/>
        <v/>
      </c>
    </row>
    <row r="1543" spans="1:7" s="172" customFormat="1" ht="15" customHeight="1" x14ac:dyDescent="0.25">
      <c r="A1543" s="805" t="s">
        <v>2831</v>
      </c>
      <c r="B1543" s="805" t="s">
        <v>2436</v>
      </c>
      <c r="C1543" s="805" t="s">
        <v>2436</v>
      </c>
      <c r="D1543" s="805" t="s">
        <v>2837</v>
      </c>
      <c r="E1543" s="805">
        <v>100</v>
      </c>
      <c r="F1543" s="805">
        <v>4</v>
      </c>
      <c r="G1543" s="202" t="str">
        <f t="shared" si="24"/>
        <v/>
      </c>
    </row>
    <row r="1544" spans="1:7" s="172" customFormat="1" ht="15" customHeight="1" x14ac:dyDescent="0.25">
      <c r="A1544" s="805" t="s">
        <v>2831</v>
      </c>
      <c r="B1544" s="805" t="s">
        <v>2436</v>
      </c>
      <c r="C1544" s="805" t="s">
        <v>2436</v>
      </c>
      <c r="D1544" s="805" t="s">
        <v>2838</v>
      </c>
      <c r="E1544" s="805">
        <v>63</v>
      </c>
      <c r="F1544" s="805">
        <v>45</v>
      </c>
      <c r="G1544" s="202" t="str">
        <f t="shared" si="24"/>
        <v/>
      </c>
    </row>
    <row r="1545" spans="1:7" s="172" customFormat="1" ht="15" customHeight="1" x14ac:dyDescent="0.25">
      <c r="A1545" s="805" t="s">
        <v>2831</v>
      </c>
      <c r="B1545" s="805" t="s">
        <v>2436</v>
      </c>
      <c r="C1545" s="805" t="s">
        <v>2436</v>
      </c>
      <c r="D1545" s="805" t="s">
        <v>2839</v>
      </c>
      <c r="E1545" s="805">
        <v>400</v>
      </c>
      <c r="F1545" s="805">
        <v>20</v>
      </c>
      <c r="G1545" s="202" t="str">
        <f t="shared" si="24"/>
        <v/>
      </c>
    </row>
    <row r="1546" spans="1:7" s="172" customFormat="1" ht="15" customHeight="1" x14ac:dyDescent="0.25">
      <c r="A1546" s="805" t="s">
        <v>2831</v>
      </c>
      <c r="B1546" s="805" t="s">
        <v>2436</v>
      </c>
      <c r="C1546" s="805" t="s">
        <v>2436</v>
      </c>
      <c r="D1546" s="805" t="s">
        <v>2674</v>
      </c>
      <c r="E1546" s="805">
        <v>160</v>
      </c>
      <c r="F1546" s="805">
        <v>100</v>
      </c>
      <c r="G1546" s="202" t="str">
        <f t="shared" si="24"/>
        <v/>
      </c>
    </row>
    <row r="1547" spans="1:7" s="172" customFormat="1" ht="15" customHeight="1" x14ac:dyDescent="0.25">
      <c r="A1547" s="805" t="s">
        <v>2831</v>
      </c>
      <c r="B1547" s="805" t="s">
        <v>2436</v>
      </c>
      <c r="C1547" s="805" t="s">
        <v>2436</v>
      </c>
      <c r="D1547" s="805" t="s">
        <v>2840</v>
      </c>
      <c r="E1547" s="805">
        <v>63</v>
      </c>
      <c r="F1547" s="805">
        <v>5</v>
      </c>
      <c r="G1547" s="202" t="str">
        <f t="shared" si="24"/>
        <v/>
      </c>
    </row>
    <row r="1548" spans="1:7" s="172" customFormat="1" ht="15" customHeight="1" x14ac:dyDescent="0.25">
      <c r="A1548" s="805" t="s">
        <v>2831</v>
      </c>
      <c r="B1548" s="805" t="s">
        <v>2436</v>
      </c>
      <c r="C1548" s="805" t="s">
        <v>2436</v>
      </c>
      <c r="D1548" s="805" t="s">
        <v>2525</v>
      </c>
      <c r="E1548" s="805">
        <v>400</v>
      </c>
      <c r="F1548" s="805">
        <v>30</v>
      </c>
      <c r="G1548" s="202" t="str">
        <f t="shared" si="24"/>
        <v/>
      </c>
    </row>
    <row r="1549" spans="1:7" s="172" customFormat="1" ht="15" customHeight="1" x14ac:dyDescent="0.25">
      <c r="A1549" s="805" t="s">
        <v>2831</v>
      </c>
      <c r="B1549" s="805" t="s">
        <v>2436</v>
      </c>
      <c r="C1549" s="805" t="s">
        <v>2436</v>
      </c>
      <c r="D1549" s="805" t="s">
        <v>2582</v>
      </c>
      <c r="E1549" s="805">
        <v>400</v>
      </c>
      <c r="F1549" s="805" t="s">
        <v>2143</v>
      </c>
      <c r="G1549" s="202" t="str">
        <f t="shared" si="24"/>
        <v/>
      </c>
    </row>
    <row r="1550" spans="1:7" s="172" customFormat="1" ht="15" customHeight="1" x14ac:dyDescent="0.25">
      <c r="A1550" s="805" t="s">
        <v>2463</v>
      </c>
      <c r="B1550" s="805" t="s">
        <v>2436</v>
      </c>
      <c r="C1550" s="805" t="s">
        <v>2436</v>
      </c>
      <c r="D1550" s="805" t="s">
        <v>2464</v>
      </c>
      <c r="E1550" s="805">
        <v>100</v>
      </c>
      <c r="F1550" s="805">
        <v>5</v>
      </c>
      <c r="G1550" s="202" t="str">
        <f t="shared" si="24"/>
        <v/>
      </c>
    </row>
    <row r="1551" spans="1:7" s="172" customFormat="1" ht="15" customHeight="1" x14ac:dyDescent="0.25">
      <c r="A1551" s="805" t="s">
        <v>2841</v>
      </c>
      <c r="B1551" s="805" t="s">
        <v>2436</v>
      </c>
      <c r="C1551" s="805" t="s">
        <v>2436</v>
      </c>
      <c r="D1551" s="805" t="s">
        <v>2842</v>
      </c>
      <c r="E1551" s="805">
        <v>100</v>
      </c>
      <c r="F1551" s="805">
        <v>70</v>
      </c>
      <c r="G1551" s="202" t="str">
        <f t="shared" si="24"/>
        <v/>
      </c>
    </row>
    <row r="1552" spans="1:7" s="172" customFormat="1" ht="15" customHeight="1" x14ac:dyDescent="0.25">
      <c r="A1552" s="805" t="s">
        <v>2843</v>
      </c>
      <c r="B1552" s="805" t="s">
        <v>2436</v>
      </c>
      <c r="C1552" s="805" t="s">
        <v>2436</v>
      </c>
      <c r="D1552" s="805" t="s">
        <v>2844</v>
      </c>
      <c r="E1552" s="805">
        <v>30</v>
      </c>
      <c r="F1552" s="805">
        <v>1</v>
      </c>
      <c r="G1552" s="202" t="str">
        <f t="shared" si="24"/>
        <v/>
      </c>
    </row>
    <row r="1553" spans="1:7" s="172" customFormat="1" ht="15" customHeight="1" x14ac:dyDescent="0.25">
      <c r="A1553" s="805" t="s">
        <v>2845</v>
      </c>
      <c r="B1553" s="805" t="s">
        <v>2436</v>
      </c>
      <c r="C1553" s="805" t="s">
        <v>2436</v>
      </c>
      <c r="D1553" s="805" t="s">
        <v>2846</v>
      </c>
      <c r="E1553" s="805">
        <v>30</v>
      </c>
      <c r="F1553" s="805">
        <v>1</v>
      </c>
      <c r="G1553" s="202" t="str">
        <f t="shared" si="24"/>
        <v/>
      </c>
    </row>
    <row r="1554" spans="1:7" s="172" customFormat="1" ht="15" customHeight="1" x14ac:dyDescent="0.25">
      <c r="A1554" s="805" t="s">
        <v>12278</v>
      </c>
      <c r="B1554" s="805" t="s">
        <v>2436</v>
      </c>
      <c r="C1554" s="805" t="s">
        <v>2436</v>
      </c>
      <c r="D1554" s="805" t="s">
        <v>2847</v>
      </c>
      <c r="E1554" s="805">
        <v>100</v>
      </c>
      <c r="F1554" s="805">
        <v>50</v>
      </c>
      <c r="G1554" s="202" t="str">
        <f t="shared" si="24"/>
        <v/>
      </c>
    </row>
    <row r="1555" spans="1:7" s="172" customFormat="1" ht="15" customHeight="1" x14ac:dyDescent="0.25">
      <c r="A1555" s="805" t="s">
        <v>2848</v>
      </c>
      <c r="B1555" s="805" t="s">
        <v>2436</v>
      </c>
      <c r="C1555" s="805" t="s">
        <v>2436</v>
      </c>
      <c r="D1555" s="805" t="s">
        <v>2849</v>
      </c>
      <c r="E1555" s="805">
        <v>250</v>
      </c>
      <c r="F1555" s="805">
        <v>10</v>
      </c>
      <c r="G1555" s="202" t="str">
        <f t="shared" si="24"/>
        <v/>
      </c>
    </row>
    <row r="1556" spans="1:7" s="172" customFormat="1" ht="15" customHeight="1" x14ac:dyDescent="0.25">
      <c r="A1556" s="805" t="s">
        <v>2850</v>
      </c>
      <c r="B1556" s="805" t="s">
        <v>2436</v>
      </c>
      <c r="C1556" s="805" t="s">
        <v>2436</v>
      </c>
      <c r="D1556" s="805" t="s">
        <v>2851</v>
      </c>
      <c r="E1556" s="805" t="s">
        <v>18569</v>
      </c>
      <c r="F1556" s="805">
        <v>180</v>
      </c>
      <c r="G1556" s="202" t="str">
        <f t="shared" si="24"/>
        <v/>
      </c>
    </row>
    <row r="1557" spans="1:7" s="172" customFormat="1" ht="15" customHeight="1" x14ac:dyDescent="0.25">
      <c r="A1557" s="805" t="s">
        <v>2850</v>
      </c>
      <c r="B1557" s="805" t="s">
        <v>2436</v>
      </c>
      <c r="C1557" s="805" t="s">
        <v>2436</v>
      </c>
      <c r="D1557" s="805" t="s">
        <v>2852</v>
      </c>
      <c r="E1557" s="805" t="s">
        <v>18196</v>
      </c>
      <c r="F1557" s="805">
        <v>400</v>
      </c>
      <c r="G1557" s="202" t="str">
        <f t="shared" si="24"/>
        <v/>
      </c>
    </row>
    <row r="1558" spans="1:7" s="172" customFormat="1" ht="15" customHeight="1" x14ac:dyDescent="0.25">
      <c r="A1558" s="805" t="s">
        <v>2850</v>
      </c>
      <c r="B1558" s="805" t="s">
        <v>2436</v>
      </c>
      <c r="C1558" s="805" t="s">
        <v>2436</v>
      </c>
      <c r="D1558" s="805" t="s">
        <v>2853</v>
      </c>
      <c r="E1558" s="805">
        <v>160</v>
      </c>
      <c r="F1558" s="805">
        <v>55</v>
      </c>
      <c r="G1558" s="202" t="str">
        <f t="shared" si="24"/>
        <v/>
      </c>
    </row>
    <row r="1559" spans="1:7" s="172" customFormat="1" ht="15" customHeight="1" x14ac:dyDescent="0.25">
      <c r="A1559" s="805" t="s">
        <v>2854</v>
      </c>
      <c r="B1559" s="805" t="s">
        <v>2436</v>
      </c>
      <c r="C1559" s="805" t="s">
        <v>2436</v>
      </c>
      <c r="D1559" s="805" t="s">
        <v>2855</v>
      </c>
      <c r="E1559" s="805">
        <v>160</v>
      </c>
      <c r="F1559" s="805">
        <v>10</v>
      </c>
      <c r="G1559" s="202" t="str">
        <f t="shared" si="24"/>
        <v/>
      </c>
    </row>
    <row r="1560" spans="1:7" s="172" customFormat="1" ht="15" customHeight="1" x14ac:dyDescent="0.25">
      <c r="A1560" s="805" t="s">
        <v>2856</v>
      </c>
      <c r="B1560" s="805" t="s">
        <v>2436</v>
      </c>
      <c r="C1560" s="805" t="s">
        <v>2436</v>
      </c>
      <c r="D1560" s="805" t="s">
        <v>2857</v>
      </c>
      <c r="E1560" s="805">
        <v>250</v>
      </c>
      <c r="F1560" s="805">
        <v>47</v>
      </c>
      <c r="G1560" s="202" t="str">
        <f t="shared" si="24"/>
        <v/>
      </c>
    </row>
    <row r="1561" spans="1:7" s="172" customFormat="1" ht="15" customHeight="1" x14ac:dyDescent="0.25">
      <c r="A1561" s="805" t="s">
        <v>2858</v>
      </c>
      <c r="B1561" s="805" t="s">
        <v>2436</v>
      </c>
      <c r="C1561" s="805" t="s">
        <v>2436</v>
      </c>
      <c r="D1561" s="805" t="s">
        <v>2859</v>
      </c>
      <c r="E1561" s="805">
        <v>40</v>
      </c>
      <c r="F1561" s="805">
        <v>20</v>
      </c>
      <c r="G1561" s="202" t="str">
        <f t="shared" si="24"/>
        <v/>
      </c>
    </row>
    <row r="1562" spans="1:7" s="172" customFormat="1" ht="15" customHeight="1" x14ac:dyDescent="0.25">
      <c r="A1562" s="805" t="s">
        <v>2858</v>
      </c>
      <c r="B1562" s="805" t="s">
        <v>2436</v>
      </c>
      <c r="C1562" s="805" t="s">
        <v>2436</v>
      </c>
      <c r="D1562" s="805" t="s">
        <v>19822</v>
      </c>
      <c r="E1562" s="805" t="s">
        <v>2143</v>
      </c>
      <c r="F1562" s="805" t="s">
        <v>2143</v>
      </c>
      <c r="G1562" s="202" t="str">
        <f t="shared" si="24"/>
        <v>не загружен</v>
      </c>
    </row>
    <row r="1563" spans="1:7" s="172" customFormat="1" ht="15" customHeight="1" x14ac:dyDescent="0.25">
      <c r="A1563" s="805" t="s">
        <v>2858</v>
      </c>
      <c r="B1563" s="805" t="s">
        <v>2436</v>
      </c>
      <c r="C1563" s="805" t="s">
        <v>2436</v>
      </c>
      <c r="D1563" s="805" t="s">
        <v>2525</v>
      </c>
      <c r="E1563" s="805" t="s">
        <v>18570</v>
      </c>
      <c r="F1563" s="805">
        <v>400</v>
      </c>
      <c r="G1563" s="202" t="str">
        <f t="shared" si="24"/>
        <v/>
      </c>
    </row>
    <row r="1564" spans="1:7" s="172" customFormat="1" ht="15" customHeight="1" x14ac:dyDescent="0.25">
      <c r="A1564" s="805" t="s">
        <v>2858</v>
      </c>
      <c r="B1564" s="805" t="s">
        <v>2436</v>
      </c>
      <c r="C1564" s="805" t="s">
        <v>2436</v>
      </c>
      <c r="D1564" s="805" t="s">
        <v>2860</v>
      </c>
      <c r="E1564" s="805">
        <v>315</v>
      </c>
      <c r="F1564" s="805">
        <v>160</v>
      </c>
      <c r="G1564" s="202" t="str">
        <f t="shared" si="24"/>
        <v/>
      </c>
    </row>
    <row r="1565" spans="1:7" s="172" customFormat="1" ht="15" customHeight="1" x14ac:dyDescent="0.25">
      <c r="A1565" s="805" t="s">
        <v>2858</v>
      </c>
      <c r="B1565" s="805" t="s">
        <v>2436</v>
      </c>
      <c r="C1565" s="805" t="s">
        <v>2436</v>
      </c>
      <c r="D1565" s="805" t="s">
        <v>2861</v>
      </c>
      <c r="E1565" s="805" t="s">
        <v>18570</v>
      </c>
      <c r="F1565" s="805">
        <v>400</v>
      </c>
      <c r="G1565" s="202" t="str">
        <f t="shared" si="24"/>
        <v/>
      </c>
    </row>
    <row r="1566" spans="1:7" s="172" customFormat="1" ht="15" customHeight="1" x14ac:dyDescent="0.25">
      <c r="A1566" s="805" t="s">
        <v>2858</v>
      </c>
      <c r="B1566" s="805" t="s">
        <v>2436</v>
      </c>
      <c r="C1566" s="805" t="s">
        <v>2436</v>
      </c>
      <c r="D1566" s="805" t="s">
        <v>2862</v>
      </c>
      <c r="E1566" s="805">
        <v>60</v>
      </c>
      <c r="F1566" s="805">
        <v>30</v>
      </c>
      <c r="G1566" s="202" t="str">
        <f t="shared" si="24"/>
        <v/>
      </c>
    </row>
    <row r="1567" spans="1:7" s="172" customFormat="1" ht="15" customHeight="1" x14ac:dyDescent="0.25">
      <c r="A1567" s="805" t="s">
        <v>2858</v>
      </c>
      <c r="B1567" s="805" t="s">
        <v>2436</v>
      </c>
      <c r="C1567" s="805" t="s">
        <v>2436</v>
      </c>
      <c r="D1567" s="805" t="s">
        <v>2863</v>
      </c>
      <c r="E1567" s="805">
        <v>250</v>
      </c>
      <c r="F1567" s="805">
        <v>190</v>
      </c>
      <c r="G1567" s="202" t="str">
        <f t="shared" si="24"/>
        <v/>
      </c>
    </row>
    <row r="1568" spans="1:7" s="172" customFormat="1" ht="15" customHeight="1" x14ac:dyDescent="0.25">
      <c r="A1568" s="805" t="s">
        <v>2858</v>
      </c>
      <c r="B1568" s="805" t="s">
        <v>2436</v>
      </c>
      <c r="C1568" s="805" t="s">
        <v>2436</v>
      </c>
      <c r="D1568" s="805" t="s">
        <v>2864</v>
      </c>
      <c r="E1568" s="805">
        <v>63</v>
      </c>
      <c r="F1568" s="805">
        <v>30</v>
      </c>
      <c r="G1568" s="202" t="str">
        <f t="shared" si="24"/>
        <v/>
      </c>
    </row>
    <row r="1569" spans="1:7" s="172" customFormat="1" ht="15" customHeight="1" x14ac:dyDescent="0.25">
      <c r="A1569" s="805" t="s">
        <v>2858</v>
      </c>
      <c r="B1569" s="805" t="s">
        <v>2436</v>
      </c>
      <c r="C1569" s="805" t="s">
        <v>2436</v>
      </c>
      <c r="D1569" s="805" t="s">
        <v>2865</v>
      </c>
      <c r="E1569" s="805">
        <v>250</v>
      </c>
      <c r="F1569" s="805">
        <v>200</v>
      </c>
      <c r="G1569" s="202" t="str">
        <f t="shared" si="24"/>
        <v/>
      </c>
    </row>
    <row r="1570" spans="1:7" s="172" customFormat="1" ht="15" customHeight="1" x14ac:dyDescent="0.25">
      <c r="A1570" s="805" t="s">
        <v>2858</v>
      </c>
      <c r="B1570" s="805" t="s">
        <v>2436</v>
      </c>
      <c r="C1570" s="805" t="s">
        <v>2436</v>
      </c>
      <c r="D1570" s="805" t="s">
        <v>2866</v>
      </c>
      <c r="E1570" s="805">
        <v>160</v>
      </c>
      <c r="F1570" s="805">
        <v>100</v>
      </c>
      <c r="G1570" s="202" t="str">
        <f t="shared" si="24"/>
        <v/>
      </c>
    </row>
    <row r="1571" spans="1:7" s="172" customFormat="1" ht="15" customHeight="1" x14ac:dyDescent="0.25">
      <c r="A1571" s="805" t="s">
        <v>2858</v>
      </c>
      <c r="B1571" s="805" t="s">
        <v>2436</v>
      </c>
      <c r="C1571" s="805" t="s">
        <v>2436</v>
      </c>
      <c r="D1571" s="805" t="s">
        <v>2523</v>
      </c>
      <c r="E1571" s="805">
        <v>40</v>
      </c>
      <c r="F1571" s="805">
        <v>3</v>
      </c>
      <c r="G1571" s="202" t="str">
        <f t="shared" si="24"/>
        <v/>
      </c>
    </row>
    <row r="1572" spans="1:7" s="172" customFormat="1" ht="15" customHeight="1" x14ac:dyDescent="0.25">
      <c r="A1572" s="805" t="s">
        <v>2858</v>
      </c>
      <c r="B1572" s="805" t="s">
        <v>2436</v>
      </c>
      <c r="C1572" s="805" t="s">
        <v>2436</v>
      </c>
      <c r="D1572" s="805" t="s">
        <v>2867</v>
      </c>
      <c r="E1572" s="805">
        <v>100</v>
      </c>
      <c r="F1572" s="805">
        <v>50</v>
      </c>
      <c r="G1572" s="202" t="str">
        <f t="shared" si="24"/>
        <v/>
      </c>
    </row>
    <row r="1573" spans="1:7" s="172" customFormat="1" ht="15" customHeight="1" x14ac:dyDescent="0.25">
      <c r="A1573" s="805" t="s">
        <v>2858</v>
      </c>
      <c r="B1573" s="805" t="s">
        <v>2436</v>
      </c>
      <c r="C1573" s="805" t="s">
        <v>2436</v>
      </c>
      <c r="D1573" s="805" t="s">
        <v>2868</v>
      </c>
      <c r="E1573" s="805">
        <v>100</v>
      </c>
      <c r="F1573" s="805">
        <v>60</v>
      </c>
      <c r="G1573" s="202" t="str">
        <f t="shared" si="24"/>
        <v/>
      </c>
    </row>
    <row r="1574" spans="1:7" s="172" customFormat="1" ht="15" customHeight="1" x14ac:dyDescent="0.25">
      <c r="A1574" s="805" t="s">
        <v>2869</v>
      </c>
      <c r="B1574" s="805" t="s">
        <v>2436</v>
      </c>
      <c r="C1574" s="805" t="s">
        <v>2436</v>
      </c>
      <c r="D1574" s="805" t="s">
        <v>2870</v>
      </c>
      <c r="E1574" s="805">
        <v>63</v>
      </c>
      <c r="F1574" s="805">
        <v>30</v>
      </c>
      <c r="G1574" s="202" t="str">
        <f t="shared" si="24"/>
        <v/>
      </c>
    </row>
    <row r="1575" spans="1:7" s="172" customFormat="1" ht="15" customHeight="1" x14ac:dyDescent="0.25">
      <c r="A1575" s="805" t="s">
        <v>2871</v>
      </c>
      <c r="B1575" s="805" t="s">
        <v>2436</v>
      </c>
      <c r="C1575" s="805" t="s">
        <v>2436</v>
      </c>
      <c r="D1575" s="805" t="s">
        <v>2872</v>
      </c>
      <c r="E1575" s="805">
        <v>40</v>
      </c>
      <c r="F1575" s="805">
        <v>2</v>
      </c>
      <c r="G1575" s="202" t="str">
        <f t="shared" si="24"/>
        <v/>
      </c>
    </row>
    <row r="1576" spans="1:7" s="172" customFormat="1" ht="15" customHeight="1" x14ac:dyDescent="0.25">
      <c r="A1576" s="805" t="s">
        <v>2873</v>
      </c>
      <c r="B1576" s="805" t="s">
        <v>2436</v>
      </c>
      <c r="C1576" s="805" t="s">
        <v>2436</v>
      </c>
      <c r="D1576" s="805" t="s">
        <v>2874</v>
      </c>
      <c r="E1576" s="805">
        <v>100</v>
      </c>
      <c r="F1576" s="805">
        <v>60</v>
      </c>
      <c r="G1576" s="202" t="str">
        <f t="shared" si="24"/>
        <v/>
      </c>
    </row>
    <row r="1577" spans="1:7" s="172" customFormat="1" ht="15" customHeight="1" x14ac:dyDescent="0.25">
      <c r="A1577" s="805" t="s">
        <v>2875</v>
      </c>
      <c r="B1577" s="805" t="s">
        <v>2436</v>
      </c>
      <c r="C1577" s="805" t="s">
        <v>2436</v>
      </c>
      <c r="D1577" s="805" t="s">
        <v>2876</v>
      </c>
      <c r="E1577" s="805">
        <v>30</v>
      </c>
      <c r="F1577" s="805">
        <v>15</v>
      </c>
      <c r="G1577" s="202" t="str">
        <f t="shared" si="24"/>
        <v/>
      </c>
    </row>
    <row r="1578" spans="1:7" s="172" customFormat="1" ht="15" customHeight="1" x14ac:dyDescent="0.25">
      <c r="A1578" s="805" t="s">
        <v>2877</v>
      </c>
      <c r="B1578" s="805" t="s">
        <v>2436</v>
      </c>
      <c r="C1578" s="805" t="s">
        <v>2436</v>
      </c>
      <c r="D1578" s="805" t="s">
        <v>2878</v>
      </c>
      <c r="E1578" s="805">
        <v>100</v>
      </c>
      <c r="F1578" s="805">
        <v>60</v>
      </c>
      <c r="G1578" s="202" t="str">
        <f t="shared" si="24"/>
        <v/>
      </c>
    </row>
    <row r="1579" spans="1:7" s="172" customFormat="1" ht="15" customHeight="1" x14ac:dyDescent="0.25">
      <c r="A1579" s="805" t="s">
        <v>2879</v>
      </c>
      <c r="B1579" s="805" t="s">
        <v>2436</v>
      </c>
      <c r="C1579" s="805" t="s">
        <v>2436</v>
      </c>
      <c r="D1579" s="805" t="s">
        <v>2880</v>
      </c>
      <c r="E1579" s="805">
        <v>40</v>
      </c>
      <c r="F1579" s="805">
        <v>20</v>
      </c>
      <c r="G1579" s="202" t="str">
        <f t="shared" si="24"/>
        <v/>
      </c>
    </row>
    <row r="1580" spans="1:7" s="172" customFormat="1" ht="15" customHeight="1" x14ac:dyDescent="0.25">
      <c r="A1580" s="805" t="s">
        <v>2858</v>
      </c>
      <c r="B1580" s="805" t="s">
        <v>2436</v>
      </c>
      <c r="C1580" s="805" t="s">
        <v>2436</v>
      </c>
      <c r="D1580" s="805" t="s">
        <v>2881</v>
      </c>
      <c r="E1580" s="805" t="s">
        <v>18198</v>
      </c>
      <c r="F1580" s="805">
        <v>160</v>
      </c>
      <c r="G1580" s="202" t="str">
        <f t="shared" si="24"/>
        <v/>
      </c>
    </row>
    <row r="1581" spans="1:7" s="172" customFormat="1" ht="15" customHeight="1" x14ac:dyDescent="0.25">
      <c r="A1581" s="805" t="s">
        <v>2689</v>
      </c>
      <c r="B1581" s="805" t="s">
        <v>2436</v>
      </c>
      <c r="C1581" s="805" t="s">
        <v>2436</v>
      </c>
      <c r="D1581" s="805" t="s">
        <v>2882</v>
      </c>
      <c r="E1581" s="805">
        <v>63</v>
      </c>
      <c r="F1581" s="805">
        <v>30</v>
      </c>
      <c r="G1581" s="202" t="str">
        <f t="shared" si="24"/>
        <v/>
      </c>
    </row>
    <row r="1582" spans="1:7" s="172" customFormat="1" ht="15" customHeight="1" x14ac:dyDescent="0.25">
      <c r="A1582" s="805" t="s">
        <v>2883</v>
      </c>
      <c r="B1582" s="805" t="s">
        <v>2436</v>
      </c>
      <c r="C1582" s="805" t="s">
        <v>2436</v>
      </c>
      <c r="D1582" s="805" t="s">
        <v>2884</v>
      </c>
      <c r="E1582" s="805">
        <v>100</v>
      </c>
      <c r="F1582" s="805">
        <v>60</v>
      </c>
      <c r="G1582" s="202" t="str">
        <f t="shared" si="24"/>
        <v/>
      </c>
    </row>
    <row r="1583" spans="1:7" s="172" customFormat="1" ht="15" customHeight="1" x14ac:dyDescent="0.25">
      <c r="A1583" s="805" t="s">
        <v>2885</v>
      </c>
      <c r="B1583" s="805" t="s">
        <v>2436</v>
      </c>
      <c r="C1583" s="805" t="s">
        <v>2436</v>
      </c>
      <c r="D1583" s="805" t="s">
        <v>2886</v>
      </c>
      <c r="E1583" s="805">
        <v>100</v>
      </c>
      <c r="F1583" s="805">
        <v>60</v>
      </c>
      <c r="G1583" s="202" t="str">
        <f t="shared" si="24"/>
        <v/>
      </c>
    </row>
    <row r="1584" spans="1:7" s="172" customFormat="1" ht="15" customHeight="1" x14ac:dyDescent="0.25">
      <c r="A1584" s="805" t="s">
        <v>2887</v>
      </c>
      <c r="B1584" s="805" t="s">
        <v>2436</v>
      </c>
      <c r="C1584" s="805" t="s">
        <v>2436</v>
      </c>
      <c r="D1584" s="805" t="s">
        <v>2888</v>
      </c>
      <c r="E1584" s="805">
        <v>100</v>
      </c>
      <c r="F1584" s="805">
        <v>50</v>
      </c>
      <c r="G1584" s="202" t="str">
        <f t="shared" si="24"/>
        <v/>
      </c>
    </row>
    <row r="1585" spans="1:7" s="172" customFormat="1" ht="15" customHeight="1" x14ac:dyDescent="0.25">
      <c r="A1585" s="805" t="s">
        <v>2889</v>
      </c>
      <c r="B1585" s="805" t="s">
        <v>2436</v>
      </c>
      <c r="C1585" s="805" t="s">
        <v>2436</v>
      </c>
      <c r="D1585" s="805" t="s">
        <v>2890</v>
      </c>
      <c r="E1585" s="805">
        <v>63</v>
      </c>
      <c r="F1585" s="805">
        <v>30</v>
      </c>
      <c r="G1585" s="202" t="str">
        <f t="shared" si="24"/>
        <v/>
      </c>
    </row>
    <row r="1586" spans="1:7" s="172" customFormat="1" ht="15" customHeight="1" x14ac:dyDescent="0.25">
      <c r="A1586" s="805" t="s">
        <v>2887</v>
      </c>
      <c r="B1586" s="805" t="s">
        <v>2436</v>
      </c>
      <c r="C1586" s="805" t="s">
        <v>2436</v>
      </c>
      <c r="D1586" s="805" t="s">
        <v>2891</v>
      </c>
      <c r="E1586" s="805">
        <v>160</v>
      </c>
      <c r="F1586" s="805">
        <v>90</v>
      </c>
      <c r="G1586" s="202" t="str">
        <f t="shared" si="24"/>
        <v/>
      </c>
    </row>
    <row r="1587" spans="1:7" s="172" customFormat="1" ht="15" customHeight="1" x14ac:dyDescent="0.25">
      <c r="A1587" s="805" t="s">
        <v>2887</v>
      </c>
      <c r="B1587" s="805" t="s">
        <v>2436</v>
      </c>
      <c r="C1587" s="805" t="s">
        <v>2436</v>
      </c>
      <c r="D1587" s="805" t="s">
        <v>2892</v>
      </c>
      <c r="E1587" s="805">
        <v>100</v>
      </c>
      <c r="F1587" s="805">
        <v>65</v>
      </c>
      <c r="G1587" s="202" t="str">
        <f t="shared" si="24"/>
        <v/>
      </c>
    </row>
    <row r="1588" spans="1:7" s="172" customFormat="1" ht="15" customHeight="1" x14ac:dyDescent="0.25">
      <c r="A1588" s="805" t="s">
        <v>2893</v>
      </c>
      <c r="B1588" s="805" t="s">
        <v>2436</v>
      </c>
      <c r="C1588" s="805" t="s">
        <v>2436</v>
      </c>
      <c r="D1588" s="805" t="s">
        <v>2894</v>
      </c>
      <c r="E1588" s="805">
        <v>40</v>
      </c>
      <c r="F1588" s="805">
        <v>25</v>
      </c>
      <c r="G1588" s="202" t="str">
        <f t="shared" si="24"/>
        <v/>
      </c>
    </row>
    <row r="1589" spans="1:7" s="172" customFormat="1" ht="15" customHeight="1" x14ac:dyDescent="0.25">
      <c r="A1589" s="805" t="s">
        <v>2895</v>
      </c>
      <c r="B1589" s="805" t="s">
        <v>2436</v>
      </c>
      <c r="C1589" s="805" t="s">
        <v>2436</v>
      </c>
      <c r="D1589" s="805" t="s">
        <v>2896</v>
      </c>
      <c r="E1589" s="805">
        <v>30</v>
      </c>
      <c r="F1589" s="805">
        <v>15</v>
      </c>
      <c r="G1589" s="202" t="str">
        <f t="shared" si="24"/>
        <v/>
      </c>
    </row>
    <row r="1590" spans="1:7" s="172" customFormat="1" ht="15" customHeight="1" x14ac:dyDescent="0.25">
      <c r="A1590" s="805" t="s">
        <v>2897</v>
      </c>
      <c r="B1590" s="805" t="s">
        <v>2436</v>
      </c>
      <c r="C1590" s="805" t="s">
        <v>2436</v>
      </c>
      <c r="D1590" s="805" t="s">
        <v>2898</v>
      </c>
      <c r="E1590" s="805">
        <v>30</v>
      </c>
      <c r="F1590" s="805">
        <v>10</v>
      </c>
      <c r="G1590" s="202" t="str">
        <f t="shared" si="24"/>
        <v/>
      </c>
    </row>
    <row r="1591" spans="1:7" s="172" customFormat="1" ht="15" customHeight="1" x14ac:dyDescent="0.25">
      <c r="A1591" s="805" t="s">
        <v>2899</v>
      </c>
      <c r="B1591" s="805" t="s">
        <v>2436</v>
      </c>
      <c r="C1591" s="805" t="s">
        <v>2436</v>
      </c>
      <c r="D1591" s="805" t="s">
        <v>2900</v>
      </c>
      <c r="E1591" s="805">
        <v>30</v>
      </c>
      <c r="F1591" s="805">
        <v>15</v>
      </c>
      <c r="G1591" s="202" t="str">
        <f t="shared" si="24"/>
        <v/>
      </c>
    </row>
    <row r="1592" spans="1:7" s="172" customFormat="1" ht="15" customHeight="1" x14ac:dyDescent="0.25">
      <c r="A1592" s="805" t="s">
        <v>2901</v>
      </c>
      <c r="B1592" s="805" t="s">
        <v>2436</v>
      </c>
      <c r="C1592" s="805" t="s">
        <v>2436</v>
      </c>
      <c r="D1592" s="805" t="s">
        <v>2902</v>
      </c>
      <c r="E1592" s="805">
        <v>40</v>
      </c>
      <c r="F1592" s="805">
        <v>25</v>
      </c>
      <c r="G1592" s="202" t="str">
        <f t="shared" si="24"/>
        <v/>
      </c>
    </row>
    <row r="1593" spans="1:7" s="172" customFormat="1" ht="15" customHeight="1" x14ac:dyDescent="0.25">
      <c r="A1593" s="805" t="s">
        <v>2903</v>
      </c>
      <c r="B1593" s="805" t="s">
        <v>2436</v>
      </c>
      <c r="C1593" s="805" t="s">
        <v>2436</v>
      </c>
      <c r="D1593" s="805" t="s">
        <v>2904</v>
      </c>
      <c r="E1593" s="805">
        <v>100</v>
      </c>
      <c r="F1593" s="805">
        <v>60</v>
      </c>
      <c r="G1593" s="202" t="str">
        <f t="shared" si="24"/>
        <v/>
      </c>
    </row>
    <row r="1594" spans="1:7" s="172" customFormat="1" ht="15" customHeight="1" x14ac:dyDescent="0.25">
      <c r="A1594" s="805" t="s">
        <v>2623</v>
      </c>
      <c r="B1594" s="805" t="s">
        <v>2436</v>
      </c>
      <c r="C1594" s="805" t="s">
        <v>2436</v>
      </c>
      <c r="D1594" s="805" t="s">
        <v>2905</v>
      </c>
      <c r="E1594" s="805">
        <v>160</v>
      </c>
      <c r="F1594" s="805">
        <v>100</v>
      </c>
      <c r="G1594" s="202" t="str">
        <f t="shared" si="24"/>
        <v/>
      </c>
    </row>
    <row r="1595" spans="1:7" s="172" customFormat="1" ht="15" customHeight="1" x14ac:dyDescent="0.25">
      <c r="A1595" s="805" t="s">
        <v>2906</v>
      </c>
      <c r="B1595" s="805" t="s">
        <v>2436</v>
      </c>
      <c r="C1595" s="805" t="s">
        <v>2436</v>
      </c>
      <c r="D1595" s="805" t="s">
        <v>2907</v>
      </c>
      <c r="E1595" s="805">
        <v>10</v>
      </c>
      <c r="F1595" s="805">
        <v>4</v>
      </c>
      <c r="G1595" s="202" t="str">
        <f t="shared" si="24"/>
        <v/>
      </c>
    </row>
    <row r="1596" spans="1:7" s="172" customFormat="1" ht="15" customHeight="1" x14ac:dyDescent="0.25">
      <c r="A1596" s="805" t="s">
        <v>2908</v>
      </c>
      <c r="B1596" s="805" t="s">
        <v>2436</v>
      </c>
      <c r="C1596" s="805" t="s">
        <v>2436</v>
      </c>
      <c r="D1596" s="805" t="s">
        <v>2909</v>
      </c>
      <c r="E1596" s="805">
        <v>20</v>
      </c>
      <c r="F1596" s="805">
        <v>10</v>
      </c>
      <c r="G1596" s="202" t="str">
        <f t="shared" si="24"/>
        <v/>
      </c>
    </row>
    <row r="1597" spans="1:7" s="172" customFormat="1" ht="15" customHeight="1" x14ac:dyDescent="0.25">
      <c r="A1597" s="805" t="s">
        <v>2910</v>
      </c>
      <c r="B1597" s="805" t="s">
        <v>2436</v>
      </c>
      <c r="C1597" s="805" t="s">
        <v>2436</v>
      </c>
      <c r="D1597" s="805" t="s">
        <v>2911</v>
      </c>
      <c r="E1597" s="805">
        <v>10</v>
      </c>
      <c r="F1597" s="805">
        <v>8</v>
      </c>
      <c r="G1597" s="202" t="str">
        <f t="shared" si="24"/>
        <v/>
      </c>
    </row>
    <row r="1598" spans="1:7" s="172" customFormat="1" ht="15" customHeight="1" x14ac:dyDescent="0.25">
      <c r="A1598" s="805" t="s">
        <v>2535</v>
      </c>
      <c r="B1598" s="805" t="s">
        <v>2436</v>
      </c>
      <c r="C1598" s="805" t="s">
        <v>2436</v>
      </c>
      <c r="D1598" s="805" t="s">
        <v>2536</v>
      </c>
      <c r="E1598" s="805">
        <v>10</v>
      </c>
      <c r="F1598" s="805">
        <v>8</v>
      </c>
      <c r="G1598" s="202" t="str">
        <f t="shared" si="24"/>
        <v/>
      </c>
    </row>
    <row r="1599" spans="1:7" s="172" customFormat="1" ht="15" customHeight="1" x14ac:dyDescent="0.25">
      <c r="A1599" s="805" t="s">
        <v>2912</v>
      </c>
      <c r="B1599" s="805" t="s">
        <v>2436</v>
      </c>
      <c r="C1599" s="805" t="s">
        <v>2436</v>
      </c>
      <c r="D1599" s="805" t="s">
        <v>2913</v>
      </c>
      <c r="E1599" s="805">
        <v>63</v>
      </c>
      <c r="F1599" s="805">
        <v>10</v>
      </c>
      <c r="G1599" s="202" t="str">
        <f t="shared" si="24"/>
        <v/>
      </c>
    </row>
    <row r="1600" spans="1:7" s="172" customFormat="1" ht="15" customHeight="1" x14ac:dyDescent="0.25">
      <c r="A1600" s="805" t="s">
        <v>2914</v>
      </c>
      <c r="B1600" s="805" t="s">
        <v>2436</v>
      </c>
      <c r="C1600" s="805" t="s">
        <v>2436</v>
      </c>
      <c r="D1600" s="805" t="s">
        <v>2915</v>
      </c>
      <c r="E1600" s="805">
        <v>63</v>
      </c>
      <c r="F1600" s="805">
        <v>30</v>
      </c>
      <c r="G1600" s="202" t="str">
        <f t="shared" si="24"/>
        <v/>
      </c>
    </row>
    <row r="1601" spans="1:7" s="172" customFormat="1" ht="15" customHeight="1" x14ac:dyDescent="0.25">
      <c r="A1601" s="805" t="s">
        <v>2916</v>
      </c>
      <c r="B1601" s="805" t="s">
        <v>2436</v>
      </c>
      <c r="C1601" s="805" t="s">
        <v>2436</v>
      </c>
      <c r="D1601" s="805" t="s">
        <v>2917</v>
      </c>
      <c r="E1601" s="805">
        <v>160</v>
      </c>
      <c r="F1601" s="805">
        <v>60</v>
      </c>
      <c r="G1601" s="202" t="str">
        <f t="shared" si="24"/>
        <v/>
      </c>
    </row>
    <row r="1602" spans="1:7" s="172" customFormat="1" ht="15" customHeight="1" x14ac:dyDescent="0.25">
      <c r="A1602" s="805" t="s">
        <v>2918</v>
      </c>
      <c r="B1602" s="805" t="s">
        <v>2436</v>
      </c>
      <c r="C1602" s="805" t="s">
        <v>2436</v>
      </c>
      <c r="D1602" s="805" t="s">
        <v>2919</v>
      </c>
      <c r="E1602" s="805">
        <v>10</v>
      </c>
      <c r="F1602" s="805">
        <v>6</v>
      </c>
      <c r="G1602" s="202" t="str">
        <f t="shared" si="24"/>
        <v/>
      </c>
    </row>
    <row r="1603" spans="1:7" s="172" customFormat="1" ht="15" customHeight="1" x14ac:dyDescent="0.25">
      <c r="A1603" s="805" t="s">
        <v>2920</v>
      </c>
      <c r="B1603" s="805" t="s">
        <v>2436</v>
      </c>
      <c r="C1603" s="805" t="s">
        <v>2436</v>
      </c>
      <c r="D1603" s="805" t="s">
        <v>2921</v>
      </c>
      <c r="E1603" s="805">
        <v>30</v>
      </c>
      <c r="F1603" s="805">
        <v>15</v>
      </c>
      <c r="G1603" s="202" t="str">
        <f t="shared" si="24"/>
        <v/>
      </c>
    </row>
    <row r="1604" spans="1:7" s="172" customFormat="1" ht="15" customHeight="1" x14ac:dyDescent="0.25">
      <c r="A1604" s="805" t="s">
        <v>2922</v>
      </c>
      <c r="B1604" s="805" t="s">
        <v>2436</v>
      </c>
      <c r="C1604" s="805" t="s">
        <v>2436</v>
      </c>
      <c r="D1604" s="805" t="s">
        <v>2923</v>
      </c>
      <c r="E1604" s="805">
        <v>30</v>
      </c>
      <c r="F1604" s="805">
        <v>15</v>
      </c>
      <c r="G1604" s="202" t="str">
        <f t="shared" ref="G1604:G1667" si="25">IF(E1604=F1604,"не загружен","")</f>
        <v/>
      </c>
    </row>
    <row r="1605" spans="1:7" s="172" customFormat="1" ht="15" customHeight="1" x14ac:dyDescent="0.25">
      <c r="A1605" s="805" t="s">
        <v>2924</v>
      </c>
      <c r="B1605" s="805" t="s">
        <v>2436</v>
      </c>
      <c r="C1605" s="805" t="s">
        <v>2436</v>
      </c>
      <c r="D1605" s="805" t="s">
        <v>2925</v>
      </c>
      <c r="E1605" s="805">
        <v>10</v>
      </c>
      <c r="F1605" s="805">
        <v>8</v>
      </c>
      <c r="G1605" s="202" t="str">
        <f t="shared" si="25"/>
        <v/>
      </c>
    </row>
    <row r="1606" spans="1:7" s="172" customFormat="1" ht="15" customHeight="1" x14ac:dyDescent="0.25">
      <c r="A1606" s="805" t="s">
        <v>2926</v>
      </c>
      <c r="B1606" s="805" t="s">
        <v>2436</v>
      </c>
      <c r="C1606" s="805" t="s">
        <v>2436</v>
      </c>
      <c r="D1606" s="805" t="s">
        <v>2927</v>
      </c>
      <c r="E1606" s="805">
        <v>40</v>
      </c>
      <c r="F1606" s="805">
        <v>10</v>
      </c>
      <c r="G1606" s="202" t="str">
        <f t="shared" si="25"/>
        <v/>
      </c>
    </row>
    <row r="1607" spans="1:7" s="172" customFormat="1" ht="15" customHeight="1" x14ac:dyDescent="0.25">
      <c r="A1607" s="805" t="s">
        <v>12279</v>
      </c>
      <c r="B1607" s="805" t="s">
        <v>2436</v>
      </c>
      <c r="C1607" s="805" t="s">
        <v>2436</v>
      </c>
      <c r="D1607" s="805" t="s">
        <v>2928</v>
      </c>
      <c r="E1607" s="805">
        <v>100</v>
      </c>
      <c r="F1607" s="805">
        <v>60</v>
      </c>
      <c r="G1607" s="202" t="str">
        <f t="shared" si="25"/>
        <v/>
      </c>
    </row>
    <row r="1608" spans="1:7" s="172" customFormat="1" ht="15" customHeight="1" x14ac:dyDescent="0.25">
      <c r="A1608" s="805" t="s">
        <v>2929</v>
      </c>
      <c r="B1608" s="805" t="s">
        <v>2436</v>
      </c>
      <c r="C1608" s="805" t="s">
        <v>2436</v>
      </c>
      <c r="D1608" s="805" t="s">
        <v>2930</v>
      </c>
      <c r="E1608" s="805">
        <v>63</v>
      </c>
      <c r="F1608" s="805">
        <v>20</v>
      </c>
      <c r="G1608" s="202" t="str">
        <f t="shared" si="25"/>
        <v/>
      </c>
    </row>
    <row r="1609" spans="1:7" s="172" customFormat="1" ht="15" customHeight="1" x14ac:dyDescent="0.25">
      <c r="A1609" s="805" t="s">
        <v>2929</v>
      </c>
      <c r="B1609" s="805" t="s">
        <v>2436</v>
      </c>
      <c r="C1609" s="805" t="s">
        <v>2436</v>
      </c>
      <c r="D1609" s="805" t="s">
        <v>2931</v>
      </c>
      <c r="E1609" s="805">
        <v>160</v>
      </c>
      <c r="F1609" s="805">
        <v>90</v>
      </c>
      <c r="G1609" s="202" t="str">
        <f t="shared" si="25"/>
        <v/>
      </c>
    </row>
    <row r="1610" spans="1:7" s="172" customFormat="1" ht="15" customHeight="1" x14ac:dyDescent="0.25">
      <c r="A1610" s="805" t="s">
        <v>2932</v>
      </c>
      <c r="B1610" s="805" t="s">
        <v>2436</v>
      </c>
      <c r="C1610" s="805" t="s">
        <v>2436</v>
      </c>
      <c r="D1610" s="805" t="s">
        <v>2933</v>
      </c>
      <c r="E1610" s="805">
        <v>40</v>
      </c>
      <c r="F1610" s="805">
        <v>20</v>
      </c>
      <c r="G1610" s="202" t="str">
        <f t="shared" si="25"/>
        <v/>
      </c>
    </row>
    <row r="1611" spans="1:7" s="172" customFormat="1" ht="15" customHeight="1" x14ac:dyDescent="0.25">
      <c r="A1611" s="805" t="s">
        <v>2934</v>
      </c>
      <c r="B1611" s="805" t="s">
        <v>2436</v>
      </c>
      <c r="C1611" s="805" t="s">
        <v>2436</v>
      </c>
      <c r="D1611" s="805" t="s">
        <v>2935</v>
      </c>
      <c r="E1611" s="805">
        <v>63</v>
      </c>
      <c r="F1611" s="805">
        <v>15</v>
      </c>
      <c r="G1611" s="202" t="str">
        <f t="shared" si="25"/>
        <v/>
      </c>
    </row>
    <row r="1612" spans="1:7" s="172" customFormat="1" ht="15" customHeight="1" x14ac:dyDescent="0.25">
      <c r="A1612" s="805" t="s">
        <v>2936</v>
      </c>
      <c r="B1612" s="805" t="s">
        <v>2436</v>
      </c>
      <c r="C1612" s="805" t="s">
        <v>2436</v>
      </c>
      <c r="D1612" s="805" t="s">
        <v>2937</v>
      </c>
      <c r="E1612" s="805">
        <v>100</v>
      </c>
      <c r="F1612" s="805">
        <v>70</v>
      </c>
      <c r="G1612" s="202" t="str">
        <f t="shared" si="25"/>
        <v/>
      </c>
    </row>
    <row r="1613" spans="1:7" s="172" customFormat="1" ht="15" customHeight="1" x14ac:dyDescent="0.25">
      <c r="A1613" s="805" t="s">
        <v>2938</v>
      </c>
      <c r="B1613" s="805" t="s">
        <v>2436</v>
      </c>
      <c r="C1613" s="805" t="s">
        <v>2436</v>
      </c>
      <c r="D1613" s="805" t="s">
        <v>2939</v>
      </c>
      <c r="E1613" s="805">
        <v>100</v>
      </c>
      <c r="F1613" s="805">
        <v>40</v>
      </c>
      <c r="G1613" s="202" t="str">
        <f t="shared" si="25"/>
        <v/>
      </c>
    </row>
    <row r="1614" spans="1:7" s="172" customFormat="1" ht="15" customHeight="1" x14ac:dyDescent="0.25">
      <c r="A1614" s="805" t="s">
        <v>2940</v>
      </c>
      <c r="B1614" s="805" t="s">
        <v>2436</v>
      </c>
      <c r="C1614" s="805" t="s">
        <v>2436</v>
      </c>
      <c r="D1614" s="805" t="s">
        <v>2941</v>
      </c>
      <c r="E1614" s="805">
        <v>10</v>
      </c>
      <c r="F1614" s="805">
        <v>3</v>
      </c>
      <c r="G1614" s="202" t="str">
        <f t="shared" si="25"/>
        <v/>
      </c>
    </row>
    <row r="1615" spans="1:7" s="172" customFormat="1" ht="15" customHeight="1" x14ac:dyDescent="0.25">
      <c r="A1615" s="805" t="s">
        <v>2938</v>
      </c>
      <c r="B1615" s="805" t="s">
        <v>2436</v>
      </c>
      <c r="C1615" s="805" t="s">
        <v>2436</v>
      </c>
      <c r="D1615" s="805" t="s">
        <v>2942</v>
      </c>
      <c r="E1615" s="805">
        <v>160</v>
      </c>
      <c r="F1615" s="805">
        <v>90</v>
      </c>
      <c r="G1615" s="202" t="str">
        <f t="shared" si="25"/>
        <v/>
      </c>
    </row>
    <row r="1616" spans="1:7" s="172" customFormat="1" ht="15" customHeight="1" x14ac:dyDescent="0.25">
      <c r="A1616" s="805" t="s">
        <v>2938</v>
      </c>
      <c r="B1616" s="805" t="s">
        <v>2436</v>
      </c>
      <c r="C1616" s="805" t="s">
        <v>2436</v>
      </c>
      <c r="D1616" s="805" t="s">
        <v>2943</v>
      </c>
      <c r="E1616" s="805">
        <v>250</v>
      </c>
      <c r="F1616" s="805">
        <v>150</v>
      </c>
      <c r="G1616" s="202" t="str">
        <f t="shared" si="25"/>
        <v/>
      </c>
    </row>
    <row r="1617" spans="1:7" s="172" customFormat="1" ht="15" customHeight="1" x14ac:dyDescent="0.25">
      <c r="A1617" s="805" t="s">
        <v>2920</v>
      </c>
      <c r="B1617" s="805" t="s">
        <v>2436</v>
      </c>
      <c r="C1617" s="805" t="s">
        <v>2436</v>
      </c>
      <c r="D1617" s="805" t="s">
        <v>2944</v>
      </c>
      <c r="E1617" s="805">
        <v>100</v>
      </c>
      <c r="F1617" s="805">
        <v>30</v>
      </c>
      <c r="G1617" s="202" t="str">
        <f t="shared" si="25"/>
        <v/>
      </c>
    </row>
    <row r="1618" spans="1:7" s="172" customFormat="1" ht="15" customHeight="1" x14ac:dyDescent="0.25">
      <c r="A1618" s="805" t="s">
        <v>2938</v>
      </c>
      <c r="B1618" s="805" t="s">
        <v>2436</v>
      </c>
      <c r="C1618" s="805" t="s">
        <v>2436</v>
      </c>
      <c r="D1618" s="805" t="s">
        <v>18571</v>
      </c>
      <c r="E1618" s="805" t="s">
        <v>18570</v>
      </c>
      <c r="F1618" s="805" t="s">
        <v>18572</v>
      </c>
      <c r="G1618" s="202" t="str">
        <f t="shared" si="25"/>
        <v/>
      </c>
    </row>
    <row r="1619" spans="1:7" s="172" customFormat="1" ht="15" customHeight="1" x14ac:dyDescent="0.25">
      <c r="A1619" s="805" t="s">
        <v>2938</v>
      </c>
      <c r="B1619" s="805" t="s">
        <v>2436</v>
      </c>
      <c r="C1619" s="805" t="s">
        <v>2436</v>
      </c>
      <c r="D1619" s="805" t="s">
        <v>2945</v>
      </c>
      <c r="E1619" s="805">
        <v>400</v>
      </c>
      <c r="F1619" s="805">
        <v>200</v>
      </c>
      <c r="G1619" s="202" t="str">
        <f t="shared" si="25"/>
        <v/>
      </c>
    </row>
    <row r="1620" spans="1:7" s="172" customFormat="1" ht="15" customHeight="1" x14ac:dyDescent="0.25">
      <c r="A1620" s="805" t="s">
        <v>2946</v>
      </c>
      <c r="B1620" s="805" t="s">
        <v>2436</v>
      </c>
      <c r="C1620" s="805" t="s">
        <v>2436</v>
      </c>
      <c r="D1620" s="805" t="s">
        <v>2861</v>
      </c>
      <c r="E1620" s="805" t="s">
        <v>18570</v>
      </c>
      <c r="F1620" s="805">
        <v>400</v>
      </c>
      <c r="G1620" s="202" t="str">
        <f t="shared" si="25"/>
        <v/>
      </c>
    </row>
    <row r="1621" spans="1:7" s="172" customFormat="1" ht="15" customHeight="1" x14ac:dyDescent="0.25">
      <c r="A1621" s="805" t="s">
        <v>2946</v>
      </c>
      <c r="B1621" s="805" t="s">
        <v>2436</v>
      </c>
      <c r="C1621" s="805" t="s">
        <v>2436</v>
      </c>
      <c r="D1621" s="805" t="s">
        <v>2947</v>
      </c>
      <c r="E1621" s="805">
        <v>400</v>
      </c>
      <c r="F1621" s="805">
        <v>200</v>
      </c>
      <c r="G1621" s="202" t="str">
        <f t="shared" si="25"/>
        <v/>
      </c>
    </row>
    <row r="1622" spans="1:7" s="172" customFormat="1" ht="15" customHeight="1" x14ac:dyDescent="0.25">
      <c r="A1622" s="805" t="s">
        <v>2946</v>
      </c>
      <c r="B1622" s="805" t="s">
        <v>2436</v>
      </c>
      <c r="C1622" s="805" t="s">
        <v>2436</v>
      </c>
      <c r="D1622" s="805" t="s">
        <v>2948</v>
      </c>
      <c r="E1622" s="805">
        <v>400</v>
      </c>
      <c r="F1622" s="805">
        <v>350</v>
      </c>
      <c r="G1622" s="202" t="str">
        <f t="shared" si="25"/>
        <v/>
      </c>
    </row>
    <row r="1623" spans="1:7" s="172" customFormat="1" ht="15" customHeight="1" x14ac:dyDescent="0.25">
      <c r="A1623" s="805" t="s">
        <v>2946</v>
      </c>
      <c r="B1623" s="805" t="s">
        <v>2436</v>
      </c>
      <c r="C1623" s="805" t="s">
        <v>2436</v>
      </c>
      <c r="D1623" s="805" t="s">
        <v>2949</v>
      </c>
      <c r="E1623" s="805">
        <v>250</v>
      </c>
      <c r="F1623" s="805">
        <v>100</v>
      </c>
      <c r="G1623" s="202" t="str">
        <f t="shared" si="25"/>
        <v/>
      </c>
    </row>
    <row r="1624" spans="1:7" s="172" customFormat="1" ht="15" customHeight="1" x14ac:dyDescent="0.25">
      <c r="A1624" s="805" t="s">
        <v>2950</v>
      </c>
      <c r="B1624" s="805" t="s">
        <v>2436</v>
      </c>
      <c r="C1624" s="805" t="s">
        <v>2436</v>
      </c>
      <c r="D1624" s="805" t="s">
        <v>2951</v>
      </c>
      <c r="E1624" s="805">
        <v>30</v>
      </c>
      <c r="F1624" s="805">
        <v>20</v>
      </c>
      <c r="G1624" s="202" t="str">
        <f t="shared" si="25"/>
        <v/>
      </c>
    </row>
    <row r="1625" spans="1:7" s="172" customFormat="1" ht="15" customHeight="1" x14ac:dyDescent="0.25">
      <c r="A1625" s="823" t="s">
        <v>2952</v>
      </c>
      <c r="B1625" s="805" t="s">
        <v>2436</v>
      </c>
      <c r="C1625" s="805" t="s">
        <v>2436</v>
      </c>
      <c r="D1625" s="823" t="s">
        <v>2953</v>
      </c>
      <c r="E1625" s="815">
        <v>100</v>
      </c>
      <c r="F1625" s="815">
        <v>70</v>
      </c>
      <c r="G1625" s="202" t="str">
        <f t="shared" si="25"/>
        <v/>
      </c>
    </row>
    <row r="1626" spans="1:7" s="172" customFormat="1" ht="15" customHeight="1" x14ac:dyDescent="0.25">
      <c r="A1626" s="823" t="s">
        <v>2954</v>
      </c>
      <c r="B1626" s="805" t="s">
        <v>2436</v>
      </c>
      <c r="C1626" s="805" t="s">
        <v>2436</v>
      </c>
      <c r="D1626" s="823" t="s">
        <v>2955</v>
      </c>
      <c r="E1626" s="823">
        <v>100</v>
      </c>
      <c r="F1626" s="823">
        <v>70</v>
      </c>
      <c r="G1626" s="202" t="str">
        <f t="shared" si="25"/>
        <v/>
      </c>
    </row>
    <row r="1627" spans="1:7" s="172" customFormat="1" ht="15" customHeight="1" x14ac:dyDescent="0.25">
      <c r="A1627" s="806" t="s">
        <v>2956</v>
      </c>
      <c r="B1627" s="806" t="s">
        <v>2436</v>
      </c>
      <c r="C1627" s="806" t="s">
        <v>2436</v>
      </c>
      <c r="D1627" s="824" t="s">
        <v>2957</v>
      </c>
      <c r="E1627" s="819">
        <v>10</v>
      </c>
      <c r="F1627" s="809">
        <v>5</v>
      </c>
      <c r="G1627" s="202" t="str">
        <f t="shared" si="25"/>
        <v/>
      </c>
    </row>
    <row r="1628" spans="1:7" s="172" customFormat="1" ht="15" customHeight="1" x14ac:dyDescent="0.25">
      <c r="A1628" s="806" t="s">
        <v>2946</v>
      </c>
      <c r="B1628" s="806" t="s">
        <v>2436</v>
      </c>
      <c r="C1628" s="806" t="s">
        <v>2436</v>
      </c>
      <c r="D1628" s="824" t="s">
        <v>2958</v>
      </c>
      <c r="E1628" s="809">
        <v>20</v>
      </c>
      <c r="F1628" s="809">
        <v>15</v>
      </c>
      <c r="G1628" s="202" t="str">
        <f t="shared" si="25"/>
        <v/>
      </c>
    </row>
    <row r="1629" spans="1:7" s="172" customFormat="1" ht="15" customHeight="1" x14ac:dyDescent="0.25">
      <c r="A1629" s="806" t="s">
        <v>2959</v>
      </c>
      <c r="B1629" s="806" t="s">
        <v>2436</v>
      </c>
      <c r="C1629" s="806" t="s">
        <v>2436</v>
      </c>
      <c r="D1629" s="824" t="s">
        <v>2960</v>
      </c>
      <c r="E1629" s="815">
        <v>30</v>
      </c>
      <c r="F1629" s="815">
        <v>15</v>
      </c>
      <c r="G1629" s="202" t="str">
        <f t="shared" si="25"/>
        <v/>
      </c>
    </row>
    <row r="1630" spans="1:7" s="172" customFormat="1" ht="15" customHeight="1" x14ac:dyDescent="0.25">
      <c r="A1630" s="825" t="s">
        <v>2961</v>
      </c>
      <c r="B1630" s="806" t="s">
        <v>2436</v>
      </c>
      <c r="C1630" s="806" t="s">
        <v>2436</v>
      </c>
      <c r="D1630" s="824" t="s">
        <v>2962</v>
      </c>
      <c r="E1630" s="815">
        <v>100</v>
      </c>
      <c r="F1630" s="815">
        <v>65</v>
      </c>
      <c r="G1630" s="202" t="str">
        <f t="shared" si="25"/>
        <v/>
      </c>
    </row>
    <row r="1631" spans="1:7" s="172" customFormat="1" ht="15" customHeight="1" x14ac:dyDescent="0.25">
      <c r="A1631" s="825" t="s">
        <v>2963</v>
      </c>
      <c r="B1631" s="806" t="s">
        <v>2436</v>
      </c>
      <c r="C1631" s="806" t="s">
        <v>2436</v>
      </c>
      <c r="D1631" s="824" t="s">
        <v>2964</v>
      </c>
      <c r="E1631" s="815">
        <v>10</v>
      </c>
      <c r="F1631" s="815">
        <v>5</v>
      </c>
      <c r="G1631" s="202" t="str">
        <f t="shared" si="25"/>
        <v/>
      </c>
    </row>
    <row r="1632" spans="1:7" s="172" customFormat="1" ht="15" customHeight="1" x14ac:dyDescent="0.25">
      <c r="A1632" s="825" t="s">
        <v>2965</v>
      </c>
      <c r="B1632" s="806" t="s">
        <v>2436</v>
      </c>
      <c r="C1632" s="806" t="s">
        <v>2436</v>
      </c>
      <c r="D1632" s="824" t="s">
        <v>2966</v>
      </c>
      <c r="E1632" s="815">
        <v>100</v>
      </c>
      <c r="F1632" s="815">
        <v>45</v>
      </c>
      <c r="G1632" s="202" t="str">
        <f t="shared" si="25"/>
        <v/>
      </c>
    </row>
    <row r="1633" spans="1:7" s="172" customFormat="1" ht="15" customHeight="1" x14ac:dyDescent="0.25">
      <c r="A1633" s="825" t="s">
        <v>18573</v>
      </c>
      <c r="B1633" s="806" t="s">
        <v>2436</v>
      </c>
      <c r="C1633" s="806" t="s">
        <v>2436</v>
      </c>
      <c r="D1633" s="824" t="s">
        <v>18574</v>
      </c>
      <c r="E1633" s="815">
        <v>40</v>
      </c>
      <c r="F1633" s="815">
        <v>2</v>
      </c>
      <c r="G1633" s="202" t="str">
        <f t="shared" si="25"/>
        <v/>
      </c>
    </row>
    <row r="1634" spans="1:7" s="172" customFormat="1" ht="15" customHeight="1" x14ac:dyDescent="0.25">
      <c r="A1634" s="825" t="s">
        <v>18575</v>
      </c>
      <c r="B1634" s="806" t="s">
        <v>2436</v>
      </c>
      <c r="C1634" s="806" t="s">
        <v>2436</v>
      </c>
      <c r="D1634" s="824" t="s">
        <v>18576</v>
      </c>
      <c r="E1634" s="815">
        <v>63</v>
      </c>
      <c r="F1634" s="815">
        <v>10</v>
      </c>
      <c r="G1634" s="202" t="str">
        <f t="shared" si="25"/>
        <v/>
      </c>
    </row>
    <row r="1635" spans="1:7" s="172" customFormat="1" ht="15" customHeight="1" x14ac:dyDescent="0.25">
      <c r="A1635" s="825" t="s">
        <v>19823</v>
      </c>
      <c r="B1635" s="806" t="s">
        <v>2436</v>
      </c>
      <c r="C1635" s="806" t="s">
        <v>2436</v>
      </c>
      <c r="D1635" s="824" t="s">
        <v>19824</v>
      </c>
      <c r="E1635" s="815">
        <v>100</v>
      </c>
      <c r="F1635" s="815">
        <v>0</v>
      </c>
      <c r="G1635" s="202" t="str">
        <f t="shared" si="25"/>
        <v/>
      </c>
    </row>
    <row r="1636" spans="1:7" s="172" customFormat="1" ht="15" customHeight="1" x14ac:dyDescent="0.25">
      <c r="A1636" s="825" t="s">
        <v>7308</v>
      </c>
      <c r="B1636" s="806" t="s">
        <v>7309</v>
      </c>
      <c r="C1636" s="806" t="s">
        <v>7309</v>
      </c>
      <c r="D1636" s="824" t="s">
        <v>7310</v>
      </c>
      <c r="E1636" s="815">
        <v>100</v>
      </c>
      <c r="F1636" s="815">
        <v>20</v>
      </c>
      <c r="G1636" s="202" t="str">
        <f t="shared" si="25"/>
        <v/>
      </c>
    </row>
    <row r="1637" spans="1:7" s="172" customFormat="1" ht="15" customHeight="1" x14ac:dyDescent="0.25">
      <c r="A1637" s="825" t="s">
        <v>7308</v>
      </c>
      <c r="B1637" s="806" t="s">
        <v>7309</v>
      </c>
      <c r="C1637" s="806" t="s">
        <v>7309</v>
      </c>
      <c r="D1637" s="824" t="s">
        <v>7311</v>
      </c>
      <c r="E1637" s="815">
        <v>100</v>
      </c>
      <c r="F1637" s="815">
        <v>0</v>
      </c>
      <c r="G1637" s="202" t="str">
        <f t="shared" si="25"/>
        <v/>
      </c>
    </row>
    <row r="1638" spans="1:7" s="172" customFormat="1" ht="15" customHeight="1" x14ac:dyDescent="0.25">
      <c r="A1638" s="825" t="s">
        <v>7308</v>
      </c>
      <c r="B1638" s="806" t="s">
        <v>7309</v>
      </c>
      <c r="C1638" s="806" t="s">
        <v>7309</v>
      </c>
      <c r="D1638" s="824" t="s">
        <v>7312</v>
      </c>
      <c r="E1638" s="815">
        <v>100</v>
      </c>
      <c r="F1638" s="815">
        <v>30</v>
      </c>
      <c r="G1638" s="202" t="str">
        <f t="shared" si="25"/>
        <v/>
      </c>
    </row>
    <row r="1639" spans="1:7" s="172" customFormat="1" ht="15" customHeight="1" x14ac:dyDescent="0.25">
      <c r="A1639" s="825" t="s">
        <v>7313</v>
      </c>
      <c r="B1639" s="806" t="s">
        <v>7309</v>
      </c>
      <c r="C1639" s="806" t="s">
        <v>7309</v>
      </c>
      <c r="D1639" s="824" t="s">
        <v>7314</v>
      </c>
      <c r="E1639" s="815">
        <v>63</v>
      </c>
      <c r="F1639" s="815">
        <v>40</v>
      </c>
      <c r="G1639" s="202" t="str">
        <f t="shared" si="25"/>
        <v/>
      </c>
    </row>
    <row r="1640" spans="1:7" s="172" customFormat="1" ht="15" customHeight="1" x14ac:dyDescent="0.25">
      <c r="A1640" s="825" t="s">
        <v>7315</v>
      </c>
      <c r="B1640" s="806" t="s">
        <v>7309</v>
      </c>
      <c r="C1640" s="806" t="s">
        <v>7309</v>
      </c>
      <c r="D1640" s="824" t="s">
        <v>7316</v>
      </c>
      <c r="E1640" s="815">
        <v>160</v>
      </c>
      <c r="F1640" s="815">
        <v>60</v>
      </c>
      <c r="G1640" s="202" t="str">
        <f t="shared" si="25"/>
        <v/>
      </c>
    </row>
    <row r="1641" spans="1:7" s="172" customFormat="1" ht="15" customHeight="1" x14ac:dyDescent="0.25">
      <c r="A1641" s="825" t="s">
        <v>7315</v>
      </c>
      <c r="B1641" s="806" t="s">
        <v>7309</v>
      </c>
      <c r="C1641" s="806" t="s">
        <v>7309</v>
      </c>
      <c r="D1641" s="824" t="s">
        <v>7317</v>
      </c>
      <c r="E1641" s="815">
        <v>160</v>
      </c>
      <c r="F1641" s="815">
        <v>60</v>
      </c>
      <c r="G1641" s="202" t="str">
        <f t="shared" si="25"/>
        <v/>
      </c>
    </row>
    <row r="1642" spans="1:7" s="172" customFormat="1" ht="15" customHeight="1" x14ac:dyDescent="0.25">
      <c r="A1642" s="825" t="s">
        <v>7308</v>
      </c>
      <c r="B1642" s="806" t="s">
        <v>7309</v>
      </c>
      <c r="C1642" s="806" t="s">
        <v>7309</v>
      </c>
      <c r="D1642" s="824" t="s">
        <v>7318</v>
      </c>
      <c r="E1642" s="815">
        <v>400</v>
      </c>
      <c r="F1642" s="815">
        <v>350</v>
      </c>
      <c r="G1642" s="202" t="str">
        <f t="shared" si="25"/>
        <v/>
      </c>
    </row>
    <row r="1643" spans="1:7" s="172" customFormat="1" ht="15" customHeight="1" x14ac:dyDescent="0.25">
      <c r="A1643" s="825" t="s">
        <v>7308</v>
      </c>
      <c r="B1643" s="806" t="s">
        <v>7309</v>
      </c>
      <c r="C1643" s="806" t="s">
        <v>7309</v>
      </c>
      <c r="D1643" s="824" t="s">
        <v>7319</v>
      </c>
      <c r="E1643" s="815">
        <v>100</v>
      </c>
      <c r="F1643" s="815">
        <v>10</v>
      </c>
      <c r="G1643" s="202" t="str">
        <f t="shared" si="25"/>
        <v/>
      </c>
    </row>
    <row r="1644" spans="1:7" s="172" customFormat="1" ht="15" customHeight="1" x14ac:dyDescent="0.25">
      <c r="A1644" s="825" t="s">
        <v>7308</v>
      </c>
      <c r="B1644" s="806" t="s">
        <v>7309</v>
      </c>
      <c r="C1644" s="806" t="s">
        <v>7309</v>
      </c>
      <c r="D1644" s="824" t="s">
        <v>7320</v>
      </c>
      <c r="E1644" s="815">
        <v>250</v>
      </c>
      <c r="F1644" s="815">
        <v>50</v>
      </c>
      <c r="G1644" s="202" t="str">
        <f t="shared" si="25"/>
        <v/>
      </c>
    </row>
    <row r="1645" spans="1:7" s="172" customFormat="1" ht="15" customHeight="1" x14ac:dyDescent="0.25">
      <c r="A1645" s="825" t="s">
        <v>7308</v>
      </c>
      <c r="B1645" s="806" t="s">
        <v>7309</v>
      </c>
      <c r="C1645" s="806" t="s">
        <v>7309</v>
      </c>
      <c r="D1645" s="824" t="s">
        <v>7321</v>
      </c>
      <c r="E1645" s="815">
        <v>400</v>
      </c>
      <c r="F1645" s="815">
        <v>80</v>
      </c>
      <c r="G1645" s="202" t="str">
        <f t="shared" si="25"/>
        <v/>
      </c>
    </row>
    <row r="1646" spans="1:7" s="172" customFormat="1" ht="15" customHeight="1" x14ac:dyDescent="0.25">
      <c r="A1646" s="825" t="s">
        <v>7308</v>
      </c>
      <c r="B1646" s="806" t="s">
        <v>7309</v>
      </c>
      <c r="C1646" s="806" t="s">
        <v>7309</v>
      </c>
      <c r="D1646" s="824" t="s">
        <v>7322</v>
      </c>
      <c r="E1646" s="815">
        <v>400</v>
      </c>
      <c r="F1646" s="815">
        <v>100</v>
      </c>
      <c r="G1646" s="202" t="str">
        <f t="shared" si="25"/>
        <v/>
      </c>
    </row>
    <row r="1647" spans="1:7" s="172" customFormat="1" ht="15" customHeight="1" x14ac:dyDescent="0.25">
      <c r="A1647" s="825" t="s">
        <v>7308</v>
      </c>
      <c r="B1647" s="806" t="s">
        <v>7309</v>
      </c>
      <c r="C1647" s="806" t="s">
        <v>7309</v>
      </c>
      <c r="D1647" s="824" t="s">
        <v>7323</v>
      </c>
      <c r="E1647" s="815">
        <v>250</v>
      </c>
      <c r="F1647" s="815">
        <v>100</v>
      </c>
      <c r="G1647" s="202" t="str">
        <f t="shared" si="25"/>
        <v/>
      </c>
    </row>
    <row r="1648" spans="1:7" s="172" customFormat="1" ht="15" customHeight="1" x14ac:dyDescent="0.25">
      <c r="A1648" s="825" t="s">
        <v>7308</v>
      </c>
      <c r="B1648" s="806" t="s">
        <v>7309</v>
      </c>
      <c r="C1648" s="806" t="s">
        <v>7309</v>
      </c>
      <c r="D1648" s="824" t="s">
        <v>7324</v>
      </c>
      <c r="E1648" s="815">
        <v>100</v>
      </c>
      <c r="F1648" s="815">
        <v>0</v>
      </c>
      <c r="G1648" s="202" t="str">
        <f t="shared" si="25"/>
        <v/>
      </c>
    </row>
    <row r="1649" spans="1:7" s="172" customFormat="1" ht="15" customHeight="1" x14ac:dyDescent="0.25">
      <c r="A1649" s="825" t="s">
        <v>7308</v>
      </c>
      <c r="B1649" s="806" t="s">
        <v>7309</v>
      </c>
      <c r="C1649" s="806" t="s">
        <v>7309</v>
      </c>
      <c r="D1649" s="824" t="s">
        <v>7325</v>
      </c>
      <c r="E1649" s="815">
        <v>250</v>
      </c>
      <c r="F1649" s="815">
        <v>200</v>
      </c>
      <c r="G1649" s="202" t="str">
        <f t="shared" si="25"/>
        <v/>
      </c>
    </row>
    <row r="1650" spans="1:7" s="172" customFormat="1" ht="15" customHeight="1" x14ac:dyDescent="0.25">
      <c r="A1650" s="825" t="s">
        <v>7308</v>
      </c>
      <c r="B1650" s="806" t="s">
        <v>7309</v>
      </c>
      <c r="C1650" s="806" t="s">
        <v>7309</v>
      </c>
      <c r="D1650" s="824" t="s">
        <v>7326</v>
      </c>
      <c r="E1650" s="815">
        <v>100</v>
      </c>
      <c r="F1650" s="815">
        <v>10</v>
      </c>
      <c r="G1650" s="202" t="str">
        <f t="shared" si="25"/>
        <v/>
      </c>
    </row>
    <row r="1651" spans="1:7" s="172" customFormat="1" ht="15" customHeight="1" x14ac:dyDescent="0.25">
      <c r="A1651" s="825" t="s">
        <v>7308</v>
      </c>
      <c r="B1651" s="806" t="s">
        <v>7309</v>
      </c>
      <c r="C1651" s="806" t="s">
        <v>7309</v>
      </c>
      <c r="D1651" s="824" t="s">
        <v>7327</v>
      </c>
      <c r="E1651" s="815">
        <v>250</v>
      </c>
      <c r="F1651" s="815">
        <v>20</v>
      </c>
      <c r="G1651" s="202" t="str">
        <f t="shared" si="25"/>
        <v/>
      </c>
    </row>
    <row r="1652" spans="1:7" s="172" customFormat="1" ht="15" customHeight="1" x14ac:dyDescent="0.25">
      <c r="A1652" s="825" t="s">
        <v>7308</v>
      </c>
      <c r="B1652" s="806" t="s">
        <v>7309</v>
      </c>
      <c r="C1652" s="806" t="s">
        <v>7309</v>
      </c>
      <c r="D1652" s="824" t="s">
        <v>7328</v>
      </c>
      <c r="E1652" s="815">
        <v>160</v>
      </c>
      <c r="F1652" s="815">
        <v>100</v>
      </c>
      <c r="G1652" s="202" t="str">
        <f t="shared" si="25"/>
        <v/>
      </c>
    </row>
    <row r="1653" spans="1:7" s="172" customFormat="1" ht="15" customHeight="1" x14ac:dyDescent="0.25">
      <c r="A1653" s="825" t="s">
        <v>7329</v>
      </c>
      <c r="B1653" s="806" t="s">
        <v>7309</v>
      </c>
      <c r="C1653" s="806" t="s">
        <v>7309</v>
      </c>
      <c r="D1653" s="824" t="s">
        <v>7330</v>
      </c>
      <c r="E1653" s="815">
        <v>25</v>
      </c>
      <c r="F1653" s="815">
        <v>15</v>
      </c>
      <c r="G1653" s="202" t="str">
        <f t="shared" si="25"/>
        <v/>
      </c>
    </row>
    <row r="1654" spans="1:7" s="172" customFormat="1" ht="15" customHeight="1" x14ac:dyDescent="0.25">
      <c r="A1654" s="825" t="s">
        <v>7331</v>
      </c>
      <c r="B1654" s="806" t="s">
        <v>7309</v>
      </c>
      <c r="C1654" s="806" t="s">
        <v>7309</v>
      </c>
      <c r="D1654" s="824" t="s">
        <v>7332</v>
      </c>
      <c r="E1654" s="815">
        <v>10</v>
      </c>
      <c r="F1654" s="815">
        <v>7</v>
      </c>
      <c r="G1654" s="202" t="str">
        <f t="shared" si="25"/>
        <v/>
      </c>
    </row>
    <row r="1655" spans="1:7" s="172" customFormat="1" ht="15" customHeight="1" x14ac:dyDescent="0.25">
      <c r="A1655" s="825" t="s">
        <v>7333</v>
      </c>
      <c r="B1655" s="806" t="s">
        <v>7309</v>
      </c>
      <c r="C1655" s="806" t="s">
        <v>7309</v>
      </c>
      <c r="D1655" s="824" t="s">
        <v>7334</v>
      </c>
      <c r="E1655" s="815">
        <v>63</v>
      </c>
      <c r="F1655" s="815">
        <v>40</v>
      </c>
      <c r="G1655" s="202" t="str">
        <f t="shared" si="25"/>
        <v/>
      </c>
    </row>
    <row r="1656" spans="1:7" s="172" customFormat="1" ht="15" customHeight="1" x14ac:dyDescent="0.25">
      <c r="A1656" s="825" t="s">
        <v>7335</v>
      </c>
      <c r="B1656" s="806" t="s">
        <v>7309</v>
      </c>
      <c r="C1656" s="806" t="s">
        <v>7309</v>
      </c>
      <c r="D1656" s="824" t="s">
        <v>7336</v>
      </c>
      <c r="E1656" s="815">
        <v>160</v>
      </c>
      <c r="F1656" s="815">
        <v>70</v>
      </c>
      <c r="G1656" s="202" t="str">
        <f t="shared" si="25"/>
        <v/>
      </c>
    </row>
    <row r="1657" spans="1:7" s="172" customFormat="1" ht="15" customHeight="1" x14ac:dyDescent="0.25">
      <c r="A1657" s="825" t="s">
        <v>7335</v>
      </c>
      <c r="B1657" s="806" t="s">
        <v>7309</v>
      </c>
      <c r="C1657" s="806" t="s">
        <v>7309</v>
      </c>
      <c r="D1657" s="824" t="s">
        <v>7337</v>
      </c>
      <c r="E1657" s="815">
        <v>250</v>
      </c>
      <c r="F1657" s="815">
        <v>250</v>
      </c>
      <c r="G1657" s="202" t="str">
        <f t="shared" si="25"/>
        <v>не загружен</v>
      </c>
    </row>
    <row r="1658" spans="1:7" s="172" customFormat="1" ht="15" customHeight="1" x14ac:dyDescent="0.25">
      <c r="A1658" s="825" t="s">
        <v>7338</v>
      </c>
      <c r="B1658" s="806" t="s">
        <v>7309</v>
      </c>
      <c r="C1658" s="806" t="s">
        <v>7309</v>
      </c>
      <c r="D1658" s="824" t="s">
        <v>7339</v>
      </c>
      <c r="E1658" s="815">
        <v>30</v>
      </c>
      <c r="F1658" s="815">
        <v>30</v>
      </c>
      <c r="G1658" s="202" t="str">
        <f t="shared" si="25"/>
        <v>не загружен</v>
      </c>
    </row>
    <row r="1659" spans="1:7" s="172" customFormat="1" ht="15" customHeight="1" x14ac:dyDescent="0.25">
      <c r="A1659" s="825" t="s">
        <v>7340</v>
      </c>
      <c r="B1659" s="806" t="s">
        <v>7309</v>
      </c>
      <c r="C1659" s="806" t="s">
        <v>7309</v>
      </c>
      <c r="D1659" s="824" t="s">
        <v>7341</v>
      </c>
      <c r="E1659" s="815">
        <v>63</v>
      </c>
      <c r="F1659" s="815">
        <v>63</v>
      </c>
      <c r="G1659" s="202" t="str">
        <f t="shared" si="25"/>
        <v>не загружен</v>
      </c>
    </row>
    <row r="1660" spans="1:7" s="172" customFormat="1" ht="15" customHeight="1" x14ac:dyDescent="0.25">
      <c r="A1660" s="825" t="s">
        <v>7342</v>
      </c>
      <c r="B1660" s="806" t="s">
        <v>7309</v>
      </c>
      <c r="C1660" s="806" t="s">
        <v>7309</v>
      </c>
      <c r="D1660" s="824" t="s">
        <v>7343</v>
      </c>
      <c r="E1660" s="815">
        <v>100</v>
      </c>
      <c r="F1660" s="815">
        <v>70</v>
      </c>
      <c r="G1660" s="202" t="str">
        <f t="shared" si="25"/>
        <v/>
      </c>
    </row>
    <row r="1661" spans="1:7" s="172" customFormat="1" ht="15" customHeight="1" x14ac:dyDescent="0.25">
      <c r="A1661" s="825" t="s">
        <v>2689</v>
      </c>
      <c r="B1661" s="806" t="s">
        <v>7309</v>
      </c>
      <c r="C1661" s="806" t="s">
        <v>7309</v>
      </c>
      <c r="D1661" s="824" t="s">
        <v>7344</v>
      </c>
      <c r="E1661" s="815">
        <v>63</v>
      </c>
      <c r="F1661" s="815">
        <v>40</v>
      </c>
      <c r="G1661" s="202" t="str">
        <f t="shared" si="25"/>
        <v/>
      </c>
    </row>
    <row r="1662" spans="1:7" s="172" customFormat="1" ht="15" customHeight="1" x14ac:dyDescent="0.25">
      <c r="A1662" s="825" t="s">
        <v>7345</v>
      </c>
      <c r="B1662" s="806" t="s">
        <v>7309</v>
      </c>
      <c r="C1662" s="806" t="s">
        <v>7309</v>
      </c>
      <c r="D1662" s="824" t="s">
        <v>7346</v>
      </c>
      <c r="E1662" s="815">
        <v>250</v>
      </c>
      <c r="F1662" s="815">
        <v>100</v>
      </c>
      <c r="G1662" s="202" t="str">
        <f t="shared" si="25"/>
        <v/>
      </c>
    </row>
    <row r="1663" spans="1:7" s="172" customFormat="1" ht="15" customHeight="1" x14ac:dyDescent="0.25">
      <c r="A1663" s="825" t="s">
        <v>7345</v>
      </c>
      <c r="B1663" s="806" t="s">
        <v>7309</v>
      </c>
      <c r="C1663" s="806" t="s">
        <v>7309</v>
      </c>
      <c r="D1663" s="824" t="s">
        <v>7347</v>
      </c>
      <c r="E1663" s="815">
        <v>250</v>
      </c>
      <c r="F1663" s="815">
        <v>200</v>
      </c>
      <c r="G1663" s="202" t="str">
        <f t="shared" si="25"/>
        <v/>
      </c>
    </row>
    <row r="1664" spans="1:7" s="172" customFormat="1" ht="15" customHeight="1" x14ac:dyDescent="0.25">
      <c r="A1664" s="825" t="s">
        <v>7345</v>
      </c>
      <c r="B1664" s="806" t="s">
        <v>7309</v>
      </c>
      <c r="C1664" s="806" t="s">
        <v>7309</v>
      </c>
      <c r="D1664" s="824" t="s">
        <v>7348</v>
      </c>
      <c r="E1664" s="815">
        <v>100</v>
      </c>
      <c r="F1664" s="815">
        <v>100</v>
      </c>
      <c r="G1664" s="202" t="str">
        <f t="shared" si="25"/>
        <v>не загружен</v>
      </c>
    </row>
    <row r="1665" spans="1:7" s="172" customFormat="1" ht="15" customHeight="1" x14ac:dyDescent="0.25">
      <c r="A1665" s="825" t="s">
        <v>15005</v>
      </c>
      <c r="B1665" s="806" t="s">
        <v>7309</v>
      </c>
      <c r="C1665" s="806" t="s">
        <v>7309</v>
      </c>
      <c r="D1665" s="824" t="s">
        <v>7349</v>
      </c>
      <c r="E1665" s="815">
        <v>100</v>
      </c>
      <c r="F1665" s="815">
        <v>100</v>
      </c>
      <c r="G1665" s="202" t="str">
        <f t="shared" si="25"/>
        <v>не загружен</v>
      </c>
    </row>
    <row r="1666" spans="1:7" s="172" customFormat="1" ht="15" customHeight="1" x14ac:dyDescent="0.25">
      <c r="A1666" s="825" t="s">
        <v>7350</v>
      </c>
      <c r="B1666" s="806" t="s">
        <v>7309</v>
      </c>
      <c r="C1666" s="806" t="s">
        <v>7309</v>
      </c>
      <c r="D1666" s="824" t="s">
        <v>7351</v>
      </c>
      <c r="E1666" s="815">
        <v>100</v>
      </c>
      <c r="F1666" s="815">
        <v>60</v>
      </c>
      <c r="G1666" s="202" t="str">
        <f t="shared" si="25"/>
        <v/>
      </c>
    </row>
    <row r="1667" spans="1:7" s="172" customFormat="1" ht="15" customHeight="1" x14ac:dyDescent="0.25">
      <c r="A1667" s="825" t="s">
        <v>7352</v>
      </c>
      <c r="B1667" s="806" t="s">
        <v>7309</v>
      </c>
      <c r="C1667" s="806" t="s">
        <v>7309</v>
      </c>
      <c r="D1667" s="824" t="s">
        <v>7353</v>
      </c>
      <c r="E1667" s="815">
        <v>63</v>
      </c>
      <c r="F1667" s="815">
        <v>10</v>
      </c>
      <c r="G1667" s="202" t="str">
        <f t="shared" si="25"/>
        <v/>
      </c>
    </row>
    <row r="1668" spans="1:7" s="172" customFormat="1" ht="15" customHeight="1" x14ac:dyDescent="0.25">
      <c r="A1668" s="825" t="s">
        <v>7354</v>
      </c>
      <c r="B1668" s="806" t="s">
        <v>7309</v>
      </c>
      <c r="C1668" s="806" t="s">
        <v>7309</v>
      </c>
      <c r="D1668" s="824" t="s">
        <v>7355</v>
      </c>
      <c r="E1668" s="815">
        <v>100</v>
      </c>
      <c r="F1668" s="815">
        <v>100</v>
      </c>
      <c r="G1668" s="202" t="str">
        <f t="shared" ref="G1668:G1731" si="26">IF(E1668=F1668,"не загружен","")</f>
        <v>не загружен</v>
      </c>
    </row>
    <row r="1669" spans="1:7" s="172" customFormat="1" ht="15" customHeight="1" x14ac:dyDescent="0.25">
      <c r="A1669" s="825" t="s">
        <v>7354</v>
      </c>
      <c r="B1669" s="806" t="s">
        <v>7309</v>
      </c>
      <c r="C1669" s="806" t="s">
        <v>7309</v>
      </c>
      <c r="D1669" s="824" t="s">
        <v>7356</v>
      </c>
      <c r="E1669" s="815">
        <v>100</v>
      </c>
      <c r="F1669" s="815">
        <v>20</v>
      </c>
      <c r="G1669" s="202" t="str">
        <f t="shared" si="26"/>
        <v/>
      </c>
    </row>
    <row r="1670" spans="1:7" s="172" customFormat="1" ht="15" customHeight="1" x14ac:dyDescent="0.25">
      <c r="A1670" s="825" t="s">
        <v>7357</v>
      </c>
      <c r="B1670" s="806" t="s">
        <v>7309</v>
      </c>
      <c r="C1670" s="806" t="s">
        <v>7309</v>
      </c>
      <c r="D1670" s="824" t="s">
        <v>7358</v>
      </c>
      <c r="E1670" s="815">
        <v>10</v>
      </c>
      <c r="F1670" s="815">
        <v>5</v>
      </c>
      <c r="G1670" s="202" t="str">
        <f t="shared" si="26"/>
        <v/>
      </c>
    </row>
    <row r="1671" spans="1:7" s="172" customFormat="1" ht="15" customHeight="1" x14ac:dyDescent="0.25">
      <c r="A1671" s="825" t="s">
        <v>7354</v>
      </c>
      <c r="B1671" s="806" t="s">
        <v>7309</v>
      </c>
      <c r="C1671" s="806" t="s">
        <v>7309</v>
      </c>
      <c r="D1671" s="824" t="s">
        <v>7359</v>
      </c>
      <c r="E1671" s="815">
        <v>250</v>
      </c>
      <c r="F1671" s="815">
        <v>250</v>
      </c>
      <c r="G1671" s="202" t="str">
        <f t="shared" si="26"/>
        <v>не загружен</v>
      </c>
    </row>
    <row r="1672" spans="1:7" s="172" customFormat="1" ht="15" customHeight="1" x14ac:dyDescent="0.25">
      <c r="A1672" s="825" t="s">
        <v>7354</v>
      </c>
      <c r="B1672" s="806" t="s">
        <v>7309</v>
      </c>
      <c r="C1672" s="806" t="s">
        <v>7309</v>
      </c>
      <c r="D1672" s="824" t="s">
        <v>7360</v>
      </c>
      <c r="E1672" s="815">
        <v>100</v>
      </c>
      <c r="F1672" s="815">
        <v>17</v>
      </c>
      <c r="G1672" s="202" t="str">
        <f t="shared" si="26"/>
        <v/>
      </c>
    </row>
    <row r="1673" spans="1:7" s="172" customFormat="1" ht="15" customHeight="1" x14ac:dyDescent="0.25">
      <c r="A1673" s="825" t="s">
        <v>7361</v>
      </c>
      <c r="B1673" s="806" t="s">
        <v>7309</v>
      </c>
      <c r="C1673" s="806" t="s">
        <v>7309</v>
      </c>
      <c r="D1673" s="824" t="s">
        <v>7362</v>
      </c>
      <c r="E1673" s="815">
        <v>63</v>
      </c>
      <c r="F1673" s="815">
        <v>55</v>
      </c>
      <c r="G1673" s="202" t="str">
        <f t="shared" si="26"/>
        <v/>
      </c>
    </row>
    <row r="1674" spans="1:7" s="172" customFormat="1" ht="15" customHeight="1" x14ac:dyDescent="0.25">
      <c r="A1674" s="825" t="s">
        <v>7363</v>
      </c>
      <c r="B1674" s="806" t="s">
        <v>7309</v>
      </c>
      <c r="C1674" s="806" t="s">
        <v>7309</v>
      </c>
      <c r="D1674" s="824" t="s">
        <v>7364</v>
      </c>
      <c r="E1674" s="815">
        <v>63</v>
      </c>
      <c r="F1674" s="815">
        <v>40</v>
      </c>
      <c r="G1674" s="202" t="str">
        <f t="shared" si="26"/>
        <v/>
      </c>
    </row>
    <row r="1675" spans="1:7" s="172" customFormat="1" ht="15" customHeight="1" x14ac:dyDescent="0.25">
      <c r="A1675" s="825" t="s">
        <v>7365</v>
      </c>
      <c r="B1675" s="806" t="s">
        <v>7309</v>
      </c>
      <c r="C1675" s="806" t="s">
        <v>7309</v>
      </c>
      <c r="D1675" s="824" t="s">
        <v>7366</v>
      </c>
      <c r="E1675" s="815">
        <v>63</v>
      </c>
      <c r="F1675" s="815">
        <v>50</v>
      </c>
      <c r="G1675" s="202" t="str">
        <f t="shared" si="26"/>
        <v/>
      </c>
    </row>
    <row r="1676" spans="1:7" s="172" customFormat="1" ht="15" customHeight="1" x14ac:dyDescent="0.25">
      <c r="A1676" s="825" t="s">
        <v>7367</v>
      </c>
      <c r="B1676" s="806" t="s">
        <v>7309</v>
      </c>
      <c r="C1676" s="806" t="s">
        <v>7309</v>
      </c>
      <c r="D1676" s="824" t="s">
        <v>7368</v>
      </c>
      <c r="E1676" s="815">
        <v>63</v>
      </c>
      <c r="F1676" s="815">
        <v>50</v>
      </c>
      <c r="G1676" s="202" t="str">
        <f t="shared" si="26"/>
        <v/>
      </c>
    </row>
    <row r="1677" spans="1:7" s="172" customFormat="1" ht="15" customHeight="1" x14ac:dyDescent="0.25">
      <c r="A1677" s="825" t="s">
        <v>7369</v>
      </c>
      <c r="B1677" s="806" t="s">
        <v>7309</v>
      </c>
      <c r="C1677" s="806" t="s">
        <v>7309</v>
      </c>
      <c r="D1677" s="824" t="s">
        <v>7370</v>
      </c>
      <c r="E1677" s="815">
        <v>63</v>
      </c>
      <c r="F1677" s="815">
        <v>52</v>
      </c>
      <c r="G1677" s="202" t="str">
        <f t="shared" si="26"/>
        <v/>
      </c>
    </row>
    <row r="1678" spans="1:7" s="172" customFormat="1" ht="15" customHeight="1" x14ac:dyDescent="0.25">
      <c r="A1678" s="825" t="s">
        <v>7371</v>
      </c>
      <c r="B1678" s="806" t="s">
        <v>7309</v>
      </c>
      <c r="C1678" s="806" t="s">
        <v>7309</v>
      </c>
      <c r="D1678" s="824" t="s">
        <v>7372</v>
      </c>
      <c r="E1678" s="815">
        <v>63</v>
      </c>
      <c r="F1678" s="815">
        <v>50</v>
      </c>
      <c r="G1678" s="202" t="str">
        <f t="shared" si="26"/>
        <v/>
      </c>
    </row>
    <row r="1679" spans="1:7" s="172" customFormat="1" ht="15" customHeight="1" x14ac:dyDescent="0.25">
      <c r="A1679" s="825" t="s">
        <v>2778</v>
      </c>
      <c r="B1679" s="806" t="s">
        <v>7309</v>
      </c>
      <c r="C1679" s="806" t="s">
        <v>7309</v>
      </c>
      <c r="D1679" s="824" t="s">
        <v>7373</v>
      </c>
      <c r="E1679" s="815">
        <v>10</v>
      </c>
      <c r="F1679" s="815">
        <v>50</v>
      </c>
      <c r="G1679" s="202" t="str">
        <f t="shared" si="26"/>
        <v/>
      </c>
    </row>
    <row r="1680" spans="1:7" s="172" customFormat="1" ht="15" customHeight="1" x14ac:dyDescent="0.25">
      <c r="A1680" s="825" t="s">
        <v>7371</v>
      </c>
      <c r="B1680" s="806" t="s">
        <v>7309</v>
      </c>
      <c r="C1680" s="806" t="s">
        <v>7309</v>
      </c>
      <c r="D1680" s="824" t="s">
        <v>7374</v>
      </c>
      <c r="E1680" s="815">
        <v>30</v>
      </c>
      <c r="F1680" s="815">
        <v>7</v>
      </c>
      <c r="G1680" s="202" t="str">
        <f t="shared" si="26"/>
        <v/>
      </c>
    </row>
    <row r="1681" spans="1:7" s="172" customFormat="1" ht="15" customHeight="1" x14ac:dyDescent="0.25">
      <c r="A1681" s="825" t="s">
        <v>7375</v>
      </c>
      <c r="B1681" s="806" t="s">
        <v>7309</v>
      </c>
      <c r="C1681" s="806" t="s">
        <v>7309</v>
      </c>
      <c r="D1681" s="824" t="s">
        <v>7376</v>
      </c>
      <c r="E1681" s="815">
        <v>40</v>
      </c>
      <c r="F1681" s="815">
        <v>20</v>
      </c>
      <c r="G1681" s="202" t="str">
        <f t="shared" si="26"/>
        <v/>
      </c>
    </row>
    <row r="1682" spans="1:7" s="172" customFormat="1" ht="15" customHeight="1" x14ac:dyDescent="0.25">
      <c r="A1682" s="825" t="s">
        <v>7377</v>
      </c>
      <c r="B1682" s="806" t="s">
        <v>7309</v>
      </c>
      <c r="C1682" s="806" t="s">
        <v>7309</v>
      </c>
      <c r="D1682" s="824" t="s">
        <v>7378</v>
      </c>
      <c r="E1682" s="815">
        <v>25</v>
      </c>
      <c r="F1682" s="815">
        <v>30</v>
      </c>
      <c r="G1682" s="202" t="str">
        <f t="shared" si="26"/>
        <v/>
      </c>
    </row>
    <row r="1683" spans="1:7" s="172" customFormat="1" ht="15" customHeight="1" x14ac:dyDescent="0.25">
      <c r="A1683" s="825" t="s">
        <v>7379</v>
      </c>
      <c r="B1683" s="806" t="s">
        <v>7309</v>
      </c>
      <c r="C1683" s="806" t="s">
        <v>7309</v>
      </c>
      <c r="D1683" s="824" t="s">
        <v>7380</v>
      </c>
      <c r="E1683" s="815">
        <v>100</v>
      </c>
      <c r="F1683" s="815">
        <v>0</v>
      </c>
      <c r="G1683" s="202" t="str">
        <f t="shared" si="26"/>
        <v/>
      </c>
    </row>
    <row r="1684" spans="1:7" s="172" customFormat="1" ht="15" customHeight="1" x14ac:dyDescent="0.25">
      <c r="A1684" s="825" t="s">
        <v>5578</v>
      </c>
      <c r="B1684" s="806" t="s">
        <v>7309</v>
      </c>
      <c r="C1684" s="806" t="s">
        <v>7309</v>
      </c>
      <c r="D1684" s="824" t="s">
        <v>7381</v>
      </c>
      <c r="E1684" s="815">
        <v>30</v>
      </c>
      <c r="F1684" s="815">
        <v>80</v>
      </c>
      <c r="G1684" s="202" t="str">
        <f t="shared" si="26"/>
        <v/>
      </c>
    </row>
    <row r="1685" spans="1:7" s="172" customFormat="1" ht="15" customHeight="1" x14ac:dyDescent="0.25">
      <c r="A1685" s="825" t="s">
        <v>7382</v>
      </c>
      <c r="B1685" s="806" t="s">
        <v>7309</v>
      </c>
      <c r="C1685" s="806" t="s">
        <v>7309</v>
      </c>
      <c r="D1685" s="824" t="s">
        <v>7383</v>
      </c>
      <c r="E1685" s="815">
        <v>100</v>
      </c>
      <c r="F1685" s="815">
        <v>18</v>
      </c>
      <c r="G1685" s="202" t="str">
        <f t="shared" si="26"/>
        <v/>
      </c>
    </row>
    <row r="1686" spans="1:7" s="172" customFormat="1" ht="15" customHeight="1" x14ac:dyDescent="0.25">
      <c r="A1686" s="825" t="s">
        <v>4855</v>
      </c>
      <c r="B1686" s="806" t="s">
        <v>7309</v>
      </c>
      <c r="C1686" s="806" t="s">
        <v>7309</v>
      </c>
      <c r="D1686" s="824" t="s">
        <v>7384</v>
      </c>
      <c r="E1686" s="815">
        <v>63</v>
      </c>
      <c r="F1686" s="815">
        <v>65</v>
      </c>
      <c r="G1686" s="202" t="str">
        <f t="shared" si="26"/>
        <v/>
      </c>
    </row>
    <row r="1687" spans="1:7" s="172" customFormat="1" ht="15" customHeight="1" x14ac:dyDescent="0.25">
      <c r="A1687" s="825" t="s">
        <v>6527</v>
      </c>
      <c r="B1687" s="806" t="s">
        <v>7309</v>
      </c>
      <c r="C1687" s="806" t="s">
        <v>7309</v>
      </c>
      <c r="D1687" s="824" t="s">
        <v>7385</v>
      </c>
      <c r="E1687" s="815">
        <v>100</v>
      </c>
      <c r="F1687" s="815">
        <v>40</v>
      </c>
      <c r="G1687" s="202" t="str">
        <f t="shared" si="26"/>
        <v/>
      </c>
    </row>
    <row r="1688" spans="1:7" s="172" customFormat="1" ht="15" customHeight="1" x14ac:dyDescent="0.25">
      <c r="A1688" s="825" t="s">
        <v>6527</v>
      </c>
      <c r="B1688" s="806" t="s">
        <v>7309</v>
      </c>
      <c r="C1688" s="806" t="s">
        <v>7309</v>
      </c>
      <c r="D1688" s="824" t="s">
        <v>7386</v>
      </c>
      <c r="E1688" s="815">
        <v>160</v>
      </c>
      <c r="F1688" s="815">
        <v>60</v>
      </c>
      <c r="G1688" s="202" t="str">
        <f t="shared" si="26"/>
        <v/>
      </c>
    </row>
    <row r="1689" spans="1:7" s="172" customFormat="1" ht="15" customHeight="1" x14ac:dyDescent="0.25">
      <c r="A1689" s="825" t="s">
        <v>6527</v>
      </c>
      <c r="B1689" s="806" t="s">
        <v>7309</v>
      </c>
      <c r="C1689" s="806" t="s">
        <v>7309</v>
      </c>
      <c r="D1689" s="824" t="s">
        <v>7387</v>
      </c>
      <c r="E1689" s="815">
        <v>63</v>
      </c>
      <c r="F1689" s="815">
        <v>150</v>
      </c>
      <c r="G1689" s="202" t="str">
        <f t="shared" si="26"/>
        <v/>
      </c>
    </row>
    <row r="1690" spans="1:7" s="172" customFormat="1" ht="15" customHeight="1" x14ac:dyDescent="0.25">
      <c r="A1690" s="825" t="s">
        <v>7388</v>
      </c>
      <c r="B1690" s="806" t="s">
        <v>7309</v>
      </c>
      <c r="C1690" s="806" t="s">
        <v>7309</v>
      </c>
      <c r="D1690" s="824" t="s">
        <v>7389</v>
      </c>
      <c r="E1690" s="815">
        <v>25</v>
      </c>
      <c r="F1690" s="815">
        <v>23</v>
      </c>
      <c r="G1690" s="202" t="str">
        <f t="shared" si="26"/>
        <v/>
      </c>
    </row>
    <row r="1691" spans="1:7" s="172" customFormat="1" ht="15" customHeight="1" x14ac:dyDescent="0.25">
      <c r="A1691" s="825" t="s">
        <v>7390</v>
      </c>
      <c r="B1691" s="806" t="s">
        <v>7309</v>
      </c>
      <c r="C1691" s="806" t="s">
        <v>7309</v>
      </c>
      <c r="D1691" s="824" t="s">
        <v>7391</v>
      </c>
      <c r="E1691" s="815">
        <v>30</v>
      </c>
      <c r="F1691" s="815">
        <v>15</v>
      </c>
      <c r="G1691" s="202" t="str">
        <f t="shared" si="26"/>
        <v/>
      </c>
    </row>
    <row r="1692" spans="1:7" s="172" customFormat="1" ht="15" customHeight="1" x14ac:dyDescent="0.25">
      <c r="A1692" s="825" t="s">
        <v>7392</v>
      </c>
      <c r="B1692" s="806" t="s">
        <v>7309</v>
      </c>
      <c r="C1692" s="806" t="s">
        <v>7309</v>
      </c>
      <c r="D1692" s="824" t="s">
        <v>7393</v>
      </c>
      <c r="E1692" s="815">
        <v>160</v>
      </c>
      <c r="F1692" s="815">
        <v>5</v>
      </c>
      <c r="G1692" s="202" t="str">
        <f t="shared" si="26"/>
        <v/>
      </c>
    </row>
    <row r="1693" spans="1:7" s="172" customFormat="1" ht="15" customHeight="1" x14ac:dyDescent="0.25">
      <c r="A1693" s="825" t="s">
        <v>7394</v>
      </c>
      <c r="B1693" s="806" t="s">
        <v>7309</v>
      </c>
      <c r="C1693" s="806" t="s">
        <v>7309</v>
      </c>
      <c r="D1693" s="824" t="s">
        <v>7395</v>
      </c>
      <c r="E1693" s="815">
        <v>250</v>
      </c>
      <c r="F1693" s="815">
        <v>100</v>
      </c>
      <c r="G1693" s="202" t="str">
        <f t="shared" si="26"/>
        <v/>
      </c>
    </row>
    <row r="1694" spans="1:7" s="172" customFormat="1" ht="15" customHeight="1" x14ac:dyDescent="0.25">
      <c r="A1694" s="825" t="s">
        <v>7308</v>
      </c>
      <c r="B1694" s="806" t="s">
        <v>7309</v>
      </c>
      <c r="C1694" s="806" t="s">
        <v>7309</v>
      </c>
      <c r="D1694" s="824" t="s">
        <v>7396</v>
      </c>
      <c r="E1694" s="815">
        <v>250</v>
      </c>
      <c r="F1694" s="815">
        <v>150</v>
      </c>
      <c r="G1694" s="202" t="str">
        <f t="shared" si="26"/>
        <v/>
      </c>
    </row>
    <row r="1695" spans="1:7" s="172" customFormat="1" ht="15" customHeight="1" x14ac:dyDescent="0.25">
      <c r="A1695" s="825" t="s">
        <v>7308</v>
      </c>
      <c r="B1695" s="806" t="s">
        <v>7309</v>
      </c>
      <c r="C1695" s="806" t="s">
        <v>7309</v>
      </c>
      <c r="D1695" s="824" t="s">
        <v>7397</v>
      </c>
      <c r="E1695" s="815">
        <v>100</v>
      </c>
      <c r="F1695" s="815">
        <v>40</v>
      </c>
      <c r="G1695" s="202" t="str">
        <f t="shared" si="26"/>
        <v/>
      </c>
    </row>
    <row r="1696" spans="1:7" s="172" customFormat="1" ht="15" customHeight="1" x14ac:dyDescent="0.25">
      <c r="A1696" s="825" t="s">
        <v>7308</v>
      </c>
      <c r="B1696" s="806" t="s">
        <v>7309</v>
      </c>
      <c r="C1696" s="806" t="s">
        <v>7309</v>
      </c>
      <c r="D1696" s="824" t="s">
        <v>7398</v>
      </c>
      <c r="E1696" s="815">
        <v>100</v>
      </c>
      <c r="F1696" s="815">
        <v>40</v>
      </c>
      <c r="G1696" s="202" t="str">
        <f t="shared" si="26"/>
        <v/>
      </c>
    </row>
    <row r="1697" spans="1:7" s="172" customFormat="1" ht="15" customHeight="1" x14ac:dyDescent="0.25">
      <c r="A1697" s="825" t="s">
        <v>7308</v>
      </c>
      <c r="B1697" s="806" t="s">
        <v>7309</v>
      </c>
      <c r="C1697" s="806" t="s">
        <v>7309</v>
      </c>
      <c r="D1697" s="824" t="s">
        <v>7399</v>
      </c>
      <c r="E1697" s="815">
        <v>250</v>
      </c>
      <c r="F1697" s="815">
        <v>100</v>
      </c>
      <c r="G1697" s="202" t="str">
        <f t="shared" si="26"/>
        <v/>
      </c>
    </row>
    <row r="1698" spans="1:7" s="172" customFormat="1" ht="15" customHeight="1" x14ac:dyDescent="0.25">
      <c r="A1698" s="825" t="s">
        <v>7308</v>
      </c>
      <c r="B1698" s="806" t="s">
        <v>7309</v>
      </c>
      <c r="C1698" s="806" t="s">
        <v>7309</v>
      </c>
      <c r="D1698" s="824" t="s">
        <v>7400</v>
      </c>
      <c r="E1698" s="815">
        <v>250</v>
      </c>
      <c r="F1698" s="815">
        <v>100</v>
      </c>
      <c r="G1698" s="202" t="str">
        <f t="shared" si="26"/>
        <v/>
      </c>
    </row>
    <row r="1699" spans="1:7" s="172" customFormat="1" ht="15" customHeight="1" x14ac:dyDescent="0.25">
      <c r="A1699" s="825" t="s">
        <v>7308</v>
      </c>
      <c r="B1699" s="806" t="s">
        <v>7309</v>
      </c>
      <c r="C1699" s="806" t="s">
        <v>7309</v>
      </c>
      <c r="D1699" s="824" t="s">
        <v>7401</v>
      </c>
      <c r="E1699" s="815">
        <v>160</v>
      </c>
      <c r="F1699" s="815">
        <v>60</v>
      </c>
      <c r="G1699" s="202" t="str">
        <f t="shared" si="26"/>
        <v/>
      </c>
    </row>
    <row r="1700" spans="1:7" s="172" customFormat="1" ht="15" customHeight="1" x14ac:dyDescent="0.25">
      <c r="A1700" s="825" t="s">
        <v>7308</v>
      </c>
      <c r="B1700" s="806" t="s">
        <v>7309</v>
      </c>
      <c r="C1700" s="806" t="s">
        <v>7309</v>
      </c>
      <c r="D1700" s="824" t="s">
        <v>7402</v>
      </c>
      <c r="E1700" s="815">
        <v>400</v>
      </c>
      <c r="F1700" s="815">
        <v>65</v>
      </c>
      <c r="G1700" s="202" t="str">
        <f t="shared" si="26"/>
        <v/>
      </c>
    </row>
    <row r="1701" spans="1:7" s="172" customFormat="1" ht="15" customHeight="1" x14ac:dyDescent="0.25">
      <c r="A1701" s="825" t="s">
        <v>7308</v>
      </c>
      <c r="B1701" s="806" t="s">
        <v>7309</v>
      </c>
      <c r="C1701" s="806" t="s">
        <v>7309</v>
      </c>
      <c r="D1701" s="824" t="s">
        <v>7403</v>
      </c>
      <c r="E1701" s="815">
        <v>400</v>
      </c>
      <c r="F1701" s="815">
        <v>100</v>
      </c>
      <c r="G1701" s="202" t="str">
        <f t="shared" si="26"/>
        <v/>
      </c>
    </row>
    <row r="1702" spans="1:7" s="172" customFormat="1" ht="15" customHeight="1" x14ac:dyDescent="0.25">
      <c r="A1702" s="825" t="s">
        <v>7308</v>
      </c>
      <c r="B1702" s="806" t="s">
        <v>7309</v>
      </c>
      <c r="C1702" s="806" t="s">
        <v>7309</v>
      </c>
      <c r="D1702" s="824" t="s">
        <v>7404</v>
      </c>
      <c r="E1702" s="815">
        <v>100</v>
      </c>
      <c r="F1702" s="815">
        <v>10</v>
      </c>
      <c r="G1702" s="202" t="str">
        <f t="shared" si="26"/>
        <v/>
      </c>
    </row>
    <row r="1703" spans="1:7" s="172" customFormat="1" ht="15" customHeight="1" x14ac:dyDescent="0.25">
      <c r="A1703" s="825" t="s">
        <v>7308</v>
      </c>
      <c r="B1703" s="806" t="s">
        <v>7309</v>
      </c>
      <c r="C1703" s="806" t="s">
        <v>7309</v>
      </c>
      <c r="D1703" s="824" t="s">
        <v>7405</v>
      </c>
      <c r="E1703" s="815">
        <v>100</v>
      </c>
      <c r="F1703" s="815">
        <v>10</v>
      </c>
      <c r="G1703" s="202" t="str">
        <f t="shared" si="26"/>
        <v/>
      </c>
    </row>
    <row r="1704" spans="1:7" s="172" customFormat="1" ht="15" customHeight="1" x14ac:dyDescent="0.25">
      <c r="A1704" s="825" t="s">
        <v>7308</v>
      </c>
      <c r="B1704" s="806" t="s">
        <v>7309</v>
      </c>
      <c r="C1704" s="806" t="s">
        <v>7309</v>
      </c>
      <c r="D1704" s="824" t="s">
        <v>7406</v>
      </c>
      <c r="E1704" s="815">
        <v>100</v>
      </c>
      <c r="F1704" s="815">
        <v>80</v>
      </c>
      <c r="G1704" s="202" t="str">
        <f t="shared" si="26"/>
        <v/>
      </c>
    </row>
    <row r="1705" spans="1:7" s="172" customFormat="1" ht="15" customHeight="1" x14ac:dyDescent="0.25">
      <c r="A1705" s="825" t="s">
        <v>7308</v>
      </c>
      <c r="B1705" s="806" t="s">
        <v>7309</v>
      </c>
      <c r="C1705" s="806" t="s">
        <v>7309</v>
      </c>
      <c r="D1705" s="824" t="s">
        <v>7407</v>
      </c>
      <c r="E1705" s="815">
        <v>100</v>
      </c>
      <c r="F1705" s="815">
        <v>10</v>
      </c>
      <c r="G1705" s="202" t="str">
        <f t="shared" si="26"/>
        <v/>
      </c>
    </row>
    <row r="1706" spans="1:7" s="172" customFormat="1" ht="15" customHeight="1" x14ac:dyDescent="0.25">
      <c r="A1706" s="825" t="s">
        <v>7308</v>
      </c>
      <c r="B1706" s="806" t="s">
        <v>7309</v>
      </c>
      <c r="C1706" s="806" t="s">
        <v>7309</v>
      </c>
      <c r="D1706" s="824" t="s">
        <v>7408</v>
      </c>
      <c r="E1706" s="815">
        <v>400</v>
      </c>
      <c r="F1706" s="815">
        <v>55</v>
      </c>
      <c r="G1706" s="202" t="str">
        <f t="shared" si="26"/>
        <v/>
      </c>
    </row>
    <row r="1707" spans="1:7" s="172" customFormat="1" ht="15" customHeight="1" x14ac:dyDescent="0.25">
      <c r="A1707" s="825" t="s">
        <v>7308</v>
      </c>
      <c r="B1707" s="806" t="s">
        <v>7309</v>
      </c>
      <c r="C1707" s="806" t="s">
        <v>7309</v>
      </c>
      <c r="D1707" s="824" t="s">
        <v>7409</v>
      </c>
      <c r="E1707" s="815">
        <v>160</v>
      </c>
      <c r="F1707" s="815">
        <v>30</v>
      </c>
      <c r="G1707" s="202" t="str">
        <f t="shared" si="26"/>
        <v/>
      </c>
    </row>
    <row r="1708" spans="1:7" s="172" customFormat="1" ht="15" customHeight="1" x14ac:dyDescent="0.25">
      <c r="A1708" s="825" t="s">
        <v>7308</v>
      </c>
      <c r="B1708" s="806" t="s">
        <v>7309</v>
      </c>
      <c r="C1708" s="806" t="s">
        <v>7309</v>
      </c>
      <c r="D1708" s="824" t="s">
        <v>7410</v>
      </c>
      <c r="E1708" s="815">
        <v>63</v>
      </c>
      <c r="F1708" s="815">
        <v>36</v>
      </c>
      <c r="G1708" s="202" t="str">
        <f t="shared" si="26"/>
        <v/>
      </c>
    </row>
    <row r="1709" spans="1:7" s="172" customFormat="1" ht="15" customHeight="1" x14ac:dyDescent="0.25">
      <c r="A1709" s="825" t="s">
        <v>5877</v>
      </c>
      <c r="B1709" s="806" t="s">
        <v>7309</v>
      </c>
      <c r="C1709" s="806" t="s">
        <v>7309</v>
      </c>
      <c r="D1709" s="824" t="s">
        <v>7411</v>
      </c>
      <c r="E1709" s="815">
        <v>100</v>
      </c>
      <c r="F1709" s="815">
        <v>85</v>
      </c>
      <c r="G1709" s="202" t="str">
        <f t="shared" si="26"/>
        <v/>
      </c>
    </row>
    <row r="1710" spans="1:7" s="172" customFormat="1" ht="15" customHeight="1" x14ac:dyDescent="0.25">
      <c r="A1710" s="825" t="s">
        <v>7412</v>
      </c>
      <c r="B1710" s="806" t="s">
        <v>7309</v>
      </c>
      <c r="C1710" s="806" t="s">
        <v>7309</v>
      </c>
      <c r="D1710" s="824" t="s">
        <v>7413</v>
      </c>
      <c r="E1710" s="815">
        <v>160</v>
      </c>
      <c r="F1710" s="815">
        <v>130</v>
      </c>
      <c r="G1710" s="202" t="str">
        <f t="shared" si="26"/>
        <v/>
      </c>
    </row>
    <row r="1711" spans="1:7" s="172" customFormat="1" ht="15" customHeight="1" x14ac:dyDescent="0.25">
      <c r="A1711" s="825" t="s">
        <v>7414</v>
      </c>
      <c r="B1711" s="806" t="s">
        <v>7309</v>
      </c>
      <c r="C1711" s="806" t="s">
        <v>7309</v>
      </c>
      <c r="D1711" s="824" t="s">
        <v>7415</v>
      </c>
      <c r="E1711" s="815">
        <v>100</v>
      </c>
      <c r="F1711" s="815">
        <v>40</v>
      </c>
      <c r="G1711" s="202" t="str">
        <f t="shared" si="26"/>
        <v/>
      </c>
    </row>
    <row r="1712" spans="1:7" s="172" customFormat="1" ht="15" customHeight="1" x14ac:dyDescent="0.25">
      <c r="A1712" s="825" t="s">
        <v>7414</v>
      </c>
      <c r="B1712" s="806" t="s">
        <v>7309</v>
      </c>
      <c r="C1712" s="806" t="s">
        <v>7309</v>
      </c>
      <c r="D1712" s="824" t="s">
        <v>7416</v>
      </c>
      <c r="E1712" s="815">
        <v>160</v>
      </c>
      <c r="F1712" s="815">
        <v>50</v>
      </c>
      <c r="G1712" s="202" t="str">
        <f t="shared" si="26"/>
        <v/>
      </c>
    </row>
    <row r="1713" spans="1:7" s="172" customFormat="1" ht="15" customHeight="1" x14ac:dyDescent="0.25">
      <c r="A1713" s="825" t="s">
        <v>15006</v>
      </c>
      <c r="B1713" s="806" t="s">
        <v>7309</v>
      </c>
      <c r="C1713" s="806" t="s">
        <v>7309</v>
      </c>
      <c r="D1713" s="824" t="s">
        <v>7417</v>
      </c>
      <c r="E1713" s="815">
        <v>25</v>
      </c>
      <c r="F1713" s="815">
        <v>13</v>
      </c>
      <c r="G1713" s="202" t="str">
        <f t="shared" si="26"/>
        <v/>
      </c>
    </row>
    <row r="1714" spans="1:7" s="172" customFormat="1" ht="15" customHeight="1" x14ac:dyDescent="0.25">
      <c r="A1714" s="825" t="s">
        <v>7418</v>
      </c>
      <c r="B1714" s="806" t="s">
        <v>7309</v>
      </c>
      <c r="C1714" s="806" t="s">
        <v>7309</v>
      </c>
      <c r="D1714" s="824" t="s">
        <v>7419</v>
      </c>
      <c r="E1714" s="815">
        <v>100</v>
      </c>
      <c r="F1714" s="815">
        <v>80</v>
      </c>
      <c r="G1714" s="202" t="str">
        <f t="shared" si="26"/>
        <v/>
      </c>
    </row>
    <row r="1715" spans="1:7" s="172" customFormat="1" ht="15" customHeight="1" x14ac:dyDescent="0.25">
      <c r="A1715" s="825" t="s">
        <v>7420</v>
      </c>
      <c r="B1715" s="806" t="s">
        <v>7309</v>
      </c>
      <c r="C1715" s="806" t="s">
        <v>7309</v>
      </c>
      <c r="D1715" s="824" t="s">
        <v>7421</v>
      </c>
      <c r="E1715" s="815">
        <v>100</v>
      </c>
      <c r="F1715" s="815">
        <v>40</v>
      </c>
      <c r="G1715" s="202" t="str">
        <f t="shared" si="26"/>
        <v/>
      </c>
    </row>
    <row r="1716" spans="1:7" s="172" customFormat="1" ht="15" customHeight="1" x14ac:dyDescent="0.25">
      <c r="A1716" s="825" t="s">
        <v>7422</v>
      </c>
      <c r="B1716" s="806" t="s">
        <v>7309</v>
      </c>
      <c r="C1716" s="806" t="s">
        <v>7309</v>
      </c>
      <c r="D1716" s="824" t="s">
        <v>7423</v>
      </c>
      <c r="E1716" s="815">
        <v>63</v>
      </c>
      <c r="F1716" s="815">
        <v>0</v>
      </c>
      <c r="G1716" s="202" t="str">
        <f t="shared" si="26"/>
        <v/>
      </c>
    </row>
    <row r="1717" spans="1:7" s="172" customFormat="1" ht="15" customHeight="1" x14ac:dyDescent="0.25">
      <c r="A1717" s="825" t="s">
        <v>7424</v>
      </c>
      <c r="B1717" s="806" t="s">
        <v>7309</v>
      </c>
      <c r="C1717" s="806" t="s">
        <v>7309</v>
      </c>
      <c r="D1717" s="824" t="s">
        <v>7425</v>
      </c>
      <c r="E1717" s="815">
        <v>30</v>
      </c>
      <c r="F1717" s="815">
        <v>10</v>
      </c>
      <c r="G1717" s="202" t="str">
        <f t="shared" si="26"/>
        <v/>
      </c>
    </row>
    <row r="1718" spans="1:7" s="172" customFormat="1" ht="15" customHeight="1" x14ac:dyDescent="0.25">
      <c r="A1718" s="825" t="s">
        <v>7426</v>
      </c>
      <c r="B1718" s="806" t="s">
        <v>7309</v>
      </c>
      <c r="C1718" s="806" t="s">
        <v>7309</v>
      </c>
      <c r="D1718" s="824" t="s">
        <v>7427</v>
      </c>
      <c r="E1718" s="815">
        <v>40</v>
      </c>
      <c r="F1718" s="815">
        <v>12</v>
      </c>
      <c r="G1718" s="202" t="str">
        <f t="shared" si="26"/>
        <v/>
      </c>
    </row>
    <row r="1719" spans="1:7" s="172" customFormat="1" ht="15" customHeight="1" x14ac:dyDescent="0.25">
      <c r="A1719" s="825" t="s">
        <v>7428</v>
      </c>
      <c r="B1719" s="806" t="s">
        <v>7309</v>
      </c>
      <c r="C1719" s="806" t="s">
        <v>7309</v>
      </c>
      <c r="D1719" s="824" t="s">
        <v>7429</v>
      </c>
      <c r="E1719" s="815">
        <v>30</v>
      </c>
      <c r="F1719" s="815">
        <v>8</v>
      </c>
      <c r="G1719" s="202" t="str">
        <f t="shared" si="26"/>
        <v/>
      </c>
    </row>
    <row r="1720" spans="1:7" s="172" customFormat="1" ht="15" customHeight="1" x14ac:dyDescent="0.25">
      <c r="A1720" s="825" t="s">
        <v>7430</v>
      </c>
      <c r="B1720" s="806" t="s">
        <v>7309</v>
      </c>
      <c r="C1720" s="806" t="s">
        <v>7309</v>
      </c>
      <c r="D1720" s="824" t="s">
        <v>7431</v>
      </c>
      <c r="E1720" s="815">
        <v>63</v>
      </c>
      <c r="F1720" s="815">
        <v>42</v>
      </c>
      <c r="G1720" s="202" t="str">
        <f t="shared" si="26"/>
        <v/>
      </c>
    </row>
    <row r="1721" spans="1:7" s="172" customFormat="1" ht="15" customHeight="1" x14ac:dyDescent="0.25">
      <c r="A1721" s="825" t="s">
        <v>7430</v>
      </c>
      <c r="B1721" s="806" t="s">
        <v>7309</v>
      </c>
      <c r="C1721" s="806" t="s">
        <v>7309</v>
      </c>
      <c r="D1721" s="824" t="s">
        <v>7432</v>
      </c>
      <c r="E1721" s="815">
        <v>25</v>
      </c>
      <c r="F1721" s="815">
        <v>15</v>
      </c>
      <c r="G1721" s="202" t="str">
        <f t="shared" si="26"/>
        <v/>
      </c>
    </row>
    <row r="1722" spans="1:7" s="172" customFormat="1" ht="15" customHeight="1" x14ac:dyDescent="0.25">
      <c r="A1722" s="825" t="s">
        <v>7433</v>
      </c>
      <c r="B1722" s="806" t="s">
        <v>7309</v>
      </c>
      <c r="C1722" s="806" t="s">
        <v>7309</v>
      </c>
      <c r="D1722" s="824" t="s">
        <v>7434</v>
      </c>
      <c r="E1722" s="815">
        <v>63</v>
      </c>
      <c r="F1722" s="815">
        <v>33</v>
      </c>
      <c r="G1722" s="202" t="str">
        <f t="shared" si="26"/>
        <v/>
      </c>
    </row>
    <row r="1723" spans="1:7" s="172" customFormat="1" ht="15" customHeight="1" x14ac:dyDescent="0.25">
      <c r="A1723" s="825" t="s">
        <v>7433</v>
      </c>
      <c r="B1723" s="806" t="s">
        <v>7309</v>
      </c>
      <c r="C1723" s="806" t="s">
        <v>7309</v>
      </c>
      <c r="D1723" s="824" t="s">
        <v>7435</v>
      </c>
      <c r="E1723" s="815">
        <v>100</v>
      </c>
      <c r="F1723" s="815">
        <v>22</v>
      </c>
      <c r="G1723" s="202" t="str">
        <f t="shared" si="26"/>
        <v/>
      </c>
    </row>
    <row r="1724" spans="1:7" s="172" customFormat="1" ht="15" customHeight="1" x14ac:dyDescent="0.25">
      <c r="A1724" s="825" t="s">
        <v>7436</v>
      </c>
      <c r="B1724" s="806" t="s">
        <v>7309</v>
      </c>
      <c r="C1724" s="806" t="s">
        <v>7309</v>
      </c>
      <c r="D1724" s="824" t="s">
        <v>7437</v>
      </c>
      <c r="E1724" s="815">
        <v>25</v>
      </c>
      <c r="F1724" s="815">
        <v>5</v>
      </c>
      <c r="G1724" s="202" t="str">
        <f t="shared" si="26"/>
        <v/>
      </c>
    </row>
    <row r="1725" spans="1:7" s="172" customFormat="1" ht="15" customHeight="1" x14ac:dyDescent="0.25">
      <c r="A1725" s="825" t="s">
        <v>7438</v>
      </c>
      <c r="B1725" s="806" t="s">
        <v>7309</v>
      </c>
      <c r="C1725" s="806" t="s">
        <v>7309</v>
      </c>
      <c r="D1725" s="824" t="s">
        <v>7439</v>
      </c>
      <c r="E1725" s="815">
        <v>160</v>
      </c>
      <c r="F1725" s="815">
        <v>130</v>
      </c>
      <c r="G1725" s="202" t="str">
        <f t="shared" si="26"/>
        <v/>
      </c>
    </row>
    <row r="1726" spans="1:7" s="172" customFormat="1" ht="15" customHeight="1" x14ac:dyDescent="0.25">
      <c r="A1726" s="825" t="s">
        <v>7438</v>
      </c>
      <c r="B1726" s="806" t="s">
        <v>7309</v>
      </c>
      <c r="C1726" s="806" t="s">
        <v>7309</v>
      </c>
      <c r="D1726" s="824" t="s">
        <v>7440</v>
      </c>
      <c r="E1726" s="815">
        <v>63</v>
      </c>
      <c r="F1726" s="815">
        <v>50</v>
      </c>
      <c r="G1726" s="202" t="str">
        <f t="shared" si="26"/>
        <v/>
      </c>
    </row>
    <row r="1727" spans="1:7" s="172" customFormat="1" ht="15" customHeight="1" x14ac:dyDescent="0.25">
      <c r="A1727" s="825" t="s">
        <v>7441</v>
      </c>
      <c r="B1727" s="806" t="s">
        <v>7309</v>
      </c>
      <c r="C1727" s="806" t="s">
        <v>7309</v>
      </c>
      <c r="D1727" s="824" t="s">
        <v>7442</v>
      </c>
      <c r="E1727" s="815">
        <v>10</v>
      </c>
      <c r="F1727" s="815">
        <v>0</v>
      </c>
      <c r="G1727" s="202" t="str">
        <f t="shared" si="26"/>
        <v/>
      </c>
    </row>
    <row r="1728" spans="1:7" s="172" customFormat="1" ht="15" customHeight="1" x14ac:dyDescent="0.25">
      <c r="A1728" s="825" t="s">
        <v>7443</v>
      </c>
      <c r="B1728" s="806" t="s">
        <v>7309</v>
      </c>
      <c r="C1728" s="806" t="s">
        <v>7309</v>
      </c>
      <c r="D1728" s="824" t="s">
        <v>7444</v>
      </c>
      <c r="E1728" s="815">
        <v>100</v>
      </c>
      <c r="F1728" s="815">
        <v>70</v>
      </c>
      <c r="G1728" s="202" t="str">
        <f t="shared" si="26"/>
        <v/>
      </c>
    </row>
    <row r="1729" spans="1:7" s="172" customFormat="1" ht="15" customHeight="1" x14ac:dyDescent="0.25">
      <c r="A1729" s="825" t="s">
        <v>7445</v>
      </c>
      <c r="B1729" s="806" t="s">
        <v>7309</v>
      </c>
      <c r="C1729" s="806" t="s">
        <v>7309</v>
      </c>
      <c r="D1729" s="824" t="s">
        <v>7446</v>
      </c>
      <c r="E1729" s="815">
        <v>250</v>
      </c>
      <c r="F1729" s="815">
        <v>170</v>
      </c>
      <c r="G1729" s="202" t="str">
        <f t="shared" si="26"/>
        <v/>
      </c>
    </row>
    <row r="1730" spans="1:7" s="172" customFormat="1" ht="15" customHeight="1" x14ac:dyDescent="0.25">
      <c r="A1730" s="825" t="s">
        <v>7445</v>
      </c>
      <c r="B1730" s="806" t="s">
        <v>7309</v>
      </c>
      <c r="C1730" s="806" t="s">
        <v>7309</v>
      </c>
      <c r="D1730" s="824" t="s">
        <v>7447</v>
      </c>
      <c r="E1730" s="815">
        <v>160</v>
      </c>
      <c r="F1730" s="815">
        <v>80</v>
      </c>
      <c r="G1730" s="202" t="str">
        <f t="shared" si="26"/>
        <v/>
      </c>
    </row>
    <row r="1731" spans="1:7" s="172" customFormat="1" ht="15" customHeight="1" x14ac:dyDescent="0.25">
      <c r="A1731" s="825" t="s">
        <v>7448</v>
      </c>
      <c r="B1731" s="806" t="s">
        <v>7309</v>
      </c>
      <c r="C1731" s="806" t="s">
        <v>7309</v>
      </c>
      <c r="D1731" s="824" t="s">
        <v>7449</v>
      </c>
      <c r="E1731" s="815">
        <v>100</v>
      </c>
      <c r="F1731" s="815">
        <v>0</v>
      </c>
      <c r="G1731" s="202" t="str">
        <f t="shared" si="26"/>
        <v/>
      </c>
    </row>
    <row r="1732" spans="1:7" s="172" customFormat="1" ht="15" customHeight="1" x14ac:dyDescent="0.25">
      <c r="A1732" s="825" t="s">
        <v>3510</v>
      </c>
      <c r="B1732" s="806" t="s">
        <v>7309</v>
      </c>
      <c r="C1732" s="806" t="s">
        <v>7309</v>
      </c>
      <c r="D1732" s="824" t="s">
        <v>7450</v>
      </c>
      <c r="E1732" s="815">
        <v>160</v>
      </c>
      <c r="F1732" s="815">
        <v>10</v>
      </c>
      <c r="G1732" s="202" t="str">
        <f t="shared" ref="G1732:G1795" si="27">IF(E1732=F1732,"не загружен","")</f>
        <v/>
      </c>
    </row>
    <row r="1733" spans="1:7" s="172" customFormat="1" ht="15" customHeight="1" x14ac:dyDescent="0.25">
      <c r="A1733" s="825" t="s">
        <v>3510</v>
      </c>
      <c r="B1733" s="806" t="s">
        <v>7309</v>
      </c>
      <c r="C1733" s="806" t="s">
        <v>7309</v>
      </c>
      <c r="D1733" s="824" t="s">
        <v>7451</v>
      </c>
      <c r="E1733" s="815">
        <v>63</v>
      </c>
      <c r="F1733" s="815">
        <v>0</v>
      </c>
      <c r="G1733" s="202" t="str">
        <f t="shared" si="27"/>
        <v/>
      </c>
    </row>
    <row r="1734" spans="1:7" s="172" customFormat="1" ht="15" customHeight="1" x14ac:dyDescent="0.25">
      <c r="A1734" s="825" t="s">
        <v>3510</v>
      </c>
      <c r="B1734" s="806" t="s">
        <v>7309</v>
      </c>
      <c r="C1734" s="806" t="s">
        <v>7309</v>
      </c>
      <c r="D1734" s="824" t="s">
        <v>7452</v>
      </c>
      <c r="E1734" s="815">
        <v>100</v>
      </c>
      <c r="F1734" s="815">
        <v>10</v>
      </c>
      <c r="G1734" s="202" t="str">
        <f t="shared" si="27"/>
        <v/>
      </c>
    </row>
    <row r="1735" spans="1:7" s="172" customFormat="1" ht="15" customHeight="1" x14ac:dyDescent="0.25">
      <c r="A1735" s="825" t="s">
        <v>3510</v>
      </c>
      <c r="B1735" s="806" t="s">
        <v>7309</v>
      </c>
      <c r="C1735" s="806" t="s">
        <v>7309</v>
      </c>
      <c r="D1735" s="824" t="s">
        <v>7453</v>
      </c>
      <c r="E1735" s="815">
        <v>250</v>
      </c>
      <c r="F1735" s="815">
        <v>50</v>
      </c>
      <c r="G1735" s="202" t="str">
        <f t="shared" si="27"/>
        <v/>
      </c>
    </row>
    <row r="1736" spans="1:7" s="172" customFormat="1" ht="15" customHeight="1" x14ac:dyDescent="0.25">
      <c r="A1736" s="825" t="s">
        <v>7454</v>
      </c>
      <c r="B1736" s="806" t="s">
        <v>7309</v>
      </c>
      <c r="C1736" s="806" t="s">
        <v>7309</v>
      </c>
      <c r="D1736" s="824" t="s">
        <v>7455</v>
      </c>
      <c r="E1736" s="815">
        <v>30</v>
      </c>
      <c r="F1736" s="815">
        <v>20</v>
      </c>
      <c r="G1736" s="202" t="str">
        <f t="shared" si="27"/>
        <v/>
      </c>
    </row>
    <row r="1737" spans="1:7" s="172" customFormat="1" ht="15" customHeight="1" x14ac:dyDescent="0.25">
      <c r="A1737" s="825" t="s">
        <v>15007</v>
      </c>
      <c r="B1737" s="806" t="s">
        <v>7309</v>
      </c>
      <c r="C1737" s="806" t="s">
        <v>7309</v>
      </c>
      <c r="D1737" s="824" t="s">
        <v>7456</v>
      </c>
      <c r="E1737" s="815">
        <v>180</v>
      </c>
      <c r="F1737" s="815">
        <v>10</v>
      </c>
      <c r="G1737" s="202" t="str">
        <f t="shared" si="27"/>
        <v/>
      </c>
    </row>
    <row r="1738" spans="1:7" s="172" customFormat="1" ht="15" customHeight="1" x14ac:dyDescent="0.25">
      <c r="A1738" s="825" t="s">
        <v>4868</v>
      </c>
      <c r="B1738" s="806" t="s">
        <v>7309</v>
      </c>
      <c r="C1738" s="806" t="s">
        <v>7309</v>
      </c>
      <c r="D1738" s="824" t="s">
        <v>7457</v>
      </c>
      <c r="E1738" s="815">
        <v>40</v>
      </c>
      <c r="F1738" s="815">
        <v>34</v>
      </c>
      <c r="G1738" s="202" t="str">
        <f t="shared" si="27"/>
        <v/>
      </c>
    </row>
    <row r="1739" spans="1:7" s="172" customFormat="1" ht="15" customHeight="1" x14ac:dyDescent="0.25">
      <c r="A1739" s="825" t="s">
        <v>7458</v>
      </c>
      <c r="B1739" s="806" t="s">
        <v>7309</v>
      </c>
      <c r="C1739" s="806" t="s">
        <v>7309</v>
      </c>
      <c r="D1739" s="824" t="s">
        <v>7459</v>
      </c>
      <c r="E1739" s="815">
        <v>160</v>
      </c>
      <c r="F1739" s="815">
        <v>140</v>
      </c>
      <c r="G1739" s="202" t="str">
        <f t="shared" si="27"/>
        <v/>
      </c>
    </row>
    <row r="1740" spans="1:7" s="172" customFormat="1" ht="15" customHeight="1" x14ac:dyDescent="0.25">
      <c r="A1740" s="825" t="s">
        <v>7460</v>
      </c>
      <c r="B1740" s="806" t="s">
        <v>7309</v>
      </c>
      <c r="C1740" s="806" t="s">
        <v>7309</v>
      </c>
      <c r="D1740" s="824" t="s">
        <v>7461</v>
      </c>
      <c r="E1740" s="815">
        <v>63</v>
      </c>
      <c r="F1740" s="815">
        <v>23</v>
      </c>
      <c r="G1740" s="202" t="str">
        <f t="shared" si="27"/>
        <v/>
      </c>
    </row>
    <row r="1741" spans="1:7" s="172" customFormat="1" ht="15" customHeight="1" x14ac:dyDescent="0.25">
      <c r="A1741" s="825" t="s">
        <v>7462</v>
      </c>
      <c r="B1741" s="806" t="s">
        <v>7309</v>
      </c>
      <c r="C1741" s="806" t="s">
        <v>7309</v>
      </c>
      <c r="D1741" s="824" t="s">
        <v>7463</v>
      </c>
      <c r="E1741" s="815">
        <v>100</v>
      </c>
      <c r="F1741" s="815">
        <v>0</v>
      </c>
      <c r="G1741" s="202" t="str">
        <f t="shared" si="27"/>
        <v/>
      </c>
    </row>
    <row r="1742" spans="1:7" s="172" customFormat="1" ht="15" customHeight="1" x14ac:dyDescent="0.25">
      <c r="A1742" s="825" t="s">
        <v>7464</v>
      </c>
      <c r="B1742" s="806" t="s">
        <v>7309</v>
      </c>
      <c r="C1742" s="806" t="s">
        <v>7309</v>
      </c>
      <c r="D1742" s="824" t="s">
        <v>7465</v>
      </c>
      <c r="E1742" s="815">
        <v>100</v>
      </c>
      <c r="F1742" s="815">
        <v>0</v>
      </c>
      <c r="G1742" s="202" t="str">
        <f t="shared" si="27"/>
        <v/>
      </c>
    </row>
    <row r="1743" spans="1:7" s="172" customFormat="1" ht="15" customHeight="1" x14ac:dyDescent="0.25">
      <c r="A1743" s="825" t="s">
        <v>7466</v>
      </c>
      <c r="B1743" s="806" t="s">
        <v>7309</v>
      </c>
      <c r="C1743" s="806" t="s">
        <v>7309</v>
      </c>
      <c r="D1743" s="824" t="s">
        <v>7467</v>
      </c>
      <c r="E1743" s="815">
        <v>160</v>
      </c>
      <c r="F1743" s="815">
        <v>60</v>
      </c>
      <c r="G1743" s="202" t="str">
        <f t="shared" si="27"/>
        <v/>
      </c>
    </row>
    <row r="1744" spans="1:7" s="172" customFormat="1" ht="15" customHeight="1" x14ac:dyDescent="0.25">
      <c r="A1744" s="811" t="s">
        <v>7466</v>
      </c>
      <c r="B1744" s="811" t="s">
        <v>7309</v>
      </c>
      <c r="C1744" s="811" t="s">
        <v>7309</v>
      </c>
      <c r="D1744" s="811" t="s">
        <v>7468</v>
      </c>
      <c r="E1744" s="811">
        <v>400</v>
      </c>
      <c r="F1744" s="811">
        <v>300</v>
      </c>
      <c r="G1744" s="202" t="str">
        <f t="shared" si="27"/>
        <v/>
      </c>
    </row>
    <row r="1745" spans="1:7" s="172" customFormat="1" ht="15" customHeight="1" x14ac:dyDescent="0.25">
      <c r="A1745" s="811" t="s">
        <v>7469</v>
      </c>
      <c r="B1745" s="811" t="s">
        <v>7309</v>
      </c>
      <c r="C1745" s="811" t="s">
        <v>7309</v>
      </c>
      <c r="D1745" s="811" t="s">
        <v>7470</v>
      </c>
      <c r="E1745" s="811">
        <v>250</v>
      </c>
      <c r="F1745" s="811">
        <v>150</v>
      </c>
      <c r="G1745" s="202" t="str">
        <f t="shared" si="27"/>
        <v/>
      </c>
    </row>
    <row r="1746" spans="1:7" s="172" customFormat="1" ht="15" customHeight="1" x14ac:dyDescent="0.25">
      <c r="A1746" s="811" t="s">
        <v>7471</v>
      </c>
      <c r="B1746" s="811" t="s">
        <v>7309</v>
      </c>
      <c r="C1746" s="811" t="s">
        <v>7309</v>
      </c>
      <c r="D1746" s="811" t="s">
        <v>7472</v>
      </c>
      <c r="E1746" s="811">
        <v>100</v>
      </c>
      <c r="F1746" s="811">
        <v>0</v>
      </c>
      <c r="G1746" s="202" t="str">
        <f t="shared" si="27"/>
        <v/>
      </c>
    </row>
    <row r="1747" spans="1:7" s="172" customFormat="1" ht="15" customHeight="1" x14ac:dyDescent="0.25">
      <c r="A1747" s="811" t="s">
        <v>7466</v>
      </c>
      <c r="B1747" s="811" t="s">
        <v>7309</v>
      </c>
      <c r="C1747" s="811" t="s">
        <v>7309</v>
      </c>
      <c r="D1747" s="811" t="s">
        <v>7473</v>
      </c>
      <c r="E1747" s="811">
        <v>160</v>
      </c>
      <c r="F1747" s="811">
        <v>100</v>
      </c>
      <c r="G1747" s="202" t="str">
        <f t="shared" si="27"/>
        <v/>
      </c>
    </row>
    <row r="1748" spans="1:7" s="172" customFormat="1" ht="15" customHeight="1" x14ac:dyDescent="0.25">
      <c r="A1748" s="811" t="s">
        <v>7466</v>
      </c>
      <c r="B1748" s="811" t="s">
        <v>7309</v>
      </c>
      <c r="C1748" s="811" t="s">
        <v>7309</v>
      </c>
      <c r="D1748" s="811" t="s">
        <v>7474</v>
      </c>
      <c r="E1748" s="811">
        <v>250</v>
      </c>
      <c r="F1748" s="811">
        <v>180</v>
      </c>
      <c r="G1748" s="202" t="str">
        <f t="shared" si="27"/>
        <v/>
      </c>
    </row>
    <row r="1749" spans="1:7" s="172" customFormat="1" ht="15" customHeight="1" x14ac:dyDescent="0.25">
      <c r="A1749" s="811" t="s">
        <v>15008</v>
      </c>
      <c r="B1749" s="811" t="s">
        <v>7309</v>
      </c>
      <c r="C1749" s="811" t="s">
        <v>7309</v>
      </c>
      <c r="D1749" s="811" t="s">
        <v>7475</v>
      </c>
      <c r="E1749" s="811">
        <v>63</v>
      </c>
      <c r="F1749" s="811">
        <v>20</v>
      </c>
      <c r="G1749" s="202" t="str">
        <f t="shared" si="27"/>
        <v/>
      </c>
    </row>
    <row r="1750" spans="1:7" s="172" customFormat="1" ht="15" customHeight="1" x14ac:dyDescent="0.25">
      <c r="A1750" s="811" t="s">
        <v>7476</v>
      </c>
      <c r="B1750" s="811" t="s">
        <v>7309</v>
      </c>
      <c r="C1750" s="811" t="s">
        <v>7309</v>
      </c>
      <c r="D1750" s="811" t="s">
        <v>7477</v>
      </c>
      <c r="E1750" s="811">
        <v>100</v>
      </c>
      <c r="F1750" s="811">
        <v>20</v>
      </c>
      <c r="G1750" s="202" t="str">
        <f t="shared" si="27"/>
        <v/>
      </c>
    </row>
    <row r="1751" spans="1:7" s="172" customFormat="1" ht="15" customHeight="1" x14ac:dyDescent="0.25">
      <c r="A1751" s="811" t="s">
        <v>7476</v>
      </c>
      <c r="B1751" s="811" t="s">
        <v>7309</v>
      </c>
      <c r="C1751" s="811" t="s">
        <v>7309</v>
      </c>
      <c r="D1751" s="811" t="s">
        <v>7478</v>
      </c>
      <c r="E1751" s="811">
        <v>100</v>
      </c>
      <c r="F1751" s="811">
        <v>80</v>
      </c>
      <c r="G1751" s="202" t="str">
        <f t="shared" si="27"/>
        <v/>
      </c>
    </row>
    <row r="1752" spans="1:7" s="172" customFormat="1" ht="15" customHeight="1" x14ac:dyDescent="0.25">
      <c r="A1752" s="811" t="s">
        <v>18555</v>
      </c>
      <c r="B1752" s="811" t="s">
        <v>7309</v>
      </c>
      <c r="C1752" s="811" t="s">
        <v>7309</v>
      </c>
      <c r="D1752" s="811" t="s">
        <v>18556</v>
      </c>
      <c r="E1752" s="811">
        <v>100</v>
      </c>
      <c r="F1752" s="811">
        <v>50</v>
      </c>
      <c r="G1752" s="202" t="str">
        <f t="shared" si="27"/>
        <v/>
      </c>
    </row>
    <row r="1753" spans="1:7" s="172" customFormat="1" ht="15" customHeight="1" x14ac:dyDescent="0.25">
      <c r="A1753" s="811" t="s">
        <v>13446</v>
      </c>
      <c r="B1753" s="811" t="s">
        <v>13439</v>
      </c>
      <c r="C1753" s="811" t="s">
        <v>13439</v>
      </c>
      <c r="D1753" s="811" t="s">
        <v>13447</v>
      </c>
      <c r="E1753" s="811">
        <v>63</v>
      </c>
      <c r="F1753" s="811">
        <v>20</v>
      </c>
      <c r="G1753" s="202" t="str">
        <f t="shared" si="27"/>
        <v/>
      </c>
    </row>
    <row r="1754" spans="1:7" s="172" customFormat="1" ht="15" customHeight="1" x14ac:dyDescent="0.25">
      <c r="A1754" s="811" t="s">
        <v>13438</v>
      </c>
      <c r="B1754" s="811" t="s">
        <v>13439</v>
      </c>
      <c r="C1754" s="811" t="s">
        <v>13439</v>
      </c>
      <c r="D1754" s="811" t="s">
        <v>13440</v>
      </c>
      <c r="E1754" s="811">
        <v>63</v>
      </c>
      <c r="F1754" s="811">
        <v>35</v>
      </c>
      <c r="G1754" s="202" t="str">
        <f t="shared" si="27"/>
        <v/>
      </c>
    </row>
    <row r="1755" spans="1:7" s="172" customFormat="1" ht="15" customHeight="1" x14ac:dyDescent="0.25">
      <c r="A1755" s="811" t="s">
        <v>5768</v>
      </c>
      <c r="B1755" s="811" t="s">
        <v>13439</v>
      </c>
      <c r="C1755" s="811" t="s">
        <v>13439</v>
      </c>
      <c r="D1755" s="811" t="s">
        <v>13441</v>
      </c>
      <c r="E1755" s="811">
        <v>30</v>
      </c>
      <c r="F1755" s="811">
        <v>10</v>
      </c>
      <c r="G1755" s="202" t="str">
        <f t="shared" si="27"/>
        <v/>
      </c>
    </row>
    <row r="1756" spans="1:7" s="172" customFormat="1" ht="15" customHeight="1" x14ac:dyDescent="0.25">
      <c r="A1756" s="811" t="s">
        <v>13442</v>
      </c>
      <c r="B1756" s="811" t="s">
        <v>13439</v>
      </c>
      <c r="C1756" s="811" t="s">
        <v>13439</v>
      </c>
      <c r="D1756" s="811" t="s">
        <v>13443</v>
      </c>
      <c r="E1756" s="811">
        <v>100</v>
      </c>
      <c r="F1756" s="811">
        <v>50</v>
      </c>
      <c r="G1756" s="202" t="str">
        <f t="shared" si="27"/>
        <v/>
      </c>
    </row>
    <row r="1757" spans="1:7" s="172" customFormat="1" ht="15" customHeight="1" x14ac:dyDescent="0.25">
      <c r="A1757" s="811" t="s">
        <v>13444</v>
      </c>
      <c r="B1757" s="811" t="s">
        <v>13439</v>
      </c>
      <c r="C1757" s="811" t="s">
        <v>13439</v>
      </c>
      <c r="D1757" s="811" t="s">
        <v>13445</v>
      </c>
      <c r="E1757" s="811">
        <v>30</v>
      </c>
      <c r="F1757" s="811">
        <v>6</v>
      </c>
      <c r="G1757" s="202" t="str">
        <f t="shared" si="27"/>
        <v/>
      </c>
    </row>
    <row r="1758" spans="1:7" s="172" customFormat="1" ht="15" customHeight="1" x14ac:dyDescent="0.25">
      <c r="A1758" s="811" t="s">
        <v>8812</v>
      </c>
      <c r="B1758" s="811" t="s">
        <v>13439</v>
      </c>
      <c r="C1758" s="811" t="s">
        <v>13439</v>
      </c>
      <c r="D1758" s="811" t="s">
        <v>13753</v>
      </c>
      <c r="E1758" s="811">
        <v>10</v>
      </c>
      <c r="F1758" s="811">
        <v>2</v>
      </c>
      <c r="G1758" s="202" t="str">
        <f t="shared" si="27"/>
        <v/>
      </c>
    </row>
    <row r="1759" spans="1:7" s="172" customFormat="1" ht="15" customHeight="1" x14ac:dyDescent="0.25">
      <c r="A1759" s="811" t="s">
        <v>13453</v>
      </c>
      <c r="B1759" s="811" t="s">
        <v>13439</v>
      </c>
      <c r="C1759" s="811" t="s">
        <v>13439</v>
      </c>
      <c r="D1759" s="811" t="s">
        <v>13454</v>
      </c>
      <c r="E1759" s="811">
        <v>30</v>
      </c>
      <c r="F1759" s="811">
        <v>10</v>
      </c>
      <c r="G1759" s="202" t="str">
        <f t="shared" si="27"/>
        <v/>
      </c>
    </row>
    <row r="1760" spans="1:7" s="172" customFormat="1" ht="15" customHeight="1" x14ac:dyDescent="0.25">
      <c r="A1760" s="811" t="s">
        <v>13693</v>
      </c>
      <c r="B1760" s="811" t="s">
        <v>13439</v>
      </c>
      <c r="C1760" s="811" t="s">
        <v>13439</v>
      </c>
      <c r="D1760" s="811" t="s">
        <v>13694</v>
      </c>
      <c r="E1760" s="811">
        <v>160</v>
      </c>
      <c r="F1760" s="811">
        <v>45</v>
      </c>
      <c r="G1760" s="202" t="str">
        <f t="shared" si="27"/>
        <v/>
      </c>
    </row>
    <row r="1761" spans="1:7" s="172" customFormat="1" ht="15" customHeight="1" x14ac:dyDescent="0.25">
      <c r="A1761" s="811" t="s">
        <v>13451</v>
      </c>
      <c r="B1761" s="811" t="s">
        <v>13439</v>
      </c>
      <c r="C1761" s="811" t="s">
        <v>13439</v>
      </c>
      <c r="D1761" s="811" t="s">
        <v>13452</v>
      </c>
      <c r="E1761" s="811">
        <v>60</v>
      </c>
      <c r="F1761" s="811">
        <v>20</v>
      </c>
      <c r="G1761" s="202" t="str">
        <f t="shared" si="27"/>
        <v/>
      </c>
    </row>
    <row r="1762" spans="1:7" s="172" customFormat="1" ht="15" customHeight="1" x14ac:dyDescent="0.25">
      <c r="A1762" s="811" t="s">
        <v>3526</v>
      </c>
      <c r="B1762" s="811" t="s">
        <v>13439</v>
      </c>
      <c r="C1762" s="811" t="s">
        <v>13439</v>
      </c>
      <c r="D1762" s="811" t="s">
        <v>13455</v>
      </c>
      <c r="E1762" s="811">
        <v>100</v>
      </c>
      <c r="F1762" s="811">
        <v>40</v>
      </c>
      <c r="G1762" s="202" t="str">
        <f t="shared" si="27"/>
        <v/>
      </c>
    </row>
    <row r="1763" spans="1:7" s="172" customFormat="1" ht="15" customHeight="1" x14ac:dyDescent="0.25">
      <c r="A1763" s="811" t="s">
        <v>12567</v>
      </c>
      <c r="B1763" s="811" t="s">
        <v>13439</v>
      </c>
      <c r="C1763" s="811" t="s">
        <v>13439</v>
      </c>
      <c r="D1763" s="811" t="s">
        <v>13461</v>
      </c>
      <c r="E1763" s="811">
        <v>60</v>
      </c>
      <c r="F1763" s="811">
        <v>15</v>
      </c>
      <c r="G1763" s="202" t="str">
        <f t="shared" si="27"/>
        <v/>
      </c>
    </row>
    <row r="1764" spans="1:7" s="172" customFormat="1" ht="15" customHeight="1" x14ac:dyDescent="0.25">
      <c r="A1764" s="811" t="s">
        <v>7611</v>
      </c>
      <c r="B1764" s="811" t="s">
        <v>13439</v>
      </c>
      <c r="C1764" s="811" t="s">
        <v>13439</v>
      </c>
      <c r="D1764" s="811" t="s">
        <v>13456</v>
      </c>
      <c r="E1764" s="811">
        <v>10</v>
      </c>
      <c r="F1764" s="811">
        <v>2</v>
      </c>
      <c r="G1764" s="202" t="str">
        <f t="shared" si="27"/>
        <v/>
      </c>
    </row>
    <row r="1765" spans="1:7" s="172" customFormat="1" ht="15" customHeight="1" x14ac:dyDescent="0.25">
      <c r="A1765" s="811" t="s">
        <v>2689</v>
      </c>
      <c r="B1765" s="811" t="s">
        <v>13439</v>
      </c>
      <c r="C1765" s="811" t="s">
        <v>13439</v>
      </c>
      <c r="D1765" s="811" t="s">
        <v>13459</v>
      </c>
      <c r="E1765" s="811">
        <v>250</v>
      </c>
      <c r="F1765" s="811">
        <v>50</v>
      </c>
      <c r="G1765" s="202" t="str">
        <f t="shared" si="27"/>
        <v/>
      </c>
    </row>
    <row r="1766" spans="1:7" s="172" customFormat="1" ht="15" customHeight="1" x14ac:dyDescent="0.25">
      <c r="A1766" s="811" t="s">
        <v>2689</v>
      </c>
      <c r="B1766" s="811" t="s">
        <v>13439</v>
      </c>
      <c r="C1766" s="811" t="s">
        <v>13439</v>
      </c>
      <c r="D1766" s="811" t="s">
        <v>13460</v>
      </c>
      <c r="E1766" s="811">
        <v>160</v>
      </c>
      <c r="F1766" s="811">
        <v>50</v>
      </c>
      <c r="G1766" s="202" t="str">
        <f t="shared" si="27"/>
        <v/>
      </c>
    </row>
    <row r="1767" spans="1:7" s="172" customFormat="1" ht="15" customHeight="1" x14ac:dyDescent="0.25">
      <c r="A1767" s="811" t="s">
        <v>3126</v>
      </c>
      <c r="B1767" s="811" t="s">
        <v>13439</v>
      </c>
      <c r="C1767" s="811" t="s">
        <v>13439</v>
      </c>
      <c r="D1767" s="811" t="s">
        <v>13458</v>
      </c>
      <c r="E1767" s="811">
        <v>100</v>
      </c>
      <c r="F1767" s="811">
        <v>30</v>
      </c>
      <c r="G1767" s="202" t="str">
        <f t="shared" si="27"/>
        <v/>
      </c>
    </row>
    <row r="1768" spans="1:7" s="172" customFormat="1" ht="15" customHeight="1" x14ac:dyDescent="0.25">
      <c r="A1768" s="811" t="s">
        <v>13208</v>
      </c>
      <c r="B1768" s="811" t="s">
        <v>13439</v>
      </c>
      <c r="C1768" s="811" t="s">
        <v>13439</v>
      </c>
      <c r="D1768" s="811" t="s">
        <v>13457</v>
      </c>
      <c r="E1768" s="811">
        <v>63</v>
      </c>
      <c r="F1768" s="811">
        <v>15</v>
      </c>
      <c r="G1768" s="202" t="str">
        <f t="shared" si="27"/>
        <v/>
      </c>
    </row>
    <row r="1769" spans="1:7" s="172" customFormat="1" ht="15" customHeight="1" x14ac:dyDescent="0.25">
      <c r="A1769" s="811" t="s">
        <v>13695</v>
      </c>
      <c r="B1769" s="811" t="s">
        <v>13439</v>
      </c>
      <c r="C1769" s="811" t="s">
        <v>13439</v>
      </c>
      <c r="D1769" s="811" t="s">
        <v>13696</v>
      </c>
      <c r="E1769" s="811">
        <v>100</v>
      </c>
      <c r="F1769" s="811">
        <v>20</v>
      </c>
      <c r="G1769" s="202" t="str">
        <f t="shared" si="27"/>
        <v/>
      </c>
    </row>
    <row r="1770" spans="1:7" s="172" customFormat="1" ht="15" customHeight="1" x14ac:dyDescent="0.25">
      <c r="A1770" s="811" t="s">
        <v>13463</v>
      </c>
      <c r="B1770" s="811" t="s">
        <v>13439</v>
      </c>
      <c r="C1770" s="811" t="s">
        <v>13439</v>
      </c>
      <c r="D1770" s="811" t="s">
        <v>13465</v>
      </c>
      <c r="E1770" s="811">
        <v>100</v>
      </c>
      <c r="F1770" s="811">
        <v>30</v>
      </c>
      <c r="G1770" s="202" t="str">
        <f t="shared" si="27"/>
        <v/>
      </c>
    </row>
    <row r="1771" spans="1:7" s="172" customFormat="1" ht="15" customHeight="1" x14ac:dyDescent="0.25">
      <c r="A1771" s="811" t="s">
        <v>13463</v>
      </c>
      <c r="B1771" s="811" t="s">
        <v>13439</v>
      </c>
      <c r="C1771" s="811" t="s">
        <v>13439</v>
      </c>
      <c r="D1771" s="811" t="s">
        <v>13466</v>
      </c>
      <c r="E1771" s="811">
        <v>63</v>
      </c>
      <c r="F1771" s="811">
        <v>10</v>
      </c>
      <c r="G1771" s="202" t="str">
        <f t="shared" si="27"/>
        <v/>
      </c>
    </row>
    <row r="1772" spans="1:7" s="172" customFormat="1" ht="15" customHeight="1" x14ac:dyDescent="0.25">
      <c r="A1772" s="811" t="s">
        <v>13463</v>
      </c>
      <c r="B1772" s="811" t="s">
        <v>13439</v>
      </c>
      <c r="C1772" s="811" t="s">
        <v>13439</v>
      </c>
      <c r="D1772" s="811" t="s">
        <v>13467</v>
      </c>
      <c r="E1772" s="811">
        <v>160</v>
      </c>
      <c r="F1772" s="811">
        <v>40</v>
      </c>
      <c r="G1772" s="202" t="str">
        <f t="shared" si="27"/>
        <v/>
      </c>
    </row>
    <row r="1773" spans="1:7" s="172" customFormat="1" ht="15" customHeight="1" x14ac:dyDescent="0.25">
      <c r="A1773" s="811" t="s">
        <v>13463</v>
      </c>
      <c r="B1773" s="811" t="s">
        <v>13439</v>
      </c>
      <c r="C1773" s="811" t="s">
        <v>13439</v>
      </c>
      <c r="D1773" s="811" t="s">
        <v>13749</v>
      </c>
      <c r="E1773" s="811">
        <v>400</v>
      </c>
      <c r="F1773" s="811">
        <v>30</v>
      </c>
      <c r="G1773" s="202" t="str">
        <f t="shared" si="27"/>
        <v/>
      </c>
    </row>
    <row r="1774" spans="1:7" s="172" customFormat="1" ht="15" customHeight="1" x14ac:dyDescent="0.25">
      <c r="A1774" s="811" t="s">
        <v>13463</v>
      </c>
      <c r="B1774" s="811" t="s">
        <v>13439</v>
      </c>
      <c r="C1774" s="811" t="s">
        <v>13439</v>
      </c>
      <c r="D1774" s="811" t="s">
        <v>13750</v>
      </c>
      <c r="E1774" s="811">
        <v>160</v>
      </c>
      <c r="F1774" s="811">
        <v>50</v>
      </c>
      <c r="G1774" s="202" t="str">
        <f t="shared" si="27"/>
        <v/>
      </c>
    </row>
    <row r="1775" spans="1:7" s="172" customFormat="1" ht="15" customHeight="1" x14ac:dyDescent="0.25">
      <c r="A1775" s="811" t="s">
        <v>13463</v>
      </c>
      <c r="B1775" s="811" t="s">
        <v>13439</v>
      </c>
      <c r="C1775" s="811" t="s">
        <v>13439</v>
      </c>
      <c r="D1775" s="811" t="s">
        <v>13464</v>
      </c>
      <c r="E1775" s="811">
        <v>250</v>
      </c>
      <c r="F1775" s="811">
        <v>50</v>
      </c>
      <c r="G1775" s="202" t="str">
        <f t="shared" si="27"/>
        <v/>
      </c>
    </row>
    <row r="1776" spans="1:7" s="172" customFormat="1" ht="15" customHeight="1" x14ac:dyDescent="0.25">
      <c r="A1776" s="811" t="s">
        <v>12610</v>
      </c>
      <c r="B1776" s="811" t="s">
        <v>13439</v>
      </c>
      <c r="C1776" s="811" t="s">
        <v>13439</v>
      </c>
      <c r="D1776" s="811" t="s">
        <v>13462</v>
      </c>
      <c r="E1776" s="811">
        <v>10</v>
      </c>
      <c r="F1776" s="811">
        <v>2</v>
      </c>
      <c r="G1776" s="202" t="str">
        <f t="shared" si="27"/>
        <v/>
      </c>
    </row>
    <row r="1777" spans="1:7" s="172" customFormat="1" ht="15" customHeight="1" x14ac:dyDescent="0.25">
      <c r="A1777" s="811" t="s">
        <v>13468</v>
      </c>
      <c r="B1777" s="811" t="s">
        <v>13439</v>
      </c>
      <c r="C1777" s="811" t="s">
        <v>13439</v>
      </c>
      <c r="D1777" s="811" t="s">
        <v>13469</v>
      </c>
      <c r="E1777" s="811">
        <v>160</v>
      </c>
      <c r="F1777" s="811">
        <v>40</v>
      </c>
      <c r="G1777" s="202" t="str">
        <f t="shared" si="27"/>
        <v/>
      </c>
    </row>
    <row r="1778" spans="1:7" s="172" customFormat="1" ht="15" customHeight="1" x14ac:dyDescent="0.25">
      <c r="A1778" s="811" t="s">
        <v>13474</v>
      </c>
      <c r="B1778" s="811" t="s">
        <v>13439</v>
      </c>
      <c r="C1778" s="811" t="s">
        <v>13439</v>
      </c>
      <c r="D1778" s="811" t="s">
        <v>13475</v>
      </c>
      <c r="E1778" s="811">
        <v>63</v>
      </c>
      <c r="F1778" s="811">
        <v>15</v>
      </c>
      <c r="G1778" s="202" t="str">
        <f t="shared" si="27"/>
        <v/>
      </c>
    </row>
    <row r="1779" spans="1:7" s="172" customFormat="1" ht="15" customHeight="1" x14ac:dyDescent="0.25">
      <c r="A1779" s="811" t="s">
        <v>13470</v>
      </c>
      <c r="B1779" s="811" t="s">
        <v>13439</v>
      </c>
      <c r="C1779" s="811" t="s">
        <v>13439</v>
      </c>
      <c r="D1779" s="811" t="s">
        <v>13471</v>
      </c>
      <c r="E1779" s="811">
        <v>20</v>
      </c>
      <c r="F1779" s="811">
        <v>10</v>
      </c>
      <c r="G1779" s="202" t="str">
        <f t="shared" si="27"/>
        <v/>
      </c>
    </row>
    <row r="1780" spans="1:7" s="172" customFormat="1" ht="15" customHeight="1" x14ac:dyDescent="0.25">
      <c r="A1780" s="811" t="s">
        <v>13476</v>
      </c>
      <c r="B1780" s="811" t="s">
        <v>13439</v>
      </c>
      <c r="C1780" s="811" t="s">
        <v>13439</v>
      </c>
      <c r="D1780" s="811" t="s">
        <v>13477</v>
      </c>
      <c r="E1780" s="811">
        <v>160</v>
      </c>
      <c r="F1780" s="811">
        <v>50</v>
      </c>
      <c r="G1780" s="202" t="str">
        <f t="shared" si="27"/>
        <v/>
      </c>
    </row>
    <row r="1781" spans="1:7" s="172" customFormat="1" ht="15" customHeight="1" x14ac:dyDescent="0.25">
      <c r="A1781" s="811" t="s">
        <v>13472</v>
      </c>
      <c r="B1781" s="811" t="s">
        <v>13439</v>
      </c>
      <c r="C1781" s="811" t="s">
        <v>13439</v>
      </c>
      <c r="D1781" s="811" t="s">
        <v>13473</v>
      </c>
      <c r="E1781" s="811">
        <v>60</v>
      </c>
      <c r="F1781" s="811">
        <v>15</v>
      </c>
      <c r="G1781" s="202" t="str">
        <f t="shared" si="27"/>
        <v/>
      </c>
    </row>
    <row r="1782" spans="1:7" s="172" customFormat="1" ht="15" customHeight="1" x14ac:dyDescent="0.25">
      <c r="A1782" s="811" t="s">
        <v>13759</v>
      </c>
      <c r="B1782" s="811" t="s">
        <v>13439</v>
      </c>
      <c r="C1782" s="811" t="s">
        <v>13439</v>
      </c>
      <c r="D1782" s="811" t="s">
        <v>13760</v>
      </c>
      <c r="E1782" s="811">
        <v>63</v>
      </c>
      <c r="F1782" s="811">
        <v>15</v>
      </c>
      <c r="G1782" s="202" t="str">
        <f t="shared" si="27"/>
        <v/>
      </c>
    </row>
    <row r="1783" spans="1:7" s="172" customFormat="1" ht="15" customHeight="1" x14ac:dyDescent="0.25">
      <c r="A1783" s="811" t="s">
        <v>13484</v>
      </c>
      <c r="B1783" s="811" t="s">
        <v>13439</v>
      </c>
      <c r="C1783" s="811" t="s">
        <v>13439</v>
      </c>
      <c r="D1783" s="811" t="s">
        <v>13485</v>
      </c>
      <c r="E1783" s="811">
        <v>60</v>
      </c>
      <c r="F1783" s="811">
        <v>15</v>
      </c>
      <c r="G1783" s="202" t="str">
        <f t="shared" si="27"/>
        <v/>
      </c>
    </row>
    <row r="1784" spans="1:7" s="172" customFormat="1" ht="15" customHeight="1" x14ac:dyDescent="0.25">
      <c r="A1784" s="811" t="s">
        <v>13697</v>
      </c>
      <c r="B1784" s="811" t="s">
        <v>13439</v>
      </c>
      <c r="C1784" s="811" t="s">
        <v>13439</v>
      </c>
      <c r="D1784" s="811" t="s">
        <v>13698</v>
      </c>
      <c r="E1784" s="811">
        <v>100</v>
      </c>
      <c r="F1784" s="811">
        <v>40</v>
      </c>
      <c r="G1784" s="202" t="str">
        <f t="shared" si="27"/>
        <v/>
      </c>
    </row>
    <row r="1785" spans="1:7" s="172" customFormat="1" ht="15" customHeight="1" x14ac:dyDescent="0.25">
      <c r="A1785" s="811" t="s">
        <v>13478</v>
      </c>
      <c r="B1785" s="811" t="s">
        <v>13439</v>
      </c>
      <c r="C1785" s="811" t="s">
        <v>13439</v>
      </c>
      <c r="D1785" s="811" t="s">
        <v>13479</v>
      </c>
      <c r="E1785" s="811">
        <v>10</v>
      </c>
      <c r="F1785" s="811">
        <v>2</v>
      </c>
      <c r="G1785" s="202" t="str">
        <f t="shared" si="27"/>
        <v/>
      </c>
    </row>
    <row r="1786" spans="1:7" s="172" customFormat="1" ht="15" customHeight="1" x14ac:dyDescent="0.25">
      <c r="A1786" s="811" t="s">
        <v>13756</v>
      </c>
      <c r="B1786" s="811" t="s">
        <v>13439</v>
      </c>
      <c r="C1786" s="811" t="s">
        <v>13439</v>
      </c>
      <c r="D1786" s="811" t="s">
        <v>13757</v>
      </c>
      <c r="E1786" s="811">
        <v>63</v>
      </c>
      <c r="F1786" s="811">
        <v>15</v>
      </c>
      <c r="G1786" s="202" t="str">
        <f t="shared" si="27"/>
        <v/>
      </c>
    </row>
    <row r="1787" spans="1:7" s="172" customFormat="1" ht="15" customHeight="1" x14ac:dyDescent="0.25">
      <c r="A1787" s="811" t="s">
        <v>13486</v>
      </c>
      <c r="B1787" s="811" t="s">
        <v>13439</v>
      </c>
      <c r="C1787" s="811" t="s">
        <v>13439</v>
      </c>
      <c r="D1787" s="811" t="s">
        <v>13487</v>
      </c>
      <c r="E1787" s="811">
        <v>63</v>
      </c>
      <c r="F1787" s="811">
        <v>15</v>
      </c>
      <c r="G1787" s="202" t="str">
        <f t="shared" si="27"/>
        <v/>
      </c>
    </row>
    <row r="1788" spans="1:7" s="172" customFormat="1" ht="15" customHeight="1" x14ac:dyDescent="0.25">
      <c r="A1788" s="811" t="s">
        <v>12213</v>
      </c>
      <c r="B1788" s="811" t="s">
        <v>13439</v>
      </c>
      <c r="C1788" s="811" t="s">
        <v>13439</v>
      </c>
      <c r="D1788" s="811" t="s">
        <v>13751</v>
      </c>
      <c r="E1788" s="811">
        <v>100</v>
      </c>
      <c r="F1788" s="811">
        <v>40</v>
      </c>
      <c r="G1788" s="202" t="str">
        <f t="shared" si="27"/>
        <v/>
      </c>
    </row>
    <row r="1789" spans="1:7" s="172" customFormat="1" ht="15" customHeight="1" x14ac:dyDescent="0.25">
      <c r="A1789" s="811" t="s">
        <v>13488</v>
      </c>
      <c r="B1789" s="811" t="s">
        <v>13439</v>
      </c>
      <c r="C1789" s="811" t="s">
        <v>13439</v>
      </c>
      <c r="D1789" s="811" t="s">
        <v>13489</v>
      </c>
      <c r="E1789" s="811">
        <v>30</v>
      </c>
      <c r="F1789" s="811">
        <v>10</v>
      </c>
      <c r="G1789" s="202" t="str">
        <f t="shared" si="27"/>
        <v/>
      </c>
    </row>
    <row r="1790" spans="1:7" s="172" customFormat="1" ht="15" customHeight="1" x14ac:dyDescent="0.25">
      <c r="A1790" s="811" t="s">
        <v>6892</v>
      </c>
      <c r="B1790" s="811" t="s">
        <v>13439</v>
      </c>
      <c r="C1790" s="811" t="s">
        <v>13439</v>
      </c>
      <c r="D1790" s="811" t="s">
        <v>13480</v>
      </c>
      <c r="E1790" s="811">
        <v>100</v>
      </c>
      <c r="F1790" s="811">
        <v>20</v>
      </c>
      <c r="G1790" s="202" t="str">
        <f t="shared" si="27"/>
        <v/>
      </c>
    </row>
    <row r="1791" spans="1:7" s="172" customFormat="1" ht="15" customHeight="1" x14ac:dyDescent="0.25">
      <c r="A1791" s="811" t="s">
        <v>13481</v>
      </c>
      <c r="B1791" s="811" t="s">
        <v>13439</v>
      </c>
      <c r="C1791" s="811" t="s">
        <v>13439</v>
      </c>
      <c r="D1791" s="811" t="s">
        <v>13482</v>
      </c>
      <c r="E1791" s="811">
        <v>10</v>
      </c>
      <c r="F1791" s="811">
        <v>2</v>
      </c>
      <c r="G1791" s="202" t="str">
        <f t="shared" si="27"/>
        <v/>
      </c>
    </row>
    <row r="1792" spans="1:7" s="172" customFormat="1" ht="15" customHeight="1" x14ac:dyDescent="0.25">
      <c r="A1792" s="811" t="s">
        <v>4838</v>
      </c>
      <c r="B1792" s="811" t="s">
        <v>13439</v>
      </c>
      <c r="C1792" s="811" t="s">
        <v>13439</v>
      </c>
      <c r="D1792" s="811" t="s">
        <v>13483</v>
      </c>
      <c r="E1792" s="811">
        <v>60</v>
      </c>
      <c r="F1792" s="811">
        <v>10</v>
      </c>
      <c r="G1792" s="202" t="str">
        <f t="shared" si="27"/>
        <v/>
      </c>
    </row>
    <row r="1793" spans="1:7" s="172" customFormat="1" ht="15" customHeight="1" x14ac:dyDescent="0.25">
      <c r="A1793" s="811" t="s">
        <v>3241</v>
      </c>
      <c r="B1793" s="811" t="s">
        <v>13439</v>
      </c>
      <c r="C1793" s="811" t="s">
        <v>13439</v>
      </c>
      <c r="D1793" s="811" t="s">
        <v>13758</v>
      </c>
      <c r="E1793" s="811">
        <v>10</v>
      </c>
      <c r="F1793" s="811">
        <v>5</v>
      </c>
      <c r="G1793" s="202" t="str">
        <f t="shared" si="27"/>
        <v/>
      </c>
    </row>
    <row r="1794" spans="1:7" s="172" customFormat="1" ht="15" customHeight="1" x14ac:dyDescent="0.25">
      <c r="A1794" s="811" t="s">
        <v>13699</v>
      </c>
      <c r="B1794" s="811" t="s">
        <v>13439</v>
      </c>
      <c r="C1794" s="811" t="s">
        <v>13439</v>
      </c>
      <c r="D1794" s="811" t="s">
        <v>13700</v>
      </c>
      <c r="E1794" s="811">
        <v>100</v>
      </c>
      <c r="F1794" s="811">
        <v>40</v>
      </c>
      <c r="G1794" s="202" t="str">
        <f t="shared" si="27"/>
        <v/>
      </c>
    </row>
    <row r="1795" spans="1:7" s="172" customFormat="1" ht="15" customHeight="1" x14ac:dyDescent="0.25">
      <c r="A1795" s="811" t="s">
        <v>13748</v>
      </c>
      <c r="B1795" s="811" t="s">
        <v>13439</v>
      </c>
      <c r="C1795" s="811" t="s">
        <v>13439</v>
      </c>
      <c r="D1795" s="811" t="s">
        <v>13765</v>
      </c>
      <c r="E1795" s="811">
        <v>100</v>
      </c>
      <c r="F1795" s="811">
        <v>30</v>
      </c>
      <c r="G1795" s="202" t="str">
        <f t="shared" si="27"/>
        <v/>
      </c>
    </row>
    <row r="1796" spans="1:7" s="172" customFormat="1" ht="15" customHeight="1" x14ac:dyDescent="0.25">
      <c r="A1796" s="811" t="s">
        <v>13748</v>
      </c>
      <c r="B1796" s="811" t="s">
        <v>13439</v>
      </c>
      <c r="C1796" s="811" t="s">
        <v>13439</v>
      </c>
      <c r="D1796" s="811" t="s">
        <v>13764</v>
      </c>
      <c r="E1796" s="811">
        <v>160</v>
      </c>
      <c r="F1796" s="811">
        <v>80</v>
      </c>
      <c r="G1796" s="202" t="str">
        <f t="shared" ref="G1796:G1859" si="28">IF(E1796=F1796,"не загружен","")</f>
        <v/>
      </c>
    </row>
    <row r="1797" spans="1:7" s="172" customFormat="1" ht="15" customHeight="1" x14ac:dyDescent="0.25">
      <c r="A1797" s="811" t="s">
        <v>13748</v>
      </c>
      <c r="B1797" s="811" t="s">
        <v>13439</v>
      </c>
      <c r="C1797" s="811" t="s">
        <v>13439</v>
      </c>
      <c r="D1797" s="811" t="s">
        <v>13752</v>
      </c>
      <c r="E1797" s="811">
        <v>100</v>
      </c>
      <c r="F1797" s="811">
        <v>30</v>
      </c>
      <c r="G1797" s="202" t="str">
        <f t="shared" si="28"/>
        <v/>
      </c>
    </row>
    <row r="1798" spans="1:7" s="172" customFormat="1" ht="15" customHeight="1" x14ac:dyDescent="0.25">
      <c r="A1798" s="811" t="s">
        <v>13492</v>
      </c>
      <c r="B1798" s="811" t="s">
        <v>13439</v>
      </c>
      <c r="C1798" s="811" t="s">
        <v>13439</v>
      </c>
      <c r="D1798" s="811" t="s">
        <v>13493</v>
      </c>
      <c r="E1798" s="811">
        <v>20</v>
      </c>
      <c r="F1798" s="811">
        <v>4</v>
      </c>
      <c r="G1798" s="202" t="str">
        <f t="shared" si="28"/>
        <v/>
      </c>
    </row>
    <row r="1799" spans="1:7" s="172" customFormat="1" ht="15" customHeight="1" x14ac:dyDescent="0.25">
      <c r="A1799" s="811" t="s">
        <v>13494</v>
      </c>
      <c r="B1799" s="811" t="s">
        <v>13439</v>
      </c>
      <c r="C1799" s="811" t="s">
        <v>13439</v>
      </c>
      <c r="D1799" s="811" t="s">
        <v>13495</v>
      </c>
      <c r="E1799" s="811">
        <v>160</v>
      </c>
      <c r="F1799" s="811">
        <v>45</v>
      </c>
      <c r="G1799" s="202" t="str">
        <f t="shared" si="28"/>
        <v/>
      </c>
    </row>
    <row r="1800" spans="1:7" s="172" customFormat="1" ht="15" customHeight="1" x14ac:dyDescent="0.25">
      <c r="A1800" s="811" t="s">
        <v>13494</v>
      </c>
      <c r="B1800" s="811" t="s">
        <v>13439</v>
      </c>
      <c r="C1800" s="811" t="s">
        <v>13439</v>
      </c>
      <c r="D1800" s="811" t="s">
        <v>13496</v>
      </c>
      <c r="E1800" s="811">
        <v>250</v>
      </c>
      <c r="F1800" s="811">
        <v>55</v>
      </c>
      <c r="G1800" s="202" t="str">
        <f t="shared" si="28"/>
        <v/>
      </c>
    </row>
    <row r="1801" spans="1:7" s="172" customFormat="1" ht="15" customHeight="1" x14ac:dyDescent="0.25">
      <c r="A1801" s="811" t="s">
        <v>8910</v>
      </c>
      <c r="B1801" s="811" t="s">
        <v>13439</v>
      </c>
      <c r="C1801" s="811" t="s">
        <v>13439</v>
      </c>
      <c r="D1801" s="811" t="s">
        <v>13497</v>
      </c>
      <c r="E1801" s="811">
        <v>20</v>
      </c>
      <c r="F1801" s="811">
        <v>5</v>
      </c>
      <c r="G1801" s="202" t="str">
        <f t="shared" si="28"/>
        <v/>
      </c>
    </row>
    <row r="1802" spans="1:7" s="172" customFormat="1" ht="15" customHeight="1" x14ac:dyDescent="0.25">
      <c r="A1802" s="811" t="s">
        <v>13498</v>
      </c>
      <c r="B1802" s="811" t="s">
        <v>13439</v>
      </c>
      <c r="C1802" s="811" t="s">
        <v>13439</v>
      </c>
      <c r="D1802" s="811" t="s">
        <v>13499</v>
      </c>
      <c r="E1802" s="811">
        <v>100</v>
      </c>
      <c r="F1802" s="811">
        <v>30</v>
      </c>
      <c r="G1802" s="202" t="str">
        <f t="shared" si="28"/>
        <v/>
      </c>
    </row>
    <row r="1803" spans="1:7" s="172" customFormat="1" ht="15" customHeight="1" x14ac:dyDescent="0.25">
      <c r="A1803" s="811" t="s">
        <v>13490</v>
      </c>
      <c r="B1803" s="811" t="s">
        <v>13439</v>
      </c>
      <c r="C1803" s="811" t="s">
        <v>13439</v>
      </c>
      <c r="D1803" s="811" t="s">
        <v>13491</v>
      </c>
      <c r="E1803" s="811">
        <v>100</v>
      </c>
      <c r="F1803" s="811">
        <v>40</v>
      </c>
      <c r="G1803" s="202" t="str">
        <f t="shared" si="28"/>
        <v/>
      </c>
    </row>
    <row r="1804" spans="1:7" s="172" customFormat="1" ht="15" customHeight="1" x14ac:dyDescent="0.25">
      <c r="A1804" s="811" t="s">
        <v>3271</v>
      </c>
      <c r="B1804" s="811" t="s">
        <v>13439</v>
      </c>
      <c r="C1804" s="811" t="s">
        <v>13439</v>
      </c>
      <c r="D1804" s="811" t="s">
        <v>13763</v>
      </c>
      <c r="E1804" s="811">
        <v>40</v>
      </c>
      <c r="F1804" s="811">
        <v>15</v>
      </c>
      <c r="G1804" s="202" t="str">
        <f t="shared" si="28"/>
        <v/>
      </c>
    </row>
    <row r="1805" spans="1:7" s="172" customFormat="1" ht="15" customHeight="1" x14ac:dyDescent="0.25">
      <c r="A1805" s="811" t="s">
        <v>4847</v>
      </c>
      <c r="B1805" s="811" t="s">
        <v>13439</v>
      </c>
      <c r="C1805" s="811" t="s">
        <v>13439</v>
      </c>
      <c r="D1805" s="811" t="s">
        <v>13501</v>
      </c>
      <c r="E1805" s="811">
        <v>100</v>
      </c>
      <c r="F1805" s="811">
        <v>2</v>
      </c>
      <c r="G1805" s="202" t="str">
        <f t="shared" si="28"/>
        <v/>
      </c>
    </row>
    <row r="1806" spans="1:7" s="172" customFormat="1" ht="15" customHeight="1" x14ac:dyDescent="0.25">
      <c r="A1806" s="811" t="s">
        <v>4847</v>
      </c>
      <c r="B1806" s="811" t="s">
        <v>13439</v>
      </c>
      <c r="C1806" s="811" t="s">
        <v>13439</v>
      </c>
      <c r="D1806" s="811" t="s">
        <v>13500</v>
      </c>
      <c r="E1806" s="811">
        <v>100</v>
      </c>
      <c r="F1806" s="811">
        <v>50</v>
      </c>
      <c r="G1806" s="202" t="str">
        <f t="shared" si="28"/>
        <v/>
      </c>
    </row>
    <row r="1807" spans="1:7" s="172" customFormat="1" ht="15" customHeight="1" x14ac:dyDescent="0.25">
      <c r="A1807" s="811" t="s">
        <v>4847</v>
      </c>
      <c r="B1807" s="811" t="s">
        <v>13439</v>
      </c>
      <c r="C1807" s="811" t="s">
        <v>13439</v>
      </c>
      <c r="D1807" s="811" t="s">
        <v>13701</v>
      </c>
      <c r="E1807" s="811">
        <v>250</v>
      </c>
      <c r="F1807" s="811">
        <v>85</v>
      </c>
      <c r="G1807" s="202" t="str">
        <f t="shared" si="28"/>
        <v/>
      </c>
    </row>
    <row r="1808" spans="1:7" s="172" customFormat="1" ht="15" customHeight="1" x14ac:dyDescent="0.25">
      <c r="A1808" s="811" t="s">
        <v>4847</v>
      </c>
      <c r="B1808" s="811" t="s">
        <v>13439</v>
      </c>
      <c r="C1808" s="811" t="s">
        <v>13439</v>
      </c>
      <c r="D1808" s="811" t="s">
        <v>13502</v>
      </c>
      <c r="E1808" s="811">
        <v>250</v>
      </c>
      <c r="F1808" s="811">
        <v>50</v>
      </c>
      <c r="G1808" s="202" t="str">
        <f t="shared" si="28"/>
        <v/>
      </c>
    </row>
    <row r="1809" spans="1:7" s="172" customFormat="1" ht="15" customHeight="1" x14ac:dyDescent="0.25">
      <c r="A1809" s="811" t="s">
        <v>13508</v>
      </c>
      <c r="B1809" s="811" t="s">
        <v>13439</v>
      </c>
      <c r="C1809" s="811" t="s">
        <v>13439</v>
      </c>
      <c r="D1809" s="811" t="s">
        <v>13509</v>
      </c>
      <c r="E1809" s="811">
        <v>100</v>
      </c>
      <c r="F1809" s="811">
        <v>50</v>
      </c>
      <c r="G1809" s="202" t="str">
        <f t="shared" si="28"/>
        <v/>
      </c>
    </row>
    <row r="1810" spans="1:7" s="172" customFormat="1" ht="15" customHeight="1" x14ac:dyDescent="0.25">
      <c r="A1810" s="811" t="s">
        <v>13503</v>
      </c>
      <c r="B1810" s="811" t="s">
        <v>13439</v>
      </c>
      <c r="C1810" s="811" t="s">
        <v>13439</v>
      </c>
      <c r="D1810" s="811" t="s">
        <v>13504</v>
      </c>
      <c r="E1810" s="811">
        <v>30</v>
      </c>
      <c r="F1810" s="811">
        <v>2</v>
      </c>
      <c r="G1810" s="202" t="str">
        <f t="shared" si="28"/>
        <v/>
      </c>
    </row>
    <row r="1811" spans="1:7" s="172" customFormat="1" ht="15" customHeight="1" x14ac:dyDescent="0.25">
      <c r="A1811" s="811" t="s">
        <v>5723</v>
      </c>
      <c r="B1811" s="811" t="s">
        <v>13439</v>
      </c>
      <c r="C1811" s="811" t="s">
        <v>13439</v>
      </c>
      <c r="D1811" s="811" t="s">
        <v>13507</v>
      </c>
      <c r="E1811" s="811">
        <v>63</v>
      </c>
      <c r="F1811" s="811">
        <v>15</v>
      </c>
      <c r="G1811" s="202" t="str">
        <f t="shared" si="28"/>
        <v/>
      </c>
    </row>
    <row r="1812" spans="1:7" s="172" customFormat="1" ht="15" customHeight="1" x14ac:dyDescent="0.25">
      <c r="A1812" s="811" t="s">
        <v>13505</v>
      </c>
      <c r="B1812" s="811" t="s">
        <v>13439</v>
      </c>
      <c r="C1812" s="811" t="s">
        <v>13439</v>
      </c>
      <c r="D1812" s="811" t="s">
        <v>13506</v>
      </c>
      <c r="E1812" s="811">
        <v>40</v>
      </c>
      <c r="F1812" s="811">
        <v>2</v>
      </c>
      <c r="G1812" s="202" t="str">
        <f t="shared" si="28"/>
        <v/>
      </c>
    </row>
    <row r="1813" spans="1:7" s="172" customFormat="1" ht="15" customHeight="1" x14ac:dyDescent="0.25">
      <c r="A1813" s="811" t="s">
        <v>13494</v>
      </c>
      <c r="B1813" s="811" t="s">
        <v>13439</v>
      </c>
      <c r="C1813" s="811" t="s">
        <v>13439</v>
      </c>
      <c r="D1813" s="811" t="s">
        <v>13702</v>
      </c>
      <c r="E1813" s="811">
        <v>250</v>
      </c>
      <c r="F1813" s="811">
        <v>90</v>
      </c>
      <c r="G1813" s="202" t="str">
        <f t="shared" si="28"/>
        <v/>
      </c>
    </row>
    <row r="1814" spans="1:7" s="172" customFormat="1" ht="15" customHeight="1" x14ac:dyDescent="0.25">
      <c r="A1814" s="811" t="s">
        <v>13754</v>
      </c>
      <c r="B1814" s="811" t="s">
        <v>13439</v>
      </c>
      <c r="C1814" s="811" t="s">
        <v>13439</v>
      </c>
      <c r="D1814" s="811" t="s">
        <v>13755</v>
      </c>
      <c r="E1814" s="811">
        <v>10</v>
      </c>
      <c r="F1814" s="811">
        <v>3</v>
      </c>
      <c r="G1814" s="202" t="str">
        <f t="shared" si="28"/>
        <v/>
      </c>
    </row>
    <row r="1815" spans="1:7" s="172" customFormat="1" ht="15" customHeight="1" x14ac:dyDescent="0.25">
      <c r="A1815" s="811" t="s">
        <v>13788</v>
      </c>
      <c r="B1815" s="811" t="s">
        <v>13439</v>
      </c>
      <c r="C1815" s="811" t="s">
        <v>13439</v>
      </c>
      <c r="D1815" s="811" t="s">
        <v>13789</v>
      </c>
      <c r="E1815" s="811">
        <v>60</v>
      </c>
      <c r="F1815" s="811">
        <v>35</v>
      </c>
      <c r="G1815" s="202" t="str">
        <f t="shared" si="28"/>
        <v/>
      </c>
    </row>
    <row r="1816" spans="1:7" s="172" customFormat="1" ht="15" customHeight="1" x14ac:dyDescent="0.25">
      <c r="A1816" s="811" t="s">
        <v>4839</v>
      </c>
      <c r="B1816" s="811" t="s">
        <v>13439</v>
      </c>
      <c r="C1816" s="811" t="s">
        <v>13439</v>
      </c>
      <c r="D1816" s="811" t="s">
        <v>13703</v>
      </c>
      <c r="E1816" s="811">
        <v>63</v>
      </c>
      <c r="F1816" s="811">
        <v>20</v>
      </c>
      <c r="G1816" s="202" t="str">
        <f t="shared" si="28"/>
        <v/>
      </c>
    </row>
    <row r="1817" spans="1:7" s="172" customFormat="1" ht="15" customHeight="1" x14ac:dyDescent="0.25">
      <c r="A1817" s="811" t="s">
        <v>13449</v>
      </c>
      <c r="B1817" s="811" t="s">
        <v>13439</v>
      </c>
      <c r="C1817" s="811" t="s">
        <v>13439</v>
      </c>
      <c r="D1817" s="811" t="s">
        <v>13450</v>
      </c>
      <c r="E1817" s="811">
        <v>40</v>
      </c>
      <c r="F1817" s="811">
        <v>5</v>
      </c>
      <c r="G1817" s="202" t="str">
        <f t="shared" si="28"/>
        <v/>
      </c>
    </row>
    <row r="1818" spans="1:7" s="172" customFormat="1" ht="15" customHeight="1" x14ac:dyDescent="0.25">
      <c r="A1818" s="811" t="s">
        <v>2557</v>
      </c>
      <c r="B1818" s="811" t="s">
        <v>13439</v>
      </c>
      <c r="C1818" s="811" t="s">
        <v>13439</v>
      </c>
      <c r="D1818" s="811" t="s">
        <v>13511</v>
      </c>
      <c r="E1818" s="811">
        <v>160</v>
      </c>
      <c r="F1818" s="811">
        <v>21</v>
      </c>
      <c r="G1818" s="202" t="str">
        <f t="shared" si="28"/>
        <v/>
      </c>
    </row>
    <row r="1819" spans="1:7" s="172" customFormat="1" ht="15" customHeight="1" x14ac:dyDescent="0.25">
      <c r="A1819" s="811" t="s">
        <v>8868</v>
      </c>
      <c r="B1819" s="811" t="s">
        <v>13439</v>
      </c>
      <c r="C1819" s="811" t="s">
        <v>13439</v>
      </c>
      <c r="D1819" s="811" t="s">
        <v>13525</v>
      </c>
      <c r="E1819" s="811">
        <v>30</v>
      </c>
      <c r="F1819" s="811">
        <v>15</v>
      </c>
      <c r="G1819" s="202" t="str">
        <f t="shared" si="28"/>
        <v/>
      </c>
    </row>
    <row r="1820" spans="1:7" s="172" customFormat="1" ht="15" customHeight="1" x14ac:dyDescent="0.25">
      <c r="A1820" s="811" t="s">
        <v>13704</v>
      </c>
      <c r="B1820" s="811" t="s">
        <v>13439</v>
      </c>
      <c r="C1820" s="811" t="s">
        <v>13439</v>
      </c>
      <c r="D1820" s="811" t="s">
        <v>13705</v>
      </c>
      <c r="E1820" s="811">
        <v>60</v>
      </c>
      <c r="F1820" s="811">
        <v>15</v>
      </c>
      <c r="G1820" s="202" t="str">
        <f t="shared" si="28"/>
        <v/>
      </c>
    </row>
    <row r="1821" spans="1:7" s="172" customFormat="1" ht="15" customHeight="1" x14ac:dyDescent="0.25">
      <c r="A1821" s="811" t="s">
        <v>13512</v>
      </c>
      <c r="B1821" s="811" t="s">
        <v>13439</v>
      </c>
      <c r="C1821" s="811" t="s">
        <v>13439</v>
      </c>
      <c r="D1821" s="811" t="s">
        <v>13513</v>
      </c>
      <c r="E1821" s="811">
        <v>250</v>
      </c>
      <c r="F1821" s="811">
        <v>60</v>
      </c>
      <c r="G1821" s="202" t="str">
        <f t="shared" si="28"/>
        <v/>
      </c>
    </row>
    <row r="1822" spans="1:7" s="172" customFormat="1" ht="15" customHeight="1" x14ac:dyDescent="0.25">
      <c r="A1822" s="811" t="s">
        <v>13512</v>
      </c>
      <c r="B1822" s="811" t="s">
        <v>13439</v>
      </c>
      <c r="C1822" s="811" t="s">
        <v>13439</v>
      </c>
      <c r="D1822" s="811" t="s">
        <v>13768</v>
      </c>
      <c r="E1822" s="811">
        <v>100</v>
      </c>
      <c r="F1822" s="811">
        <v>25</v>
      </c>
      <c r="G1822" s="202" t="str">
        <f t="shared" si="28"/>
        <v/>
      </c>
    </row>
    <row r="1823" spans="1:7" s="172" customFormat="1" ht="15" customHeight="1" x14ac:dyDescent="0.25">
      <c r="A1823" s="811" t="s">
        <v>13512</v>
      </c>
      <c r="B1823" s="811" t="s">
        <v>13439</v>
      </c>
      <c r="C1823" s="811" t="s">
        <v>13439</v>
      </c>
      <c r="D1823" s="811" t="s">
        <v>13516</v>
      </c>
      <c r="E1823" s="811">
        <v>63</v>
      </c>
      <c r="F1823" s="811">
        <v>25</v>
      </c>
      <c r="G1823" s="202" t="str">
        <f t="shared" si="28"/>
        <v/>
      </c>
    </row>
    <row r="1824" spans="1:7" s="172" customFormat="1" ht="15" customHeight="1" x14ac:dyDescent="0.25">
      <c r="A1824" s="811" t="s">
        <v>9215</v>
      </c>
      <c r="B1824" s="811" t="s">
        <v>13439</v>
      </c>
      <c r="C1824" s="811" t="s">
        <v>13439</v>
      </c>
      <c r="D1824" s="811" t="s">
        <v>13448</v>
      </c>
      <c r="E1824" s="811">
        <v>60</v>
      </c>
      <c r="F1824" s="811">
        <v>20</v>
      </c>
      <c r="G1824" s="202" t="str">
        <f t="shared" si="28"/>
        <v/>
      </c>
    </row>
    <row r="1825" spans="1:7" s="172" customFormat="1" ht="15" customHeight="1" x14ac:dyDescent="0.25">
      <c r="A1825" s="811" t="s">
        <v>2785</v>
      </c>
      <c r="B1825" s="811" t="s">
        <v>13439</v>
      </c>
      <c r="C1825" s="811" t="s">
        <v>13439</v>
      </c>
      <c r="D1825" s="811" t="s">
        <v>13510</v>
      </c>
      <c r="E1825" s="811">
        <v>40</v>
      </c>
      <c r="F1825" s="811">
        <v>10</v>
      </c>
      <c r="G1825" s="202" t="str">
        <f t="shared" si="28"/>
        <v/>
      </c>
    </row>
    <row r="1826" spans="1:7" s="172" customFormat="1" ht="15" customHeight="1" x14ac:dyDescent="0.25">
      <c r="A1826" s="811" t="s">
        <v>13514</v>
      </c>
      <c r="B1826" s="811" t="s">
        <v>13439</v>
      </c>
      <c r="C1826" s="811" t="s">
        <v>13439</v>
      </c>
      <c r="D1826" s="811" t="s">
        <v>13515</v>
      </c>
      <c r="E1826" s="811">
        <v>40</v>
      </c>
      <c r="F1826" s="811">
        <v>10</v>
      </c>
      <c r="G1826" s="202" t="str">
        <f t="shared" si="28"/>
        <v/>
      </c>
    </row>
    <row r="1827" spans="1:7" s="172" customFormat="1" ht="15" customHeight="1" x14ac:dyDescent="0.25">
      <c r="A1827" s="811" t="s">
        <v>13526</v>
      </c>
      <c r="B1827" s="811" t="s">
        <v>13439</v>
      </c>
      <c r="C1827" s="811" t="s">
        <v>13439</v>
      </c>
      <c r="D1827" s="811" t="s">
        <v>13527</v>
      </c>
      <c r="E1827" s="811">
        <v>20</v>
      </c>
      <c r="F1827" s="811">
        <v>2</v>
      </c>
      <c r="G1827" s="202" t="str">
        <f t="shared" si="28"/>
        <v/>
      </c>
    </row>
    <row r="1828" spans="1:7" s="172" customFormat="1" ht="15" customHeight="1" x14ac:dyDescent="0.25">
      <c r="A1828" s="811" t="s">
        <v>13528</v>
      </c>
      <c r="B1828" s="811" t="s">
        <v>13439</v>
      </c>
      <c r="C1828" s="811" t="s">
        <v>13439</v>
      </c>
      <c r="D1828" s="811" t="s">
        <v>13529</v>
      </c>
      <c r="E1828" s="811">
        <v>160</v>
      </c>
      <c r="F1828" s="811">
        <v>50</v>
      </c>
      <c r="G1828" s="202" t="str">
        <f t="shared" si="28"/>
        <v/>
      </c>
    </row>
    <row r="1829" spans="1:7" s="172" customFormat="1" ht="15" customHeight="1" x14ac:dyDescent="0.25">
      <c r="A1829" s="811" t="s">
        <v>4855</v>
      </c>
      <c r="B1829" s="811" t="s">
        <v>13439</v>
      </c>
      <c r="C1829" s="811" t="s">
        <v>13439</v>
      </c>
      <c r="D1829" s="811" t="s">
        <v>13524</v>
      </c>
      <c r="E1829" s="811">
        <v>100</v>
      </c>
      <c r="F1829" s="811">
        <v>60</v>
      </c>
      <c r="G1829" s="202" t="str">
        <f t="shared" si="28"/>
        <v/>
      </c>
    </row>
    <row r="1830" spans="1:7" s="172" customFormat="1" ht="15" customHeight="1" x14ac:dyDescent="0.25">
      <c r="A1830" s="811" t="s">
        <v>13520</v>
      </c>
      <c r="B1830" s="811" t="s">
        <v>13439</v>
      </c>
      <c r="C1830" s="811" t="s">
        <v>13439</v>
      </c>
      <c r="D1830" s="811" t="s">
        <v>13521</v>
      </c>
      <c r="E1830" s="811">
        <v>30</v>
      </c>
      <c r="F1830" s="811">
        <v>12</v>
      </c>
      <c r="G1830" s="202" t="str">
        <f t="shared" si="28"/>
        <v/>
      </c>
    </row>
    <row r="1831" spans="1:7" s="172" customFormat="1" ht="15" customHeight="1" x14ac:dyDescent="0.25">
      <c r="A1831" s="811" t="s">
        <v>13522</v>
      </c>
      <c r="B1831" s="811" t="s">
        <v>13439</v>
      </c>
      <c r="C1831" s="811" t="s">
        <v>13439</v>
      </c>
      <c r="D1831" s="811" t="s">
        <v>13523</v>
      </c>
      <c r="E1831" s="811">
        <v>60</v>
      </c>
      <c r="F1831" s="811">
        <v>15</v>
      </c>
      <c r="G1831" s="202" t="str">
        <f t="shared" si="28"/>
        <v/>
      </c>
    </row>
    <row r="1832" spans="1:7" s="172" customFormat="1" ht="15" customHeight="1" x14ac:dyDescent="0.25">
      <c r="A1832" s="811" t="s">
        <v>13517</v>
      </c>
      <c r="B1832" s="811" t="s">
        <v>13439</v>
      </c>
      <c r="C1832" s="811" t="s">
        <v>13439</v>
      </c>
      <c r="D1832" s="811" t="s">
        <v>13518</v>
      </c>
      <c r="E1832" s="811">
        <v>20</v>
      </c>
      <c r="F1832" s="811">
        <v>10</v>
      </c>
      <c r="G1832" s="202" t="str">
        <f t="shared" si="28"/>
        <v/>
      </c>
    </row>
    <row r="1833" spans="1:7" s="172" customFormat="1" ht="15" customHeight="1" x14ac:dyDescent="0.25">
      <c r="A1833" s="811" t="s">
        <v>12615</v>
      </c>
      <c r="B1833" s="811" t="s">
        <v>13439</v>
      </c>
      <c r="C1833" s="811" t="s">
        <v>13439</v>
      </c>
      <c r="D1833" s="811" t="s">
        <v>13519</v>
      </c>
      <c r="E1833" s="811">
        <v>10</v>
      </c>
      <c r="F1833" s="811">
        <v>4</v>
      </c>
      <c r="G1833" s="202" t="str">
        <f t="shared" si="28"/>
        <v/>
      </c>
    </row>
    <row r="1834" spans="1:7" s="172" customFormat="1" ht="15" customHeight="1" x14ac:dyDescent="0.25">
      <c r="A1834" s="811" t="s">
        <v>13761</v>
      </c>
      <c r="B1834" s="811" t="s">
        <v>13439</v>
      </c>
      <c r="C1834" s="811" t="s">
        <v>13439</v>
      </c>
      <c r="D1834" s="811" t="s">
        <v>13762</v>
      </c>
      <c r="E1834" s="811">
        <v>25</v>
      </c>
      <c r="F1834" s="811">
        <v>8</v>
      </c>
      <c r="G1834" s="202" t="str">
        <f t="shared" si="28"/>
        <v/>
      </c>
    </row>
    <row r="1835" spans="1:7" s="172" customFormat="1" ht="15" customHeight="1" x14ac:dyDescent="0.25">
      <c r="A1835" s="811" t="s">
        <v>7878</v>
      </c>
      <c r="B1835" s="811" t="s">
        <v>13439</v>
      </c>
      <c r="C1835" s="811" t="s">
        <v>13439</v>
      </c>
      <c r="D1835" s="811" t="s">
        <v>13532</v>
      </c>
      <c r="E1835" s="811">
        <v>250</v>
      </c>
      <c r="F1835" s="811">
        <v>60</v>
      </c>
      <c r="G1835" s="202" t="str">
        <f t="shared" si="28"/>
        <v/>
      </c>
    </row>
    <row r="1836" spans="1:7" s="172" customFormat="1" ht="15" customHeight="1" x14ac:dyDescent="0.25">
      <c r="A1836" s="811" t="s">
        <v>7878</v>
      </c>
      <c r="B1836" s="811" t="s">
        <v>13439</v>
      </c>
      <c r="C1836" s="811" t="s">
        <v>13439</v>
      </c>
      <c r="D1836" s="811" t="s">
        <v>13530</v>
      </c>
      <c r="E1836" s="811">
        <v>250</v>
      </c>
      <c r="F1836" s="811">
        <v>80</v>
      </c>
      <c r="G1836" s="202" t="str">
        <f t="shared" si="28"/>
        <v/>
      </c>
    </row>
    <row r="1837" spans="1:7" s="172" customFormat="1" ht="15" customHeight="1" x14ac:dyDescent="0.25">
      <c r="A1837" s="811" t="s">
        <v>7878</v>
      </c>
      <c r="B1837" s="811" t="s">
        <v>13439</v>
      </c>
      <c r="C1837" s="811" t="s">
        <v>13439</v>
      </c>
      <c r="D1837" s="811" t="s">
        <v>13531</v>
      </c>
      <c r="E1837" s="811">
        <v>160</v>
      </c>
      <c r="F1837" s="811">
        <v>60</v>
      </c>
      <c r="G1837" s="202" t="str">
        <f t="shared" si="28"/>
        <v/>
      </c>
    </row>
    <row r="1838" spans="1:7" s="172" customFormat="1" ht="15" customHeight="1" x14ac:dyDescent="0.25">
      <c r="A1838" s="811" t="s">
        <v>13535</v>
      </c>
      <c r="B1838" s="811" t="s">
        <v>13439</v>
      </c>
      <c r="C1838" s="811" t="s">
        <v>13439</v>
      </c>
      <c r="D1838" s="811" t="s">
        <v>13536</v>
      </c>
      <c r="E1838" s="811">
        <v>63</v>
      </c>
      <c r="F1838" s="811">
        <v>20</v>
      </c>
      <c r="G1838" s="202" t="str">
        <f t="shared" si="28"/>
        <v/>
      </c>
    </row>
    <row r="1839" spans="1:7" s="172" customFormat="1" ht="15" customHeight="1" x14ac:dyDescent="0.25">
      <c r="A1839" s="811" t="s">
        <v>13535</v>
      </c>
      <c r="B1839" s="811" t="s">
        <v>13439</v>
      </c>
      <c r="C1839" s="811" t="s">
        <v>13439</v>
      </c>
      <c r="D1839" s="811" t="s">
        <v>13537</v>
      </c>
      <c r="E1839" s="811">
        <v>100</v>
      </c>
      <c r="F1839" s="811">
        <v>50</v>
      </c>
      <c r="G1839" s="202" t="str">
        <f t="shared" si="28"/>
        <v/>
      </c>
    </row>
    <row r="1840" spans="1:7" s="172" customFormat="1" ht="15" customHeight="1" x14ac:dyDescent="0.25">
      <c r="A1840" s="811" t="s">
        <v>13541</v>
      </c>
      <c r="B1840" s="811" t="s">
        <v>13439</v>
      </c>
      <c r="C1840" s="811" t="s">
        <v>13439</v>
      </c>
      <c r="D1840" s="811" t="s">
        <v>13542</v>
      </c>
      <c r="E1840" s="811">
        <v>100</v>
      </c>
      <c r="F1840" s="811">
        <v>30</v>
      </c>
      <c r="G1840" s="202" t="str">
        <f t="shared" si="28"/>
        <v/>
      </c>
    </row>
    <row r="1841" spans="1:7" s="172" customFormat="1" ht="15" customHeight="1" x14ac:dyDescent="0.25">
      <c r="A1841" s="811" t="s">
        <v>13541</v>
      </c>
      <c r="B1841" s="811" t="s">
        <v>13439</v>
      </c>
      <c r="C1841" s="811" t="s">
        <v>13439</v>
      </c>
      <c r="D1841" s="811" t="s">
        <v>13543</v>
      </c>
      <c r="E1841" s="811">
        <v>100</v>
      </c>
      <c r="F1841" s="811">
        <v>35</v>
      </c>
      <c r="G1841" s="202" t="str">
        <f t="shared" si="28"/>
        <v/>
      </c>
    </row>
    <row r="1842" spans="1:7" s="172" customFormat="1" ht="15" customHeight="1" x14ac:dyDescent="0.25">
      <c r="A1842" s="811" t="s">
        <v>13541</v>
      </c>
      <c r="B1842" s="811" t="s">
        <v>13439</v>
      </c>
      <c r="C1842" s="811" t="s">
        <v>13439</v>
      </c>
      <c r="D1842" s="811" t="s">
        <v>13544</v>
      </c>
      <c r="E1842" s="811">
        <v>160</v>
      </c>
      <c r="F1842" s="811">
        <v>45</v>
      </c>
      <c r="G1842" s="202" t="str">
        <f t="shared" si="28"/>
        <v/>
      </c>
    </row>
    <row r="1843" spans="1:7" s="172" customFormat="1" ht="15" customHeight="1" x14ac:dyDescent="0.25">
      <c r="A1843" s="811" t="s">
        <v>13541</v>
      </c>
      <c r="B1843" s="811" t="s">
        <v>13439</v>
      </c>
      <c r="C1843" s="811" t="s">
        <v>13439</v>
      </c>
      <c r="D1843" s="811" t="s">
        <v>13545</v>
      </c>
      <c r="E1843" s="811">
        <v>250</v>
      </c>
      <c r="F1843" s="811">
        <v>85</v>
      </c>
      <c r="G1843" s="202" t="str">
        <f t="shared" si="28"/>
        <v/>
      </c>
    </row>
    <row r="1844" spans="1:7" s="172" customFormat="1" ht="15" customHeight="1" x14ac:dyDescent="0.25">
      <c r="A1844" s="811" t="s">
        <v>13546</v>
      </c>
      <c r="B1844" s="811" t="s">
        <v>13439</v>
      </c>
      <c r="C1844" s="811" t="s">
        <v>13439</v>
      </c>
      <c r="D1844" s="811" t="s">
        <v>13547</v>
      </c>
      <c r="E1844" s="811">
        <v>160</v>
      </c>
      <c r="F1844" s="811">
        <v>50</v>
      </c>
      <c r="G1844" s="202" t="str">
        <f t="shared" si="28"/>
        <v/>
      </c>
    </row>
    <row r="1845" spans="1:7" s="172" customFormat="1" ht="15" customHeight="1" x14ac:dyDescent="0.25">
      <c r="A1845" s="811" t="s">
        <v>7418</v>
      </c>
      <c r="B1845" s="811" t="s">
        <v>13439</v>
      </c>
      <c r="C1845" s="811" t="s">
        <v>13439</v>
      </c>
      <c r="D1845" s="811" t="s">
        <v>13548</v>
      </c>
      <c r="E1845" s="811">
        <v>63</v>
      </c>
      <c r="F1845" s="811">
        <v>20</v>
      </c>
      <c r="G1845" s="202" t="str">
        <f t="shared" si="28"/>
        <v/>
      </c>
    </row>
    <row r="1846" spans="1:7" s="172" customFormat="1" ht="15" customHeight="1" x14ac:dyDescent="0.25">
      <c r="A1846" s="811" t="s">
        <v>13539</v>
      </c>
      <c r="B1846" s="811" t="s">
        <v>13439</v>
      </c>
      <c r="C1846" s="811" t="s">
        <v>13439</v>
      </c>
      <c r="D1846" s="811" t="s">
        <v>13540</v>
      </c>
      <c r="E1846" s="811">
        <v>30</v>
      </c>
      <c r="F1846" s="811">
        <v>5</v>
      </c>
      <c r="G1846" s="202" t="str">
        <f t="shared" si="28"/>
        <v/>
      </c>
    </row>
    <row r="1847" spans="1:7" s="172" customFormat="1" ht="15" customHeight="1" x14ac:dyDescent="0.25">
      <c r="A1847" s="811" t="s">
        <v>4868</v>
      </c>
      <c r="B1847" s="811" t="s">
        <v>13439</v>
      </c>
      <c r="C1847" s="811" t="s">
        <v>13439</v>
      </c>
      <c r="D1847" s="811" t="s">
        <v>13538</v>
      </c>
      <c r="E1847" s="811">
        <v>30</v>
      </c>
      <c r="F1847" s="811">
        <v>10</v>
      </c>
      <c r="G1847" s="202" t="str">
        <f t="shared" si="28"/>
        <v/>
      </c>
    </row>
    <row r="1848" spans="1:7" s="172" customFormat="1" ht="15" customHeight="1" x14ac:dyDescent="0.25">
      <c r="A1848" s="811" t="s">
        <v>13533</v>
      </c>
      <c r="B1848" s="811" t="s">
        <v>13439</v>
      </c>
      <c r="C1848" s="811" t="s">
        <v>13439</v>
      </c>
      <c r="D1848" s="811" t="s">
        <v>13534</v>
      </c>
      <c r="E1848" s="811">
        <v>63</v>
      </c>
      <c r="F1848" s="811">
        <v>15</v>
      </c>
      <c r="G1848" s="202" t="str">
        <f t="shared" si="28"/>
        <v/>
      </c>
    </row>
    <row r="1849" spans="1:7" s="172" customFormat="1" ht="15" customHeight="1" x14ac:dyDescent="0.25">
      <c r="A1849" s="811" t="s">
        <v>13549</v>
      </c>
      <c r="B1849" s="811" t="s">
        <v>13439</v>
      </c>
      <c r="C1849" s="811" t="s">
        <v>13439</v>
      </c>
      <c r="D1849" s="811" t="s">
        <v>13550</v>
      </c>
      <c r="E1849" s="811">
        <v>63</v>
      </c>
      <c r="F1849" s="811">
        <v>20</v>
      </c>
      <c r="G1849" s="202" t="str">
        <f t="shared" si="28"/>
        <v/>
      </c>
    </row>
    <row r="1850" spans="1:7" s="172" customFormat="1" ht="15" customHeight="1" x14ac:dyDescent="0.25">
      <c r="A1850" s="811" t="s">
        <v>13551</v>
      </c>
      <c r="B1850" s="811" t="s">
        <v>13439</v>
      </c>
      <c r="C1850" s="811" t="s">
        <v>13439</v>
      </c>
      <c r="D1850" s="811" t="s">
        <v>13552</v>
      </c>
      <c r="E1850" s="811">
        <v>160</v>
      </c>
      <c r="F1850" s="811">
        <v>80</v>
      </c>
      <c r="G1850" s="202" t="str">
        <f t="shared" si="28"/>
        <v/>
      </c>
    </row>
    <row r="1851" spans="1:7" s="172" customFormat="1" ht="15" customHeight="1" x14ac:dyDescent="0.25">
      <c r="A1851" s="811" t="s">
        <v>13553</v>
      </c>
      <c r="B1851" s="811" t="s">
        <v>13439</v>
      </c>
      <c r="C1851" s="811" t="s">
        <v>13439</v>
      </c>
      <c r="D1851" s="811" t="s">
        <v>13554</v>
      </c>
      <c r="E1851" s="811">
        <v>100</v>
      </c>
      <c r="F1851" s="811">
        <v>40</v>
      </c>
      <c r="G1851" s="202" t="str">
        <f t="shared" si="28"/>
        <v/>
      </c>
    </row>
    <row r="1852" spans="1:7" s="172" customFormat="1" ht="15" customHeight="1" x14ac:dyDescent="0.25">
      <c r="A1852" s="811" t="s">
        <v>13555</v>
      </c>
      <c r="B1852" s="811" t="s">
        <v>13439</v>
      </c>
      <c r="C1852" s="811" t="s">
        <v>13439</v>
      </c>
      <c r="D1852" s="811" t="s">
        <v>13556</v>
      </c>
      <c r="E1852" s="811">
        <v>100</v>
      </c>
      <c r="F1852" s="811">
        <v>40</v>
      </c>
      <c r="G1852" s="202" t="str">
        <f t="shared" si="28"/>
        <v/>
      </c>
    </row>
    <row r="1853" spans="1:7" s="172" customFormat="1" ht="15" customHeight="1" x14ac:dyDescent="0.25">
      <c r="A1853" s="811" t="s">
        <v>13562</v>
      </c>
      <c r="B1853" s="811" t="s">
        <v>13439</v>
      </c>
      <c r="C1853" s="811" t="s">
        <v>13439</v>
      </c>
      <c r="D1853" s="811" t="s">
        <v>13563</v>
      </c>
      <c r="E1853" s="811">
        <v>63</v>
      </c>
      <c r="F1853" s="811">
        <v>20</v>
      </c>
      <c r="G1853" s="202" t="str">
        <f t="shared" si="28"/>
        <v/>
      </c>
    </row>
    <row r="1854" spans="1:7" s="172" customFormat="1" ht="15" customHeight="1" x14ac:dyDescent="0.25">
      <c r="A1854" s="811" t="s">
        <v>13463</v>
      </c>
      <c r="B1854" s="811" t="s">
        <v>13439</v>
      </c>
      <c r="C1854" s="811" t="s">
        <v>13439</v>
      </c>
      <c r="D1854" s="811" t="s">
        <v>13561</v>
      </c>
      <c r="E1854" s="811">
        <v>63</v>
      </c>
      <c r="F1854" s="811">
        <v>15</v>
      </c>
      <c r="G1854" s="202" t="str">
        <f t="shared" si="28"/>
        <v/>
      </c>
    </row>
    <row r="1855" spans="1:7" s="172" customFormat="1" ht="15" customHeight="1" x14ac:dyDescent="0.25">
      <c r="A1855" s="811" t="s">
        <v>13557</v>
      </c>
      <c r="B1855" s="811" t="s">
        <v>13439</v>
      </c>
      <c r="C1855" s="811" t="s">
        <v>13439</v>
      </c>
      <c r="D1855" s="811" t="s">
        <v>13558</v>
      </c>
      <c r="E1855" s="811">
        <v>30</v>
      </c>
      <c r="F1855" s="811">
        <v>10</v>
      </c>
      <c r="G1855" s="202" t="str">
        <f t="shared" si="28"/>
        <v/>
      </c>
    </row>
    <row r="1856" spans="1:7" s="172" customFormat="1" ht="15" customHeight="1" x14ac:dyDescent="0.25">
      <c r="A1856" s="811" t="s">
        <v>13559</v>
      </c>
      <c r="B1856" s="811" t="s">
        <v>13439</v>
      </c>
      <c r="C1856" s="811" t="s">
        <v>13439</v>
      </c>
      <c r="D1856" s="811" t="s">
        <v>13560</v>
      </c>
      <c r="E1856" s="811">
        <v>40</v>
      </c>
      <c r="F1856" s="811">
        <v>20</v>
      </c>
      <c r="G1856" s="202" t="str">
        <f t="shared" si="28"/>
        <v/>
      </c>
    </row>
    <row r="1857" spans="1:7" s="172" customFormat="1" ht="15" customHeight="1" x14ac:dyDescent="0.25">
      <c r="A1857" s="811" t="s">
        <v>13564</v>
      </c>
      <c r="B1857" s="811" t="s">
        <v>13439</v>
      </c>
      <c r="C1857" s="811" t="s">
        <v>13439</v>
      </c>
      <c r="D1857" s="811" t="s">
        <v>13565</v>
      </c>
      <c r="E1857" s="811">
        <v>63</v>
      </c>
      <c r="F1857" s="811">
        <v>20</v>
      </c>
      <c r="G1857" s="202" t="str">
        <f t="shared" si="28"/>
        <v/>
      </c>
    </row>
    <row r="1858" spans="1:7" s="172" customFormat="1" ht="15" customHeight="1" x14ac:dyDescent="0.25">
      <c r="A1858" s="811" t="s">
        <v>13569</v>
      </c>
      <c r="B1858" s="811" t="s">
        <v>13439</v>
      </c>
      <c r="C1858" s="811" t="s">
        <v>13439</v>
      </c>
      <c r="D1858" s="811" t="s">
        <v>13570</v>
      </c>
      <c r="E1858" s="811">
        <v>63</v>
      </c>
      <c r="F1858" s="811">
        <v>20</v>
      </c>
      <c r="G1858" s="202" t="str">
        <f t="shared" si="28"/>
        <v/>
      </c>
    </row>
    <row r="1859" spans="1:7" s="172" customFormat="1" ht="15" customHeight="1" x14ac:dyDescent="0.25">
      <c r="A1859" s="811" t="s">
        <v>2451</v>
      </c>
      <c r="B1859" s="811" t="s">
        <v>13439</v>
      </c>
      <c r="C1859" s="811" t="s">
        <v>13439</v>
      </c>
      <c r="D1859" s="811" t="s">
        <v>13568</v>
      </c>
      <c r="E1859" s="811">
        <v>30</v>
      </c>
      <c r="F1859" s="811">
        <v>12</v>
      </c>
      <c r="G1859" s="202" t="str">
        <f t="shared" si="28"/>
        <v/>
      </c>
    </row>
    <row r="1860" spans="1:7" s="172" customFormat="1" ht="15" customHeight="1" x14ac:dyDescent="0.25">
      <c r="A1860" s="811" t="s">
        <v>2451</v>
      </c>
      <c r="B1860" s="811" t="s">
        <v>13439</v>
      </c>
      <c r="C1860" s="811" t="s">
        <v>13439</v>
      </c>
      <c r="D1860" s="811" t="s">
        <v>13785</v>
      </c>
      <c r="E1860" s="811">
        <v>63</v>
      </c>
      <c r="F1860" s="811">
        <v>25</v>
      </c>
      <c r="G1860" s="202" t="str">
        <f t="shared" ref="G1860:G1923" si="29">IF(E1860=F1860,"не загружен","")</f>
        <v/>
      </c>
    </row>
    <row r="1861" spans="1:7" s="172" customFormat="1" ht="15" customHeight="1" x14ac:dyDescent="0.25">
      <c r="A1861" s="811" t="s">
        <v>13566</v>
      </c>
      <c r="B1861" s="811" t="s">
        <v>13439</v>
      </c>
      <c r="C1861" s="811" t="s">
        <v>13439</v>
      </c>
      <c r="D1861" s="811" t="s">
        <v>13567</v>
      </c>
      <c r="E1861" s="811">
        <v>10</v>
      </c>
      <c r="F1861" s="811">
        <v>2</v>
      </c>
      <c r="G1861" s="202" t="str">
        <f t="shared" si="29"/>
        <v/>
      </c>
    </row>
    <row r="1862" spans="1:7" s="172" customFormat="1" ht="15" customHeight="1" x14ac:dyDescent="0.25">
      <c r="A1862" s="811" t="s">
        <v>13571</v>
      </c>
      <c r="B1862" s="811" t="s">
        <v>13439</v>
      </c>
      <c r="C1862" s="811" t="s">
        <v>13439</v>
      </c>
      <c r="D1862" s="811" t="s">
        <v>13572</v>
      </c>
      <c r="E1862" s="811">
        <v>10</v>
      </c>
      <c r="F1862" s="811">
        <v>2</v>
      </c>
      <c r="G1862" s="202" t="str">
        <f t="shared" si="29"/>
        <v/>
      </c>
    </row>
    <row r="1863" spans="1:7" s="172" customFormat="1" ht="15" customHeight="1" x14ac:dyDescent="0.25">
      <c r="A1863" s="811" t="s">
        <v>13571</v>
      </c>
      <c r="B1863" s="811" t="s">
        <v>13439</v>
      </c>
      <c r="C1863" s="811" t="s">
        <v>13439</v>
      </c>
      <c r="D1863" s="811" t="s">
        <v>13573</v>
      </c>
      <c r="E1863" s="811">
        <v>100</v>
      </c>
      <c r="F1863" s="811">
        <v>50</v>
      </c>
      <c r="G1863" s="202" t="str">
        <f t="shared" si="29"/>
        <v/>
      </c>
    </row>
    <row r="1864" spans="1:7" s="172" customFormat="1" ht="15" customHeight="1" x14ac:dyDescent="0.25">
      <c r="A1864" s="811" t="s">
        <v>13571</v>
      </c>
      <c r="B1864" s="811" t="s">
        <v>13439</v>
      </c>
      <c r="C1864" s="811" t="s">
        <v>13439</v>
      </c>
      <c r="D1864" s="811" t="s">
        <v>13574</v>
      </c>
      <c r="E1864" s="811">
        <v>250</v>
      </c>
      <c r="F1864" s="811">
        <v>85</v>
      </c>
      <c r="G1864" s="202" t="str">
        <f t="shared" si="29"/>
        <v/>
      </c>
    </row>
    <row r="1865" spans="1:7" s="172" customFormat="1" ht="15" customHeight="1" x14ac:dyDescent="0.25">
      <c r="A1865" s="811" t="s">
        <v>13571</v>
      </c>
      <c r="B1865" s="811" t="s">
        <v>13439</v>
      </c>
      <c r="C1865" s="811" t="s">
        <v>13439</v>
      </c>
      <c r="D1865" s="811" t="s">
        <v>13575</v>
      </c>
      <c r="E1865" s="811">
        <v>100</v>
      </c>
      <c r="F1865" s="811">
        <v>30</v>
      </c>
      <c r="G1865" s="202" t="str">
        <f t="shared" si="29"/>
        <v/>
      </c>
    </row>
    <row r="1866" spans="1:7" s="172" customFormat="1" ht="15" customHeight="1" x14ac:dyDescent="0.25">
      <c r="A1866" s="811" t="s">
        <v>13571</v>
      </c>
      <c r="B1866" s="811" t="s">
        <v>13439</v>
      </c>
      <c r="C1866" s="811" t="s">
        <v>13439</v>
      </c>
      <c r="D1866" s="811" t="s">
        <v>13581</v>
      </c>
      <c r="E1866" s="811">
        <v>400</v>
      </c>
      <c r="F1866" s="811">
        <v>85</v>
      </c>
      <c r="G1866" s="202" t="str">
        <f t="shared" si="29"/>
        <v/>
      </c>
    </row>
    <row r="1867" spans="1:7" s="172" customFormat="1" ht="15" customHeight="1" x14ac:dyDescent="0.25">
      <c r="A1867" s="811" t="s">
        <v>13786</v>
      </c>
      <c r="B1867" s="811" t="s">
        <v>13439</v>
      </c>
      <c r="C1867" s="811" t="s">
        <v>13439</v>
      </c>
      <c r="D1867" s="811" t="s">
        <v>13787</v>
      </c>
      <c r="E1867" s="811">
        <v>10</v>
      </c>
      <c r="F1867" s="811">
        <v>5</v>
      </c>
      <c r="G1867" s="202" t="str">
        <f t="shared" si="29"/>
        <v/>
      </c>
    </row>
    <row r="1868" spans="1:7" s="172" customFormat="1" ht="15" customHeight="1" x14ac:dyDescent="0.25">
      <c r="A1868" s="811" t="s">
        <v>13576</v>
      </c>
      <c r="B1868" s="811" t="s">
        <v>13439</v>
      </c>
      <c r="C1868" s="811" t="s">
        <v>13439</v>
      </c>
      <c r="D1868" s="811" t="s">
        <v>13577</v>
      </c>
      <c r="E1868" s="811">
        <v>40</v>
      </c>
      <c r="F1868" s="811">
        <v>15</v>
      </c>
      <c r="G1868" s="202" t="str">
        <f t="shared" si="29"/>
        <v/>
      </c>
    </row>
    <row r="1869" spans="1:7" s="172" customFormat="1" ht="15" customHeight="1" x14ac:dyDescent="0.25">
      <c r="A1869" s="811" t="s">
        <v>13576</v>
      </c>
      <c r="B1869" s="811" t="s">
        <v>13439</v>
      </c>
      <c r="C1869" s="811" t="s">
        <v>13439</v>
      </c>
      <c r="D1869" s="811" t="s">
        <v>13578</v>
      </c>
      <c r="E1869" s="811">
        <v>100</v>
      </c>
      <c r="F1869" s="811">
        <v>25</v>
      </c>
      <c r="G1869" s="202" t="str">
        <f t="shared" si="29"/>
        <v/>
      </c>
    </row>
    <row r="1870" spans="1:7" s="172" customFormat="1" ht="15" customHeight="1" x14ac:dyDescent="0.25">
      <c r="A1870" s="811" t="s">
        <v>13579</v>
      </c>
      <c r="B1870" s="811" t="s">
        <v>13439</v>
      </c>
      <c r="C1870" s="811" t="s">
        <v>13439</v>
      </c>
      <c r="D1870" s="811" t="s">
        <v>13580</v>
      </c>
      <c r="E1870" s="811">
        <v>63</v>
      </c>
      <c r="F1870" s="811">
        <v>15</v>
      </c>
      <c r="G1870" s="202" t="str">
        <f t="shared" si="29"/>
        <v/>
      </c>
    </row>
    <row r="1871" spans="1:7" s="172" customFormat="1" ht="15" customHeight="1" x14ac:dyDescent="0.25">
      <c r="A1871" s="811" t="s">
        <v>13582</v>
      </c>
      <c r="B1871" s="811" t="s">
        <v>13439</v>
      </c>
      <c r="C1871" s="811" t="s">
        <v>13439</v>
      </c>
      <c r="D1871" s="811" t="s">
        <v>13593</v>
      </c>
      <c r="E1871" s="811">
        <v>30</v>
      </c>
      <c r="F1871" s="811">
        <v>10</v>
      </c>
      <c r="G1871" s="202" t="str">
        <f t="shared" si="29"/>
        <v/>
      </c>
    </row>
    <row r="1872" spans="1:7" s="172" customFormat="1" ht="15" customHeight="1" x14ac:dyDescent="0.25">
      <c r="A1872" s="811" t="s">
        <v>13582</v>
      </c>
      <c r="B1872" s="811" t="s">
        <v>13439</v>
      </c>
      <c r="C1872" s="811" t="s">
        <v>13439</v>
      </c>
      <c r="D1872" s="811" t="s">
        <v>13583</v>
      </c>
      <c r="E1872" s="811">
        <v>160</v>
      </c>
      <c r="F1872" s="811">
        <v>50</v>
      </c>
      <c r="G1872" s="202" t="str">
        <f t="shared" si="29"/>
        <v/>
      </c>
    </row>
    <row r="1873" spans="1:7" s="172" customFormat="1" ht="15" customHeight="1" x14ac:dyDescent="0.25">
      <c r="A1873" s="811" t="s">
        <v>13586</v>
      </c>
      <c r="B1873" s="811" t="s">
        <v>13439</v>
      </c>
      <c r="C1873" s="811" t="s">
        <v>13439</v>
      </c>
      <c r="D1873" s="811" t="s">
        <v>13587</v>
      </c>
      <c r="E1873" s="811">
        <v>100</v>
      </c>
      <c r="F1873" s="811">
        <v>50</v>
      </c>
      <c r="G1873" s="202" t="str">
        <f t="shared" si="29"/>
        <v/>
      </c>
    </row>
    <row r="1874" spans="1:7" s="172" customFormat="1" ht="15" customHeight="1" x14ac:dyDescent="0.25">
      <c r="A1874" s="811" t="s">
        <v>13582</v>
      </c>
      <c r="B1874" s="811" t="s">
        <v>13439</v>
      </c>
      <c r="C1874" s="811" t="s">
        <v>13439</v>
      </c>
      <c r="D1874" s="811" t="s">
        <v>13769</v>
      </c>
      <c r="E1874" s="811">
        <v>63</v>
      </c>
      <c r="F1874" s="811">
        <v>15</v>
      </c>
      <c r="G1874" s="202" t="str">
        <f t="shared" si="29"/>
        <v/>
      </c>
    </row>
    <row r="1875" spans="1:7" s="172" customFormat="1" ht="15" customHeight="1" x14ac:dyDescent="0.25">
      <c r="A1875" s="811" t="s">
        <v>13584</v>
      </c>
      <c r="B1875" s="811" t="s">
        <v>13439</v>
      </c>
      <c r="C1875" s="811" t="s">
        <v>13439</v>
      </c>
      <c r="D1875" s="811" t="s">
        <v>13770</v>
      </c>
      <c r="E1875" s="811">
        <v>400</v>
      </c>
      <c r="F1875" s="811">
        <v>85</v>
      </c>
      <c r="G1875" s="202" t="str">
        <f t="shared" si="29"/>
        <v/>
      </c>
    </row>
    <row r="1876" spans="1:7" s="172" customFormat="1" ht="15" customHeight="1" x14ac:dyDescent="0.25">
      <c r="A1876" s="811" t="s">
        <v>13584</v>
      </c>
      <c r="B1876" s="811" t="s">
        <v>13439</v>
      </c>
      <c r="C1876" s="811" t="s">
        <v>13439</v>
      </c>
      <c r="D1876" s="811" t="s">
        <v>13585</v>
      </c>
      <c r="E1876" s="811">
        <v>100</v>
      </c>
      <c r="F1876" s="811">
        <v>45</v>
      </c>
      <c r="G1876" s="202" t="str">
        <f t="shared" si="29"/>
        <v/>
      </c>
    </row>
    <row r="1877" spans="1:7" s="172" customFormat="1" ht="15" customHeight="1" x14ac:dyDescent="0.25">
      <c r="A1877" s="811" t="s">
        <v>13588</v>
      </c>
      <c r="B1877" s="811" t="s">
        <v>13439</v>
      </c>
      <c r="C1877" s="811" t="s">
        <v>13439</v>
      </c>
      <c r="D1877" s="811" t="s">
        <v>13589</v>
      </c>
      <c r="E1877" s="811">
        <v>100</v>
      </c>
      <c r="F1877" s="811">
        <v>80</v>
      </c>
      <c r="G1877" s="202" t="str">
        <f t="shared" si="29"/>
        <v/>
      </c>
    </row>
    <row r="1878" spans="1:7" s="172" customFormat="1" ht="15" customHeight="1" x14ac:dyDescent="0.25">
      <c r="A1878" s="811" t="s">
        <v>13588</v>
      </c>
      <c r="B1878" s="811" t="s">
        <v>13439</v>
      </c>
      <c r="C1878" s="811" t="s">
        <v>13439</v>
      </c>
      <c r="D1878" s="811" t="s">
        <v>13590</v>
      </c>
      <c r="E1878" s="811">
        <v>100</v>
      </c>
      <c r="F1878" s="811">
        <v>30</v>
      </c>
      <c r="G1878" s="202" t="str">
        <f t="shared" si="29"/>
        <v/>
      </c>
    </row>
    <row r="1879" spans="1:7" s="172" customFormat="1" ht="15" customHeight="1" x14ac:dyDescent="0.25">
      <c r="A1879" s="811" t="s">
        <v>13591</v>
      </c>
      <c r="B1879" s="811" t="s">
        <v>13439</v>
      </c>
      <c r="C1879" s="811" t="s">
        <v>13439</v>
      </c>
      <c r="D1879" s="811" t="s">
        <v>13592</v>
      </c>
      <c r="E1879" s="811">
        <v>63</v>
      </c>
      <c r="F1879" s="811">
        <v>23</v>
      </c>
      <c r="G1879" s="202" t="str">
        <f t="shared" si="29"/>
        <v/>
      </c>
    </row>
    <row r="1880" spans="1:7" s="172" customFormat="1" ht="15" customHeight="1" x14ac:dyDescent="0.25">
      <c r="A1880" s="811" t="s">
        <v>13766</v>
      </c>
      <c r="B1880" s="811" t="s">
        <v>13439</v>
      </c>
      <c r="C1880" s="811" t="s">
        <v>13439</v>
      </c>
      <c r="D1880" s="811" t="s">
        <v>13767</v>
      </c>
      <c r="E1880" s="811">
        <v>30</v>
      </c>
      <c r="F1880" s="811">
        <v>10</v>
      </c>
      <c r="G1880" s="202" t="str">
        <f t="shared" si="29"/>
        <v/>
      </c>
    </row>
    <row r="1881" spans="1:7" s="172" customFormat="1" ht="15" customHeight="1" x14ac:dyDescent="0.25">
      <c r="A1881" s="811" t="s">
        <v>13582</v>
      </c>
      <c r="B1881" s="811" t="s">
        <v>13439</v>
      </c>
      <c r="C1881" s="811" t="s">
        <v>13439</v>
      </c>
      <c r="D1881" s="811" t="s">
        <v>13595</v>
      </c>
      <c r="E1881" s="811">
        <v>250</v>
      </c>
      <c r="F1881" s="811">
        <v>20</v>
      </c>
      <c r="G1881" s="202" t="str">
        <f t="shared" si="29"/>
        <v/>
      </c>
    </row>
    <row r="1882" spans="1:7" s="172" customFormat="1" ht="15" customHeight="1" x14ac:dyDescent="0.25">
      <c r="A1882" s="811" t="s">
        <v>13582</v>
      </c>
      <c r="B1882" s="811" t="s">
        <v>13439</v>
      </c>
      <c r="C1882" s="811" t="s">
        <v>13439</v>
      </c>
      <c r="D1882" s="811" t="s">
        <v>13594</v>
      </c>
      <c r="E1882" s="811">
        <v>250</v>
      </c>
      <c r="F1882" s="811">
        <v>32</v>
      </c>
      <c r="G1882" s="202" t="str">
        <f t="shared" si="29"/>
        <v/>
      </c>
    </row>
    <row r="1883" spans="1:7" s="172" customFormat="1" ht="15" customHeight="1" x14ac:dyDescent="0.25">
      <c r="A1883" s="811" t="s">
        <v>13582</v>
      </c>
      <c r="B1883" s="811" t="s">
        <v>13439</v>
      </c>
      <c r="C1883" s="811" t="s">
        <v>13439</v>
      </c>
      <c r="D1883" s="811" t="s">
        <v>13771</v>
      </c>
      <c r="E1883" s="811">
        <v>250</v>
      </c>
      <c r="F1883" s="811">
        <v>100</v>
      </c>
      <c r="G1883" s="202" t="str">
        <f t="shared" si="29"/>
        <v/>
      </c>
    </row>
    <row r="1884" spans="1:7" s="172" customFormat="1" ht="15" customHeight="1" x14ac:dyDescent="0.25">
      <c r="A1884" s="811" t="s">
        <v>9191</v>
      </c>
      <c r="B1884" s="811" t="s">
        <v>13439</v>
      </c>
      <c r="C1884" s="811" t="s">
        <v>13439</v>
      </c>
      <c r="D1884" s="811" t="s">
        <v>13596</v>
      </c>
      <c r="E1884" s="811">
        <v>63</v>
      </c>
      <c r="F1884" s="811">
        <v>10</v>
      </c>
      <c r="G1884" s="202" t="str">
        <f t="shared" si="29"/>
        <v/>
      </c>
    </row>
    <row r="1885" spans="1:7" s="172" customFormat="1" ht="15" customHeight="1" x14ac:dyDescent="0.25">
      <c r="A1885" s="811" t="s">
        <v>3677</v>
      </c>
      <c r="B1885" s="811" t="s">
        <v>13439</v>
      </c>
      <c r="C1885" s="811" t="s">
        <v>13439</v>
      </c>
      <c r="D1885" s="811" t="s">
        <v>13597</v>
      </c>
      <c r="E1885" s="811">
        <v>60</v>
      </c>
      <c r="F1885" s="811">
        <v>10</v>
      </c>
      <c r="G1885" s="202" t="str">
        <f t="shared" si="29"/>
        <v/>
      </c>
    </row>
    <row r="1886" spans="1:7" s="172" customFormat="1" ht="15" customHeight="1" x14ac:dyDescent="0.25">
      <c r="A1886" s="811" t="s">
        <v>3373</v>
      </c>
      <c r="B1886" s="811" t="s">
        <v>13439</v>
      </c>
      <c r="C1886" s="811" t="s">
        <v>13439</v>
      </c>
      <c r="D1886" s="811" t="s">
        <v>13598</v>
      </c>
      <c r="E1886" s="811">
        <v>100</v>
      </c>
      <c r="F1886" s="811">
        <v>30</v>
      </c>
      <c r="G1886" s="202" t="str">
        <f t="shared" si="29"/>
        <v/>
      </c>
    </row>
    <row r="1887" spans="1:7" s="172" customFormat="1" ht="15" customHeight="1" x14ac:dyDescent="0.25">
      <c r="A1887" s="811" t="s">
        <v>13599</v>
      </c>
      <c r="B1887" s="811" t="s">
        <v>13439</v>
      </c>
      <c r="C1887" s="811" t="s">
        <v>13439</v>
      </c>
      <c r="D1887" s="811" t="s">
        <v>13600</v>
      </c>
      <c r="E1887" s="811">
        <v>60</v>
      </c>
      <c r="F1887" s="811">
        <v>20</v>
      </c>
      <c r="G1887" s="202" t="str">
        <f t="shared" si="29"/>
        <v/>
      </c>
    </row>
    <row r="1888" spans="1:7" s="172" customFormat="1" ht="15" customHeight="1" x14ac:dyDescent="0.25">
      <c r="A1888" s="811" t="s">
        <v>13603</v>
      </c>
      <c r="B1888" s="811" t="s">
        <v>13439</v>
      </c>
      <c r="C1888" s="811" t="s">
        <v>13439</v>
      </c>
      <c r="D1888" s="811" t="s">
        <v>13604</v>
      </c>
      <c r="E1888" s="811">
        <v>63</v>
      </c>
      <c r="F1888" s="811">
        <v>25</v>
      </c>
      <c r="G1888" s="202" t="str">
        <f t="shared" si="29"/>
        <v/>
      </c>
    </row>
    <row r="1889" spans="1:7" s="172" customFormat="1" ht="15" customHeight="1" x14ac:dyDescent="0.25">
      <c r="A1889" s="811" t="s">
        <v>13605</v>
      </c>
      <c r="B1889" s="811" t="s">
        <v>13439</v>
      </c>
      <c r="C1889" s="811" t="s">
        <v>13439</v>
      </c>
      <c r="D1889" s="811" t="s">
        <v>13606</v>
      </c>
      <c r="E1889" s="811">
        <v>40</v>
      </c>
      <c r="F1889" s="811">
        <v>15</v>
      </c>
      <c r="G1889" s="202" t="str">
        <f t="shared" si="29"/>
        <v/>
      </c>
    </row>
    <row r="1890" spans="1:7" s="172" customFormat="1" ht="15" customHeight="1" x14ac:dyDescent="0.25">
      <c r="A1890" s="811" t="s">
        <v>13601</v>
      </c>
      <c r="B1890" s="811" t="s">
        <v>13439</v>
      </c>
      <c r="C1890" s="811" t="s">
        <v>13439</v>
      </c>
      <c r="D1890" s="811" t="s">
        <v>13602</v>
      </c>
      <c r="E1890" s="811">
        <v>63</v>
      </c>
      <c r="F1890" s="811">
        <v>15</v>
      </c>
      <c r="G1890" s="202" t="str">
        <f t="shared" si="29"/>
        <v/>
      </c>
    </row>
    <row r="1891" spans="1:7" s="172" customFormat="1" ht="15" customHeight="1" x14ac:dyDescent="0.25">
      <c r="A1891" s="811" t="s">
        <v>13607</v>
      </c>
      <c r="B1891" s="811" t="s">
        <v>13439</v>
      </c>
      <c r="C1891" s="811" t="s">
        <v>13439</v>
      </c>
      <c r="D1891" s="811" t="s">
        <v>13608</v>
      </c>
      <c r="E1891" s="811">
        <v>40</v>
      </c>
      <c r="F1891" s="811">
        <v>10</v>
      </c>
      <c r="G1891" s="202" t="str">
        <f t="shared" si="29"/>
        <v/>
      </c>
    </row>
    <row r="1892" spans="1:7" s="172" customFormat="1" ht="15" customHeight="1" x14ac:dyDescent="0.25">
      <c r="A1892" s="811" t="s">
        <v>7056</v>
      </c>
      <c r="B1892" s="811" t="s">
        <v>13439</v>
      </c>
      <c r="C1892" s="811" t="s">
        <v>13439</v>
      </c>
      <c r="D1892" s="811" t="s">
        <v>13609</v>
      </c>
      <c r="E1892" s="811">
        <v>100</v>
      </c>
      <c r="F1892" s="811">
        <v>45</v>
      </c>
      <c r="G1892" s="202" t="str">
        <f t="shared" si="29"/>
        <v/>
      </c>
    </row>
    <row r="1893" spans="1:7" s="172" customFormat="1" ht="15" customHeight="1" x14ac:dyDescent="0.25">
      <c r="A1893" s="811" t="s">
        <v>6471</v>
      </c>
      <c r="B1893" s="811" t="s">
        <v>13439</v>
      </c>
      <c r="C1893" s="811" t="s">
        <v>13439</v>
      </c>
      <c r="D1893" s="811" t="s">
        <v>13610</v>
      </c>
      <c r="E1893" s="811">
        <v>40</v>
      </c>
      <c r="F1893" s="811">
        <v>15</v>
      </c>
      <c r="G1893" s="202" t="str">
        <f t="shared" si="29"/>
        <v/>
      </c>
    </row>
    <row r="1894" spans="1:7" s="172" customFormat="1" ht="15" customHeight="1" x14ac:dyDescent="0.25">
      <c r="A1894" s="811" t="s">
        <v>7732</v>
      </c>
      <c r="B1894" s="811" t="s">
        <v>13439</v>
      </c>
      <c r="C1894" s="811" t="s">
        <v>13439</v>
      </c>
      <c r="D1894" s="811" t="s">
        <v>13611</v>
      </c>
      <c r="E1894" s="811">
        <v>25</v>
      </c>
      <c r="F1894" s="811">
        <v>5</v>
      </c>
      <c r="G1894" s="202" t="str">
        <f t="shared" si="29"/>
        <v/>
      </c>
    </row>
    <row r="1895" spans="1:7" s="172" customFormat="1" ht="15" customHeight="1" x14ac:dyDescent="0.25">
      <c r="A1895" s="811" t="s">
        <v>13582</v>
      </c>
      <c r="B1895" s="811" t="s">
        <v>13439</v>
      </c>
      <c r="C1895" s="811" t="s">
        <v>13439</v>
      </c>
      <c r="D1895" s="811" t="s">
        <v>13773</v>
      </c>
      <c r="E1895" s="811">
        <v>160</v>
      </c>
      <c r="F1895" s="811">
        <v>35</v>
      </c>
      <c r="G1895" s="202" t="str">
        <f t="shared" si="29"/>
        <v/>
      </c>
    </row>
    <row r="1896" spans="1:7" s="172" customFormat="1" ht="15" customHeight="1" x14ac:dyDescent="0.25">
      <c r="A1896" s="811" t="s">
        <v>13615</v>
      </c>
      <c r="B1896" s="811" t="s">
        <v>13439</v>
      </c>
      <c r="C1896" s="811" t="s">
        <v>13439</v>
      </c>
      <c r="D1896" s="811" t="s">
        <v>13775</v>
      </c>
      <c r="E1896" s="811">
        <v>250</v>
      </c>
      <c r="F1896" s="811">
        <v>25</v>
      </c>
      <c r="G1896" s="202" t="str">
        <f t="shared" si="29"/>
        <v/>
      </c>
    </row>
    <row r="1897" spans="1:7" s="172" customFormat="1" ht="15" customHeight="1" x14ac:dyDescent="0.25">
      <c r="A1897" s="811" t="s">
        <v>13582</v>
      </c>
      <c r="B1897" s="811" t="s">
        <v>13439</v>
      </c>
      <c r="C1897" s="811" t="s">
        <v>13439</v>
      </c>
      <c r="D1897" s="811" t="s">
        <v>13776</v>
      </c>
      <c r="E1897" s="811">
        <v>250</v>
      </c>
      <c r="F1897" s="811">
        <v>45</v>
      </c>
      <c r="G1897" s="202" t="str">
        <f t="shared" si="29"/>
        <v/>
      </c>
    </row>
    <row r="1898" spans="1:7" s="172" customFormat="1" ht="15" customHeight="1" x14ac:dyDescent="0.25">
      <c r="A1898" s="811" t="s">
        <v>13582</v>
      </c>
      <c r="B1898" s="811" t="s">
        <v>13439</v>
      </c>
      <c r="C1898" s="811" t="s">
        <v>13439</v>
      </c>
      <c r="D1898" s="811" t="s">
        <v>13613</v>
      </c>
      <c r="E1898" s="811">
        <v>100</v>
      </c>
      <c r="F1898" s="811">
        <v>45</v>
      </c>
      <c r="G1898" s="202" t="str">
        <f t="shared" si="29"/>
        <v/>
      </c>
    </row>
    <row r="1899" spans="1:7" s="172" customFormat="1" ht="15" customHeight="1" x14ac:dyDescent="0.25">
      <c r="A1899" s="811" t="s">
        <v>13582</v>
      </c>
      <c r="B1899" s="811" t="s">
        <v>13439</v>
      </c>
      <c r="C1899" s="811" t="s">
        <v>13439</v>
      </c>
      <c r="D1899" s="811" t="s">
        <v>13616</v>
      </c>
      <c r="E1899" s="811">
        <v>160</v>
      </c>
      <c r="F1899" s="811">
        <v>55</v>
      </c>
      <c r="G1899" s="202" t="str">
        <f t="shared" si="29"/>
        <v/>
      </c>
    </row>
    <row r="1900" spans="1:7" s="172" customFormat="1" ht="15" customHeight="1" x14ac:dyDescent="0.25">
      <c r="A1900" s="811" t="s">
        <v>13582</v>
      </c>
      <c r="B1900" s="811" t="s">
        <v>13439</v>
      </c>
      <c r="C1900" s="811" t="s">
        <v>13439</v>
      </c>
      <c r="D1900" s="811" t="s">
        <v>13772</v>
      </c>
      <c r="E1900" s="811">
        <v>180</v>
      </c>
      <c r="F1900" s="811">
        <v>40</v>
      </c>
      <c r="G1900" s="202" t="str">
        <f t="shared" si="29"/>
        <v/>
      </c>
    </row>
    <row r="1901" spans="1:7" s="172" customFormat="1" ht="15" customHeight="1" x14ac:dyDescent="0.25">
      <c r="A1901" s="811" t="s">
        <v>13582</v>
      </c>
      <c r="B1901" s="811" t="s">
        <v>13439</v>
      </c>
      <c r="C1901" s="811" t="s">
        <v>13439</v>
      </c>
      <c r="D1901" s="811" t="s">
        <v>13612</v>
      </c>
      <c r="E1901" s="811">
        <v>100</v>
      </c>
      <c r="F1901" s="811">
        <v>35</v>
      </c>
      <c r="G1901" s="202" t="str">
        <f t="shared" si="29"/>
        <v/>
      </c>
    </row>
    <row r="1902" spans="1:7" s="172" customFormat="1" ht="15" customHeight="1" x14ac:dyDescent="0.25">
      <c r="A1902" s="811" t="s">
        <v>3614</v>
      </c>
      <c r="B1902" s="811" t="s">
        <v>13439</v>
      </c>
      <c r="C1902" s="811" t="s">
        <v>13439</v>
      </c>
      <c r="D1902" s="811" t="s">
        <v>13614</v>
      </c>
      <c r="E1902" s="811">
        <v>63</v>
      </c>
      <c r="F1902" s="811">
        <v>25</v>
      </c>
      <c r="G1902" s="202" t="str">
        <f t="shared" si="29"/>
        <v/>
      </c>
    </row>
    <row r="1903" spans="1:7" s="172" customFormat="1" ht="15" customHeight="1" x14ac:dyDescent="0.25">
      <c r="A1903" s="811" t="s">
        <v>3132</v>
      </c>
      <c r="B1903" s="811" t="s">
        <v>13439</v>
      </c>
      <c r="C1903" s="811" t="s">
        <v>13439</v>
      </c>
      <c r="D1903" s="811" t="s">
        <v>13627</v>
      </c>
      <c r="E1903" s="811">
        <v>63</v>
      </c>
      <c r="F1903" s="811">
        <v>25</v>
      </c>
      <c r="G1903" s="202" t="str">
        <f t="shared" si="29"/>
        <v/>
      </c>
    </row>
    <row r="1904" spans="1:7" s="172" customFormat="1" ht="15" customHeight="1" x14ac:dyDescent="0.25">
      <c r="A1904" s="811" t="s">
        <v>13617</v>
      </c>
      <c r="B1904" s="811" t="s">
        <v>13439</v>
      </c>
      <c r="C1904" s="811" t="s">
        <v>13439</v>
      </c>
      <c r="D1904" s="811" t="s">
        <v>13618</v>
      </c>
      <c r="E1904" s="811">
        <v>63</v>
      </c>
      <c r="F1904" s="811">
        <v>20</v>
      </c>
      <c r="G1904" s="202" t="str">
        <f t="shared" si="29"/>
        <v/>
      </c>
    </row>
    <row r="1905" spans="1:7" s="172" customFormat="1" ht="15" customHeight="1" x14ac:dyDescent="0.25">
      <c r="A1905" s="811" t="s">
        <v>13619</v>
      </c>
      <c r="B1905" s="811" t="s">
        <v>13439</v>
      </c>
      <c r="C1905" s="811" t="s">
        <v>13439</v>
      </c>
      <c r="D1905" s="811" t="s">
        <v>13620</v>
      </c>
      <c r="E1905" s="811">
        <v>100</v>
      </c>
      <c r="F1905" s="811">
        <v>30</v>
      </c>
      <c r="G1905" s="202" t="str">
        <f t="shared" si="29"/>
        <v/>
      </c>
    </row>
    <row r="1906" spans="1:7" s="172" customFormat="1" ht="15" customHeight="1" x14ac:dyDescent="0.25">
      <c r="A1906" s="811" t="s">
        <v>13625</v>
      </c>
      <c r="B1906" s="811" t="s">
        <v>13439</v>
      </c>
      <c r="C1906" s="811" t="s">
        <v>13439</v>
      </c>
      <c r="D1906" s="811" t="s">
        <v>13626</v>
      </c>
      <c r="E1906" s="811">
        <v>250</v>
      </c>
      <c r="F1906" s="811">
        <v>85</v>
      </c>
      <c r="G1906" s="202" t="str">
        <f t="shared" si="29"/>
        <v/>
      </c>
    </row>
    <row r="1907" spans="1:7" s="172" customFormat="1" ht="15" customHeight="1" x14ac:dyDescent="0.25">
      <c r="A1907" s="811" t="s">
        <v>13625</v>
      </c>
      <c r="B1907" s="811" t="s">
        <v>13439</v>
      </c>
      <c r="C1907" s="811" t="s">
        <v>13439</v>
      </c>
      <c r="D1907" s="811" t="s">
        <v>13628</v>
      </c>
      <c r="E1907" s="811">
        <v>100</v>
      </c>
      <c r="F1907" s="811">
        <v>50</v>
      </c>
      <c r="G1907" s="202" t="str">
        <f t="shared" si="29"/>
        <v/>
      </c>
    </row>
    <row r="1908" spans="1:7" s="172" customFormat="1" ht="15" customHeight="1" x14ac:dyDescent="0.25">
      <c r="A1908" s="811" t="s">
        <v>13621</v>
      </c>
      <c r="B1908" s="811" t="s">
        <v>13439</v>
      </c>
      <c r="C1908" s="811" t="s">
        <v>13439</v>
      </c>
      <c r="D1908" s="811" t="s">
        <v>13622</v>
      </c>
      <c r="E1908" s="811">
        <v>30</v>
      </c>
      <c r="F1908" s="811">
        <v>10</v>
      </c>
      <c r="G1908" s="202" t="str">
        <f t="shared" si="29"/>
        <v/>
      </c>
    </row>
    <row r="1909" spans="1:7" s="172" customFormat="1" ht="15" customHeight="1" x14ac:dyDescent="0.25">
      <c r="A1909" s="811" t="s">
        <v>13623</v>
      </c>
      <c r="B1909" s="811" t="s">
        <v>13439</v>
      </c>
      <c r="C1909" s="811" t="s">
        <v>13439</v>
      </c>
      <c r="D1909" s="811" t="s">
        <v>13624</v>
      </c>
      <c r="E1909" s="811">
        <v>100</v>
      </c>
      <c r="F1909" s="811">
        <v>40</v>
      </c>
      <c r="G1909" s="202" t="str">
        <f t="shared" si="29"/>
        <v/>
      </c>
    </row>
    <row r="1910" spans="1:7" s="172" customFormat="1" ht="15" customHeight="1" x14ac:dyDescent="0.25">
      <c r="A1910" s="811" t="s">
        <v>13636</v>
      </c>
      <c r="B1910" s="811" t="s">
        <v>13439</v>
      </c>
      <c r="C1910" s="811" t="s">
        <v>13439</v>
      </c>
      <c r="D1910" s="811" t="s">
        <v>13637</v>
      </c>
      <c r="E1910" s="811">
        <v>25</v>
      </c>
      <c r="F1910" s="811">
        <v>10</v>
      </c>
      <c r="G1910" s="202" t="str">
        <f t="shared" si="29"/>
        <v/>
      </c>
    </row>
    <row r="1911" spans="1:7" s="172" customFormat="1" ht="15" customHeight="1" x14ac:dyDescent="0.25">
      <c r="A1911" s="811" t="s">
        <v>13638</v>
      </c>
      <c r="B1911" s="811" t="s">
        <v>13439</v>
      </c>
      <c r="C1911" s="811" t="s">
        <v>13439</v>
      </c>
      <c r="D1911" s="811" t="s">
        <v>13639</v>
      </c>
      <c r="E1911" s="811">
        <v>40</v>
      </c>
      <c r="F1911" s="811">
        <v>20</v>
      </c>
      <c r="G1911" s="202" t="str">
        <f t="shared" si="29"/>
        <v/>
      </c>
    </row>
    <row r="1912" spans="1:7" s="172" customFormat="1" ht="15" customHeight="1" x14ac:dyDescent="0.25">
      <c r="A1912" s="811" t="s">
        <v>13210</v>
      </c>
      <c r="B1912" s="811" t="s">
        <v>13439</v>
      </c>
      <c r="C1912" s="811" t="s">
        <v>13439</v>
      </c>
      <c r="D1912" s="811" t="s">
        <v>13630</v>
      </c>
      <c r="E1912" s="811">
        <v>10</v>
      </c>
      <c r="F1912" s="811">
        <v>5</v>
      </c>
      <c r="G1912" s="202" t="str">
        <f t="shared" si="29"/>
        <v/>
      </c>
    </row>
    <row r="1913" spans="1:7" s="172" customFormat="1" ht="15" customHeight="1" x14ac:dyDescent="0.25">
      <c r="A1913" s="811" t="s">
        <v>13631</v>
      </c>
      <c r="B1913" s="811" t="s">
        <v>13439</v>
      </c>
      <c r="C1913" s="811" t="s">
        <v>13439</v>
      </c>
      <c r="D1913" s="811" t="s">
        <v>13632</v>
      </c>
      <c r="E1913" s="811">
        <v>50</v>
      </c>
      <c r="F1913" s="811">
        <v>5</v>
      </c>
      <c r="G1913" s="202" t="str">
        <f t="shared" si="29"/>
        <v/>
      </c>
    </row>
    <row r="1914" spans="1:7" s="172" customFormat="1" ht="15" customHeight="1" x14ac:dyDescent="0.25">
      <c r="A1914" s="811" t="s">
        <v>13633</v>
      </c>
      <c r="B1914" s="811" t="s">
        <v>13439</v>
      </c>
      <c r="C1914" s="811" t="s">
        <v>13439</v>
      </c>
      <c r="D1914" s="811" t="s">
        <v>13634</v>
      </c>
      <c r="E1914" s="811">
        <v>50</v>
      </c>
      <c r="F1914" s="811">
        <v>15</v>
      </c>
      <c r="G1914" s="202" t="str">
        <f t="shared" si="29"/>
        <v/>
      </c>
    </row>
    <row r="1915" spans="1:7" s="172" customFormat="1" ht="15" customHeight="1" x14ac:dyDescent="0.25">
      <c r="A1915" s="811" t="s">
        <v>13633</v>
      </c>
      <c r="B1915" s="811" t="s">
        <v>13439</v>
      </c>
      <c r="C1915" s="811" t="s">
        <v>13439</v>
      </c>
      <c r="D1915" s="811" t="s">
        <v>13635</v>
      </c>
      <c r="E1915" s="811">
        <v>50</v>
      </c>
      <c r="F1915" s="811">
        <v>10</v>
      </c>
      <c r="G1915" s="202" t="str">
        <f t="shared" si="29"/>
        <v/>
      </c>
    </row>
    <row r="1916" spans="1:7" s="172" customFormat="1" ht="15" customHeight="1" x14ac:dyDescent="0.25">
      <c r="A1916" s="811" t="s">
        <v>3491</v>
      </c>
      <c r="B1916" s="811" t="s">
        <v>13439</v>
      </c>
      <c r="C1916" s="811" t="s">
        <v>13439</v>
      </c>
      <c r="D1916" s="811" t="s">
        <v>13640</v>
      </c>
      <c r="E1916" s="811">
        <v>63</v>
      </c>
      <c r="F1916" s="811">
        <v>15</v>
      </c>
      <c r="G1916" s="202" t="str">
        <f t="shared" si="29"/>
        <v/>
      </c>
    </row>
    <row r="1917" spans="1:7" s="172" customFormat="1" ht="15" customHeight="1" x14ac:dyDescent="0.25">
      <c r="A1917" s="811" t="s">
        <v>13706</v>
      </c>
      <c r="B1917" s="811" t="s">
        <v>13439</v>
      </c>
      <c r="C1917" s="811" t="s">
        <v>13439</v>
      </c>
      <c r="D1917" s="811" t="s">
        <v>13707</v>
      </c>
      <c r="E1917" s="811">
        <v>50</v>
      </c>
      <c r="F1917" s="811">
        <v>20</v>
      </c>
      <c r="G1917" s="202" t="str">
        <f t="shared" si="29"/>
        <v/>
      </c>
    </row>
    <row r="1918" spans="1:7" s="172" customFormat="1" ht="15" customHeight="1" x14ac:dyDescent="0.25">
      <c r="A1918" s="811" t="s">
        <v>13641</v>
      </c>
      <c r="B1918" s="811" t="s">
        <v>13439</v>
      </c>
      <c r="C1918" s="811" t="s">
        <v>13439</v>
      </c>
      <c r="D1918" s="811" t="s">
        <v>13642</v>
      </c>
      <c r="E1918" s="811">
        <v>10</v>
      </c>
      <c r="F1918" s="811">
        <v>2</v>
      </c>
      <c r="G1918" s="202" t="str">
        <f t="shared" si="29"/>
        <v/>
      </c>
    </row>
    <row r="1919" spans="1:7" s="172" customFormat="1" ht="15" customHeight="1" x14ac:dyDescent="0.25">
      <c r="A1919" s="811" t="s">
        <v>13647</v>
      </c>
      <c r="B1919" s="811" t="s">
        <v>13439</v>
      </c>
      <c r="C1919" s="811" t="s">
        <v>13439</v>
      </c>
      <c r="D1919" s="811" t="s">
        <v>13648</v>
      </c>
      <c r="E1919" s="811">
        <v>160</v>
      </c>
      <c r="F1919" s="811">
        <v>55</v>
      </c>
      <c r="G1919" s="202" t="str">
        <f t="shared" si="29"/>
        <v/>
      </c>
    </row>
    <row r="1920" spans="1:7" s="172" customFormat="1" ht="15" customHeight="1" x14ac:dyDescent="0.25">
      <c r="A1920" s="811" t="s">
        <v>13647</v>
      </c>
      <c r="B1920" s="811" t="s">
        <v>13439</v>
      </c>
      <c r="C1920" s="811" t="s">
        <v>13439</v>
      </c>
      <c r="D1920" s="811" t="s">
        <v>13649</v>
      </c>
      <c r="E1920" s="811">
        <v>100</v>
      </c>
      <c r="F1920" s="811">
        <v>25</v>
      </c>
      <c r="G1920" s="202" t="str">
        <f t="shared" si="29"/>
        <v/>
      </c>
    </row>
    <row r="1921" spans="1:7" s="172" customFormat="1" ht="15" customHeight="1" x14ac:dyDescent="0.25">
      <c r="A1921" s="811" t="s">
        <v>13647</v>
      </c>
      <c r="B1921" s="811" t="s">
        <v>13439</v>
      </c>
      <c r="C1921" s="811" t="s">
        <v>13439</v>
      </c>
      <c r="D1921" s="811" t="s">
        <v>13650</v>
      </c>
      <c r="E1921" s="811">
        <v>100</v>
      </c>
      <c r="F1921" s="811">
        <v>50</v>
      </c>
      <c r="G1921" s="202" t="str">
        <f t="shared" si="29"/>
        <v/>
      </c>
    </row>
    <row r="1922" spans="1:7" s="172" customFormat="1" ht="15" customHeight="1" x14ac:dyDescent="0.25">
      <c r="A1922" s="811" t="s">
        <v>7313</v>
      </c>
      <c r="B1922" s="811" t="s">
        <v>13439</v>
      </c>
      <c r="C1922" s="811" t="s">
        <v>13439</v>
      </c>
      <c r="D1922" s="811" t="s">
        <v>13643</v>
      </c>
      <c r="E1922" s="811">
        <v>63</v>
      </c>
      <c r="F1922" s="811">
        <v>15</v>
      </c>
      <c r="G1922" s="202" t="str">
        <f t="shared" si="29"/>
        <v/>
      </c>
    </row>
    <row r="1923" spans="1:7" s="172" customFormat="1" ht="15" customHeight="1" x14ac:dyDescent="0.25">
      <c r="A1923" s="811" t="s">
        <v>13651</v>
      </c>
      <c r="B1923" s="811" t="s">
        <v>13439</v>
      </c>
      <c r="C1923" s="811" t="s">
        <v>13439</v>
      </c>
      <c r="D1923" s="811" t="s">
        <v>13652</v>
      </c>
      <c r="E1923" s="811">
        <v>30</v>
      </c>
      <c r="F1923" s="811">
        <v>10</v>
      </c>
      <c r="G1923" s="202" t="str">
        <f t="shared" si="29"/>
        <v/>
      </c>
    </row>
    <row r="1924" spans="1:7" s="172" customFormat="1" ht="15" customHeight="1" x14ac:dyDescent="0.25">
      <c r="A1924" s="811" t="s">
        <v>13653</v>
      </c>
      <c r="B1924" s="811" t="s">
        <v>13439</v>
      </c>
      <c r="C1924" s="811" t="s">
        <v>13439</v>
      </c>
      <c r="D1924" s="811" t="s">
        <v>13654</v>
      </c>
      <c r="E1924" s="811">
        <v>30</v>
      </c>
      <c r="F1924" s="811">
        <v>10</v>
      </c>
      <c r="G1924" s="202" t="str">
        <f t="shared" ref="G1924:G1987" si="30">IF(E1924=F1924,"не загружен","")</f>
        <v/>
      </c>
    </row>
    <row r="1925" spans="1:7" s="172" customFormat="1" ht="15" customHeight="1" x14ac:dyDescent="0.25">
      <c r="A1925" s="811" t="s">
        <v>13644</v>
      </c>
      <c r="B1925" s="811" t="s">
        <v>13439</v>
      </c>
      <c r="C1925" s="811" t="s">
        <v>13439</v>
      </c>
      <c r="D1925" s="811" t="s">
        <v>13645</v>
      </c>
      <c r="E1925" s="811">
        <v>30</v>
      </c>
      <c r="F1925" s="811">
        <v>5</v>
      </c>
      <c r="G1925" s="202" t="str">
        <f t="shared" si="30"/>
        <v/>
      </c>
    </row>
    <row r="1926" spans="1:7" s="172" customFormat="1" ht="15" customHeight="1" x14ac:dyDescent="0.25">
      <c r="A1926" s="811" t="s">
        <v>13644</v>
      </c>
      <c r="B1926" s="811" t="s">
        <v>13439</v>
      </c>
      <c r="C1926" s="811" t="s">
        <v>13439</v>
      </c>
      <c r="D1926" s="811" t="s">
        <v>13646</v>
      </c>
      <c r="E1926" s="811">
        <v>100</v>
      </c>
      <c r="F1926" s="811">
        <v>45</v>
      </c>
      <c r="G1926" s="202" t="str">
        <f t="shared" si="30"/>
        <v/>
      </c>
    </row>
    <row r="1927" spans="1:7" s="172" customFormat="1" ht="15" customHeight="1" x14ac:dyDescent="0.25">
      <c r="A1927" s="811" t="s">
        <v>13615</v>
      </c>
      <c r="B1927" s="811" t="s">
        <v>13439</v>
      </c>
      <c r="C1927" s="811" t="s">
        <v>13439</v>
      </c>
      <c r="D1927" s="811" t="s">
        <v>13784</v>
      </c>
      <c r="E1927" s="811">
        <v>250</v>
      </c>
      <c r="F1927" s="811">
        <v>55</v>
      </c>
      <c r="G1927" s="202" t="str">
        <f t="shared" si="30"/>
        <v/>
      </c>
    </row>
    <row r="1928" spans="1:7" s="172" customFormat="1" ht="15" customHeight="1" x14ac:dyDescent="0.25">
      <c r="A1928" s="811" t="s">
        <v>13615</v>
      </c>
      <c r="B1928" s="811" t="s">
        <v>13439</v>
      </c>
      <c r="C1928" s="811" t="s">
        <v>13439</v>
      </c>
      <c r="D1928" s="811" t="s">
        <v>13745</v>
      </c>
      <c r="E1928" s="811">
        <v>250</v>
      </c>
      <c r="F1928" s="811">
        <v>65</v>
      </c>
      <c r="G1928" s="202" t="str">
        <f t="shared" si="30"/>
        <v/>
      </c>
    </row>
    <row r="1929" spans="1:7" s="172" customFormat="1" ht="15" customHeight="1" x14ac:dyDescent="0.25">
      <c r="A1929" s="811" t="s">
        <v>13615</v>
      </c>
      <c r="B1929" s="811" t="s">
        <v>13439</v>
      </c>
      <c r="C1929" s="811" t="s">
        <v>13439</v>
      </c>
      <c r="D1929" s="811" t="s">
        <v>13747</v>
      </c>
      <c r="E1929" s="811">
        <v>160</v>
      </c>
      <c r="F1929" s="811">
        <v>50</v>
      </c>
      <c r="G1929" s="202" t="str">
        <f t="shared" si="30"/>
        <v/>
      </c>
    </row>
    <row r="1930" spans="1:7" s="172" customFormat="1" ht="15" customHeight="1" x14ac:dyDescent="0.25">
      <c r="A1930" s="811" t="s">
        <v>13615</v>
      </c>
      <c r="B1930" s="811" t="s">
        <v>13439</v>
      </c>
      <c r="C1930" s="811" t="s">
        <v>13439</v>
      </c>
      <c r="D1930" s="811" t="s">
        <v>13783</v>
      </c>
      <c r="E1930" s="811">
        <v>400</v>
      </c>
      <c r="F1930" s="811">
        <v>25</v>
      </c>
      <c r="G1930" s="202" t="str">
        <f t="shared" si="30"/>
        <v/>
      </c>
    </row>
    <row r="1931" spans="1:7" s="172" customFormat="1" ht="15" customHeight="1" x14ac:dyDescent="0.25">
      <c r="A1931" s="811" t="s">
        <v>13615</v>
      </c>
      <c r="B1931" s="811" t="s">
        <v>13439</v>
      </c>
      <c r="C1931" s="811" t="s">
        <v>13439</v>
      </c>
      <c r="D1931" s="811" t="s">
        <v>13746</v>
      </c>
      <c r="E1931" s="811">
        <v>400</v>
      </c>
      <c r="F1931" s="811">
        <v>60</v>
      </c>
      <c r="G1931" s="202" t="str">
        <f t="shared" si="30"/>
        <v/>
      </c>
    </row>
    <row r="1932" spans="1:7" s="172" customFormat="1" ht="15" customHeight="1" x14ac:dyDescent="0.25">
      <c r="A1932" s="811" t="s">
        <v>13526</v>
      </c>
      <c r="B1932" s="811" t="s">
        <v>13439</v>
      </c>
      <c r="C1932" s="811" t="s">
        <v>13439</v>
      </c>
      <c r="D1932" s="811" t="s">
        <v>13669</v>
      </c>
      <c r="E1932" s="811">
        <v>60</v>
      </c>
      <c r="F1932" s="811">
        <v>15</v>
      </c>
      <c r="G1932" s="202" t="str">
        <f t="shared" si="30"/>
        <v/>
      </c>
    </row>
    <row r="1933" spans="1:7" s="172" customFormat="1" ht="15" customHeight="1" x14ac:dyDescent="0.25">
      <c r="A1933" s="811" t="s">
        <v>13684</v>
      </c>
      <c r="B1933" s="811" t="s">
        <v>13439</v>
      </c>
      <c r="C1933" s="811" t="s">
        <v>13439</v>
      </c>
      <c r="D1933" s="811" t="s">
        <v>13685</v>
      </c>
      <c r="E1933" s="811">
        <v>40</v>
      </c>
      <c r="F1933" s="811">
        <v>10</v>
      </c>
      <c r="G1933" s="202" t="str">
        <f t="shared" si="30"/>
        <v/>
      </c>
    </row>
    <row r="1934" spans="1:7" s="172" customFormat="1" ht="15" customHeight="1" x14ac:dyDescent="0.25">
      <c r="A1934" s="811" t="s">
        <v>13682</v>
      </c>
      <c r="B1934" s="811" t="s">
        <v>13439</v>
      </c>
      <c r="C1934" s="811" t="s">
        <v>13439</v>
      </c>
      <c r="D1934" s="811" t="s">
        <v>13683</v>
      </c>
      <c r="E1934" s="811">
        <v>10</v>
      </c>
      <c r="F1934" s="811">
        <v>3</v>
      </c>
      <c r="G1934" s="202" t="str">
        <f t="shared" si="30"/>
        <v/>
      </c>
    </row>
    <row r="1935" spans="1:7" s="172" customFormat="1" ht="15" customHeight="1" x14ac:dyDescent="0.25">
      <c r="A1935" s="811" t="s">
        <v>12793</v>
      </c>
      <c r="B1935" s="811" t="s">
        <v>13439</v>
      </c>
      <c r="C1935" s="811" t="s">
        <v>13439</v>
      </c>
      <c r="D1935" s="811" t="s">
        <v>13657</v>
      </c>
      <c r="E1935" s="811">
        <v>250</v>
      </c>
      <c r="F1935" s="811">
        <v>80</v>
      </c>
      <c r="G1935" s="202" t="str">
        <f t="shared" si="30"/>
        <v/>
      </c>
    </row>
    <row r="1936" spans="1:7" s="172" customFormat="1" ht="15" customHeight="1" x14ac:dyDescent="0.25">
      <c r="A1936" s="811" t="s">
        <v>12793</v>
      </c>
      <c r="B1936" s="811" t="s">
        <v>13439</v>
      </c>
      <c r="C1936" s="811" t="s">
        <v>13439</v>
      </c>
      <c r="D1936" s="811" t="s">
        <v>13658</v>
      </c>
      <c r="E1936" s="811">
        <v>63</v>
      </c>
      <c r="F1936" s="811">
        <v>20</v>
      </c>
      <c r="G1936" s="202" t="str">
        <f t="shared" si="30"/>
        <v/>
      </c>
    </row>
    <row r="1937" spans="1:7" s="172" customFormat="1" ht="15" customHeight="1" x14ac:dyDescent="0.25">
      <c r="A1937" s="811" t="s">
        <v>12793</v>
      </c>
      <c r="B1937" s="811" t="s">
        <v>13439</v>
      </c>
      <c r="C1937" s="811" t="s">
        <v>13439</v>
      </c>
      <c r="D1937" s="811" t="s">
        <v>13659</v>
      </c>
      <c r="E1937" s="811">
        <v>250</v>
      </c>
      <c r="F1937" s="811">
        <v>80</v>
      </c>
      <c r="G1937" s="202" t="str">
        <f t="shared" si="30"/>
        <v/>
      </c>
    </row>
    <row r="1938" spans="1:7" s="172" customFormat="1" ht="15" customHeight="1" x14ac:dyDescent="0.25">
      <c r="A1938" s="811" t="s">
        <v>5030</v>
      </c>
      <c r="B1938" s="811" t="s">
        <v>13439</v>
      </c>
      <c r="C1938" s="811" t="s">
        <v>13439</v>
      </c>
      <c r="D1938" s="811" t="s">
        <v>13660</v>
      </c>
      <c r="E1938" s="811">
        <v>160</v>
      </c>
      <c r="F1938" s="811">
        <v>45</v>
      </c>
      <c r="G1938" s="202" t="str">
        <f t="shared" si="30"/>
        <v/>
      </c>
    </row>
    <row r="1939" spans="1:7" s="172" customFormat="1" ht="15" customHeight="1" x14ac:dyDescent="0.25">
      <c r="A1939" s="811" t="s">
        <v>13680</v>
      </c>
      <c r="B1939" s="811" t="s">
        <v>13439</v>
      </c>
      <c r="C1939" s="811" t="s">
        <v>13439</v>
      </c>
      <c r="D1939" s="811" t="s">
        <v>13681</v>
      </c>
      <c r="E1939" s="811">
        <v>30</v>
      </c>
      <c r="F1939" s="811">
        <v>15</v>
      </c>
      <c r="G1939" s="202" t="str">
        <f t="shared" si="30"/>
        <v/>
      </c>
    </row>
    <row r="1940" spans="1:7" s="172" customFormat="1" ht="15" customHeight="1" x14ac:dyDescent="0.25">
      <c r="A1940" s="811" t="s">
        <v>13676</v>
      </c>
      <c r="B1940" s="811" t="s">
        <v>13439</v>
      </c>
      <c r="C1940" s="811" t="s">
        <v>13439</v>
      </c>
      <c r="D1940" s="811" t="s">
        <v>13677</v>
      </c>
      <c r="E1940" s="811">
        <v>100</v>
      </c>
      <c r="F1940" s="811">
        <v>35</v>
      </c>
      <c r="G1940" s="202" t="str">
        <f t="shared" si="30"/>
        <v/>
      </c>
    </row>
    <row r="1941" spans="1:7" s="172" customFormat="1" ht="15" customHeight="1" x14ac:dyDescent="0.25">
      <c r="A1941" s="811" t="s">
        <v>13661</v>
      </c>
      <c r="B1941" s="811" t="s">
        <v>13439</v>
      </c>
      <c r="C1941" s="811" t="s">
        <v>13439</v>
      </c>
      <c r="D1941" s="811" t="s">
        <v>13662</v>
      </c>
      <c r="E1941" s="811">
        <v>100</v>
      </c>
      <c r="F1941" s="811">
        <v>35</v>
      </c>
      <c r="G1941" s="202" t="str">
        <f t="shared" si="30"/>
        <v/>
      </c>
    </row>
    <row r="1942" spans="1:7" s="172" customFormat="1" ht="15" customHeight="1" x14ac:dyDescent="0.25">
      <c r="A1942" s="811" t="s">
        <v>8795</v>
      </c>
      <c r="B1942" s="811" t="s">
        <v>13439</v>
      </c>
      <c r="C1942" s="811" t="s">
        <v>13439</v>
      </c>
      <c r="D1942" s="811" t="s">
        <v>13663</v>
      </c>
      <c r="E1942" s="811">
        <v>20</v>
      </c>
      <c r="F1942" s="811">
        <v>4</v>
      </c>
      <c r="G1942" s="202" t="str">
        <f t="shared" si="30"/>
        <v/>
      </c>
    </row>
    <row r="1943" spans="1:7" s="172" customFormat="1" ht="15" customHeight="1" x14ac:dyDescent="0.25">
      <c r="A1943" s="811" t="s">
        <v>13664</v>
      </c>
      <c r="B1943" s="811" t="s">
        <v>13439</v>
      </c>
      <c r="C1943" s="811" t="s">
        <v>13439</v>
      </c>
      <c r="D1943" s="811" t="s">
        <v>13665</v>
      </c>
      <c r="E1943" s="811">
        <v>100</v>
      </c>
      <c r="F1943" s="811">
        <v>25</v>
      </c>
      <c r="G1943" s="202" t="str">
        <f t="shared" si="30"/>
        <v/>
      </c>
    </row>
    <row r="1944" spans="1:7" s="172" customFormat="1" ht="15" customHeight="1" x14ac:dyDescent="0.25">
      <c r="A1944" s="811" t="s">
        <v>13664</v>
      </c>
      <c r="B1944" s="811" t="s">
        <v>13439</v>
      </c>
      <c r="C1944" s="811" t="s">
        <v>13439</v>
      </c>
      <c r="D1944" s="811" t="s">
        <v>13666</v>
      </c>
      <c r="E1944" s="811">
        <v>250</v>
      </c>
      <c r="F1944" s="811">
        <v>90</v>
      </c>
      <c r="G1944" s="202" t="str">
        <f t="shared" si="30"/>
        <v/>
      </c>
    </row>
    <row r="1945" spans="1:7" s="172" customFormat="1" ht="15" customHeight="1" x14ac:dyDescent="0.25">
      <c r="A1945" s="811" t="s">
        <v>13678</v>
      </c>
      <c r="B1945" s="811" t="s">
        <v>13439</v>
      </c>
      <c r="C1945" s="811" t="s">
        <v>13439</v>
      </c>
      <c r="D1945" s="811" t="s">
        <v>13679</v>
      </c>
      <c r="E1945" s="811">
        <v>30</v>
      </c>
      <c r="F1945" s="811">
        <v>10</v>
      </c>
      <c r="G1945" s="202" t="str">
        <f t="shared" si="30"/>
        <v/>
      </c>
    </row>
    <row r="1946" spans="1:7" s="172" customFormat="1" ht="15" customHeight="1" x14ac:dyDescent="0.25">
      <c r="A1946" s="811" t="s">
        <v>13670</v>
      </c>
      <c r="B1946" s="811" t="s">
        <v>13439</v>
      </c>
      <c r="C1946" s="811" t="s">
        <v>13439</v>
      </c>
      <c r="D1946" s="811" t="s">
        <v>13671</v>
      </c>
      <c r="E1946" s="811">
        <v>30</v>
      </c>
      <c r="F1946" s="811">
        <v>10</v>
      </c>
      <c r="G1946" s="202" t="str">
        <f t="shared" si="30"/>
        <v/>
      </c>
    </row>
    <row r="1947" spans="1:7" s="172" customFormat="1" ht="15" customHeight="1" x14ac:dyDescent="0.25">
      <c r="A1947" s="811" t="s">
        <v>13674</v>
      </c>
      <c r="B1947" s="811" t="s">
        <v>13439</v>
      </c>
      <c r="C1947" s="811" t="s">
        <v>13439</v>
      </c>
      <c r="D1947" s="811" t="s">
        <v>13675</v>
      </c>
      <c r="E1947" s="811">
        <v>40</v>
      </c>
      <c r="F1947" s="811">
        <v>15</v>
      </c>
      <c r="G1947" s="202" t="str">
        <f t="shared" si="30"/>
        <v/>
      </c>
    </row>
    <row r="1948" spans="1:7" s="172" customFormat="1" ht="15" customHeight="1" x14ac:dyDescent="0.25">
      <c r="A1948" s="811" t="s">
        <v>13737</v>
      </c>
      <c r="B1948" s="811" t="s">
        <v>13439</v>
      </c>
      <c r="C1948" s="811" t="s">
        <v>13439</v>
      </c>
      <c r="D1948" s="811" t="s">
        <v>13738</v>
      </c>
      <c r="E1948" s="811">
        <v>100</v>
      </c>
      <c r="F1948" s="811">
        <v>45</v>
      </c>
      <c r="G1948" s="202" t="str">
        <f t="shared" si="30"/>
        <v/>
      </c>
    </row>
    <row r="1949" spans="1:7" s="172" customFormat="1" ht="15" customHeight="1" x14ac:dyDescent="0.25">
      <c r="A1949" s="811" t="s">
        <v>13737</v>
      </c>
      <c r="B1949" s="811" t="s">
        <v>13439</v>
      </c>
      <c r="C1949" s="811" t="s">
        <v>13439</v>
      </c>
      <c r="D1949" s="811" t="s">
        <v>13790</v>
      </c>
      <c r="E1949" s="811">
        <v>40</v>
      </c>
      <c r="F1949" s="811">
        <v>5</v>
      </c>
      <c r="G1949" s="202" t="str">
        <f t="shared" si="30"/>
        <v/>
      </c>
    </row>
    <row r="1950" spans="1:7" s="172" customFormat="1" ht="15" customHeight="1" x14ac:dyDescent="0.25">
      <c r="A1950" s="811" t="s">
        <v>13672</v>
      </c>
      <c r="B1950" s="811" t="s">
        <v>13439</v>
      </c>
      <c r="C1950" s="811" t="s">
        <v>13439</v>
      </c>
      <c r="D1950" s="811" t="s">
        <v>13673</v>
      </c>
      <c r="E1950" s="811">
        <v>63</v>
      </c>
      <c r="F1950" s="811">
        <v>25</v>
      </c>
      <c r="G1950" s="202" t="str">
        <f t="shared" si="30"/>
        <v/>
      </c>
    </row>
    <row r="1951" spans="1:7" s="172" customFormat="1" ht="15" customHeight="1" x14ac:dyDescent="0.25">
      <c r="A1951" s="811" t="s">
        <v>13667</v>
      </c>
      <c r="B1951" s="811" t="s">
        <v>13439</v>
      </c>
      <c r="C1951" s="811" t="s">
        <v>13439</v>
      </c>
      <c r="D1951" s="811" t="s">
        <v>13668</v>
      </c>
      <c r="E1951" s="811">
        <v>30</v>
      </c>
      <c r="F1951" s="811">
        <v>5</v>
      </c>
      <c r="G1951" s="202" t="str">
        <f t="shared" si="30"/>
        <v/>
      </c>
    </row>
    <row r="1952" spans="1:7" s="172" customFormat="1" ht="15" customHeight="1" x14ac:dyDescent="0.25">
      <c r="A1952" s="811" t="s">
        <v>13655</v>
      </c>
      <c r="B1952" s="811" t="s">
        <v>13439</v>
      </c>
      <c r="C1952" s="811" t="s">
        <v>13439</v>
      </c>
      <c r="D1952" s="811" t="s">
        <v>13656</v>
      </c>
      <c r="E1952" s="811">
        <v>30</v>
      </c>
      <c r="F1952" s="811">
        <v>15</v>
      </c>
      <c r="G1952" s="202" t="str">
        <f t="shared" si="30"/>
        <v/>
      </c>
    </row>
    <row r="1953" spans="1:7" s="172" customFormat="1" ht="15" customHeight="1" x14ac:dyDescent="0.25">
      <c r="A1953" s="811" t="s">
        <v>13615</v>
      </c>
      <c r="B1953" s="811" t="s">
        <v>13439</v>
      </c>
      <c r="C1953" s="811" t="s">
        <v>13439</v>
      </c>
      <c r="D1953" s="811" t="s">
        <v>13686</v>
      </c>
      <c r="E1953" s="811">
        <v>100</v>
      </c>
      <c r="F1953" s="811">
        <v>35</v>
      </c>
      <c r="G1953" s="202" t="str">
        <f t="shared" si="30"/>
        <v/>
      </c>
    </row>
    <row r="1954" spans="1:7" s="172" customFormat="1" ht="15" customHeight="1" x14ac:dyDescent="0.25">
      <c r="A1954" s="811" t="s">
        <v>13708</v>
      </c>
      <c r="B1954" s="811" t="s">
        <v>13439</v>
      </c>
      <c r="C1954" s="811" t="s">
        <v>13439</v>
      </c>
      <c r="D1954" s="811" t="s">
        <v>13709</v>
      </c>
      <c r="E1954" s="811">
        <v>250</v>
      </c>
      <c r="F1954" s="811">
        <v>80</v>
      </c>
      <c r="G1954" s="202" t="str">
        <f t="shared" si="30"/>
        <v/>
      </c>
    </row>
    <row r="1955" spans="1:7" s="172" customFormat="1" ht="15" customHeight="1" x14ac:dyDescent="0.25">
      <c r="A1955" s="811" t="s">
        <v>13687</v>
      </c>
      <c r="B1955" s="811" t="s">
        <v>13439</v>
      </c>
      <c r="C1955" s="811" t="s">
        <v>13439</v>
      </c>
      <c r="D1955" s="811" t="s">
        <v>13778</v>
      </c>
      <c r="E1955" s="811">
        <v>160</v>
      </c>
      <c r="F1955" s="811">
        <v>25</v>
      </c>
      <c r="G1955" s="202" t="str">
        <f t="shared" si="30"/>
        <v/>
      </c>
    </row>
    <row r="1956" spans="1:7" s="172" customFormat="1" ht="15" customHeight="1" x14ac:dyDescent="0.25">
      <c r="A1956" s="811" t="s">
        <v>13687</v>
      </c>
      <c r="B1956" s="811" t="s">
        <v>13439</v>
      </c>
      <c r="C1956" s="811" t="s">
        <v>13439</v>
      </c>
      <c r="D1956" s="811" t="s">
        <v>13688</v>
      </c>
      <c r="E1956" s="811">
        <v>100</v>
      </c>
      <c r="F1956" s="811">
        <v>45</v>
      </c>
      <c r="G1956" s="202" t="str">
        <f t="shared" si="30"/>
        <v/>
      </c>
    </row>
    <row r="1957" spans="1:7" s="172" customFormat="1" ht="15" customHeight="1" x14ac:dyDescent="0.25">
      <c r="A1957" s="811" t="s">
        <v>13691</v>
      </c>
      <c r="B1957" s="811" t="s">
        <v>13439</v>
      </c>
      <c r="C1957" s="811" t="s">
        <v>13439</v>
      </c>
      <c r="D1957" s="811" t="s">
        <v>13692</v>
      </c>
      <c r="E1957" s="811">
        <v>160</v>
      </c>
      <c r="F1957" s="811">
        <v>55</v>
      </c>
      <c r="G1957" s="202" t="str">
        <f t="shared" si="30"/>
        <v/>
      </c>
    </row>
    <row r="1958" spans="1:7" s="172" customFormat="1" ht="15" customHeight="1" x14ac:dyDescent="0.25">
      <c r="A1958" s="811" t="s">
        <v>13691</v>
      </c>
      <c r="B1958" s="811" t="s">
        <v>13439</v>
      </c>
      <c r="C1958" s="811" t="s">
        <v>13439</v>
      </c>
      <c r="D1958" s="811" t="s">
        <v>13791</v>
      </c>
      <c r="E1958" s="811">
        <v>160</v>
      </c>
      <c r="F1958" s="811">
        <v>45</v>
      </c>
      <c r="G1958" s="202" t="str">
        <f t="shared" si="30"/>
        <v/>
      </c>
    </row>
    <row r="1959" spans="1:7" s="172" customFormat="1" ht="15" customHeight="1" x14ac:dyDescent="0.25">
      <c r="A1959" s="811" t="s">
        <v>13689</v>
      </c>
      <c r="B1959" s="811" t="s">
        <v>13439</v>
      </c>
      <c r="C1959" s="811" t="s">
        <v>13439</v>
      </c>
      <c r="D1959" s="811" t="s">
        <v>13690</v>
      </c>
      <c r="E1959" s="811">
        <v>40</v>
      </c>
      <c r="F1959" s="811">
        <v>10</v>
      </c>
      <c r="G1959" s="202" t="str">
        <f t="shared" si="30"/>
        <v/>
      </c>
    </row>
    <row r="1960" spans="1:7" s="172" customFormat="1" ht="15" customHeight="1" x14ac:dyDescent="0.25">
      <c r="A1960" s="811" t="s">
        <v>13615</v>
      </c>
      <c r="B1960" s="811" t="s">
        <v>13439</v>
      </c>
      <c r="C1960" s="811" t="s">
        <v>13439</v>
      </c>
      <c r="D1960" s="811" t="s">
        <v>13774</v>
      </c>
      <c r="E1960" s="811">
        <v>63</v>
      </c>
      <c r="F1960" s="811">
        <v>35</v>
      </c>
      <c r="G1960" s="202" t="str">
        <f t="shared" si="30"/>
        <v/>
      </c>
    </row>
    <row r="1961" spans="1:7" s="172" customFormat="1" ht="15" customHeight="1" x14ac:dyDescent="0.25">
      <c r="A1961" s="811" t="s">
        <v>6813</v>
      </c>
      <c r="B1961" s="811" t="s">
        <v>13439</v>
      </c>
      <c r="C1961" s="811" t="s">
        <v>13439</v>
      </c>
      <c r="D1961" s="811" t="s">
        <v>13731</v>
      </c>
      <c r="E1961" s="811">
        <v>20</v>
      </c>
      <c r="F1961" s="811">
        <v>10</v>
      </c>
      <c r="G1961" s="202" t="str">
        <f t="shared" si="30"/>
        <v/>
      </c>
    </row>
    <row r="1962" spans="1:7" s="172" customFormat="1" ht="15" customHeight="1" x14ac:dyDescent="0.25">
      <c r="A1962" s="811" t="s">
        <v>5777</v>
      </c>
      <c r="B1962" s="811" t="s">
        <v>13439</v>
      </c>
      <c r="C1962" s="811" t="s">
        <v>13439</v>
      </c>
      <c r="D1962" s="811" t="s">
        <v>13736</v>
      </c>
      <c r="E1962" s="811">
        <v>30</v>
      </c>
      <c r="F1962" s="811">
        <v>5</v>
      </c>
      <c r="G1962" s="202" t="str">
        <f t="shared" si="30"/>
        <v/>
      </c>
    </row>
    <row r="1963" spans="1:7" s="172" customFormat="1" ht="15" customHeight="1" x14ac:dyDescent="0.25">
      <c r="A1963" s="811" t="s">
        <v>13710</v>
      </c>
      <c r="B1963" s="811" t="s">
        <v>13439</v>
      </c>
      <c r="C1963" s="811" t="s">
        <v>13439</v>
      </c>
      <c r="D1963" s="811" t="s">
        <v>13711</v>
      </c>
      <c r="E1963" s="811">
        <v>160</v>
      </c>
      <c r="F1963" s="811">
        <v>40</v>
      </c>
      <c r="G1963" s="202" t="str">
        <f t="shared" si="30"/>
        <v/>
      </c>
    </row>
    <row r="1964" spans="1:7" s="172" customFormat="1" ht="15" customHeight="1" x14ac:dyDescent="0.25">
      <c r="A1964" s="811" t="s">
        <v>13710</v>
      </c>
      <c r="B1964" s="811" t="s">
        <v>13439</v>
      </c>
      <c r="C1964" s="811" t="s">
        <v>13439</v>
      </c>
      <c r="D1964" s="811" t="s">
        <v>13712</v>
      </c>
      <c r="E1964" s="811">
        <v>400</v>
      </c>
      <c r="F1964" s="811">
        <v>100</v>
      </c>
      <c r="G1964" s="202" t="str">
        <f t="shared" si="30"/>
        <v/>
      </c>
    </row>
    <row r="1965" spans="1:7" s="172" customFormat="1" ht="15" customHeight="1" x14ac:dyDescent="0.25">
      <c r="A1965" s="811" t="s">
        <v>13710</v>
      </c>
      <c r="B1965" s="811" t="s">
        <v>13439</v>
      </c>
      <c r="C1965" s="811" t="s">
        <v>13439</v>
      </c>
      <c r="D1965" s="811" t="s">
        <v>13713</v>
      </c>
      <c r="E1965" s="811">
        <v>160</v>
      </c>
      <c r="F1965" s="811">
        <v>60</v>
      </c>
      <c r="G1965" s="202" t="str">
        <f t="shared" si="30"/>
        <v/>
      </c>
    </row>
    <row r="1966" spans="1:7" s="172" customFormat="1" ht="15" customHeight="1" x14ac:dyDescent="0.25">
      <c r="A1966" s="811" t="s">
        <v>9244</v>
      </c>
      <c r="B1966" s="811" t="s">
        <v>13439</v>
      </c>
      <c r="C1966" s="811" t="s">
        <v>13439</v>
      </c>
      <c r="D1966" s="811" t="s">
        <v>13714</v>
      </c>
      <c r="E1966" s="811">
        <v>30</v>
      </c>
      <c r="F1966" s="811">
        <v>10</v>
      </c>
      <c r="G1966" s="202" t="str">
        <f t="shared" si="30"/>
        <v/>
      </c>
    </row>
    <row r="1967" spans="1:7" s="172" customFormat="1" ht="15" customHeight="1" x14ac:dyDescent="0.25">
      <c r="A1967" s="811" t="s">
        <v>12614</v>
      </c>
      <c r="B1967" s="811" t="s">
        <v>13439</v>
      </c>
      <c r="C1967" s="811" t="s">
        <v>13439</v>
      </c>
      <c r="D1967" s="811" t="s">
        <v>13732</v>
      </c>
      <c r="E1967" s="811">
        <v>20</v>
      </c>
      <c r="F1967" s="811">
        <v>10</v>
      </c>
      <c r="G1967" s="202" t="str">
        <f t="shared" si="30"/>
        <v/>
      </c>
    </row>
    <row r="1968" spans="1:7" s="172" customFormat="1" ht="15" customHeight="1" x14ac:dyDescent="0.25">
      <c r="A1968" s="811" t="s">
        <v>13715</v>
      </c>
      <c r="B1968" s="811" t="s">
        <v>13439</v>
      </c>
      <c r="C1968" s="811" t="s">
        <v>13439</v>
      </c>
      <c r="D1968" s="811" t="s">
        <v>13716</v>
      </c>
      <c r="E1968" s="811">
        <v>60</v>
      </c>
      <c r="F1968" s="811">
        <v>15</v>
      </c>
      <c r="G1968" s="202" t="str">
        <f t="shared" si="30"/>
        <v/>
      </c>
    </row>
    <row r="1969" spans="1:7" s="172" customFormat="1" ht="15" customHeight="1" x14ac:dyDescent="0.25">
      <c r="A1969" s="811" t="s">
        <v>3084</v>
      </c>
      <c r="B1969" s="811" t="s">
        <v>13439</v>
      </c>
      <c r="C1969" s="811" t="s">
        <v>13439</v>
      </c>
      <c r="D1969" s="811" t="s">
        <v>13717</v>
      </c>
      <c r="E1969" s="811">
        <v>10</v>
      </c>
      <c r="F1969" s="811">
        <v>2</v>
      </c>
      <c r="G1969" s="202" t="str">
        <f t="shared" si="30"/>
        <v/>
      </c>
    </row>
    <row r="1970" spans="1:7" s="172" customFormat="1" ht="15" customHeight="1" x14ac:dyDescent="0.25">
      <c r="A1970" s="811" t="s">
        <v>13718</v>
      </c>
      <c r="B1970" s="811" t="s">
        <v>13439</v>
      </c>
      <c r="C1970" s="811" t="s">
        <v>13439</v>
      </c>
      <c r="D1970" s="811" t="s">
        <v>13719</v>
      </c>
      <c r="E1970" s="811">
        <v>63</v>
      </c>
      <c r="F1970" s="811">
        <v>20</v>
      </c>
      <c r="G1970" s="202" t="str">
        <f t="shared" si="30"/>
        <v/>
      </c>
    </row>
    <row r="1971" spans="1:7" s="172" customFormat="1" ht="15" customHeight="1" x14ac:dyDescent="0.25">
      <c r="A1971" s="811" t="s">
        <v>13720</v>
      </c>
      <c r="B1971" s="811" t="s">
        <v>13439</v>
      </c>
      <c r="C1971" s="811" t="s">
        <v>13439</v>
      </c>
      <c r="D1971" s="811" t="s">
        <v>13721</v>
      </c>
      <c r="E1971" s="811">
        <v>100</v>
      </c>
      <c r="F1971" s="811">
        <v>45</v>
      </c>
      <c r="G1971" s="202" t="str">
        <f t="shared" si="30"/>
        <v/>
      </c>
    </row>
    <row r="1972" spans="1:7" s="172" customFormat="1" ht="15" customHeight="1" x14ac:dyDescent="0.25">
      <c r="A1972" s="811" t="s">
        <v>13722</v>
      </c>
      <c r="B1972" s="811" t="s">
        <v>13439</v>
      </c>
      <c r="C1972" s="811" t="s">
        <v>13439</v>
      </c>
      <c r="D1972" s="811" t="s">
        <v>13744</v>
      </c>
      <c r="E1972" s="811">
        <v>63</v>
      </c>
      <c r="F1972" s="811">
        <v>15</v>
      </c>
      <c r="G1972" s="202" t="str">
        <f t="shared" si="30"/>
        <v/>
      </c>
    </row>
    <row r="1973" spans="1:7" s="172" customFormat="1" ht="15" customHeight="1" x14ac:dyDescent="0.25">
      <c r="A1973" s="811" t="s">
        <v>13722</v>
      </c>
      <c r="B1973" s="811" t="s">
        <v>13439</v>
      </c>
      <c r="C1973" s="811" t="s">
        <v>13439</v>
      </c>
      <c r="D1973" s="811" t="s">
        <v>13723</v>
      </c>
      <c r="E1973" s="811">
        <v>400</v>
      </c>
      <c r="F1973" s="811">
        <v>100</v>
      </c>
      <c r="G1973" s="202" t="str">
        <f t="shared" si="30"/>
        <v/>
      </c>
    </row>
    <row r="1974" spans="1:7" s="172" customFormat="1" ht="15" customHeight="1" x14ac:dyDescent="0.25">
      <c r="A1974" s="811" t="s">
        <v>13722</v>
      </c>
      <c r="B1974" s="811" t="s">
        <v>13439</v>
      </c>
      <c r="C1974" s="811" t="s">
        <v>13439</v>
      </c>
      <c r="D1974" s="811" t="s">
        <v>13724</v>
      </c>
      <c r="E1974" s="811">
        <v>250</v>
      </c>
      <c r="F1974" s="811">
        <v>85</v>
      </c>
      <c r="G1974" s="202" t="str">
        <f t="shared" si="30"/>
        <v/>
      </c>
    </row>
    <row r="1975" spans="1:7" s="172" customFormat="1" ht="15" customHeight="1" x14ac:dyDescent="0.25">
      <c r="A1975" s="811" t="s">
        <v>13722</v>
      </c>
      <c r="B1975" s="811" t="s">
        <v>13439</v>
      </c>
      <c r="C1975" s="811" t="s">
        <v>13439</v>
      </c>
      <c r="D1975" s="811" t="s">
        <v>13725</v>
      </c>
      <c r="E1975" s="811">
        <v>160</v>
      </c>
      <c r="F1975" s="811">
        <v>65</v>
      </c>
      <c r="G1975" s="202" t="str">
        <f t="shared" si="30"/>
        <v/>
      </c>
    </row>
    <row r="1976" spans="1:7" s="172" customFormat="1" ht="15" customHeight="1" x14ac:dyDescent="0.25">
      <c r="A1976" s="811" t="s">
        <v>13734</v>
      </c>
      <c r="B1976" s="811" t="s">
        <v>13439</v>
      </c>
      <c r="C1976" s="811" t="s">
        <v>13439</v>
      </c>
      <c r="D1976" s="811" t="s">
        <v>13735</v>
      </c>
      <c r="E1976" s="811">
        <v>40</v>
      </c>
      <c r="F1976" s="811">
        <v>10</v>
      </c>
      <c r="G1976" s="202" t="str">
        <f t="shared" si="30"/>
        <v/>
      </c>
    </row>
    <row r="1977" spans="1:7" s="172" customFormat="1" ht="15" customHeight="1" x14ac:dyDescent="0.25">
      <c r="A1977" s="811" t="s">
        <v>13729</v>
      </c>
      <c r="B1977" s="811" t="s">
        <v>13439</v>
      </c>
      <c r="C1977" s="811" t="s">
        <v>13439</v>
      </c>
      <c r="D1977" s="811" t="s">
        <v>13730</v>
      </c>
      <c r="E1977" s="811">
        <v>63</v>
      </c>
      <c r="F1977" s="811">
        <v>15</v>
      </c>
      <c r="G1977" s="202" t="str">
        <f t="shared" si="30"/>
        <v/>
      </c>
    </row>
    <row r="1978" spans="1:7" s="172" customFormat="1" ht="15" customHeight="1" x14ac:dyDescent="0.25">
      <c r="A1978" s="811" t="s">
        <v>5502</v>
      </c>
      <c r="B1978" s="811" t="s">
        <v>13439</v>
      </c>
      <c r="C1978" s="811" t="s">
        <v>13439</v>
      </c>
      <c r="D1978" s="811" t="s">
        <v>13741</v>
      </c>
      <c r="E1978" s="811">
        <v>160</v>
      </c>
      <c r="F1978" s="811">
        <v>70</v>
      </c>
      <c r="G1978" s="202" t="str">
        <f t="shared" si="30"/>
        <v/>
      </c>
    </row>
    <row r="1979" spans="1:7" s="172" customFormat="1" ht="15" customHeight="1" x14ac:dyDescent="0.25">
      <c r="A1979" s="811" t="s">
        <v>13722</v>
      </c>
      <c r="B1979" s="811" t="s">
        <v>13439</v>
      </c>
      <c r="C1979" s="811" t="s">
        <v>13439</v>
      </c>
      <c r="D1979" s="811" t="s">
        <v>13726</v>
      </c>
      <c r="E1979" s="811">
        <v>250</v>
      </c>
      <c r="F1979" s="811">
        <v>50</v>
      </c>
      <c r="G1979" s="202" t="str">
        <f t="shared" si="30"/>
        <v/>
      </c>
    </row>
    <row r="1980" spans="1:7" s="172" customFormat="1" ht="15" customHeight="1" x14ac:dyDescent="0.25">
      <c r="A1980" s="826" t="s">
        <v>7878</v>
      </c>
      <c r="B1980" s="811" t="s">
        <v>13439</v>
      </c>
      <c r="C1980" s="811" t="s">
        <v>13439</v>
      </c>
      <c r="D1980" s="811" t="s">
        <v>13740</v>
      </c>
      <c r="E1980" s="811">
        <v>30</v>
      </c>
      <c r="F1980" s="827">
        <v>10</v>
      </c>
      <c r="G1980" s="202" t="str">
        <f t="shared" si="30"/>
        <v/>
      </c>
    </row>
    <row r="1981" spans="1:7" s="172" customFormat="1" ht="15" customHeight="1" x14ac:dyDescent="0.25">
      <c r="A1981" s="826" t="s">
        <v>3510</v>
      </c>
      <c r="B1981" s="811" t="s">
        <v>13439</v>
      </c>
      <c r="C1981" s="811" t="s">
        <v>13439</v>
      </c>
      <c r="D1981" s="811" t="s">
        <v>13733</v>
      </c>
      <c r="E1981" s="811">
        <v>30</v>
      </c>
      <c r="F1981" s="811">
        <v>10</v>
      </c>
      <c r="G1981" s="202" t="str">
        <f t="shared" si="30"/>
        <v/>
      </c>
    </row>
    <row r="1982" spans="1:7" s="172" customFormat="1" ht="15" customHeight="1" x14ac:dyDescent="0.25">
      <c r="A1982" s="826" t="s">
        <v>4154</v>
      </c>
      <c r="B1982" s="811" t="s">
        <v>13439</v>
      </c>
      <c r="C1982" s="811" t="s">
        <v>13439</v>
      </c>
      <c r="D1982" s="811" t="s">
        <v>13739</v>
      </c>
      <c r="E1982" s="811">
        <v>160</v>
      </c>
      <c r="F1982" s="826">
        <v>60</v>
      </c>
      <c r="G1982" s="202" t="str">
        <f t="shared" si="30"/>
        <v/>
      </c>
    </row>
    <row r="1983" spans="1:7" s="172" customFormat="1" ht="15" customHeight="1" x14ac:dyDescent="0.25">
      <c r="A1983" s="828" t="s">
        <v>13727</v>
      </c>
      <c r="B1983" s="829" t="s">
        <v>13439</v>
      </c>
      <c r="C1983" s="829" t="s">
        <v>13439</v>
      </c>
      <c r="D1983" s="830" t="s">
        <v>13728</v>
      </c>
      <c r="E1983" s="831">
        <v>10</v>
      </c>
      <c r="F1983" s="832">
        <v>3</v>
      </c>
      <c r="G1983" s="202" t="str">
        <f t="shared" si="30"/>
        <v/>
      </c>
    </row>
    <row r="1984" spans="1:7" s="172" customFormat="1" ht="15" customHeight="1" x14ac:dyDescent="0.25">
      <c r="A1984" s="828" t="s">
        <v>13742</v>
      </c>
      <c r="B1984" s="829" t="s">
        <v>13439</v>
      </c>
      <c r="C1984" s="829" t="s">
        <v>13439</v>
      </c>
      <c r="D1984" s="828" t="s">
        <v>13743</v>
      </c>
      <c r="E1984" s="833">
        <v>60</v>
      </c>
      <c r="F1984" s="832">
        <v>10</v>
      </c>
      <c r="G1984" s="202" t="str">
        <f t="shared" si="30"/>
        <v/>
      </c>
    </row>
    <row r="1985" spans="1:7" s="172" customFormat="1" ht="15" customHeight="1" x14ac:dyDescent="0.25">
      <c r="A1985" s="828" t="s">
        <v>5877</v>
      </c>
      <c r="B1985" s="829" t="s">
        <v>13439</v>
      </c>
      <c r="C1985" s="829" t="s">
        <v>13439</v>
      </c>
      <c r="D1985" s="828" t="s">
        <v>13777</v>
      </c>
      <c r="E1985" s="833" t="s">
        <v>18245</v>
      </c>
      <c r="F1985" s="832">
        <v>2</v>
      </c>
      <c r="G1985" s="202" t="str">
        <f t="shared" si="30"/>
        <v/>
      </c>
    </row>
    <row r="1986" spans="1:7" s="172" customFormat="1" ht="15" customHeight="1" x14ac:dyDescent="0.25">
      <c r="A1986" s="830" t="s">
        <v>13779</v>
      </c>
      <c r="B1986" s="829" t="s">
        <v>13439</v>
      </c>
      <c r="C1986" s="829" t="s">
        <v>13439</v>
      </c>
      <c r="D1986" s="830" t="s">
        <v>13780</v>
      </c>
      <c r="E1986" s="833">
        <v>10</v>
      </c>
      <c r="F1986" s="832">
        <v>5</v>
      </c>
      <c r="G1986" s="202" t="str">
        <f t="shared" si="30"/>
        <v/>
      </c>
    </row>
    <row r="1987" spans="1:7" s="172" customFormat="1" ht="15" customHeight="1" x14ac:dyDescent="0.25">
      <c r="A1987" s="828" t="s">
        <v>13781</v>
      </c>
      <c r="B1987" s="829" t="s">
        <v>13439</v>
      </c>
      <c r="C1987" s="829" t="s">
        <v>13439</v>
      </c>
      <c r="D1987" s="828" t="s">
        <v>13782</v>
      </c>
      <c r="E1987" s="833">
        <v>10</v>
      </c>
      <c r="F1987" s="832">
        <v>5</v>
      </c>
      <c r="G1987" s="202" t="str">
        <f t="shared" si="30"/>
        <v/>
      </c>
    </row>
    <row r="1988" spans="1:7" s="172" customFormat="1" ht="15" customHeight="1" x14ac:dyDescent="0.25">
      <c r="A1988" s="828" t="s">
        <v>13625</v>
      </c>
      <c r="B1988" s="829" t="s">
        <v>13439</v>
      </c>
      <c r="C1988" s="829" t="s">
        <v>13439</v>
      </c>
      <c r="D1988" s="828" t="s">
        <v>13629</v>
      </c>
      <c r="E1988" s="833">
        <v>400</v>
      </c>
      <c r="F1988" s="832">
        <v>200</v>
      </c>
      <c r="G1988" s="202" t="str">
        <f t="shared" ref="G1988:G2051" si="31">IF(E1988=F1988,"не загружен","")</f>
        <v/>
      </c>
    </row>
    <row r="1989" spans="1:7" s="172" customFormat="1" ht="15" customHeight="1" x14ac:dyDescent="0.25">
      <c r="A1989" s="828" t="s">
        <v>19186</v>
      </c>
      <c r="B1989" s="829" t="s">
        <v>13439</v>
      </c>
      <c r="C1989" s="829" t="s">
        <v>13439</v>
      </c>
      <c r="D1989" s="828" t="s">
        <v>19187</v>
      </c>
      <c r="E1989" s="833">
        <v>100</v>
      </c>
      <c r="F1989" s="832">
        <v>40</v>
      </c>
      <c r="G1989" s="202" t="str">
        <f t="shared" si="31"/>
        <v/>
      </c>
    </row>
    <row r="1990" spans="1:7" s="172" customFormat="1" ht="15" customHeight="1" x14ac:dyDescent="0.25">
      <c r="A1990" s="828" t="s">
        <v>19188</v>
      </c>
      <c r="B1990" s="829" t="s">
        <v>13439</v>
      </c>
      <c r="C1990" s="829" t="s">
        <v>13439</v>
      </c>
      <c r="D1990" s="828" t="s">
        <v>19189</v>
      </c>
      <c r="E1990" s="833">
        <v>25</v>
      </c>
      <c r="F1990" s="832">
        <v>10</v>
      </c>
      <c r="G1990" s="202" t="str">
        <f t="shared" si="31"/>
        <v/>
      </c>
    </row>
    <row r="1991" spans="1:7" s="172" customFormat="1" ht="15" customHeight="1" x14ac:dyDescent="0.25">
      <c r="A1991" s="834" t="s">
        <v>13492</v>
      </c>
      <c r="B1991" s="829" t="s">
        <v>13439</v>
      </c>
      <c r="C1991" s="829" t="s">
        <v>13439</v>
      </c>
      <c r="D1991" s="828" t="s">
        <v>19190</v>
      </c>
      <c r="E1991" s="833">
        <v>63</v>
      </c>
      <c r="F1991" s="832">
        <v>45</v>
      </c>
      <c r="G1991" s="202" t="str">
        <f t="shared" si="31"/>
        <v/>
      </c>
    </row>
    <row r="1992" spans="1:7" s="172" customFormat="1" ht="15" customHeight="1" x14ac:dyDescent="0.25">
      <c r="A1992" s="828" t="s">
        <v>19825</v>
      </c>
      <c r="B1992" s="829" t="s">
        <v>13439</v>
      </c>
      <c r="C1992" s="829" t="s">
        <v>13439</v>
      </c>
      <c r="D1992" s="828" t="s">
        <v>19826</v>
      </c>
      <c r="E1992" s="833">
        <v>63</v>
      </c>
      <c r="F1992" s="832">
        <v>50</v>
      </c>
      <c r="G1992" s="202" t="str">
        <f t="shared" si="31"/>
        <v/>
      </c>
    </row>
    <row r="1993" spans="1:7" s="172" customFormat="1" ht="15" customHeight="1" x14ac:dyDescent="0.25">
      <c r="A1993" s="828" t="s">
        <v>8767</v>
      </c>
      <c r="B1993" s="829" t="s">
        <v>13439</v>
      </c>
      <c r="C1993" s="829" t="s">
        <v>13439</v>
      </c>
      <c r="D1993" s="828" t="s">
        <v>19827</v>
      </c>
      <c r="E1993" s="833">
        <v>63</v>
      </c>
      <c r="F1993" s="832">
        <v>50</v>
      </c>
      <c r="G1993" s="202" t="str">
        <f t="shared" si="31"/>
        <v/>
      </c>
    </row>
    <row r="1994" spans="1:7" s="172" customFormat="1" ht="15" customHeight="1" x14ac:dyDescent="0.25">
      <c r="A1994" s="834" t="s">
        <v>18608</v>
      </c>
      <c r="B1994" s="829" t="s">
        <v>17715</v>
      </c>
      <c r="C1994" s="829" t="s">
        <v>17715</v>
      </c>
      <c r="D1994" s="828" t="s">
        <v>17785</v>
      </c>
      <c r="E1994" s="833">
        <v>250</v>
      </c>
      <c r="F1994" s="832">
        <v>50</v>
      </c>
      <c r="G1994" s="202" t="str">
        <f t="shared" si="31"/>
        <v/>
      </c>
    </row>
    <row r="1995" spans="1:7" s="172" customFormat="1" ht="15" customHeight="1" x14ac:dyDescent="0.25">
      <c r="A1995" s="828" t="s">
        <v>18608</v>
      </c>
      <c r="B1995" s="829" t="s">
        <v>17715</v>
      </c>
      <c r="C1995" s="829" t="s">
        <v>17715</v>
      </c>
      <c r="D1995" s="828" t="s">
        <v>17786</v>
      </c>
      <c r="E1995" s="833">
        <v>250</v>
      </c>
      <c r="F1995" s="832">
        <v>70</v>
      </c>
      <c r="G1995" s="202" t="str">
        <f t="shared" si="31"/>
        <v/>
      </c>
    </row>
    <row r="1996" spans="1:7" s="172" customFormat="1" ht="15" customHeight="1" x14ac:dyDescent="0.25">
      <c r="A1996" s="828" t="s">
        <v>18608</v>
      </c>
      <c r="B1996" s="829" t="s">
        <v>17715</v>
      </c>
      <c r="C1996" s="829" t="s">
        <v>17715</v>
      </c>
      <c r="D1996" s="828" t="s">
        <v>17787</v>
      </c>
      <c r="E1996" s="833">
        <v>250</v>
      </c>
      <c r="F1996" s="832">
        <v>50</v>
      </c>
      <c r="G1996" s="202" t="str">
        <f t="shared" si="31"/>
        <v/>
      </c>
    </row>
    <row r="1997" spans="1:7" s="172" customFormat="1" ht="15" customHeight="1" x14ac:dyDescent="0.25">
      <c r="A1997" s="828" t="s">
        <v>18608</v>
      </c>
      <c r="B1997" s="829" t="s">
        <v>17715</v>
      </c>
      <c r="C1997" s="829" t="s">
        <v>17715</v>
      </c>
      <c r="D1997" s="828" t="s">
        <v>17788</v>
      </c>
      <c r="E1997" s="833">
        <v>100</v>
      </c>
      <c r="F1997" s="832">
        <v>0</v>
      </c>
      <c r="G1997" s="202" t="str">
        <f t="shared" si="31"/>
        <v/>
      </c>
    </row>
    <row r="1998" spans="1:7" s="172" customFormat="1" ht="15" customHeight="1" x14ac:dyDescent="0.25">
      <c r="A1998" s="828" t="s">
        <v>18609</v>
      </c>
      <c r="B1998" s="829" t="s">
        <v>17715</v>
      </c>
      <c r="C1998" s="829" t="s">
        <v>17715</v>
      </c>
      <c r="D1998" s="828" t="s">
        <v>17789</v>
      </c>
      <c r="E1998" s="833">
        <v>100</v>
      </c>
      <c r="F1998" s="832">
        <v>20</v>
      </c>
      <c r="G1998" s="202" t="str">
        <f t="shared" si="31"/>
        <v/>
      </c>
    </row>
    <row r="1999" spans="1:7" s="172" customFormat="1" ht="15" customHeight="1" x14ac:dyDescent="0.25">
      <c r="A1999" s="828" t="s">
        <v>18609</v>
      </c>
      <c r="B1999" s="829" t="s">
        <v>17715</v>
      </c>
      <c r="C1999" s="829" t="s">
        <v>17715</v>
      </c>
      <c r="D1999" s="828" t="s">
        <v>17790</v>
      </c>
      <c r="E1999" s="833">
        <v>100</v>
      </c>
      <c r="F1999" s="832">
        <v>30</v>
      </c>
      <c r="G1999" s="202" t="str">
        <f t="shared" si="31"/>
        <v/>
      </c>
    </row>
    <row r="2000" spans="1:7" s="172" customFormat="1" ht="15" customHeight="1" x14ac:dyDescent="0.25">
      <c r="A2000" s="834" t="s">
        <v>18610</v>
      </c>
      <c r="B2000" s="829" t="s">
        <v>17715</v>
      </c>
      <c r="C2000" s="829" t="s">
        <v>17715</v>
      </c>
      <c r="D2000" s="828" t="s">
        <v>17791</v>
      </c>
      <c r="E2000" s="831">
        <v>160</v>
      </c>
      <c r="F2000" s="832">
        <v>55</v>
      </c>
      <c r="G2000" s="202" t="str">
        <f t="shared" si="31"/>
        <v/>
      </c>
    </row>
    <row r="2001" spans="1:7" s="172" customFormat="1" ht="15" customHeight="1" x14ac:dyDescent="0.25">
      <c r="A2001" s="834" t="s">
        <v>18611</v>
      </c>
      <c r="B2001" s="829" t="s">
        <v>17715</v>
      </c>
      <c r="C2001" s="829" t="s">
        <v>17715</v>
      </c>
      <c r="D2001" s="828" t="s">
        <v>17792</v>
      </c>
      <c r="E2001" s="833">
        <v>250</v>
      </c>
      <c r="F2001" s="832">
        <v>80</v>
      </c>
      <c r="G2001" s="202" t="str">
        <f t="shared" si="31"/>
        <v/>
      </c>
    </row>
    <row r="2002" spans="1:7" s="172" customFormat="1" ht="15" customHeight="1" x14ac:dyDescent="0.25">
      <c r="A2002" s="834" t="s">
        <v>18611</v>
      </c>
      <c r="B2002" s="829" t="s">
        <v>17715</v>
      </c>
      <c r="C2002" s="829" t="s">
        <v>17715</v>
      </c>
      <c r="D2002" s="828" t="s">
        <v>17793</v>
      </c>
      <c r="E2002" s="833">
        <v>63</v>
      </c>
      <c r="F2002" s="832">
        <v>10</v>
      </c>
      <c r="G2002" s="202" t="str">
        <f t="shared" si="31"/>
        <v/>
      </c>
    </row>
    <row r="2003" spans="1:7" s="172" customFormat="1" ht="15" customHeight="1" x14ac:dyDescent="0.25">
      <c r="A2003" s="830" t="s">
        <v>18612</v>
      </c>
      <c r="B2003" s="829" t="s">
        <v>17715</v>
      </c>
      <c r="C2003" s="829" t="s">
        <v>17715</v>
      </c>
      <c r="D2003" s="830" t="s">
        <v>17794</v>
      </c>
      <c r="E2003" s="833">
        <v>40</v>
      </c>
      <c r="F2003" s="832">
        <v>5</v>
      </c>
      <c r="G2003" s="202" t="str">
        <f t="shared" si="31"/>
        <v/>
      </c>
    </row>
    <row r="2004" spans="1:7" s="172" customFormat="1" ht="15" customHeight="1" x14ac:dyDescent="0.25">
      <c r="A2004" s="834" t="s">
        <v>18613</v>
      </c>
      <c r="B2004" s="829" t="s">
        <v>17715</v>
      </c>
      <c r="C2004" s="829" t="s">
        <v>17715</v>
      </c>
      <c r="D2004" s="828" t="s">
        <v>17797</v>
      </c>
      <c r="E2004" s="833">
        <v>100</v>
      </c>
      <c r="F2004" s="832">
        <v>30</v>
      </c>
      <c r="G2004" s="202" t="str">
        <f t="shared" si="31"/>
        <v/>
      </c>
    </row>
    <row r="2005" spans="1:7" s="172" customFormat="1" ht="15" customHeight="1" x14ac:dyDescent="0.25">
      <c r="A2005" s="834" t="s">
        <v>18613</v>
      </c>
      <c r="B2005" s="829" t="s">
        <v>17715</v>
      </c>
      <c r="C2005" s="829" t="s">
        <v>17715</v>
      </c>
      <c r="D2005" s="828" t="s">
        <v>17796</v>
      </c>
      <c r="E2005" s="833">
        <v>400</v>
      </c>
      <c r="F2005" s="832">
        <v>180</v>
      </c>
      <c r="G2005" s="202" t="str">
        <f t="shared" si="31"/>
        <v/>
      </c>
    </row>
    <row r="2006" spans="1:7" s="172" customFormat="1" ht="15" customHeight="1" x14ac:dyDescent="0.25">
      <c r="A2006" s="834" t="s">
        <v>18613</v>
      </c>
      <c r="B2006" s="829" t="s">
        <v>17715</v>
      </c>
      <c r="C2006" s="829" t="s">
        <v>17715</v>
      </c>
      <c r="D2006" s="828" t="s">
        <v>17795</v>
      </c>
      <c r="E2006" s="833">
        <v>10</v>
      </c>
      <c r="F2006" s="832">
        <v>5</v>
      </c>
      <c r="G2006" s="202" t="str">
        <f t="shared" si="31"/>
        <v/>
      </c>
    </row>
    <row r="2007" spans="1:7" s="172" customFormat="1" ht="15" customHeight="1" x14ac:dyDescent="0.25">
      <c r="A2007" s="834" t="s">
        <v>18613</v>
      </c>
      <c r="B2007" s="829" t="s">
        <v>17715</v>
      </c>
      <c r="C2007" s="829" t="s">
        <v>17715</v>
      </c>
      <c r="D2007" s="828" t="s">
        <v>17795</v>
      </c>
      <c r="E2007" s="833">
        <v>100</v>
      </c>
      <c r="F2007" s="832">
        <v>30</v>
      </c>
      <c r="G2007" s="202" t="str">
        <f t="shared" si="31"/>
        <v/>
      </c>
    </row>
    <row r="2008" spans="1:7" s="172" customFormat="1" ht="15" customHeight="1" x14ac:dyDescent="0.25">
      <c r="A2008" s="834" t="s">
        <v>18614</v>
      </c>
      <c r="B2008" s="829" t="s">
        <v>17715</v>
      </c>
      <c r="C2008" s="829" t="s">
        <v>17715</v>
      </c>
      <c r="D2008" s="828" t="s">
        <v>17796</v>
      </c>
      <c r="E2008" s="833">
        <v>160</v>
      </c>
      <c r="F2008" s="832">
        <v>60</v>
      </c>
      <c r="G2008" s="202" t="str">
        <f t="shared" si="31"/>
        <v/>
      </c>
    </row>
    <row r="2009" spans="1:7" s="172" customFormat="1" ht="15" customHeight="1" x14ac:dyDescent="0.25">
      <c r="A2009" s="828" t="s">
        <v>18615</v>
      </c>
      <c r="B2009" s="829" t="s">
        <v>17715</v>
      </c>
      <c r="C2009" s="829" t="s">
        <v>17715</v>
      </c>
      <c r="D2009" s="828" t="s">
        <v>17798</v>
      </c>
      <c r="E2009" s="833">
        <v>63</v>
      </c>
      <c r="F2009" s="832">
        <v>10</v>
      </c>
      <c r="G2009" s="202" t="str">
        <f t="shared" si="31"/>
        <v/>
      </c>
    </row>
    <row r="2010" spans="1:7" s="172" customFormat="1" ht="15" customHeight="1" x14ac:dyDescent="0.25">
      <c r="A2010" s="828" t="s">
        <v>18616</v>
      </c>
      <c r="B2010" s="829" t="s">
        <v>17715</v>
      </c>
      <c r="C2010" s="829" t="s">
        <v>17715</v>
      </c>
      <c r="D2010" s="828" t="s">
        <v>17800</v>
      </c>
      <c r="E2010" s="833">
        <v>30</v>
      </c>
      <c r="F2010" s="832">
        <v>5</v>
      </c>
      <c r="G2010" s="202" t="str">
        <f t="shared" si="31"/>
        <v/>
      </c>
    </row>
    <row r="2011" spans="1:7" s="172" customFormat="1" ht="15" customHeight="1" x14ac:dyDescent="0.25">
      <c r="A2011" s="828" t="s">
        <v>18617</v>
      </c>
      <c r="B2011" s="829" t="s">
        <v>17715</v>
      </c>
      <c r="C2011" s="829" t="s">
        <v>17715</v>
      </c>
      <c r="D2011" s="828" t="s">
        <v>17799</v>
      </c>
      <c r="E2011" s="833">
        <v>30</v>
      </c>
      <c r="F2011" s="832">
        <v>5</v>
      </c>
      <c r="G2011" s="202" t="str">
        <f t="shared" si="31"/>
        <v/>
      </c>
    </row>
    <row r="2012" spans="1:7" s="172" customFormat="1" ht="15" customHeight="1" x14ac:dyDescent="0.25">
      <c r="A2012" s="828" t="s">
        <v>18618</v>
      </c>
      <c r="B2012" s="829" t="s">
        <v>17715</v>
      </c>
      <c r="C2012" s="829" t="s">
        <v>17715</v>
      </c>
      <c r="D2012" s="828" t="s">
        <v>17801</v>
      </c>
      <c r="E2012" s="833">
        <v>63</v>
      </c>
      <c r="F2012" s="832">
        <v>10</v>
      </c>
      <c r="G2012" s="202" t="str">
        <f t="shared" si="31"/>
        <v/>
      </c>
    </row>
    <row r="2013" spans="1:7" s="172" customFormat="1" ht="15" customHeight="1" x14ac:dyDescent="0.25">
      <c r="A2013" s="834" t="s">
        <v>18619</v>
      </c>
      <c r="B2013" s="829" t="s">
        <v>17715</v>
      </c>
      <c r="C2013" s="829" t="s">
        <v>17715</v>
      </c>
      <c r="D2013" s="828" t="s">
        <v>17802</v>
      </c>
      <c r="E2013" s="833">
        <v>30</v>
      </c>
      <c r="F2013" s="832">
        <v>5</v>
      </c>
      <c r="G2013" s="202" t="str">
        <f t="shared" si="31"/>
        <v/>
      </c>
    </row>
    <row r="2014" spans="1:7" s="172" customFormat="1" ht="15" customHeight="1" x14ac:dyDescent="0.25">
      <c r="A2014" s="834" t="s">
        <v>18620</v>
      </c>
      <c r="B2014" s="829" t="s">
        <v>17715</v>
      </c>
      <c r="C2014" s="829" t="s">
        <v>17715</v>
      </c>
      <c r="D2014" s="828" t="s">
        <v>17803</v>
      </c>
      <c r="E2014" s="833">
        <v>60</v>
      </c>
      <c r="F2014" s="832">
        <v>10</v>
      </c>
      <c r="G2014" s="202" t="str">
        <f t="shared" si="31"/>
        <v/>
      </c>
    </row>
    <row r="2015" spans="1:7" s="172" customFormat="1" ht="15" customHeight="1" x14ac:dyDescent="0.25">
      <c r="A2015" s="834" t="s">
        <v>18621</v>
      </c>
      <c r="B2015" s="829" t="s">
        <v>17715</v>
      </c>
      <c r="C2015" s="829" t="s">
        <v>17715</v>
      </c>
      <c r="D2015" s="828" t="s">
        <v>17804</v>
      </c>
      <c r="E2015" s="831">
        <v>100</v>
      </c>
      <c r="F2015" s="832">
        <v>5</v>
      </c>
      <c r="G2015" s="202" t="str">
        <f t="shared" si="31"/>
        <v/>
      </c>
    </row>
    <row r="2016" spans="1:7" s="172" customFormat="1" ht="15" customHeight="1" x14ac:dyDescent="0.25">
      <c r="A2016" s="828" t="s">
        <v>18622</v>
      </c>
      <c r="B2016" s="829" t="s">
        <v>17715</v>
      </c>
      <c r="C2016" s="829" t="s">
        <v>17715</v>
      </c>
      <c r="D2016" s="828" t="s">
        <v>17805</v>
      </c>
      <c r="E2016" s="833">
        <v>100</v>
      </c>
      <c r="F2016" s="832">
        <v>25</v>
      </c>
      <c r="G2016" s="202" t="str">
        <f t="shared" si="31"/>
        <v/>
      </c>
    </row>
    <row r="2017" spans="1:7" s="172" customFormat="1" ht="15" customHeight="1" x14ac:dyDescent="0.25">
      <c r="A2017" s="828" t="s">
        <v>18623</v>
      </c>
      <c r="B2017" s="829" t="s">
        <v>17715</v>
      </c>
      <c r="C2017" s="829" t="s">
        <v>17715</v>
      </c>
      <c r="D2017" s="828" t="s">
        <v>17806</v>
      </c>
      <c r="E2017" s="833">
        <v>160</v>
      </c>
      <c r="F2017" s="832">
        <v>45</v>
      </c>
      <c r="G2017" s="202" t="str">
        <f t="shared" si="31"/>
        <v/>
      </c>
    </row>
    <row r="2018" spans="1:7" s="172" customFormat="1" ht="15" customHeight="1" x14ac:dyDescent="0.25">
      <c r="A2018" s="828" t="s">
        <v>18624</v>
      </c>
      <c r="B2018" s="829" t="s">
        <v>17715</v>
      </c>
      <c r="C2018" s="829" t="s">
        <v>17715</v>
      </c>
      <c r="D2018" s="828" t="s">
        <v>17807</v>
      </c>
      <c r="E2018" s="833">
        <v>250</v>
      </c>
      <c r="F2018" s="832">
        <v>70</v>
      </c>
      <c r="G2018" s="202" t="str">
        <f t="shared" si="31"/>
        <v/>
      </c>
    </row>
    <row r="2019" spans="1:7" s="172" customFormat="1" ht="15" customHeight="1" x14ac:dyDescent="0.25">
      <c r="A2019" s="828" t="s">
        <v>18624</v>
      </c>
      <c r="B2019" s="829" t="s">
        <v>17715</v>
      </c>
      <c r="C2019" s="829" t="s">
        <v>17715</v>
      </c>
      <c r="D2019" s="828" t="s">
        <v>17808</v>
      </c>
      <c r="E2019" s="831">
        <v>100</v>
      </c>
      <c r="F2019" s="832">
        <v>30</v>
      </c>
      <c r="G2019" s="202" t="str">
        <f t="shared" si="31"/>
        <v/>
      </c>
    </row>
    <row r="2020" spans="1:7" s="172" customFormat="1" ht="15" customHeight="1" x14ac:dyDescent="0.25">
      <c r="A2020" s="828" t="s">
        <v>18624</v>
      </c>
      <c r="B2020" s="829" t="s">
        <v>17715</v>
      </c>
      <c r="C2020" s="829" t="s">
        <v>17715</v>
      </c>
      <c r="D2020" s="830" t="s">
        <v>17809</v>
      </c>
      <c r="E2020" s="833">
        <v>160</v>
      </c>
      <c r="F2020" s="832">
        <v>60</v>
      </c>
      <c r="G2020" s="202" t="str">
        <f t="shared" si="31"/>
        <v/>
      </c>
    </row>
    <row r="2021" spans="1:7" s="172" customFormat="1" ht="15" customHeight="1" x14ac:dyDescent="0.25">
      <c r="A2021" s="834" t="s">
        <v>18624</v>
      </c>
      <c r="B2021" s="829" t="s">
        <v>17715</v>
      </c>
      <c r="C2021" s="829" t="s">
        <v>17715</v>
      </c>
      <c r="D2021" s="828" t="s">
        <v>17810</v>
      </c>
      <c r="E2021" s="833">
        <v>63</v>
      </c>
      <c r="F2021" s="832">
        <v>15</v>
      </c>
      <c r="G2021" s="202" t="str">
        <f t="shared" si="31"/>
        <v/>
      </c>
    </row>
    <row r="2022" spans="1:7" s="172" customFormat="1" ht="15" customHeight="1" x14ac:dyDescent="0.25">
      <c r="A2022" s="834" t="s">
        <v>18625</v>
      </c>
      <c r="B2022" s="829" t="s">
        <v>17715</v>
      </c>
      <c r="C2022" s="829" t="s">
        <v>17715</v>
      </c>
      <c r="D2022" s="828" t="s">
        <v>17811</v>
      </c>
      <c r="E2022" s="831">
        <v>63</v>
      </c>
      <c r="F2022" s="832">
        <v>5</v>
      </c>
      <c r="G2022" s="202" t="str">
        <f t="shared" si="31"/>
        <v/>
      </c>
    </row>
    <row r="2023" spans="1:7" s="172" customFormat="1" ht="15" customHeight="1" x14ac:dyDescent="0.25">
      <c r="A2023" s="834" t="s">
        <v>18626</v>
      </c>
      <c r="B2023" s="829" t="s">
        <v>17715</v>
      </c>
      <c r="C2023" s="829" t="s">
        <v>17715</v>
      </c>
      <c r="D2023" s="828" t="s">
        <v>17812</v>
      </c>
      <c r="E2023" s="833">
        <v>60</v>
      </c>
      <c r="F2023" s="832">
        <v>0</v>
      </c>
      <c r="G2023" s="202" t="str">
        <f t="shared" si="31"/>
        <v/>
      </c>
    </row>
    <row r="2024" spans="1:7" s="172" customFormat="1" ht="15" customHeight="1" x14ac:dyDescent="0.25">
      <c r="A2024" s="828" t="s">
        <v>18627</v>
      </c>
      <c r="B2024" s="829" t="s">
        <v>17715</v>
      </c>
      <c r="C2024" s="829" t="s">
        <v>17715</v>
      </c>
      <c r="D2024" s="828" t="s">
        <v>17813</v>
      </c>
      <c r="E2024" s="833">
        <v>60</v>
      </c>
      <c r="F2024" s="832">
        <v>15</v>
      </c>
      <c r="G2024" s="202" t="str">
        <f t="shared" si="31"/>
        <v/>
      </c>
    </row>
    <row r="2025" spans="1:7" s="172" customFormat="1" ht="15" customHeight="1" x14ac:dyDescent="0.25">
      <c r="A2025" s="828" t="s">
        <v>18628</v>
      </c>
      <c r="B2025" s="829" t="s">
        <v>17715</v>
      </c>
      <c r="C2025" s="829" t="s">
        <v>17715</v>
      </c>
      <c r="D2025" s="828" t="s">
        <v>17814</v>
      </c>
      <c r="E2025" s="833">
        <v>100</v>
      </c>
      <c r="F2025" s="832">
        <v>15</v>
      </c>
      <c r="G2025" s="202" t="str">
        <f t="shared" si="31"/>
        <v/>
      </c>
    </row>
    <row r="2026" spans="1:7" s="172" customFormat="1" ht="15" customHeight="1" x14ac:dyDescent="0.25">
      <c r="A2026" s="828" t="s">
        <v>18628</v>
      </c>
      <c r="B2026" s="829" t="s">
        <v>17715</v>
      </c>
      <c r="C2026" s="829" t="s">
        <v>17715</v>
      </c>
      <c r="D2026" s="828" t="s">
        <v>17815</v>
      </c>
      <c r="E2026" s="833">
        <v>100</v>
      </c>
      <c r="F2026" s="832">
        <v>40</v>
      </c>
      <c r="G2026" s="202" t="str">
        <f t="shared" si="31"/>
        <v/>
      </c>
    </row>
    <row r="2027" spans="1:7" s="172" customFormat="1" ht="15" customHeight="1" x14ac:dyDescent="0.25">
      <c r="A2027" s="828" t="s">
        <v>18628</v>
      </c>
      <c r="B2027" s="829" t="s">
        <v>17715</v>
      </c>
      <c r="C2027" s="829" t="s">
        <v>17715</v>
      </c>
      <c r="D2027" s="828" t="s">
        <v>17816</v>
      </c>
      <c r="E2027" s="833">
        <v>400</v>
      </c>
      <c r="F2027" s="832">
        <v>140</v>
      </c>
      <c r="G2027" s="202" t="str">
        <f t="shared" si="31"/>
        <v/>
      </c>
    </row>
    <row r="2028" spans="1:7" s="172" customFormat="1" ht="15" customHeight="1" x14ac:dyDescent="0.25">
      <c r="A2028" s="828" t="s">
        <v>18629</v>
      </c>
      <c r="B2028" s="829" t="s">
        <v>17715</v>
      </c>
      <c r="C2028" s="829" t="s">
        <v>17715</v>
      </c>
      <c r="D2028" s="828" t="s">
        <v>17817</v>
      </c>
      <c r="E2028" s="833">
        <v>250</v>
      </c>
      <c r="F2028" s="832">
        <v>50</v>
      </c>
      <c r="G2028" s="202" t="str">
        <f t="shared" si="31"/>
        <v/>
      </c>
    </row>
    <row r="2029" spans="1:7" s="172" customFormat="1" ht="15" customHeight="1" x14ac:dyDescent="0.25">
      <c r="A2029" s="828" t="s">
        <v>18629</v>
      </c>
      <c r="B2029" s="829" t="s">
        <v>17715</v>
      </c>
      <c r="C2029" s="829" t="s">
        <v>17715</v>
      </c>
      <c r="D2029" s="828" t="s">
        <v>17818</v>
      </c>
      <c r="E2029" s="833">
        <v>100</v>
      </c>
      <c r="F2029" s="832">
        <v>5</v>
      </c>
      <c r="G2029" s="202" t="str">
        <f t="shared" si="31"/>
        <v/>
      </c>
    </row>
    <row r="2030" spans="1:7" s="172" customFormat="1" ht="15" customHeight="1" x14ac:dyDescent="0.25">
      <c r="A2030" s="828" t="s">
        <v>18630</v>
      </c>
      <c r="B2030" s="829" t="s">
        <v>17715</v>
      </c>
      <c r="C2030" s="829" t="s">
        <v>17715</v>
      </c>
      <c r="D2030" s="830" t="s">
        <v>17819</v>
      </c>
      <c r="E2030" s="833">
        <v>100</v>
      </c>
      <c r="F2030" s="832">
        <v>15</v>
      </c>
      <c r="G2030" s="202" t="str">
        <f t="shared" si="31"/>
        <v/>
      </c>
    </row>
    <row r="2031" spans="1:7" s="172" customFormat="1" ht="15" customHeight="1" x14ac:dyDescent="0.25">
      <c r="A2031" s="828" t="s">
        <v>18631</v>
      </c>
      <c r="B2031" s="829" t="s">
        <v>17715</v>
      </c>
      <c r="C2031" s="829" t="s">
        <v>17715</v>
      </c>
      <c r="D2031" s="830" t="s">
        <v>17820</v>
      </c>
      <c r="E2031" s="833">
        <v>60</v>
      </c>
      <c r="F2031" s="832">
        <v>30</v>
      </c>
      <c r="G2031" s="202" t="str">
        <f t="shared" si="31"/>
        <v/>
      </c>
    </row>
    <row r="2032" spans="1:7" s="172" customFormat="1" ht="15" customHeight="1" x14ac:dyDescent="0.25">
      <c r="A2032" s="828" t="s">
        <v>18631</v>
      </c>
      <c r="B2032" s="829" t="s">
        <v>17715</v>
      </c>
      <c r="C2032" s="829" t="s">
        <v>17715</v>
      </c>
      <c r="D2032" s="830" t="s">
        <v>17820</v>
      </c>
      <c r="E2032" s="833">
        <v>100</v>
      </c>
      <c r="F2032" s="832">
        <v>40</v>
      </c>
      <c r="G2032" s="202" t="str">
        <f t="shared" si="31"/>
        <v/>
      </c>
    </row>
    <row r="2033" spans="1:7" s="172" customFormat="1" ht="15" customHeight="1" x14ac:dyDescent="0.25">
      <c r="A2033" s="828" t="s">
        <v>16191</v>
      </c>
      <c r="B2033" s="829" t="s">
        <v>17715</v>
      </c>
      <c r="C2033" s="829" t="s">
        <v>17715</v>
      </c>
      <c r="D2033" s="828" t="s">
        <v>17822</v>
      </c>
      <c r="E2033" s="833">
        <v>160</v>
      </c>
      <c r="F2033" s="832">
        <v>40</v>
      </c>
      <c r="G2033" s="202" t="str">
        <f t="shared" si="31"/>
        <v/>
      </c>
    </row>
    <row r="2034" spans="1:7" s="172" customFormat="1" ht="15" customHeight="1" x14ac:dyDescent="0.25">
      <c r="A2034" s="834" t="s">
        <v>16191</v>
      </c>
      <c r="B2034" s="829" t="s">
        <v>17715</v>
      </c>
      <c r="C2034" s="829" t="s">
        <v>17715</v>
      </c>
      <c r="D2034" s="828" t="s">
        <v>17823</v>
      </c>
      <c r="E2034" s="833">
        <v>100</v>
      </c>
      <c r="F2034" s="832">
        <v>30</v>
      </c>
      <c r="G2034" s="202" t="str">
        <f t="shared" si="31"/>
        <v/>
      </c>
    </row>
    <row r="2035" spans="1:7" s="172" customFormat="1" ht="15" customHeight="1" x14ac:dyDescent="0.25">
      <c r="A2035" s="828" t="s">
        <v>16191</v>
      </c>
      <c r="B2035" s="829" t="s">
        <v>17715</v>
      </c>
      <c r="C2035" s="829" t="s">
        <v>17715</v>
      </c>
      <c r="D2035" s="828" t="s">
        <v>17824</v>
      </c>
      <c r="E2035" s="831">
        <v>400</v>
      </c>
      <c r="F2035" s="832">
        <v>235</v>
      </c>
      <c r="G2035" s="202" t="str">
        <f t="shared" si="31"/>
        <v/>
      </c>
    </row>
    <row r="2036" spans="1:7" s="172" customFormat="1" ht="15" customHeight="1" x14ac:dyDescent="0.25">
      <c r="A2036" s="828" t="s">
        <v>16191</v>
      </c>
      <c r="B2036" s="829" t="s">
        <v>17715</v>
      </c>
      <c r="C2036" s="829" t="s">
        <v>17715</v>
      </c>
      <c r="D2036" s="828" t="s">
        <v>17825</v>
      </c>
      <c r="E2036" s="833">
        <v>60</v>
      </c>
      <c r="F2036" s="832">
        <v>10</v>
      </c>
      <c r="G2036" s="202" t="str">
        <f t="shared" si="31"/>
        <v/>
      </c>
    </row>
    <row r="2037" spans="1:7" s="172" customFormat="1" ht="15" customHeight="1" x14ac:dyDescent="0.25">
      <c r="A2037" s="828" t="s">
        <v>16191</v>
      </c>
      <c r="B2037" s="829" t="s">
        <v>17715</v>
      </c>
      <c r="C2037" s="829" t="s">
        <v>17715</v>
      </c>
      <c r="D2037" s="830" t="s">
        <v>17826</v>
      </c>
      <c r="E2037" s="833">
        <v>160</v>
      </c>
      <c r="F2037" s="832">
        <v>40</v>
      </c>
      <c r="G2037" s="202" t="str">
        <f t="shared" si="31"/>
        <v/>
      </c>
    </row>
    <row r="2038" spans="1:7" s="172" customFormat="1" ht="15" customHeight="1" x14ac:dyDescent="0.25">
      <c r="A2038" s="828" t="s">
        <v>16191</v>
      </c>
      <c r="B2038" s="829" t="s">
        <v>17715</v>
      </c>
      <c r="C2038" s="829" t="s">
        <v>17715</v>
      </c>
      <c r="D2038" s="828" t="s">
        <v>17827</v>
      </c>
      <c r="E2038" s="831">
        <v>630</v>
      </c>
      <c r="F2038" s="832">
        <v>200</v>
      </c>
      <c r="G2038" s="202" t="str">
        <f t="shared" si="31"/>
        <v/>
      </c>
    </row>
    <row r="2039" spans="1:7" s="172" customFormat="1" ht="15" customHeight="1" x14ac:dyDescent="0.25">
      <c r="A2039" s="834" t="s">
        <v>16191</v>
      </c>
      <c r="B2039" s="829" t="s">
        <v>17715</v>
      </c>
      <c r="C2039" s="829" t="s">
        <v>17715</v>
      </c>
      <c r="D2039" s="828" t="s">
        <v>17830</v>
      </c>
      <c r="E2039" s="833">
        <v>100</v>
      </c>
      <c r="F2039" s="832">
        <v>25</v>
      </c>
      <c r="G2039" s="202" t="str">
        <f t="shared" si="31"/>
        <v/>
      </c>
    </row>
    <row r="2040" spans="1:7" s="172" customFormat="1" ht="15" customHeight="1" x14ac:dyDescent="0.25">
      <c r="A2040" s="834" t="s">
        <v>16191</v>
      </c>
      <c r="B2040" s="829" t="s">
        <v>17715</v>
      </c>
      <c r="C2040" s="829" t="s">
        <v>17715</v>
      </c>
      <c r="D2040" s="828" t="s">
        <v>17828</v>
      </c>
      <c r="E2040" s="833">
        <v>63</v>
      </c>
      <c r="F2040" s="832">
        <v>15</v>
      </c>
      <c r="G2040" s="202" t="str">
        <f t="shared" si="31"/>
        <v/>
      </c>
    </row>
    <row r="2041" spans="1:7" s="172" customFormat="1" ht="15" customHeight="1" x14ac:dyDescent="0.25">
      <c r="A2041" s="834" t="s">
        <v>16191</v>
      </c>
      <c r="B2041" s="829" t="s">
        <v>17715</v>
      </c>
      <c r="C2041" s="829" t="s">
        <v>17715</v>
      </c>
      <c r="D2041" s="828" t="s">
        <v>17829</v>
      </c>
      <c r="E2041" s="833">
        <v>25</v>
      </c>
      <c r="F2041" s="832">
        <v>5</v>
      </c>
      <c r="G2041" s="202" t="str">
        <f t="shared" si="31"/>
        <v/>
      </c>
    </row>
    <row r="2042" spans="1:7" s="172" customFormat="1" ht="15" customHeight="1" x14ac:dyDescent="0.25">
      <c r="A2042" s="834" t="s">
        <v>18632</v>
      </c>
      <c r="B2042" s="829" t="s">
        <v>17715</v>
      </c>
      <c r="C2042" s="829" t="s">
        <v>17715</v>
      </c>
      <c r="D2042" s="828" t="s">
        <v>17821</v>
      </c>
      <c r="E2042" s="833">
        <v>160</v>
      </c>
      <c r="F2042" s="832">
        <v>50</v>
      </c>
      <c r="G2042" s="202" t="str">
        <f t="shared" si="31"/>
        <v/>
      </c>
    </row>
    <row r="2043" spans="1:7" s="172" customFormat="1" ht="15" customHeight="1" x14ac:dyDescent="0.25">
      <c r="A2043" s="834" t="s">
        <v>18633</v>
      </c>
      <c r="B2043" s="829" t="s">
        <v>17715</v>
      </c>
      <c r="C2043" s="829" t="s">
        <v>17715</v>
      </c>
      <c r="D2043" s="828" t="s">
        <v>17831</v>
      </c>
      <c r="E2043" s="833">
        <v>160</v>
      </c>
      <c r="F2043" s="832">
        <v>35</v>
      </c>
      <c r="G2043" s="202" t="str">
        <f t="shared" si="31"/>
        <v/>
      </c>
    </row>
    <row r="2044" spans="1:7" s="172" customFormat="1" ht="15" customHeight="1" x14ac:dyDescent="0.25">
      <c r="A2044" s="834" t="s">
        <v>18634</v>
      </c>
      <c r="B2044" s="829" t="s">
        <v>17715</v>
      </c>
      <c r="C2044" s="829" t="s">
        <v>17715</v>
      </c>
      <c r="D2044" s="828" t="s">
        <v>17832</v>
      </c>
      <c r="E2044" s="833">
        <v>60</v>
      </c>
      <c r="F2044" s="832">
        <v>20</v>
      </c>
      <c r="G2044" s="202" t="str">
        <f t="shared" si="31"/>
        <v/>
      </c>
    </row>
    <row r="2045" spans="1:7" s="172" customFormat="1" ht="15" customHeight="1" x14ac:dyDescent="0.25">
      <c r="A2045" s="834" t="s">
        <v>18634</v>
      </c>
      <c r="B2045" s="829" t="s">
        <v>17715</v>
      </c>
      <c r="C2045" s="829" t="s">
        <v>17715</v>
      </c>
      <c r="D2045" s="828" t="s">
        <v>17834</v>
      </c>
      <c r="E2045" s="833">
        <v>160</v>
      </c>
      <c r="F2045" s="832">
        <v>50</v>
      </c>
      <c r="G2045" s="202" t="str">
        <f t="shared" si="31"/>
        <v/>
      </c>
    </row>
    <row r="2046" spans="1:7" s="172" customFormat="1" ht="15" customHeight="1" x14ac:dyDescent="0.25">
      <c r="A2046" s="828" t="s">
        <v>18634</v>
      </c>
      <c r="B2046" s="829" t="s">
        <v>17715</v>
      </c>
      <c r="C2046" s="829" t="s">
        <v>17715</v>
      </c>
      <c r="D2046" s="828" t="s">
        <v>17835</v>
      </c>
      <c r="E2046" s="833">
        <v>400</v>
      </c>
      <c r="F2046" s="832">
        <v>140</v>
      </c>
      <c r="G2046" s="202" t="str">
        <f t="shared" si="31"/>
        <v/>
      </c>
    </row>
    <row r="2047" spans="1:7" s="172" customFormat="1" ht="15" customHeight="1" x14ac:dyDescent="0.25">
      <c r="A2047" s="828" t="s">
        <v>18635</v>
      </c>
      <c r="B2047" s="829" t="s">
        <v>17715</v>
      </c>
      <c r="C2047" s="829" t="s">
        <v>17715</v>
      </c>
      <c r="D2047" s="830" t="s">
        <v>17833</v>
      </c>
      <c r="E2047" s="833">
        <v>160</v>
      </c>
      <c r="F2047" s="832">
        <v>50</v>
      </c>
      <c r="G2047" s="202" t="str">
        <f t="shared" si="31"/>
        <v/>
      </c>
    </row>
    <row r="2048" spans="1:7" s="172" customFormat="1" ht="15" customHeight="1" x14ac:dyDescent="0.25">
      <c r="A2048" s="828" t="s">
        <v>18636</v>
      </c>
      <c r="B2048" s="829" t="s">
        <v>17715</v>
      </c>
      <c r="C2048" s="829" t="s">
        <v>17715</v>
      </c>
      <c r="D2048" s="828" t="s">
        <v>17836</v>
      </c>
      <c r="E2048" s="833">
        <v>180</v>
      </c>
      <c r="F2048" s="832">
        <v>80</v>
      </c>
      <c r="G2048" s="202" t="str">
        <f t="shared" si="31"/>
        <v/>
      </c>
    </row>
    <row r="2049" spans="1:7" s="172" customFormat="1" ht="15" customHeight="1" x14ac:dyDescent="0.25">
      <c r="A2049" s="828" t="s">
        <v>18637</v>
      </c>
      <c r="B2049" s="829" t="s">
        <v>17715</v>
      </c>
      <c r="C2049" s="829" t="s">
        <v>17715</v>
      </c>
      <c r="D2049" s="828" t="s">
        <v>17837</v>
      </c>
      <c r="E2049" s="833">
        <v>100</v>
      </c>
      <c r="F2049" s="832">
        <v>10</v>
      </c>
      <c r="G2049" s="202" t="str">
        <f t="shared" si="31"/>
        <v/>
      </c>
    </row>
    <row r="2050" spans="1:7" s="172" customFormat="1" ht="15" customHeight="1" x14ac:dyDescent="0.25">
      <c r="A2050" s="828" t="s">
        <v>18638</v>
      </c>
      <c r="B2050" s="829" t="s">
        <v>17715</v>
      </c>
      <c r="C2050" s="829" t="s">
        <v>17715</v>
      </c>
      <c r="D2050" s="830" t="s">
        <v>17838</v>
      </c>
      <c r="E2050" s="833">
        <v>100</v>
      </c>
      <c r="F2050" s="832">
        <v>0</v>
      </c>
      <c r="G2050" s="202" t="str">
        <f t="shared" si="31"/>
        <v/>
      </c>
    </row>
    <row r="2051" spans="1:7" s="172" customFormat="1" ht="15" customHeight="1" x14ac:dyDescent="0.25">
      <c r="A2051" s="828" t="s">
        <v>18639</v>
      </c>
      <c r="B2051" s="829" t="s">
        <v>17715</v>
      </c>
      <c r="C2051" s="829" t="s">
        <v>17715</v>
      </c>
      <c r="D2051" s="828" t="s">
        <v>17839</v>
      </c>
      <c r="E2051" s="833">
        <v>63</v>
      </c>
      <c r="F2051" s="832">
        <v>15</v>
      </c>
      <c r="G2051" s="202" t="str">
        <f t="shared" si="31"/>
        <v/>
      </c>
    </row>
    <row r="2052" spans="1:7" s="172" customFormat="1" ht="15" customHeight="1" x14ac:dyDescent="0.25">
      <c r="A2052" s="828" t="s">
        <v>18640</v>
      </c>
      <c r="B2052" s="829" t="s">
        <v>17715</v>
      </c>
      <c r="C2052" s="829" t="s">
        <v>17715</v>
      </c>
      <c r="D2052" s="830" t="s">
        <v>17840</v>
      </c>
      <c r="E2052" s="833">
        <v>160</v>
      </c>
      <c r="F2052" s="832">
        <v>55</v>
      </c>
      <c r="G2052" s="202" t="str">
        <f t="shared" ref="G2052:G2115" si="32">IF(E2052=F2052,"не загружен","")</f>
        <v/>
      </c>
    </row>
    <row r="2053" spans="1:7" s="172" customFormat="1" ht="15" customHeight="1" x14ac:dyDescent="0.25">
      <c r="A2053" s="834" t="s">
        <v>18641</v>
      </c>
      <c r="B2053" s="829" t="s">
        <v>17715</v>
      </c>
      <c r="C2053" s="829" t="s">
        <v>17715</v>
      </c>
      <c r="D2053" s="828" t="s">
        <v>17841</v>
      </c>
      <c r="E2053" s="833">
        <v>40</v>
      </c>
      <c r="F2053" s="832">
        <v>5</v>
      </c>
      <c r="G2053" s="202" t="str">
        <f t="shared" si="32"/>
        <v/>
      </c>
    </row>
    <row r="2054" spans="1:7" s="172" customFormat="1" ht="15" customHeight="1" x14ac:dyDescent="0.25">
      <c r="A2054" s="834" t="s">
        <v>18642</v>
      </c>
      <c r="B2054" s="829" t="s">
        <v>17715</v>
      </c>
      <c r="C2054" s="829" t="s">
        <v>17715</v>
      </c>
      <c r="D2054" s="828" t="s">
        <v>17842</v>
      </c>
      <c r="E2054" s="833">
        <v>100</v>
      </c>
      <c r="F2054" s="832">
        <v>25</v>
      </c>
      <c r="G2054" s="202" t="str">
        <f t="shared" si="32"/>
        <v/>
      </c>
    </row>
    <row r="2055" spans="1:7" s="172" customFormat="1" ht="15" customHeight="1" x14ac:dyDescent="0.25">
      <c r="A2055" s="834" t="s">
        <v>18643</v>
      </c>
      <c r="B2055" s="829" t="s">
        <v>17715</v>
      </c>
      <c r="C2055" s="829" t="s">
        <v>17715</v>
      </c>
      <c r="D2055" s="828" t="s">
        <v>17843</v>
      </c>
      <c r="E2055" s="833">
        <v>100</v>
      </c>
      <c r="F2055" s="832">
        <v>20</v>
      </c>
      <c r="G2055" s="202" t="str">
        <f t="shared" si="32"/>
        <v/>
      </c>
    </row>
    <row r="2056" spans="1:7" s="172" customFormat="1" ht="15" customHeight="1" x14ac:dyDescent="0.25">
      <c r="A2056" s="834" t="s">
        <v>18643</v>
      </c>
      <c r="B2056" s="829" t="s">
        <v>17715</v>
      </c>
      <c r="C2056" s="829" t="s">
        <v>17715</v>
      </c>
      <c r="D2056" s="830" t="s">
        <v>17844</v>
      </c>
      <c r="E2056" s="833">
        <v>20</v>
      </c>
      <c r="F2056" s="832">
        <v>5</v>
      </c>
      <c r="G2056" s="202" t="str">
        <f t="shared" si="32"/>
        <v/>
      </c>
    </row>
    <row r="2057" spans="1:7" s="172" customFormat="1" ht="15" customHeight="1" x14ac:dyDescent="0.25">
      <c r="A2057" s="828" t="s">
        <v>18643</v>
      </c>
      <c r="B2057" s="829" t="s">
        <v>17715</v>
      </c>
      <c r="C2057" s="829" t="s">
        <v>17715</v>
      </c>
      <c r="D2057" s="828" t="s">
        <v>17845</v>
      </c>
      <c r="E2057" s="833">
        <v>60</v>
      </c>
      <c r="F2057" s="832">
        <v>15</v>
      </c>
      <c r="G2057" s="202" t="str">
        <f t="shared" si="32"/>
        <v/>
      </c>
    </row>
    <row r="2058" spans="1:7" s="172" customFormat="1" ht="15" customHeight="1" x14ac:dyDescent="0.25">
      <c r="A2058" s="828" t="s">
        <v>18643</v>
      </c>
      <c r="B2058" s="829" t="s">
        <v>17715</v>
      </c>
      <c r="C2058" s="829" t="s">
        <v>17715</v>
      </c>
      <c r="D2058" s="828" t="s">
        <v>17846</v>
      </c>
      <c r="E2058" s="833">
        <v>160</v>
      </c>
      <c r="F2058" s="832">
        <v>55</v>
      </c>
      <c r="G2058" s="202" t="str">
        <f t="shared" si="32"/>
        <v/>
      </c>
    </row>
    <row r="2059" spans="1:7" s="172" customFormat="1" ht="15" customHeight="1" x14ac:dyDescent="0.25">
      <c r="A2059" s="834" t="s">
        <v>18643</v>
      </c>
      <c r="B2059" s="829" t="s">
        <v>17715</v>
      </c>
      <c r="C2059" s="829" t="s">
        <v>17715</v>
      </c>
      <c r="D2059" s="830" t="s">
        <v>17848</v>
      </c>
      <c r="E2059" s="833">
        <v>160</v>
      </c>
      <c r="F2059" s="832">
        <v>40</v>
      </c>
      <c r="G2059" s="202" t="str">
        <f t="shared" si="32"/>
        <v/>
      </c>
    </row>
    <row r="2060" spans="1:7" s="172" customFormat="1" ht="15" customHeight="1" x14ac:dyDescent="0.25">
      <c r="A2060" s="828" t="s">
        <v>18643</v>
      </c>
      <c r="B2060" s="829" t="s">
        <v>17715</v>
      </c>
      <c r="C2060" s="829" t="s">
        <v>17715</v>
      </c>
      <c r="D2060" s="828" t="s">
        <v>17849</v>
      </c>
      <c r="E2060" s="833">
        <v>160</v>
      </c>
      <c r="F2060" s="832">
        <v>55</v>
      </c>
      <c r="G2060" s="202" t="str">
        <f t="shared" si="32"/>
        <v/>
      </c>
    </row>
    <row r="2061" spans="1:7" s="172" customFormat="1" ht="15" customHeight="1" x14ac:dyDescent="0.25">
      <c r="A2061" s="828" t="s">
        <v>18644</v>
      </c>
      <c r="B2061" s="829" t="s">
        <v>17715</v>
      </c>
      <c r="C2061" s="829" t="s">
        <v>17715</v>
      </c>
      <c r="D2061" s="828" t="s">
        <v>17847</v>
      </c>
      <c r="E2061" s="833">
        <v>250</v>
      </c>
      <c r="F2061" s="832">
        <v>60</v>
      </c>
      <c r="G2061" s="202" t="str">
        <f t="shared" si="32"/>
        <v/>
      </c>
    </row>
    <row r="2062" spans="1:7" s="172" customFormat="1" ht="15" customHeight="1" x14ac:dyDescent="0.25">
      <c r="A2062" s="830" t="s">
        <v>18645</v>
      </c>
      <c r="B2062" s="829" t="s">
        <v>17715</v>
      </c>
      <c r="C2062" s="829" t="s">
        <v>17715</v>
      </c>
      <c r="D2062" s="830" t="s">
        <v>17850</v>
      </c>
      <c r="E2062" s="833">
        <v>160</v>
      </c>
      <c r="F2062" s="832">
        <v>50</v>
      </c>
      <c r="G2062" s="202" t="str">
        <f t="shared" si="32"/>
        <v/>
      </c>
    </row>
    <row r="2063" spans="1:7" s="172" customFormat="1" ht="15" customHeight="1" x14ac:dyDescent="0.25">
      <c r="A2063" s="828" t="s">
        <v>18646</v>
      </c>
      <c r="B2063" s="829" t="s">
        <v>17715</v>
      </c>
      <c r="C2063" s="829" t="s">
        <v>17715</v>
      </c>
      <c r="D2063" s="830" t="s">
        <v>17851</v>
      </c>
      <c r="E2063" s="833">
        <v>250</v>
      </c>
      <c r="F2063" s="832">
        <v>100</v>
      </c>
      <c r="G2063" s="202" t="str">
        <f t="shared" si="32"/>
        <v/>
      </c>
    </row>
    <row r="2064" spans="1:7" s="172" customFormat="1" ht="15" customHeight="1" x14ac:dyDescent="0.25">
      <c r="A2064" s="834" t="s">
        <v>18647</v>
      </c>
      <c r="B2064" s="829" t="s">
        <v>17715</v>
      </c>
      <c r="C2064" s="829" t="s">
        <v>17715</v>
      </c>
      <c r="D2064" s="828" t="s">
        <v>17852</v>
      </c>
      <c r="E2064" s="833">
        <v>60</v>
      </c>
      <c r="F2064" s="832">
        <v>0</v>
      </c>
      <c r="G2064" s="202" t="str">
        <f t="shared" si="32"/>
        <v/>
      </c>
    </row>
    <row r="2065" spans="1:7" s="172" customFormat="1" ht="15" customHeight="1" x14ac:dyDescent="0.25">
      <c r="A2065" s="828" t="s">
        <v>18648</v>
      </c>
      <c r="B2065" s="829" t="s">
        <v>17715</v>
      </c>
      <c r="C2065" s="829" t="s">
        <v>17715</v>
      </c>
      <c r="D2065" s="828" t="s">
        <v>17853</v>
      </c>
      <c r="E2065" s="833">
        <v>100</v>
      </c>
      <c r="F2065" s="832">
        <v>35</v>
      </c>
      <c r="G2065" s="202" t="str">
        <f t="shared" si="32"/>
        <v/>
      </c>
    </row>
    <row r="2066" spans="1:7" s="172" customFormat="1" ht="15" customHeight="1" x14ac:dyDescent="0.25">
      <c r="A2066" s="828" t="s">
        <v>18649</v>
      </c>
      <c r="B2066" s="829" t="s">
        <v>17715</v>
      </c>
      <c r="C2066" s="829" t="s">
        <v>17715</v>
      </c>
      <c r="D2066" s="828" t="s">
        <v>17854</v>
      </c>
      <c r="E2066" s="833">
        <v>100</v>
      </c>
      <c r="F2066" s="832">
        <v>20</v>
      </c>
      <c r="G2066" s="202" t="str">
        <f t="shared" si="32"/>
        <v/>
      </c>
    </row>
    <row r="2067" spans="1:7" s="172" customFormat="1" ht="15" customHeight="1" x14ac:dyDescent="0.25">
      <c r="A2067" s="828" t="s">
        <v>18649</v>
      </c>
      <c r="B2067" s="829" t="s">
        <v>17715</v>
      </c>
      <c r="C2067" s="829" t="s">
        <v>17715</v>
      </c>
      <c r="D2067" s="828" t="s">
        <v>17855</v>
      </c>
      <c r="E2067" s="833">
        <v>100</v>
      </c>
      <c r="F2067" s="832">
        <v>35</v>
      </c>
      <c r="G2067" s="202" t="str">
        <f t="shared" si="32"/>
        <v/>
      </c>
    </row>
    <row r="2068" spans="1:7" s="172" customFormat="1" ht="15" customHeight="1" x14ac:dyDescent="0.25">
      <c r="A2068" s="834" t="s">
        <v>18650</v>
      </c>
      <c r="B2068" s="829" t="s">
        <v>17715</v>
      </c>
      <c r="C2068" s="829" t="s">
        <v>17715</v>
      </c>
      <c r="D2068" s="828" t="s">
        <v>17856</v>
      </c>
      <c r="E2068" s="833">
        <v>160</v>
      </c>
      <c r="F2068" s="832">
        <v>30</v>
      </c>
      <c r="G2068" s="202" t="str">
        <f t="shared" si="32"/>
        <v/>
      </c>
    </row>
    <row r="2069" spans="1:7" s="172" customFormat="1" ht="15" customHeight="1" x14ac:dyDescent="0.25">
      <c r="A2069" s="834" t="s">
        <v>18651</v>
      </c>
      <c r="B2069" s="829" t="s">
        <v>17715</v>
      </c>
      <c r="C2069" s="829" t="s">
        <v>17715</v>
      </c>
      <c r="D2069" s="828" t="s">
        <v>17857</v>
      </c>
      <c r="E2069" s="833">
        <v>100</v>
      </c>
      <c r="F2069" s="832">
        <v>35</v>
      </c>
      <c r="G2069" s="202" t="str">
        <f t="shared" si="32"/>
        <v/>
      </c>
    </row>
    <row r="2070" spans="1:7" s="172" customFormat="1" ht="15" customHeight="1" x14ac:dyDescent="0.25">
      <c r="A2070" s="834" t="s">
        <v>18652</v>
      </c>
      <c r="B2070" s="829" t="s">
        <v>17715</v>
      </c>
      <c r="C2070" s="829" t="s">
        <v>17715</v>
      </c>
      <c r="D2070" s="828" t="s">
        <v>17858</v>
      </c>
      <c r="E2070" s="833">
        <v>160</v>
      </c>
      <c r="F2070" s="832">
        <v>30</v>
      </c>
      <c r="G2070" s="202" t="str">
        <f t="shared" si="32"/>
        <v/>
      </c>
    </row>
    <row r="2071" spans="1:7" s="172" customFormat="1" ht="15" customHeight="1" x14ac:dyDescent="0.25">
      <c r="A2071" s="834" t="s">
        <v>18652</v>
      </c>
      <c r="B2071" s="829" t="s">
        <v>17715</v>
      </c>
      <c r="C2071" s="829" t="s">
        <v>17715</v>
      </c>
      <c r="D2071" s="828" t="s">
        <v>17859</v>
      </c>
      <c r="E2071" s="833">
        <v>250</v>
      </c>
      <c r="F2071" s="832">
        <v>30</v>
      </c>
      <c r="G2071" s="202" t="str">
        <f t="shared" si="32"/>
        <v/>
      </c>
    </row>
    <row r="2072" spans="1:7" s="172" customFormat="1" ht="15" customHeight="1" x14ac:dyDescent="0.25">
      <c r="A2072" s="834" t="s">
        <v>18652</v>
      </c>
      <c r="B2072" s="829" t="s">
        <v>17715</v>
      </c>
      <c r="C2072" s="829" t="s">
        <v>17715</v>
      </c>
      <c r="D2072" s="828" t="s">
        <v>17860</v>
      </c>
      <c r="E2072" s="833">
        <v>630</v>
      </c>
      <c r="F2072" s="832">
        <v>450</v>
      </c>
      <c r="G2072" s="202" t="str">
        <f t="shared" si="32"/>
        <v/>
      </c>
    </row>
    <row r="2073" spans="1:7" s="172" customFormat="1" ht="15" customHeight="1" x14ac:dyDescent="0.25">
      <c r="A2073" s="834" t="s">
        <v>18653</v>
      </c>
      <c r="B2073" s="829" t="s">
        <v>17715</v>
      </c>
      <c r="C2073" s="829" t="s">
        <v>17715</v>
      </c>
      <c r="D2073" s="828" t="s">
        <v>17861</v>
      </c>
      <c r="E2073" s="833">
        <v>30</v>
      </c>
      <c r="F2073" s="832">
        <v>5</v>
      </c>
      <c r="G2073" s="202" t="str">
        <f t="shared" si="32"/>
        <v/>
      </c>
    </row>
    <row r="2074" spans="1:7" s="172" customFormat="1" ht="15" customHeight="1" x14ac:dyDescent="0.25">
      <c r="A2074" s="834" t="s">
        <v>16155</v>
      </c>
      <c r="B2074" s="829" t="s">
        <v>17715</v>
      </c>
      <c r="C2074" s="829" t="s">
        <v>17715</v>
      </c>
      <c r="D2074" s="828" t="s">
        <v>17862</v>
      </c>
      <c r="E2074" s="833">
        <v>250</v>
      </c>
      <c r="F2074" s="832">
        <v>70</v>
      </c>
      <c r="G2074" s="202" t="str">
        <f t="shared" si="32"/>
        <v/>
      </c>
    </row>
    <row r="2075" spans="1:7" s="172" customFormat="1" ht="15" customHeight="1" x14ac:dyDescent="0.25">
      <c r="A2075" s="834" t="s">
        <v>16155</v>
      </c>
      <c r="B2075" s="829" t="s">
        <v>17715</v>
      </c>
      <c r="C2075" s="829" t="s">
        <v>17715</v>
      </c>
      <c r="D2075" s="828" t="s">
        <v>17863</v>
      </c>
      <c r="E2075" s="833">
        <v>100</v>
      </c>
      <c r="F2075" s="832">
        <v>30</v>
      </c>
      <c r="G2075" s="202" t="str">
        <f t="shared" si="32"/>
        <v/>
      </c>
    </row>
    <row r="2076" spans="1:7" s="172" customFormat="1" ht="15" customHeight="1" x14ac:dyDescent="0.25">
      <c r="A2076" s="834" t="s">
        <v>16155</v>
      </c>
      <c r="B2076" s="829" t="s">
        <v>17715</v>
      </c>
      <c r="C2076" s="829" t="s">
        <v>17715</v>
      </c>
      <c r="D2076" s="828" t="s">
        <v>17864</v>
      </c>
      <c r="E2076" s="833">
        <v>60</v>
      </c>
      <c r="F2076" s="832">
        <v>10</v>
      </c>
      <c r="G2076" s="202" t="str">
        <f t="shared" si="32"/>
        <v/>
      </c>
    </row>
    <row r="2077" spans="1:7" s="172" customFormat="1" ht="15" customHeight="1" x14ac:dyDescent="0.25">
      <c r="A2077" s="834" t="s">
        <v>18654</v>
      </c>
      <c r="B2077" s="829" t="s">
        <v>17715</v>
      </c>
      <c r="C2077" s="829" t="s">
        <v>17715</v>
      </c>
      <c r="D2077" s="830" t="s">
        <v>17865</v>
      </c>
      <c r="E2077" s="833">
        <v>50</v>
      </c>
      <c r="F2077" s="832">
        <v>10</v>
      </c>
      <c r="G2077" s="202" t="str">
        <f t="shared" si="32"/>
        <v/>
      </c>
    </row>
    <row r="2078" spans="1:7" s="172" customFormat="1" ht="15" customHeight="1" x14ac:dyDescent="0.25">
      <c r="A2078" s="828" t="s">
        <v>18655</v>
      </c>
      <c r="B2078" s="829" t="s">
        <v>17715</v>
      </c>
      <c r="C2078" s="829" t="s">
        <v>17715</v>
      </c>
      <c r="D2078" s="828" t="s">
        <v>17866</v>
      </c>
      <c r="E2078" s="833">
        <v>40</v>
      </c>
      <c r="F2078" s="832">
        <v>10</v>
      </c>
      <c r="G2078" s="202" t="str">
        <f t="shared" si="32"/>
        <v/>
      </c>
    </row>
    <row r="2079" spans="1:7" s="172" customFormat="1" ht="15" customHeight="1" x14ac:dyDescent="0.25">
      <c r="A2079" s="828" t="s">
        <v>18656</v>
      </c>
      <c r="B2079" s="829" t="s">
        <v>17715</v>
      </c>
      <c r="C2079" s="829" t="s">
        <v>17715</v>
      </c>
      <c r="D2079" s="828" t="s">
        <v>17867</v>
      </c>
      <c r="E2079" s="833">
        <v>40</v>
      </c>
      <c r="F2079" s="832">
        <v>0</v>
      </c>
      <c r="G2079" s="202" t="str">
        <f t="shared" si="32"/>
        <v/>
      </c>
    </row>
    <row r="2080" spans="1:7" s="172" customFormat="1" ht="15" customHeight="1" x14ac:dyDescent="0.25">
      <c r="A2080" s="828" t="s">
        <v>18657</v>
      </c>
      <c r="B2080" s="829" t="s">
        <v>17715</v>
      </c>
      <c r="C2080" s="829" t="s">
        <v>17715</v>
      </c>
      <c r="D2080" s="828" t="s">
        <v>17868</v>
      </c>
      <c r="E2080" s="833">
        <v>63</v>
      </c>
      <c r="F2080" s="832">
        <v>0</v>
      </c>
      <c r="G2080" s="202" t="str">
        <f t="shared" si="32"/>
        <v/>
      </c>
    </row>
    <row r="2081" spans="1:7" s="172" customFormat="1" ht="15" customHeight="1" x14ac:dyDescent="0.25">
      <c r="A2081" s="828" t="s">
        <v>18658</v>
      </c>
      <c r="B2081" s="829" t="s">
        <v>17715</v>
      </c>
      <c r="C2081" s="829" t="s">
        <v>17715</v>
      </c>
      <c r="D2081" s="828" t="s">
        <v>17869</v>
      </c>
      <c r="E2081" s="833">
        <v>60</v>
      </c>
      <c r="F2081" s="832">
        <v>15</v>
      </c>
      <c r="G2081" s="202" t="str">
        <f t="shared" si="32"/>
        <v/>
      </c>
    </row>
    <row r="2082" spans="1:7" s="172" customFormat="1" ht="15" customHeight="1" x14ac:dyDescent="0.25">
      <c r="A2082" s="828" t="s">
        <v>18659</v>
      </c>
      <c r="B2082" s="829" t="s">
        <v>17715</v>
      </c>
      <c r="C2082" s="829" t="s">
        <v>17715</v>
      </c>
      <c r="D2082" s="828" t="s">
        <v>17870</v>
      </c>
      <c r="E2082" s="833">
        <v>60</v>
      </c>
      <c r="F2082" s="832">
        <v>40</v>
      </c>
      <c r="G2082" s="202" t="str">
        <f t="shared" si="32"/>
        <v/>
      </c>
    </row>
    <row r="2083" spans="1:7" s="172" customFormat="1" ht="15" customHeight="1" x14ac:dyDescent="0.25">
      <c r="A2083" s="834" t="s">
        <v>18660</v>
      </c>
      <c r="B2083" s="829" t="s">
        <v>17715</v>
      </c>
      <c r="C2083" s="829" t="s">
        <v>17715</v>
      </c>
      <c r="D2083" s="828" t="s">
        <v>17871</v>
      </c>
      <c r="E2083" s="833">
        <v>100</v>
      </c>
      <c r="F2083" s="832">
        <v>10</v>
      </c>
      <c r="G2083" s="202" t="str">
        <f t="shared" si="32"/>
        <v/>
      </c>
    </row>
    <row r="2084" spans="1:7" s="172" customFormat="1" ht="15" customHeight="1" x14ac:dyDescent="0.25">
      <c r="A2084" s="834" t="s">
        <v>18661</v>
      </c>
      <c r="B2084" s="829" t="s">
        <v>17715</v>
      </c>
      <c r="C2084" s="829" t="s">
        <v>17715</v>
      </c>
      <c r="D2084" s="828" t="s">
        <v>17872</v>
      </c>
      <c r="E2084" s="833">
        <v>60</v>
      </c>
      <c r="F2084" s="832">
        <v>5</v>
      </c>
      <c r="G2084" s="202" t="str">
        <f t="shared" si="32"/>
        <v/>
      </c>
    </row>
    <row r="2085" spans="1:7" s="172" customFormat="1" ht="15" customHeight="1" x14ac:dyDescent="0.25">
      <c r="A2085" s="828" t="s">
        <v>18662</v>
      </c>
      <c r="B2085" s="829" t="s">
        <v>17715</v>
      </c>
      <c r="C2085" s="829" t="s">
        <v>17715</v>
      </c>
      <c r="D2085" s="828" t="s">
        <v>17873</v>
      </c>
      <c r="E2085" s="833">
        <v>60</v>
      </c>
      <c r="F2085" s="832">
        <v>15</v>
      </c>
      <c r="G2085" s="202" t="str">
        <f t="shared" si="32"/>
        <v/>
      </c>
    </row>
    <row r="2086" spans="1:7" s="172" customFormat="1" ht="15" customHeight="1" x14ac:dyDescent="0.25">
      <c r="A2086" s="828" t="s">
        <v>18663</v>
      </c>
      <c r="B2086" s="829" t="s">
        <v>17715</v>
      </c>
      <c r="C2086" s="829" t="s">
        <v>17715</v>
      </c>
      <c r="D2086" s="828" t="s">
        <v>17874</v>
      </c>
      <c r="E2086" s="833">
        <v>25</v>
      </c>
      <c r="F2086" s="832">
        <v>5</v>
      </c>
      <c r="G2086" s="202" t="str">
        <f t="shared" si="32"/>
        <v/>
      </c>
    </row>
    <row r="2087" spans="1:7" s="172" customFormat="1" ht="15" customHeight="1" x14ac:dyDescent="0.25">
      <c r="A2087" s="828" t="s">
        <v>18664</v>
      </c>
      <c r="B2087" s="829" t="s">
        <v>17715</v>
      </c>
      <c r="C2087" s="829" t="s">
        <v>17715</v>
      </c>
      <c r="D2087" s="828" t="s">
        <v>17875</v>
      </c>
      <c r="E2087" s="833">
        <v>160</v>
      </c>
      <c r="F2087" s="832">
        <v>50</v>
      </c>
      <c r="G2087" s="202" t="str">
        <f t="shared" si="32"/>
        <v/>
      </c>
    </row>
    <row r="2088" spans="1:7" s="172" customFormat="1" ht="15" customHeight="1" x14ac:dyDescent="0.25">
      <c r="A2088" s="828" t="s">
        <v>18664</v>
      </c>
      <c r="B2088" s="829" t="s">
        <v>17715</v>
      </c>
      <c r="C2088" s="829" t="s">
        <v>17715</v>
      </c>
      <c r="D2088" s="828" t="s">
        <v>17876</v>
      </c>
      <c r="E2088" s="833">
        <v>160</v>
      </c>
      <c r="F2088" s="832">
        <v>60</v>
      </c>
      <c r="G2088" s="202" t="str">
        <f t="shared" si="32"/>
        <v/>
      </c>
    </row>
    <row r="2089" spans="1:7" s="172" customFormat="1" ht="15" customHeight="1" x14ac:dyDescent="0.25">
      <c r="A2089" s="828" t="s">
        <v>18664</v>
      </c>
      <c r="B2089" s="829" t="s">
        <v>17715</v>
      </c>
      <c r="C2089" s="829" t="s">
        <v>17715</v>
      </c>
      <c r="D2089" s="828" t="s">
        <v>17878</v>
      </c>
      <c r="E2089" s="833">
        <v>100</v>
      </c>
      <c r="F2089" s="832">
        <v>30</v>
      </c>
      <c r="G2089" s="202" t="str">
        <f t="shared" si="32"/>
        <v/>
      </c>
    </row>
    <row r="2090" spans="1:7" s="172" customFormat="1" ht="15" customHeight="1" x14ac:dyDescent="0.25">
      <c r="A2090" s="828" t="s">
        <v>18664</v>
      </c>
      <c r="B2090" s="829" t="s">
        <v>17715</v>
      </c>
      <c r="C2090" s="829" t="s">
        <v>17715</v>
      </c>
      <c r="D2090" s="828" t="s">
        <v>17879</v>
      </c>
      <c r="E2090" s="833">
        <v>30</v>
      </c>
      <c r="F2090" s="832">
        <v>5</v>
      </c>
      <c r="G2090" s="202" t="str">
        <f t="shared" si="32"/>
        <v/>
      </c>
    </row>
    <row r="2091" spans="1:7" s="172" customFormat="1" ht="15" customHeight="1" x14ac:dyDescent="0.25">
      <c r="A2091" s="828" t="s">
        <v>18665</v>
      </c>
      <c r="B2091" s="829" t="s">
        <v>17715</v>
      </c>
      <c r="C2091" s="829" t="s">
        <v>17715</v>
      </c>
      <c r="D2091" s="828" t="s">
        <v>17877</v>
      </c>
      <c r="E2091" s="833">
        <v>400</v>
      </c>
      <c r="F2091" s="832">
        <v>140</v>
      </c>
      <c r="G2091" s="202" t="str">
        <f t="shared" si="32"/>
        <v/>
      </c>
    </row>
    <row r="2092" spans="1:7" s="172" customFormat="1" ht="15" customHeight="1" x14ac:dyDescent="0.25">
      <c r="A2092" s="828" t="s">
        <v>18666</v>
      </c>
      <c r="B2092" s="829" t="s">
        <v>17715</v>
      </c>
      <c r="C2092" s="829" t="s">
        <v>17715</v>
      </c>
      <c r="D2092" s="828" t="s">
        <v>17880</v>
      </c>
      <c r="E2092" s="833">
        <v>63</v>
      </c>
      <c r="F2092" s="832">
        <v>15</v>
      </c>
      <c r="G2092" s="202" t="str">
        <f t="shared" si="32"/>
        <v/>
      </c>
    </row>
    <row r="2093" spans="1:7" s="172" customFormat="1" ht="15" customHeight="1" x14ac:dyDescent="0.25">
      <c r="A2093" s="828" t="s">
        <v>18667</v>
      </c>
      <c r="B2093" s="829" t="s">
        <v>17715</v>
      </c>
      <c r="C2093" s="829" t="s">
        <v>17715</v>
      </c>
      <c r="D2093" s="828" t="s">
        <v>17881</v>
      </c>
      <c r="E2093" s="833">
        <v>25</v>
      </c>
      <c r="F2093" s="832">
        <v>5</v>
      </c>
      <c r="G2093" s="202" t="str">
        <f t="shared" si="32"/>
        <v/>
      </c>
    </row>
    <row r="2094" spans="1:7" s="172" customFormat="1" ht="15" customHeight="1" x14ac:dyDescent="0.25">
      <c r="A2094" s="834" t="s">
        <v>18668</v>
      </c>
      <c r="B2094" s="829" t="s">
        <v>17715</v>
      </c>
      <c r="C2094" s="829" t="s">
        <v>17715</v>
      </c>
      <c r="D2094" s="828" t="s">
        <v>17882</v>
      </c>
      <c r="E2094" s="833">
        <v>250</v>
      </c>
      <c r="F2094" s="832">
        <v>70</v>
      </c>
      <c r="G2094" s="202" t="str">
        <f t="shared" si="32"/>
        <v/>
      </c>
    </row>
    <row r="2095" spans="1:7" s="172" customFormat="1" ht="15" customHeight="1" x14ac:dyDescent="0.25">
      <c r="A2095" s="834" t="s">
        <v>18668</v>
      </c>
      <c r="B2095" s="829" t="s">
        <v>17715</v>
      </c>
      <c r="C2095" s="829" t="s">
        <v>17715</v>
      </c>
      <c r="D2095" s="828" t="s">
        <v>17883</v>
      </c>
      <c r="E2095" s="833">
        <v>100</v>
      </c>
      <c r="F2095" s="832">
        <v>20</v>
      </c>
      <c r="G2095" s="202" t="str">
        <f t="shared" si="32"/>
        <v/>
      </c>
    </row>
    <row r="2096" spans="1:7" s="172" customFormat="1" ht="15" customHeight="1" x14ac:dyDescent="0.25">
      <c r="A2096" s="834" t="s">
        <v>18668</v>
      </c>
      <c r="B2096" s="829" t="s">
        <v>17715</v>
      </c>
      <c r="C2096" s="829" t="s">
        <v>17715</v>
      </c>
      <c r="D2096" s="828" t="s">
        <v>17885</v>
      </c>
      <c r="E2096" s="833">
        <v>100</v>
      </c>
      <c r="F2096" s="832">
        <v>20</v>
      </c>
      <c r="G2096" s="202" t="str">
        <f t="shared" si="32"/>
        <v/>
      </c>
    </row>
    <row r="2097" spans="1:7" s="172" customFormat="1" ht="15" customHeight="1" x14ac:dyDescent="0.25">
      <c r="A2097" s="834" t="s">
        <v>18668</v>
      </c>
      <c r="B2097" s="829" t="s">
        <v>17715</v>
      </c>
      <c r="C2097" s="829" t="s">
        <v>17715</v>
      </c>
      <c r="D2097" s="828" t="s">
        <v>17886</v>
      </c>
      <c r="E2097" s="833">
        <v>160</v>
      </c>
      <c r="F2097" s="832">
        <v>40</v>
      </c>
      <c r="G2097" s="202" t="str">
        <f t="shared" si="32"/>
        <v/>
      </c>
    </row>
    <row r="2098" spans="1:7" s="172" customFormat="1" ht="15" customHeight="1" x14ac:dyDescent="0.25">
      <c r="A2098" s="834" t="s">
        <v>18668</v>
      </c>
      <c r="B2098" s="829" t="s">
        <v>17715</v>
      </c>
      <c r="C2098" s="829" t="s">
        <v>17715</v>
      </c>
      <c r="D2098" s="828" t="s">
        <v>17887</v>
      </c>
      <c r="E2098" s="833">
        <v>60</v>
      </c>
      <c r="F2098" s="832">
        <v>10</v>
      </c>
      <c r="G2098" s="202" t="str">
        <f t="shared" si="32"/>
        <v/>
      </c>
    </row>
    <row r="2099" spans="1:7" s="172" customFormat="1" ht="15" customHeight="1" x14ac:dyDescent="0.25">
      <c r="A2099" s="834" t="s">
        <v>18668</v>
      </c>
      <c r="B2099" s="829" t="s">
        <v>17715</v>
      </c>
      <c r="C2099" s="829" t="s">
        <v>17715</v>
      </c>
      <c r="D2099" s="828" t="s">
        <v>17888</v>
      </c>
      <c r="E2099" s="833">
        <v>250</v>
      </c>
      <c r="F2099" s="832">
        <v>110</v>
      </c>
      <c r="G2099" s="202" t="str">
        <f t="shared" si="32"/>
        <v/>
      </c>
    </row>
    <row r="2100" spans="1:7" s="172" customFormat="1" ht="15" customHeight="1" x14ac:dyDescent="0.25">
      <c r="A2100" s="834" t="s">
        <v>18668</v>
      </c>
      <c r="B2100" s="829" t="s">
        <v>17715</v>
      </c>
      <c r="C2100" s="829" t="s">
        <v>17715</v>
      </c>
      <c r="D2100" s="828" t="s">
        <v>17889</v>
      </c>
      <c r="E2100" s="833">
        <v>400</v>
      </c>
      <c r="F2100" s="832">
        <v>150</v>
      </c>
      <c r="G2100" s="202" t="str">
        <f t="shared" si="32"/>
        <v/>
      </c>
    </row>
    <row r="2101" spans="1:7" s="172" customFormat="1" ht="15" customHeight="1" x14ac:dyDescent="0.25">
      <c r="A2101" s="828" t="s">
        <v>18668</v>
      </c>
      <c r="B2101" s="829" t="s">
        <v>17715</v>
      </c>
      <c r="C2101" s="829" t="s">
        <v>17715</v>
      </c>
      <c r="D2101" s="828" t="s">
        <v>17890</v>
      </c>
      <c r="E2101" s="833">
        <v>100</v>
      </c>
      <c r="F2101" s="832">
        <v>35</v>
      </c>
      <c r="G2101" s="202" t="str">
        <f t="shared" si="32"/>
        <v/>
      </c>
    </row>
    <row r="2102" spans="1:7" s="172" customFormat="1" ht="15" customHeight="1" x14ac:dyDescent="0.25">
      <c r="A2102" s="834" t="s">
        <v>18669</v>
      </c>
      <c r="B2102" s="829" t="s">
        <v>17715</v>
      </c>
      <c r="C2102" s="829" t="s">
        <v>17715</v>
      </c>
      <c r="D2102" s="828" t="s">
        <v>17884</v>
      </c>
      <c r="E2102" s="833">
        <v>100</v>
      </c>
      <c r="F2102" s="832">
        <v>5</v>
      </c>
      <c r="G2102" s="202" t="str">
        <f t="shared" si="32"/>
        <v/>
      </c>
    </row>
    <row r="2103" spans="1:7" s="172" customFormat="1" ht="15" customHeight="1" x14ac:dyDescent="0.25">
      <c r="A2103" s="834" t="s">
        <v>18670</v>
      </c>
      <c r="B2103" s="829" t="s">
        <v>17715</v>
      </c>
      <c r="C2103" s="829" t="s">
        <v>17715</v>
      </c>
      <c r="D2103" s="830" t="s">
        <v>17891</v>
      </c>
      <c r="E2103" s="833">
        <v>40</v>
      </c>
      <c r="F2103" s="832">
        <v>10</v>
      </c>
      <c r="G2103" s="202" t="str">
        <f t="shared" si="32"/>
        <v/>
      </c>
    </row>
    <row r="2104" spans="1:7" s="172" customFormat="1" ht="15" customHeight="1" x14ac:dyDescent="0.25">
      <c r="A2104" s="834" t="s">
        <v>18671</v>
      </c>
      <c r="B2104" s="829" t="s">
        <v>17715</v>
      </c>
      <c r="C2104" s="829" t="s">
        <v>17715</v>
      </c>
      <c r="D2104" s="828" t="s">
        <v>7914</v>
      </c>
      <c r="E2104" s="833">
        <v>100</v>
      </c>
      <c r="F2104" s="832">
        <v>25</v>
      </c>
      <c r="G2104" s="202" t="str">
        <f t="shared" si="32"/>
        <v/>
      </c>
    </row>
    <row r="2105" spans="1:7" s="172" customFormat="1" ht="15" customHeight="1" x14ac:dyDescent="0.25">
      <c r="A2105" s="828" t="s">
        <v>18672</v>
      </c>
      <c r="B2105" s="829" t="s">
        <v>17715</v>
      </c>
      <c r="C2105" s="829" t="s">
        <v>17715</v>
      </c>
      <c r="D2105" s="828" t="s">
        <v>17892</v>
      </c>
      <c r="E2105" s="833">
        <v>40</v>
      </c>
      <c r="F2105" s="832">
        <v>10</v>
      </c>
      <c r="G2105" s="202" t="str">
        <f t="shared" si="32"/>
        <v/>
      </c>
    </row>
    <row r="2106" spans="1:7" s="172" customFormat="1" ht="15" customHeight="1" x14ac:dyDescent="0.25">
      <c r="A2106" s="830" t="s">
        <v>18673</v>
      </c>
      <c r="B2106" s="829" t="s">
        <v>17715</v>
      </c>
      <c r="C2106" s="829" t="s">
        <v>17715</v>
      </c>
      <c r="D2106" s="830" t="s">
        <v>17893</v>
      </c>
      <c r="E2106" s="833">
        <v>100</v>
      </c>
      <c r="F2106" s="832">
        <v>30</v>
      </c>
      <c r="G2106" s="202" t="str">
        <f t="shared" si="32"/>
        <v/>
      </c>
    </row>
    <row r="2107" spans="1:7" s="172" customFormat="1" ht="15" customHeight="1" x14ac:dyDescent="0.25">
      <c r="A2107" s="834" t="s">
        <v>18674</v>
      </c>
      <c r="B2107" s="829" t="s">
        <v>17715</v>
      </c>
      <c r="C2107" s="829" t="s">
        <v>17715</v>
      </c>
      <c r="D2107" s="828" t="s">
        <v>17894</v>
      </c>
      <c r="E2107" s="833">
        <v>100</v>
      </c>
      <c r="F2107" s="832">
        <v>30</v>
      </c>
      <c r="G2107" s="202" t="str">
        <f t="shared" si="32"/>
        <v/>
      </c>
    </row>
    <row r="2108" spans="1:7" s="172" customFormat="1" ht="15" customHeight="1" x14ac:dyDescent="0.25">
      <c r="A2108" s="828" t="s">
        <v>18675</v>
      </c>
      <c r="B2108" s="829" t="s">
        <v>17715</v>
      </c>
      <c r="C2108" s="829" t="s">
        <v>17715</v>
      </c>
      <c r="D2108" s="828" t="s">
        <v>17895</v>
      </c>
      <c r="E2108" s="833">
        <v>60</v>
      </c>
      <c r="F2108" s="832">
        <v>15</v>
      </c>
      <c r="G2108" s="202" t="str">
        <f t="shared" si="32"/>
        <v/>
      </c>
    </row>
    <row r="2109" spans="1:7" s="172" customFormat="1" ht="15" customHeight="1" x14ac:dyDescent="0.25">
      <c r="A2109" s="828" t="s">
        <v>15117</v>
      </c>
      <c r="B2109" s="829" t="s">
        <v>17715</v>
      </c>
      <c r="C2109" s="829" t="s">
        <v>17715</v>
      </c>
      <c r="D2109" s="828" t="s">
        <v>17896</v>
      </c>
      <c r="E2109" s="833">
        <v>60</v>
      </c>
      <c r="F2109" s="832">
        <v>0</v>
      </c>
      <c r="G2109" s="202" t="str">
        <f t="shared" si="32"/>
        <v/>
      </c>
    </row>
    <row r="2110" spans="1:7" s="172" customFormat="1" ht="15" customHeight="1" x14ac:dyDescent="0.25">
      <c r="A2110" s="828" t="s">
        <v>18676</v>
      </c>
      <c r="B2110" s="829" t="s">
        <v>17715</v>
      </c>
      <c r="C2110" s="829" t="s">
        <v>17715</v>
      </c>
      <c r="D2110" s="828" t="s">
        <v>17897</v>
      </c>
      <c r="E2110" s="833">
        <v>160</v>
      </c>
      <c r="F2110" s="832">
        <v>5</v>
      </c>
      <c r="G2110" s="202" t="str">
        <f t="shared" si="32"/>
        <v/>
      </c>
    </row>
    <row r="2111" spans="1:7" s="172" customFormat="1" ht="15" customHeight="1" x14ac:dyDescent="0.25">
      <c r="A2111" s="828" t="s">
        <v>18677</v>
      </c>
      <c r="B2111" s="829" t="s">
        <v>17715</v>
      </c>
      <c r="C2111" s="829" t="s">
        <v>17715</v>
      </c>
      <c r="D2111" s="828" t="s">
        <v>17898</v>
      </c>
      <c r="E2111" s="833">
        <v>25</v>
      </c>
      <c r="F2111" s="832">
        <v>5</v>
      </c>
      <c r="G2111" s="202" t="str">
        <f t="shared" si="32"/>
        <v/>
      </c>
    </row>
    <row r="2112" spans="1:7" s="172" customFormat="1" ht="15" customHeight="1" x14ac:dyDescent="0.25">
      <c r="A2112" s="828" t="s">
        <v>18678</v>
      </c>
      <c r="B2112" s="829" t="s">
        <v>17715</v>
      </c>
      <c r="C2112" s="829" t="s">
        <v>17715</v>
      </c>
      <c r="D2112" s="828" t="s">
        <v>17899</v>
      </c>
      <c r="E2112" s="833">
        <v>100</v>
      </c>
      <c r="F2112" s="832">
        <v>35</v>
      </c>
      <c r="G2112" s="202" t="str">
        <f t="shared" si="32"/>
        <v/>
      </c>
    </row>
    <row r="2113" spans="1:7" s="172" customFormat="1" ht="15" customHeight="1" x14ac:dyDescent="0.25">
      <c r="A2113" s="828" t="s">
        <v>18679</v>
      </c>
      <c r="B2113" s="829" t="s">
        <v>17715</v>
      </c>
      <c r="C2113" s="829" t="s">
        <v>17715</v>
      </c>
      <c r="D2113" s="828" t="s">
        <v>17900</v>
      </c>
      <c r="E2113" s="833">
        <v>100</v>
      </c>
      <c r="F2113" s="832">
        <v>25</v>
      </c>
      <c r="G2113" s="202" t="str">
        <f t="shared" si="32"/>
        <v/>
      </c>
    </row>
    <row r="2114" spans="1:7" s="172" customFormat="1" ht="15" customHeight="1" x14ac:dyDescent="0.25">
      <c r="A2114" s="834" t="s">
        <v>18680</v>
      </c>
      <c r="B2114" s="829" t="s">
        <v>17715</v>
      </c>
      <c r="C2114" s="829" t="s">
        <v>17715</v>
      </c>
      <c r="D2114" s="828" t="s">
        <v>17901</v>
      </c>
      <c r="E2114" s="833">
        <v>100</v>
      </c>
      <c r="F2114" s="832">
        <v>20</v>
      </c>
      <c r="G2114" s="202" t="str">
        <f t="shared" si="32"/>
        <v/>
      </c>
    </row>
    <row r="2115" spans="1:7" s="172" customFormat="1" ht="15" customHeight="1" x14ac:dyDescent="0.25">
      <c r="A2115" s="834" t="s">
        <v>18680</v>
      </c>
      <c r="B2115" s="829" t="s">
        <v>17715</v>
      </c>
      <c r="C2115" s="829" t="s">
        <v>17715</v>
      </c>
      <c r="D2115" s="828" t="s">
        <v>17902</v>
      </c>
      <c r="E2115" s="833">
        <v>250</v>
      </c>
      <c r="F2115" s="832">
        <v>60</v>
      </c>
      <c r="G2115" s="202" t="str">
        <f t="shared" si="32"/>
        <v/>
      </c>
    </row>
    <row r="2116" spans="1:7" s="172" customFormat="1" ht="15" customHeight="1" x14ac:dyDescent="0.25">
      <c r="A2116" s="828" t="s">
        <v>18681</v>
      </c>
      <c r="B2116" s="829" t="s">
        <v>17715</v>
      </c>
      <c r="C2116" s="829" t="s">
        <v>17715</v>
      </c>
      <c r="D2116" s="828" t="s">
        <v>17903</v>
      </c>
      <c r="E2116" s="833">
        <v>100</v>
      </c>
      <c r="F2116" s="832">
        <v>20</v>
      </c>
      <c r="G2116" s="202" t="str">
        <f t="shared" ref="G2116:G2179" si="33">IF(E2116=F2116,"не загружен","")</f>
        <v/>
      </c>
    </row>
    <row r="2117" spans="1:7" s="172" customFormat="1" ht="15" customHeight="1" x14ac:dyDescent="0.25">
      <c r="A2117" s="828" t="s">
        <v>18682</v>
      </c>
      <c r="B2117" s="829" t="s">
        <v>17715</v>
      </c>
      <c r="C2117" s="829" t="s">
        <v>17715</v>
      </c>
      <c r="D2117" s="828" t="s">
        <v>17904</v>
      </c>
      <c r="E2117" s="833">
        <v>100</v>
      </c>
      <c r="F2117" s="832">
        <v>25</v>
      </c>
      <c r="G2117" s="202" t="str">
        <f t="shared" si="33"/>
        <v/>
      </c>
    </row>
    <row r="2118" spans="1:7" s="172" customFormat="1" ht="15" customHeight="1" x14ac:dyDescent="0.25">
      <c r="A2118" s="828" t="s">
        <v>18682</v>
      </c>
      <c r="B2118" s="829" t="s">
        <v>17715</v>
      </c>
      <c r="C2118" s="829" t="s">
        <v>17715</v>
      </c>
      <c r="D2118" s="828" t="s">
        <v>17905</v>
      </c>
      <c r="E2118" s="833">
        <v>160</v>
      </c>
      <c r="F2118" s="832">
        <v>60</v>
      </c>
      <c r="G2118" s="202" t="str">
        <f t="shared" si="33"/>
        <v/>
      </c>
    </row>
    <row r="2119" spans="1:7" s="172" customFormat="1" ht="15" customHeight="1" x14ac:dyDescent="0.25">
      <c r="A2119" s="828" t="s">
        <v>18682</v>
      </c>
      <c r="B2119" s="829" t="s">
        <v>17715</v>
      </c>
      <c r="C2119" s="829" t="s">
        <v>17715</v>
      </c>
      <c r="D2119" s="830" t="s">
        <v>17906</v>
      </c>
      <c r="E2119" s="833">
        <v>100</v>
      </c>
      <c r="F2119" s="832">
        <v>30</v>
      </c>
      <c r="G2119" s="202" t="str">
        <f t="shared" si="33"/>
        <v/>
      </c>
    </row>
    <row r="2120" spans="1:7" s="172" customFormat="1" ht="15" customHeight="1" x14ac:dyDescent="0.25">
      <c r="A2120" s="828" t="s">
        <v>15938</v>
      </c>
      <c r="B2120" s="829" t="s">
        <v>17715</v>
      </c>
      <c r="C2120" s="829" t="s">
        <v>17715</v>
      </c>
      <c r="D2120" s="828" t="s">
        <v>17907</v>
      </c>
      <c r="E2120" s="833">
        <v>100</v>
      </c>
      <c r="F2120" s="832">
        <v>35</v>
      </c>
      <c r="G2120" s="202" t="str">
        <f t="shared" si="33"/>
        <v/>
      </c>
    </row>
    <row r="2121" spans="1:7" s="172" customFormat="1" ht="15" customHeight="1" x14ac:dyDescent="0.25">
      <c r="A2121" s="834" t="s">
        <v>15938</v>
      </c>
      <c r="B2121" s="829" t="s">
        <v>17715</v>
      </c>
      <c r="C2121" s="829" t="s">
        <v>17715</v>
      </c>
      <c r="D2121" s="830" t="s">
        <v>17908</v>
      </c>
      <c r="E2121" s="833">
        <v>100</v>
      </c>
      <c r="F2121" s="832">
        <v>35</v>
      </c>
      <c r="G2121" s="202" t="str">
        <f t="shared" si="33"/>
        <v/>
      </c>
    </row>
    <row r="2122" spans="1:7" s="172" customFormat="1" ht="15" customHeight="1" x14ac:dyDescent="0.25">
      <c r="A2122" s="828" t="s">
        <v>18683</v>
      </c>
      <c r="B2122" s="829" t="s">
        <v>17715</v>
      </c>
      <c r="C2122" s="829" t="s">
        <v>17715</v>
      </c>
      <c r="D2122" s="828" t="s">
        <v>17909</v>
      </c>
      <c r="E2122" s="833">
        <v>100</v>
      </c>
      <c r="F2122" s="832">
        <v>30</v>
      </c>
      <c r="G2122" s="202" t="str">
        <f t="shared" si="33"/>
        <v/>
      </c>
    </row>
    <row r="2123" spans="1:7" s="172" customFormat="1" ht="15" customHeight="1" x14ac:dyDescent="0.25">
      <c r="A2123" s="834" t="s">
        <v>18684</v>
      </c>
      <c r="B2123" s="829" t="s">
        <v>17715</v>
      </c>
      <c r="C2123" s="829" t="s">
        <v>17715</v>
      </c>
      <c r="D2123" s="828" t="s">
        <v>17910</v>
      </c>
      <c r="E2123" s="833">
        <v>63</v>
      </c>
      <c r="F2123" s="832">
        <v>5</v>
      </c>
      <c r="G2123" s="202" t="str">
        <f t="shared" si="33"/>
        <v/>
      </c>
    </row>
    <row r="2124" spans="1:7" s="172" customFormat="1" ht="15" customHeight="1" x14ac:dyDescent="0.25">
      <c r="A2124" s="834" t="s">
        <v>18685</v>
      </c>
      <c r="B2124" s="829" t="s">
        <v>17715</v>
      </c>
      <c r="C2124" s="829" t="s">
        <v>17715</v>
      </c>
      <c r="D2124" s="828" t="s">
        <v>17911</v>
      </c>
      <c r="E2124" s="833">
        <v>60</v>
      </c>
      <c r="F2124" s="832">
        <v>15</v>
      </c>
      <c r="G2124" s="202" t="str">
        <f t="shared" si="33"/>
        <v/>
      </c>
    </row>
    <row r="2125" spans="1:7" s="172" customFormat="1" ht="15" customHeight="1" x14ac:dyDescent="0.25">
      <c r="A2125" s="834" t="s">
        <v>18685</v>
      </c>
      <c r="B2125" s="829" t="s">
        <v>17715</v>
      </c>
      <c r="C2125" s="829" t="s">
        <v>17715</v>
      </c>
      <c r="D2125" s="828" t="s">
        <v>17912</v>
      </c>
      <c r="E2125" s="833">
        <v>160</v>
      </c>
      <c r="F2125" s="832">
        <v>50</v>
      </c>
      <c r="G2125" s="202" t="str">
        <f t="shared" si="33"/>
        <v/>
      </c>
    </row>
    <row r="2126" spans="1:7" s="172" customFormat="1" ht="15" customHeight="1" x14ac:dyDescent="0.25">
      <c r="A2126" s="834" t="s">
        <v>18685</v>
      </c>
      <c r="B2126" s="829" t="s">
        <v>17715</v>
      </c>
      <c r="C2126" s="829" t="s">
        <v>17715</v>
      </c>
      <c r="D2126" s="828" t="s">
        <v>17913</v>
      </c>
      <c r="E2126" s="833">
        <v>100</v>
      </c>
      <c r="F2126" s="832">
        <v>30</v>
      </c>
      <c r="G2126" s="202" t="str">
        <f t="shared" si="33"/>
        <v/>
      </c>
    </row>
    <row r="2127" spans="1:7" s="172" customFormat="1" ht="15" customHeight="1" x14ac:dyDescent="0.25">
      <c r="A2127" s="834" t="s">
        <v>18685</v>
      </c>
      <c r="B2127" s="829" t="s">
        <v>17715</v>
      </c>
      <c r="C2127" s="829" t="s">
        <v>17715</v>
      </c>
      <c r="D2127" s="828" t="s">
        <v>17914</v>
      </c>
      <c r="E2127" s="833">
        <v>250</v>
      </c>
      <c r="F2127" s="832">
        <v>65</v>
      </c>
      <c r="G2127" s="202" t="str">
        <f t="shared" si="33"/>
        <v/>
      </c>
    </row>
    <row r="2128" spans="1:7" s="172" customFormat="1" ht="15" customHeight="1" x14ac:dyDescent="0.25">
      <c r="A2128" s="828" t="s">
        <v>18686</v>
      </c>
      <c r="B2128" s="829" t="s">
        <v>17715</v>
      </c>
      <c r="C2128" s="829" t="s">
        <v>17715</v>
      </c>
      <c r="D2128" s="828" t="s">
        <v>17915</v>
      </c>
      <c r="E2128" s="831">
        <v>400</v>
      </c>
      <c r="F2128" s="832">
        <v>120</v>
      </c>
      <c r="G2128" s="202" t="str">
        <f t="shared" si="33"/>
        <v/>
      </c>
    </row>
    <row r="2129" spans="1:7" s="172" customFormat="1" ht="15" customHeight="1" x14ac:dyDescent="0.25">
      <c r="A2129" s="828" t="s">
        <v>18687</v>
      </c>
      <c r="B2129" s="829" t="s">
        <v>17715</v>
      </c>
      <c r="C2129" s="829" t="s">
        <v>17715</v>
      </c>
      <c r="D2129" s="828" t="s">
        <v>17916</v>
      </c>
      <c r="E2129" s="833">
        <v>800</v>
      </c>
      <c r="F2129" s="832">
        <v>300</v>
      </c>
      <c r="G2129" s="202" t="str">
        <f t="shared" si="33"/>
        <v/>
      </c>
    </row>
    <row r="2130" spans="1:7" s="172" customFormat="1" ht="15" customHeight="1" x14ac:dyDescent="0.25">
      <c r="A2130" s="828" t="s">
        <v>18688</v>
      </c>
      <c r="B2130" s="829" t="s">
        <v>17715</v>
      </c>
      <c r="C2130" s="829" t="s">
        <v>17715</v>
      </c>
      <c r="D2130" s="828" t="s">
        <v>17917</v>
      </c>
      <c r="E2130" s="833">
        <v>100</v>
      </c>
      <c r="F2130" s="832">
        <v>20</v>
      </c>
      <c r="G2130" s="202" t="str">
        <f t="shared" si="33"/>
        <v/>
      </c>
    </row>
    <row r="2131" spans="1:7" s="172" customFormat="1" ht="15" customHeight="1" x14ac:dyDescent="0.25">
      <c r="A2131" s="828" t="s">
        <v>18689</v>
      </c>
      <c r="B2131" s="829" t="s">
        <v>17715</v>
      </c>
      <c r="C2131" s="829" t="s">
        <v>17715</v>
      </c>
      <c r="D2131" s="828" t="s">
        <v>17918</v>
      </c>
      <c r="E2131" s="833">
        <v>60</v>
      </c>
      <c r="F2131" s="832">
        <v>20</v>
      </c>
      <c r="G2131" s="202" t="str">
        <f t="shared" si="33"/>
        <v/>
      </c>
    </row>
    <row r="2132" spans="1:7" s="172" customFormat="1" ht="15" customHeight="1" x14ac:dyDescent="0.25">
      <c r="A2132" s="828" t="s">
        <v>18690</v>
      </c>
      <c r="B2132" s="829" t="s">
        <v>17715</v>
      </c>
      <c r="C2132" s="829" t="s">
        <v>17715</v>
      </c>
      <c r="D2132" s="830" t="s">
        <v>17919</v>
      </c>
      <c r="E2132" s="833">
        <v>60</v>
      </c>
      <c r="F2132" s="832">
        <v>20</v>
      </c>
      <c r="G2132" s="202" t="str">
        <f t="shared" si="33"/>
        <v/>
      </c>
    </row>
    <row r="2133" spans="1:7" s="172" customFormat="1" ht="15" customHeight="1" x14ac:dyDescent="0.25">
      <c r="A2133" s="834" t="s">
        <v>18691</v>
      </c>
      <c r="B2133" s="829" t="s">
        <v>17715</v>
      </c>
      <c r="C2133" s="829" t="s">
        <v>17715</v>
      </c>
      <c r="D2133" s="828" t="s">
        <v>17921</v>
      </c>
      <c r="E2133" s="833">
        <v>30</v>
      </c>
      <c r="F2133" s="832">
        <v>10</v>
      </c>
      <c r="G2133" s="202" t="str">
        <f t="shared" si="33"/>
        <v/>
      </c>
    </row>
    <row r="2134" spans="1:7" s="172" customFormat="1" ht="15" customHeight="1" x14ac:dyDescent="0.25">
      <c r="A2134" s="828" t="s">
        <v>18692</v>
      </c>
      <c r="B2134" s="829" t="s">
        <v>17715</v>
      </c>
      <c r="C2134" s="829" t="s">
        <v>17715</v>
      </c>
      <c r="D2134" s="828" t="s">
        <v>17920</v>
      </c>
      <c r="E2134" s="833">
        <v>160</v>
      </c>
      <c r="F2134" s="832">
        <v>70</v>
      </c>
      <c r="G2134" s="202" t="str">
        <f t="shared" si="33"/>
        <v/>
      </c>
    </row>
    <row r="2135" spans="1:7" s="172" customFormat="1" ht="15" customHeight="1" x14ac:dyDescent="0.25">
      <c r="A2135" s="828" t="s">
        <v>18693</v>
      </c>
      <c r="B2135" s="829" t="s">
        <v>17715</v>
      </c>
      <c r="C2135" s="829" t="s">
        <v>17715</v>
      </c>
      <c r="D2135" s="828" t="s">
        <v>17922</v>
      </c>
      <c r="E2135" s="833">
        <v>30</v>
      </c>
      <c r="F2135" s="832">
        <v>5</v>
      </c>
      <c r="G2135" s="202" t="str">
        <f t="shared" si="33"/>
        <v/>
      </c>
    </row>
    <row r="2136" spans="1:7" s="172" customFormat="1" ht="15" customHeight="1" x14ac:dyDescent="0.25">
      <c r="A2136" s="828" t="s">
        <v>18694</v>
      </c>
      <c r="B2136" s="829" t="s">
        <v>17715</v>
      </c>
      <c r="C2136" s="829" t="s">
        <v>17715</v>
      </c>
      <c r="D2136" s="828" t="s">
        <v>17923</v>
      </c>
      <c r="E2136" s="833">
        <v>60</v>
      </c>
      <c r="F2136" s="832">
        <v>20</v>
      </c>
      <c r="G2136" s="202" t="str">
        <f t="shared" si="33"/>
        <v/>
      </c>
    </row>
    <row r="2137" spans="1:7" s="172" customFormat="1" ht="15" customHeight="1" x14ac:dyDescent="0.25">
      <c r="A2137" s="828" t="s">
        <v>18694</v>
      </c>
      <c r="B2137" s="829" t="s">
        <v>17715</v>
      </c>
      <c r="C2137" s="829" t="s">
        <v>17715</v>
      </c>
      <c r="D2137" s="828" t="s">
        <v>17925</v>
      </c>
      <c r="E2137" s="833">
        <v>100</v>
      </c>
      <c r="F2137" s="832">
        <v>30</v>
      </c>
      <c r="G2137" s="202" t="str">
        <f t="shared" si="33"/>
        <v/>
      </c>
    </row>
    <row r="2138" spans="1:7" s="172" customFormat="1" ht="15" customHeight="1" x14ac:dyDescent="0.25">
      <c r="A2138" s="834" t="s">
        <v>18694</v>
      </c>
      <c r="B2138" s="829" t="s">
        <v>17715</v>
      </c>
      <c r="C2138" s="829" t="s">
        <v>17715</v>
      </c>
      <c r="D2138" s="828" t="s">
        <v>17926</v>
      </c>
      <c r="E2138" s="833">
        <v>250</v>
      </c>
      <c r="F2138" s="832">
        <v>85</v>
      </c>
      <c r="G2138" s="202" t="str">
        <f t="shared" si="33"/>
        <v/>
      </c>
    </row>
    <row r="2139" spans="1:7" s="172" customFormat="1" ht="15" customHeight="1" x14ac:dyDescent="0.25">
      <c r="A2139" s="834" t="s">
        <v>18694</v>
      </c>
      <c r="B2139" s="829" t="s">
        <v>17715</v>
      </c>
      <c r="C2139" s="829" t="s">
        <v>17715</v>
      </c>
      <c r="D2139" s="828" t="s">
        <v>17924</v>
      </c>
      <c r="E2139" s="833">
        <v>100</v>
      </c>
      <c r="F2139" s="832">
        <v>35</v>
      </c>
      <c r="G2139" s="202" t="str">
        <f t="shared" si="33"/>
        <v/>
      </c>
    </row>
    <row r="2140" spans="1:7" s="172" customFormat="1" ht="15" customHeight="1" x14ac:dyDescent="0.25">
      <c r="A2140" s="834" t="s">
        <v>18695</v>
      </c>
      <c r="B2140" s="829" t="s">
        <v>17715</v>
      </c>
      <c r="C2140" s="829" t="s">
        <v>17715</v>
      </c>
      <c r="D2140" s="828" t="s">
        <v>17927</v>
      </c>
      <c r="E2140" s="833">
        <v>250</v>
      </c>
      <c r="F2140" s="832">
        <v>250</v>
      </c>
      <c r="G2140" s="202" t="str">
        <f t="shared" si="33"/>
        <v>не загружен</v>
      </c>
    </row>
    <row r="2141" spans="1:7" s="172" customFormat="1" ht="15" customHeight="1" x14ac:dyDescent="0.25">
      <c r="A2141" s="828" t="s">
        <v>18696</v>
      </c>
      <c r="B2141" s="829" t="s">
        <v>17715</v>
      </c>
      <c r="C2141" s="829" t="s">
        <v>17715</v>
      </c>
      <c r="D2141" s="828" t="s">
        <v>17928</v>
      </c>
      <c r="E2141" s="833">
        <v>100</v>
      </c>
      <c r="F2141" s="832">
        <v>30</v>
      </c>
      <c r="G2141" s="202" t="str">
        <f t="shared" si="33"/>
        <v/>
      </c>
    </row>
    <row r="2142" spans="1:7" s="172" customFormat="1" ht="15" customHeight="1" x14ac:dyDescent="0.25">
      <c r="A2142" s="828" t="s">
        <v>18697</v>
      </c>
      <c r="B2142" s="829" t="s">
        <v>17715</v>
      </c>
      <c r="C2142" s="829" t="s">
        <v>17715</v>
      </c>
      <c r="D2142" s="828" t="s">
        <v>17931</v>
      </c>
      <c r="E2142" s="833">
        <v>60</v>
      </c>
      <c r="F2142" s="832">
        <v>10</v>
      </c>
      <c r="G2142" s="202" t="str">
        <f t="shared" si="33"/>
        <v/>
      </c>
    </row>
    <row r="2143" spans="1:7" s="172" customFormat="1" ht="15" customHeight="1" x14ac:dyDescent="0.25">
      <c r="A2143" s="828" t="s">
        <v>18697</v>
      </c>
      <c r="B2143" s="829" t="s">
        <v>17715</v>
      </c>
      <c r="C2143" s="829" t="s">
        <v>17715</v>
      </c>
      <c r="D2143" s="828" t="s">
        <v>17929</v>
      </c>
      <c r="E2143" s="833">
        <v>160</v>
      </c>
      <c r="F2143" s="832">
        <v>20</v>
      </c>
      <c r="G2143" s="202" t="str">
        <f t="shared" si="33"/>
        <v/>
      </c>
    </row>
    <row r="2144" spans="1:7" s="172" customFormat="1" ht="15" customHeight="1" x14ac:dyDescent="0.25">
      <c r="A2144" s="828" t="s">
        <v>18698</v>
      </c>
      <c r="B2144" s="829" t="s">
        <v>17715</v>
      </c>
      <c r="C2144" s="829" t="s">
        <v>17715</v>
      </c>
      <c r="D2144" s="830" t="s">
        <v>17930</v>
      </c>
      <c r="E2144" s="833">
        <v>100</v>
      </c>
      <c r="F2144" s="832">
        <v>25</v>
      </c>
      <c r="G2144" s="202" t="str">
        <f t="shared" si="33"/>
        <v/>
      </c>
    </row>
    <row r="2145" spans="1:7" s="172" customFormat="1" ht="15" customHeight="1" x14ac:dyDescent="0.25">
      <c r="A2145" s="828" t="s">
        <v>18699</v>
      </c>
      <c r="B2145" s="829" t="s">
        <v>17715</v>
      </c>
      <c r="C2145" s="829" t="s">
        <v>17715</v>
      </c>
      <c r="D2145" s="828" t="s">
        <v>17932</v>
      </c>
      <c r="E2145" s="833">
        <v>250</v>
      </c>
      <c r="F2145" s="832">
        <v>70</v>
      </c>
      <c r="G2145" s="202" t="str">
        <f t="shared" si="33"/>
        <v/>
      </c>
    </row>
    <row r="2146" spans="1:7" s="172" customFormat="1" ht="15" customHeight="1" x14ac:dyDescent="0.25">
      <c r="A2146" s="828" t="s">
        <v>18700</v>
      </c>
      <c r="B2146" s="829" t="s">
        <v>17715</v>
      </c>
      <c r="C2146" s="829" t="s">
        <v>17715</v>
      </c>
      <c r="D2146" s="828" t="s">
        <v>17933</v>
      </c>
      <c r="E2146" s="833">
        <v>100</v>
      </c>
      <c r="F2146" s="832">
        <v>30</v>
      </c>
      <c r="G2146" s="202" t="str">
        <f t="shared" si="33"/>
        <v/>
      </c>
    </row>
    <row r="2147" spans="1:7" s="172" customFormat="1" ht="15" customHeight="1" x14ac:dyDescent="0.25">
      <c r="A2147" s="834" t="s">
        <v>18700</v>
      </c>
      <c r="B2147" s="829" t="s">
        <v>17715</v>
      </c>
      <c r="C2147" s="829" t="s">
        <v>17715</v>
      </c>
      <c r="D2147" s="828" t="s">
        <v>17933</v>
      </c>
      <c r="E2147" s="833">
        <v>160</v>
      </c>
      <c r="F2147" s="832">
        <v>60</v>
      </c>
      <c r="G2147" s="202" t="str">
        <f t="shared" si="33"/>
        <v/>
      </c>
    </row>
    <row r="2148" spans="1:7" s="172" customFormat="1" ht="15" customHeight="1" x14ac:dyDescent="0.25">
      <c r="A2148" s="828" t="s">
        <v>18701</v>
      </c>
      <c r="B2148" s="829" t="s">
        <v>17715</v>
      </c>
      <c r="C2148" s="829" t="s">
        <v>17715</v>
      </c>
      <c r="D2148" s="828" t="s">
        <v>17934</v>
      </c>
      <c r="E2148" s="833">
        <v>160</v>
      </c>
      <c r="F2148" s="832">
        <v>55</v>
      </c>
      <c r="G2148" s="202" t="str">
        <f t="shared" si="33"/>
        <v/>
      </c>
    </row>
    <row r="2149" spans="1:7" s="172" customFormat="1" ht="15" customHeight="1" x14ac:dyDescent="0.25">
      <c r="A2149" s="828" t="s">
        <v>18702</v>
      </c>
      <c r="B2149" s="829" t="s">
        <v>17715</v>
      </c>
      <c r="C2149" s="829" t="s">
        <v>17715</v>
      </c>
      <c r="D2149" s="828" t="s">
        <v>17936</v>
      </c>
      <c r="E2149" s="833">
        <v>25</v>
      </c>
      <c r="F2149" s="832">
        <v>5</v>
      </c>
      <c r="G2149" s="202" t="str">
        <f t="shared" si="33"/>
        <v/>
      </c>
    </row>
    <row r="2150" spans="1:7" s="172" customFormat="1" ht="15" customHeight="1" x14ac:dyDescent="0.25">
      <c r="A2150" s="828" t="s">
        <v>18702</v>
      </c>
      <c r="B2150" s="829" t="s">
        <v>17715</v>
      </c>
      <c r="C2150" s="829" t="s">
        <v>17715</v>
      </c>
      <c r="D2150" s="828" t="s">
        <v>17938</v>
      </c>
      <c r="E2150" s="831">
        <v>160</v>
      </c>
      <c r="F2150" s="832">
        <v>40</v>
      </c>
      <c r="G2150" s="202" t="str">
        <f t="shared" si="33"/>
        <v/>
      </c>
    </row>
    <row r="2151" spans="1:7" s="172" customFormat="1" ht="15" customHeight="1" x14ac:dyDescent="0.25">
      <c r="A2151" s="828" t="s">
        <v>18702</v>
      </c>
      <c r="B2151" s="829" t="s">
        <v>17715</v>
      </c>
      <c r="C2151" s="829" t="s">
        <v>17715</v>
      </c>
      <c r="D2151" s="828" t="s">
        <v>17939</v>
      </c>
      <c r="E2151" s="833">
        <v>160</v>
      </c>
      <c r="F2151" s="832">
        <v>40</v>
      </c>
      <c r="G2151" s="202" t="str">
        <f t="shared" si="33"/>
        <v/>
      </c>
    </row>
    <row r="2152" spans="1:7" s="172" customFormat="1" ht="15" customHeight="1" x14ac:dyDescent="0.25">
      <c r="A2152" s="834" t="s">
        <v>18702</v>
      </c>
      <c r="B2152" s="829" t="s">
        <v>17715</v>
      </c>
      <c r="C2152" s="829" t="s">
        <v>17715</v>
      </c>
      <c r="D2152" s="828" t="s">
        <v>17940</v>
      </c>
      <c r="E2152" s="833">
        <v>160</v>
      </c>
      <c r="F2152" s="832">
        <v>45</v>
      </c>
      <c r="G2152" s="202" t="str">
        <f t="shared" si="33"/>
        <v/>
      </c>
    </row>
    <row r="2153" spans="1:7" s="172" customFormat="1" ht="15" customHeight="1" x14ac:dyDescent="0.25">
      <c r="A2153" s="834" t="s">
        <v>18702</v>
      </c>
      <c r="B2153" s="829" t="s">
        <v>17715</v>
      </c>
      <c r="C2153" s="829" t="s">
        <v>17715</v>
      </c>
      <c r="D2153" s="828" t="s">
        <v>17937</v>
      </c>
      <c r="E2153" s="833">
        <v>250</v>
      </c>
      <c r="F2153" s="832">
        <v>55</v>
      </c>
      <c r="G2153" s="202" t="str">
        <f t="shared" si="33"/>
        <v/>
      </c>
    </row>
    <row r="2154" spans="1:7" s="172" customFormat="1" ht="15" customHeight="1" x14ac:dyDescent="0.25">
      <c r="A2154" s="834" t="s">
        <v>18702</v>
      </c>
      <c r="B2154" s="829" t="s">
        <v>17715</v>
      </c>
      <c r="C2154" s="829" t="s">
        <v>17715</v>
      </c>
      <c r="D2154" s="828" t="s">
        <v>17941</v>
      </c>
      <c r="E2154" s="833">
        <v>160</v>
      </c>
      <c r="F2154" s="832">
        <v>40</v>
      </c>
      <c r="G2154" s="202" t="str">
        <f t="shared" si="33"/>
        <v/>
      </c>
    </row>
    <row r="2155" spans="1:7" s="172" customFormat="1" ht="15" customHeight="1" x14ac:dyDescent="0.25">
      <c r="A2155" s="834" t="s">
        <v>18703</v>
      </c>
      <c r="B2155" s="829" t="s">
        <v>17715</v>
      </c>
      <c r="C2155" s="829" t="s">
        <v>17715</v>
      </c>
      <c r="D2155" s="828" t="s">
        <v>17935</v>
      </c>
      <c r="E2155" s="833">
        <v>100</v>
      </c>
      <c r="F2155" s="832">
        <v>25</v>
      </c>
      <c r="G2155" s="202" t="str">
        <f t="shared" si="33"/>
        <v/>
      </c>
    </row>
    <row r="2156" spans="1:7" s="172" customFormat="1" ht="15" customHeight="1" x14ac:dyDescent="0.25">
      <c r="A2156" s="834" t="s">
        <v>18704</v>
      </c>
      <c r="B2156" s="829" t="s">
        <v>17715</v>
      </c>
      <c r="C2156" s="829" t="s">
        <v>17715</v>
      </c>
      <c r="D2156" s="828" t="s">
        <v>17937</v>
      </c>
      <c r="E2156" s="833">
        <v>250</v>
      </c>
      <c r="F2156" s="832">
        <v>50</v>
      </c>
      <c r="G2156" s="202" t="str">
        <f t="shared" si="33"/>
        <v/>
      </c>
    </row>
    <row r="2157" spans="1:7" s="172" customFormat="1" ht="15" customHeight="1" x14ac:dyDescent="0.25">
      <c r="A2157" s="834" t="s">
        <v>18705</v>
      </c>
      <c r="B2157" s="829" t="s">
        <v>17715</v>
      </c>
      <c r="C2157" s="829" t="s">
        <v>17715</v>
      </c>
      <c r="D2157" s="830" t="s">
        <v>17942</v>
      </c>
      <c r="E2157" s="833">
        <v>50</v>
      </c>
      <c r="F2157" s="832">
        <v>10</v>
      </c>
      <c r="G2157" s="202" t="str">
        <f t="shared" si="33"/>
        <v/>
      </c>
    </row>
    <row r="2158" spans="1:7" s="172" customFormat="1" ht="15" customHeight="1" x14ac:dyDescent="0.25">
      <c r="A2158" s="828" t="s">
        <v>18706</v>
      </c>
      <c r="B2158" s="829" t="s">
        <v>17715</v>
      </c>
      <c r="C2158" s="829" t="s">
        <v>17715</v>
      </c>
      <c r="D2158" s="828" t="s">
        <v>17943</v>
      </c>
      <c r="E2158" s="833">
        <v>400</v>
      </c>
      <c r="F2158" s="832">
        <v>200</v>
      </c>
      <c r="G2158" s="202" t="str">
        <f t="shared" si="33"/>
        <v/>
      </c>
    </row>
    <row r="2159" spans="1:7" s="172" customFormat="1" ht="15" customHeight="1" x14ac:dyDescent="0.25">
      <c r="A2159" s="828" t="s">
        <v>18706</v>
      </c>
      <c r="B2159" s="829" t="s">
        <v>17715</v>
      </c>
      <c r="C2159" s="829" t="s">
        <v>17715</v>
      </c>
      <c r="D2159" s="828" t="s">
        <v>17944</v>
      </c>
      <c r="E2159" s="833">
        <v>63</v>
      </c>
      <c r="F2159" s="832">
        <v>20</v>
      </c>
      <c r="G2159" s="202" t="str">
        <f t="shared" si="33"/>
        <v/>
      </c>
    </row>
    <row r="2160" spans="1:7" s="172" customFormat="1" ht="15" customHeight="1" x14ac:dyDescent="0.25">
      <c r="A2160" s="828" t="s">
        <v>18707</v>
      </c>
      <c r="B2160" s="829" t="s">
        <v>17715</v>
      </c>
      <c r="C2160" s="829" t="s">
        <v>17715</v>
      </c>
      <c r="D2160" s="828" t="s">
        <v>17945</v>
      </c>
      <c r="E2160" s="833">
        <v>100</v>
      </c>
      <c r="F2160" s="832">
        <v>15</v>
      </c>
      <c r="G2160" s="202" t="str">
        <f t="shared" si="33"/>
        <v/>
      </c>
    </row>
    <row r="2161" spans="1:7" s="172" customFormat="1" ht="15" customHeight="1" x14ac:dyDescent="0.25">
      <c r="A2161" s="828" t="s">
        <v>18708</v>
      </c>
      <c r="B2161" s="829" t="s">
        <v>17715</v>
      </c>
      <c r="C2161" s="829" t="s">
        <v>17715</v>
      </c>
      <c r="D2161" s="830" t="s">
        <v>17946</v>
      </c>
      <c r="E2161" s="833">
        <v>25</v>
      </c>
      <c r="F2161" s="832">
        <v>0</v>
      </c>
      <c r="G2161" s="202" t="str">
        <f t="shared" si="33"/>
        <v/>
      </c>
    </row>
    <row r="2162" spans="1:7" s="172" customFormat="1" ht="15" customHeight="1" x14ac:dyDescent="0.25">
      <c r="A2162" s="828" t="s">
        <v>18709</v>
      </c>
      <c r="B2162" s="829" t="s">
        <v>17715</v>
      </c>
      <c r="C2162" s="829" t="s">
        <v>17715</v>
      </c>
      <c r="D2162" s="830" t="s">
        <v>17947</v>
      </c>
      <c r="E2162" s="833">
        <v>60</v>
      </c>
      <c r="F2162" s="832">
        <v>10</v>
      </c>
      <c r="G2162" s="202" t="str">
        <f t="shared" si="33"/>
        <v/>
      </c>
    </row>
    <row r="2163" spans="1:7" s="172" customFormat="1" ht="15" customHeight="1" x14ac:dyDescent="0.25">
      <c r="A2163" s="828" t="s">
        <v>18710</v>
      </c>
      <c r="B2163" s="829" t="s">
        <v>17715</v>
      </c>
      <c r="C2163" s="829" t="s">
        <v>17715</v>
      </c>
      <c r="D2163" s="830" t="s">
        <v>17948</v>
      </c>
      <c r="E2163" s="833">
        <v>40</v>
      </c>
      <c r="F2163" s="832">
        <v>10</v>
      </c>
      <c r="G2163" s="202" t="str">
        <f t="shared" si="33"/>
        <v/>
      </c>
    </row>
    <row r="2164" spans="1:7" s="172" customFormat="1" ht="15" customHeight="1" x14ac:dyDescent="0.25">
      <c r="A2164" s="834" t="s">
        <v>18711</v>
      </c>
      <c r="B2164" s="829" t="s">
        <v>17715</v>
      </c>
      <c r="C2164" s="829" t="s">
        <v>17715</v>
      </c>
      <c r="D2164" s="828" t="s">
        <v>17949</v>
      </c>
      <c r="E2164" s="833">
        <v>100</v>
      </c>
      <c r="F2164" s="832">
        <v>25</v>
      </c>
      <c r="G2164" s="202" t="str">
        <f t="shared" si="33"/>
        <v/>
      </c>
    </row>
    <row r="2165" spans="1:7" s="172" customFormat="1" ht="15" customHeight="1" x14ac:dyDescent="0.25">
      <c r="A2165" s="834" t="s">
        <v>18712</v>
      </c>
      <c r="B2165" s="829" t="s">
        <v>17715</v>
      </c>
      <c r="C2165" s="829" t="s">
        <v>17715</v>
      </c>
      <c r="D2165" s="828" t="s">
        <v>17950</v>
      </c>
      <c r="E2165" s="833">
        <v>160</v>
      </c>
      <c r="F2165" s="832">
        <v>55</v>
      </c>
      <c r="G2165" s="202" t="str">
        <f t="shared" si="33"/>
        <v/>
      </c>
    </row>
    <row r="2166" spans="1:7" s="172" customFormat="1" ht="15" customHeight="1" x14ac:dyDescent="0.25">
      <c r="A2166" s="834" t="s">
        <v>16935</v>
      </c>
      <c r="B2166" s="829" t="s">
        <v>17715</v>
      </c>
      <c r="C2166" s="829" t="s">
        <v>17715</v>
      </c>
      <c r="D2166" s="828" t="s">
        <v>17951</v>
      </c>
      <c r="E2166" s="833">
        <v>400</v>
      </c>
      <c r="F2166" s="832">
        <v>140</v>
      </c>
      <c r="G2166" s="202" t="str">
        <f t="shared" si="33"/>
        <v/>
      </c>
    </row>
    <row r="2167" spans="1:7" s="172" customFormat="1" ht="15" customHeight="1" x14ac:dyDescent="0.25">
      <c r="A2167" s="834" t="s">
        <v>16935</v>
      </c>
      <c r="B2167" s="829" t="s">
        <v>17715</v>
      </c>
      <c r="C2167" s="829" t="s">
        <v>17715</v>
      </c>
      <c r="D2167" s="828" t="s">
        <v>17952</v>
      </c>
      <c r="E2167" s="833">
        <v>20</v>
      </c>
      <c r="F2167" s="832">
        <v>5</v>
      </c>
      <c r="G2167" s="202" t="str">
        <f t="shared" si="33"/>
        <v/>
      </c>
    </row>
    <row r="2168" spans="1:7" s="172" customFormat="1" ht="15" customHeight="1" x14ac:dyDescent="0.25">
      <c r="A2168" s="834" t="s">
        <v>16935</v>
      </c>
      <c r="B2168" s="829" t="s">
        <v>17715</v>
      </c>
      <c r="C2168" s="829" t="s">
        <v>17715</v>
      </c>
      <c r="D2168" s="828" t="s">
        <v>17953</v>
      </c>
      <c r="E2168" s="831">
        <v>400</v>
      </c>
      <c r="F2168" s="832">
        <v>130</v>
      </c>
      <c r="G2168" s="202" t="str">
        <f t="shared" si="33"/>
        <v/>
      </c>
    </row>
    <row r="2169" spans="1:7" s="172" customFormat="1" ht="15" customHeight="1" x14ac:dyDescent="0.25">
      <c r="A2169" s="834" t="s">
        <v>16935</v>
      </c>
      <c r="B2169" s="829" t="s">
        <v>17715</v>
      </c>
      <c r="C2169" s="829" t="s">
        <v>17715</v>
      </c>
      <c r="D2169" s="828" t="s">
        <v>17954</v>
      </c>
      <c r="E2169" s="831">
        <v>100</v>
      </c>
      <c r="F2169" s="832">
        <v>30</v>
      </c>
      <c r="G2169" s="202" t="str">
        <f t="shared" si="33"/>
        <v/>
      </c>
    </row>
    <row r="2170" spans="1:7" s="172" customFormat="1" ht="15" customHeight="1" x14ac:dyDescent="0.25">
      <c r="A2170" s="834" t="s">
        <v>16935</v>
      </c>
      <c r="B2170" s="829" t="s">
        <v>17715</v>
      </c>
      <c r="C2170" s="829" t="s">
        <v>17715</v>
      </c>
      <c r="D2170" s="828" t="s">
        <v>17956</v>
      </c>
      <c r="E2170" s="833">
        <v>250</v>
      </c>
      <c r="F2170" s="832">
        <v>45</v>
      </c>
      <c r="G2170" s="202" t="str">
        <f t="shared" si="33"/>
        <v/>
      </c>
    </row>
    <row r="2171" spans="1:7" s="172" customFormat="1" ht="15" customHeight="1" x14ac:dyDescent="0.25">
      <c r="A2171" s="834" t="s">
        <v>18713</v>
      </c>
      <c r="B2171" s="829" t="s">
        <v>17715</v>
      </c>
      <c r="C2171" s="829" t="s">
        <v>17715</v>
      </c>
      <c r="D2171" s="830" t="s">
        <v>17955</v>
      </c>
      <c r="E2171" s="833">
        <v>400</v>
      </c>
      <c r="F2171" s="832">
        <v>100</v>
      </c>
      <c r="G2171" s="202" t="str">
        <f t="shared" si="33"/>
        <v/>
      </c>
    </row>
    <row r="2172" spans="1:7" s="172" customFormat="1" ht="15" customHeight="1" x14ac:dyDescent="0.25">
      <c r="A2172" s="828" t="s">
        <v>15153</v>
      </c>
      <c r="B2172" s="829" t="s">
        <v>17715</v>
      </c>
      <c r="C2172" s="829" t="s">
        <v>17715</v>
      </c>
      <c r="D2172" s="828" t="s">
        <v>17957</v>
      </c>
      <c r="E2172" s="833">
        <v>400</v>
      </c>
      <c r="F2172" s="832">
        <v>250</v>
      </c>
      <c r="G2172" s="202" t="str">
        <f t="shared" si="33"/>
        <v/>
      </c>
    </row>
    <row r="2173" spans="1:7" s="172" customFormat="1" ht="15" customHeight="1" x14ac:dyDescent="0.25">
      <c r="A2173" s="834" t="s">
        <v>18714</v>
      </c>
      <c r="B2173" s="829" t="s">
        <v>17715</v>
      </c>
      <c r="C2173" s="829" t="s">
        <v>17715</v>
      </c>
      <c r="D2173" s="830" t="s">
        <v>17958</v>
      </c>
      <c r="E2173" s="833">
        <v>160</v>
      </c>
      <c r="F2173" s="832">
        <v>50</v>
      </c>
      <c r="G2173" s="202" t="str">
        <f t="shared" si="33"/>
        <v/>
      </c>
    </row>
    <row r="2174" spans="1:7" s="172" customFormat="1" ht="15" customHeight="1" x14ac:dyDescent="0.25">
      <c r="A2174" s="834" t="s">
        <v>18715</v>
      </c>
      <c r="B2174" s="829" t="s">
        <v>17715</v>
      </c>
      <c r="C2174" s="829" t="s">
        <v>17715</v>
      </c>
      <c r="D2174" s="828" t="s">
        <v>17959</v>
      </c>
      <c r="E2174" s="833">
        <v>100</v>
      </c>
      <c r="F2174" s="832">
        <v>40</v>
      </c>
      <c r="G2174" s="202" t="str">
        <f t="shared" si="33"/>
        <v/>
      </c>
    </row>
    <row r="2175" spans="1:7" s="172" customFormat="1" ht="15" customHeight="1" x14ac:dyDescent="0.25">
      <c r="A2175" s="834" t="s">
        <v>18715</v>
      </c>
      <c r="B2175" s="829" t="s">
        <v>17715</v>
      </c>
      <c r="C2175" s="829" t="s">
        <v>17715</v>
      </c>
      <c r="D2175" s="828" t="s">
        <v>17959</v>
      </c>
      <c r="E2175" s="833">
        <v>100</v>
      </c>
      <c r="F2175" s="832">
        <v>55</v>
      </c>
      <c r="G2175" s="202" t="str">
        <f t="shared" si="33"/>
        <v/>
      </c>
    </row>
    <row r="2176" spans="1:7" s="172" customFormat="1" ht="15" customHeight="1" x14ac:dyDescent="0.25">
      <c r="A2176" s="834" t="s">
        <v>18716</v>
      </c>
      <c r="B2176" s="829" t="s">
        <v>17715</v>
      </c>
      <c r="C2176" s="829" t="s">
        <v>17715</v>
      </c>
      <c r="D2176" s="828" t="s">
        <v>17960</v>
      </c>
      <c r="E2176" s="833">
        <v>100</v>
      </c>
      <c r="F2176" s="832">
        <v>40</v>
      </c>
      <c r="G2176" s="202" t="str">
        <f t="shared" si="33"/>
        <v/>
      </c>
    </row>
    <row r="2177" spans="1:7" s="172" customFormat="1" ht="15" customHeight="1" x14ac:dyDescent="0.25">
      <c r="A2177" s="834" t="s">
        <v>18716</v>
      </c>
      <c r="B2177" s="829" t="s">
        <v>17715</v>
      </c>
      <c r="C2177" s="829" t="s">
        <v>17715</v>
      </c>
      <c r="D2177" s="830" t="s">
        <v>17960</v>
      </c>
      <c r="E2177" s="833">
        <v>63</v>
      </c>
      <c r="F2177" s="832">
        <v>10</v>
      </c>
      <c r="G2177" s="202" t="str">
        <f t="shared" si="33"/>
        <v/>
      </c>
    </row>
    <row r="2178" spans="1:7" s="172" customFormat="1" ht="15" customHeight="1" x14ac:dyDescent="0.25">
      <c r="A2178" s="834" t="s">
        <v>18717</v>
      </c>
      <c r="B2178" s="829" t="s">
        <v>17715</v>
      </c>
      <c r="C2178" s="829" t="s">
        <v>17715</v>
      </c>
      <c r="D2178" s="830" t="s">
        <v>17961</v>
      </c>
      <c r="E2178" s="833">
        <v>100</v>
      </c>
      <c r="F2178" s="832">
        <v>30</v>
      </c>
      <c r="G2178" s="202" t="str">
        <f t="shared" si="33"/>
        <v/>
      </c>
    </row>
    <row r="2179" spans="1:7" s="172" customFormat="1" ht="15" customHeight="1" x14ac:dyDescent="0.25">
      <c r="A2179" s="834" t="s">
        <v>18718</v>
      </c>
      <c r="B2179" s="829" t="s">
        <v>17715</v>
      </c>
      <c r="C2179" s="829" t="s">
        <v>17715</v>
      </c>
      <c r="D2179" s="828" t="s">
        <v>17962</v>
      </c>
      <c r="E2179" s="833">
        <v>60</v>
      </c>
      <c r="F2179" s="832">
        <v>10</v>
      </c>
      <c r="G2179" s="202" t="str">
        <f t="shared" si="33"/>
        <v/>
      </c>
    </row>
    <row r="2180" spans="1:7" s="172" customFormat="1" ht="15" customHeight="1" x14ac:dyDescent="0.25">
      <c r="A2180" s="834" t="s">
        <v>18719</v>
      </c>
      <c r="B2180" s="829" t="s">
        <v>17715</v>
      </c>
      <c r="C2180" s="829" t="s">
        <v>17715</v>
      </c>
      <c r="D2180" s="828" t="s">
        <v>17963</v>
      </c>
      <c r="E2180" s="833">
        <v>160</v>
      </c>
      <c r="F2180" s="832">
        <v>50</v>
      </c>
      <c r="G2180" s="202" t="str">
        <f t="shared" ref="G2180:G2243" si="34">IF(E2180=F2180,"не загружен","")</f>
        <v/>
      </c>
    </row>
    <row r="2181" spans="1:7" s="172" customFormat="1" ht="15" customHeight="1" x14ac:dyDescent="0.25">
      <c r="A2181" s="828" t="s">
        <v>18720</v>
      </c>
      <c r="B2181" s="829" t="s">
        <v>17715</v>
      </c>
      <c r="C2181" s="829" t="s">
        <v>17715</v>
      </c>
      <c r="D2181" s="828" t="s">
        <v>17964</v>
      </c>
      <c r="E2181" s="833">
        <v>100</v>
      </c>
      <c r="F2181" s="832">
        <v>5</v>
      </c>
      <c r="G2181" s="202" t="str">
        <f t="shared" si="34"/>
        <v/>
      </c>
    </row>
    <row r="2182" spans="1:7" s="172" customFormat="1" ht="15" customHeight="1" x14ac:dyDescent="0.25">
      <c r="A2182" s="828" t="s">
        <v>18721</v>
      </c>
      <c r="B2182" s="829" t="s">
        <v>17715</v>
      </c>
      <c r="C2182" s="829" t="s">
        <v>17715</v>
      </c>
      <c r="D2182" s="828" t="s">
        <v>17965</v>
      </c>
      <c r="E2182" s="833">
        <v>250</v>
      </c>
      <c r="F2182" s="832">
        <v>65</v>
      </c>
      <c r="G2182" s="202" t="str">
        <f t="shared" si="34"/>
        <v/>
      </c>
    </row>
    <row r="2183" spans="1:7" s="172" customFormat="1" ht="15" customHeight="1" x14ac:dyDescent="0.25">
      <c r="A2183" s="834" t="s">
        <v>18722</v>
      </c>
      <c r="B2183" s="829" t="s">
        <v>17715</v>
      </c>
      <c r="C2183" s="829" t="s">
        <v>17715</v>
      </c>
      <c r="D2183" s="830" t="s">
        <v>17966</v>
      </c>
      <c r="E2183" s="833">
        <v>100</v>
      </c>
      <c r="F2183" s="832">
        <v>40</v>
      </c>
      <c r="G2183" s="202" t="str">
        <f t="shared" si="34"/>
        <v/>
      </c>
    </row>
    <row r="2184" spans="1:7" s="172" customFormat="1" ht="15" customHeight="1" x14ac:dyDescent="0.25">
      <c r="A2184" s="834" t="s">
        <v>18723</v>
      </c>
      <c r="B2184" s="829" t="s">
        <v>17715</v>
      </c>
      <c r="C2184" s="829" t="s">
        <v>17715</v>
      </c>
      <c r="D2184" s="830" t="s">
        <v>17967</v>
      </c>
      <c r="E2184" s="833">
        <v>63</v>
      </c>
      <c r="F2184" s="832">
        <v>5</v>
      </c>
      <c r="G2184" s="202" t="str">
        <f t="shared" si="34"/>
        <v/>
      </c>
    </row>
    <row r="2185" spans="1:7" s="172" customFormat="1" ht="15" customHeight="1" x14ac:dyDescent="0.25">
      <c r="A2185" s="828" t="s">
        <v>18724</v>
      </c>
      <c r="B2185" s="829" t="s">
        <v>17715</v>
      </c>
      <c r="C2185" s="829" t="s">
        <v>17715</v>
      </c>
      <c r="D2185" s="828" t="s">
        <v>17968</v>
      </c>
      <c r="E2185" s="833">
        <v>160</v>
      </c>
      <c r="F2185" s="832">
        <v>55</v>
      </c>
      <c r="G2185" s="202" t="str">
        <f t="shared" si="34"/>
        <v/>
      </c>
    </row>
    <row r="2186" spans="1:7" s="172" customFormat="1" ht="15" customHeight="1" x14ac:dyDescent="0.25">
      <c r="A2186" s="828" t="s">
        <v>18725</v>
      </c>
      <c r="B2186" s="829" t="s">
        <v>17715</v>
      </c>
      <c r="C2186" s="829" t="s">
        <v>17715</v>
      </c>
      <c r="D2186" s="828" t="s">
        <v>17969</v>
      </c>
      <c r="E2186" s="833">
        <v>60</v>
      </c>
      <c r="F2186" s="832">
        <v>20</v>
      </c>
      <c r="G2186" s="202" t="str">
        <f t="shared" si="34"/>
        <v/>
      </c>
    </row>
    <row r="2187" spans="1:7" s="172" customFormat="1" ht="15" customHeight="1" x14ac:dyDescent="0.25">
      <c r="A2187" s="828" t="s">
        <v>18726</v>
      </c>
      <c r="B2187" s="829" t="s">
        <v>17715</v>
      </c>
      <c r="C2187" s="829" t="s">
        <v>17715</v>
      </c>
      <c r="D2187" s="828" t="s">
        <v>17970</v>
      </c>
      <c r="E2187" s="833">
        <v>40</v>
      </c>
      <c r="F2187" s="832">
        <v>10</v>
      </c>
      <c r="G2187" s="202" t="str">
        <f t="shared" si="34"/>
        <v/>
      </c>
    </row>
    <row r="2188" spans="1:7" s="172" customFormat="1" ht="15" customHeight="1" x14ac:dyDescent="0.25">
      <c r="A2188" s="834" t="s">
        <v>18727</v>
      </c>
      <c r="B2188" s="829" t="s">
        <v>17715</v>
      </c>
      <c r="C2188" s="829" t="s">
        <v>17715</v>
      </c>
      <c r="D2188" s="828" t="s">
        <v>17971</v>
      </c>
      <c r="E2188" s="831">
        <v>20</v>
      </c>
      <c r="F2188" s="832">
        <v>5</v>
      </c>
      <c r="G2188" s="202" t="str">
        <f t="shared" si="34"/>
        <v/>
      </c>
    </row>
    <row r="2189" spans="1:7" s="172" customFormat="1" ht="15" customHeight="1" x14ac:dyDescent="0.25">
      <c r="A2189" s="834" t="s">
        <v>18728</v>
      </c>
      <c r="B2189" s="829" t="s">
        <v>17715</v>
      </c>
      <c r="C2189" s="829" t="s">
        <v>17715</v>
      </c>
      <c r="D2189" s="828" t="s">
        <v>17972</v>
      </c>
      <c r="E2189" s="833">
        <v>160</v>
      </c>
      <c r="F2189" s="832">
        <v>40</v>
      </c>
      <c r="G2189" s="202" t="str">
        <f t="shared" si="34"/>
        <v/>
      </c>
    </row>
    <row r="2190" spans="1:7" s="172" customFormat="1" ht="15" customHeight="1" x14ac:dyDescent="0.25">
      <c r="A2190" s="834" t="s">
        <v>18728</v>
      </c>
      <c r="B2190" s="829" t="s">
        <v>17715</v>
      </c>
      <c r="C2190" s="829" t="s">
        <v>17715</v>
      </c>
      <c r="D2190" s="828" t="s">
        <v>17973</v>
      </c>
      <c r="E2190" s="833">
        <v>250</v>
      </c>
      <c r="F2190" s="832">
        <v>60</v>
      </c>
      <c r="G2190" s="202" t="str">
        <f t="shared" si="34"/>
        <v/>
      </c>
    </row>
    <row r="2191" spans="1:7" s="172" customFormat="1" ht="15" customHeight="1" x14ac:dyDescent="0.25">
      <c r="A2191" s="834" t="s">
        <v>18729</v>
      </c>
      <c r="B2191" s="829" t="s">
        <v>17715</v>
      </c>
      <c r="C2191" s="829" t="s">
        <v>17715</v>
      </c>
      <c r="D2191" s="828" t="s">
        <v>17974</v>
      </c>
      <c r="E2191" s="833">
        <v>63</v>
      </c>
      <c r="F2191" s="832">
        <v>15</v>
      </c>
      <c r="G2191" s="202" t="str">
        <f t="shared" si="34"/>
        <v/>
      </c>
    </row>
    <row r="2192" spans="1:7" s="172" customFormat="1" ht="15" customHeight="1" x14ac:dyDescent="0.25">
      <c r="A2192" s="834" t="s">
        <v>18730</v>
      </c>
      <c r="B2192" s="829" t="s">
        <v>17715</v>
      </c>
      <c r="C2192" s="829" t="s">
        <v>17715</v>
      </c>
      <c r="D2192" s="828" t="s">
        <v>17975</v>
      </c>
      <c r="E2192" s="833">
        <v>100</v>
      </c>
      <c r="F2192" s="832">
        <v>50</v>
      </c>
      <c r="G2192" s="202" t="str">
        <f t="shared" si="34"/>
        <v/>
      </c>
    </row>
    <row r="2193" spans="1:7" s="172" customFormat="1" ht="15" customHeight="1" x14ac:dyDescent="0.25">
      <c r="A2193" s="830" t="s">
        <v>18731</v>
      </c>
      <c r="B2193" s="829" t="s">
        <v>17715</v>
      </c>
      <c r="C2193" s="829" t="s">
        <v>17715</v>
      </c>
      <c r="D2193" s="830" t="s">
        <v>17976</v>
      </c>
      <c r="E2193" s="833">
        <v>100</v>
      </c>
      <c r="F2193" s="832">
        <v>15</v>
      </c>
      <c r="G2193" s="202" t="str">
        <f t="shared" si="34"/>
        <v/>
      </c>
    </row>
    <row r="2194" spans="1:7" s="172" customFormat="1" ht="15" customHeight="1" x14ac:dyDescent="0.25">
      <c r="A2194" s="834" t="s">
        <v>18732</v>
      </c>
      <c r="B2194" s="829" t="s">
        <v>17715</v>
      </c>
      <c r="C2194" s="829" t="s">
        <v>17715</v>
      </c>
      <c r="D2194" s="828" t="s">
        <v>17977</v>
      </c>
      <c r="E2194" s="833">
        <v>160</v>
      </c>
      <c r="F2194" s="832">
        <v>20</v>
      </c>
      <c r="G2194" s="202" t="str">
        <f t="shared" si="34"/>
        <v/>
      </c>
    </row>
    <row r="2195" spans="1:7" s="172" customFormat="1" ht="15" customHeight="1" x14ac:dyDescent="0.25">
      <c r="A2195" s="828" t="s">
        <v>18733</v>
      </c>
      <c r="B2195" s="829" t="s">
        <v>17715</v>
      </c>
      <c r="C2195" s="829" t="s">
        <v>17715</v>
      </c>
      <c r="D2195" s="828" t="s">
        <v>17978</v>
      </c>
      <c r="E2195" s="833">
        <v>30</v>
      </c>
      <c r="F2195" s="832">
        <v>5</v>
      </c>
      <c r="G2195" s="202" t="str">
        <f t="shared" si="34"/>
        <v/>
      </c>
    </row>
    <row r="2196" spans="1:7" s="172" customFormat="1" ht="15" customHeight="1" x14ac:dyDescent="0.25">
      <c r="A2196" s="828" t="s">
        <v>18734</v>
      </c>
      <c r="B2196" s="829" t="s">
        <v>17715</v>
      </c>
      <c r="C2196" s="829" t="s">
        <v>17715</v>
      </c>
      <c r="D2196" s="828" t="s">
        <v>17979</v>
      </c>
      <c r="E2196" s="833">
        <v>160</v>
      </c>
      <c r="F2196" s="832">
        <v>40</v>
      </c>
      <c r="G2196" s="202" t="str">
        <f t="shared" si="34"/>
        <v/>
      </c>
    </row>
    <row r="2197" spans="1:7" s="172" customFormat="1" ht="15" customHeight="1" x14ac:dyDescent="0.25">
      <c r="A2197" s="828" t="s">
        <v>18734</v>
      </c>
      <c r="B2197" s="829" t="s">
        <v>17715</v>
      </c>
      <c r="C2197" s="829" t="s">
        <v>17715</v>
      </c>
      <c r="D2197" s="828" t="s">
        <v>17979</v>
      </c>
      <c r="E2197" s="833">
        <v>63</v>
      </c>
      <c r="F2197" s="832">
        <v>40</v>
      </c>
      <c r="G2197" s="202" t="str">
        <f t="shared" si="34"/>
        <v/>
      </c>
    </row>
    <row r="2198" spans="1:7" s="172" customFormat="1" ht="15" customHeight="1" x14ac:dyDescent="0.25">
      <c r="A2198" s="834" t="s">
        <v>18735</v>
      </c>
      <c r="B2198" s="829" t="s">
        <v>17715</v>
      </c>
      <c r="C2198" s="829" t="s">
        <v>17715</v>
      </c>
      <c r="D2198" s="828" t="s">
        <v>17980</v>
      </c>
      <c r="E2198" s="833">
        <v>60</v>
      </c>
      <c r="F2198" s="832">
        <v>15</v>
      </c>
      <c r="G2198" s="202" t="str">
        <f t="shared" si="34"/>
        <v/>
      </c>
    </row>
    <row r="2199" spans="1:7" s="172" customFormat="1" ht="15" customHeight="1" x14ac:dyDescent="0.25">
      <c r="A2199" s="828" t="s">
        <v>18736</v>
      </c>
      <c r="B2199" s="829" t="s">
        <v>17715</v>
      </c>
      <c r="C2199" s="829" t="s">
        <v>17715</v>
      </c>
      <c r="D2199" s="828" t="s">
        <v>17981</v>
      </c>
      <c r="E2199" s="833">
        <v>160</v>
      </c>
      <c r="F2199" s="832">
        <v>50</v>
      </c>
      <c r="G2199" s="202" t="str">
        <f t="shared" si="34"/>
        <v/>
      </c>
    </row>
    <row r="2200" spans="1:7" s="172" customFormat="1" ht="15" customHeight="1" x14ac:dyDescent="0.25">
      <c r="A2200" s="828" t="s">
        <v>18737</v>
      </c>
      <c r="B2200" s="829" t="s">
        <v>17715</v>
      </c>
      <c r="C2200" s="829" t="s">
        <v>17715</v>
      </c>
      <c r="D2200" s="830" t="s">
        <v>17982</v>
      </c>
      <c r="E2200" s="833">
        <v>160</v>
      </c>
      <c r="F2200" s="832">
        <v>0</v>
      </c>
      <c r="G2200" s="202" t="str">
        <f t="shared" si="34"/>
        <v/>
      </c>
    </row>
    <row r="2201" spans="1:7" s="172" customFormat="1" ht="15" customHeight="1" x14ac:dyDescent="0.25">
      <c r="A2201" s="834" t="s">
        <v>18738</v>
      </c>
      <c r="B2201" s="829" t="s">
        <v>17715</v>
      </c>
      <c r="C2201" s="829" t="s">
        <v>17715</v>
      </c>
      <c r="D2201" s="828" t="s">
        <v>17983</v>
      </c>
      <c r="E2201" s="833">
        <v>30</v>
      </c>
      <c r="F2201" s="832">
        <v>10</v>
      </c>
      <c r="G2201" s="202" t="str">
        <f t="shared" si="34"/>
        <v/>
      </c>
    </row>
    <row r="2202" spans="1:7" s="172" customFormat="1" ht="15" customHeight="1" x14ac:dyDescent="0.25">
      <c r="A2202" s="834" t="s">
        <v>18739</v>
      </c>
      <c r="B2202" s="829" t="s">
        <v>17715</v>
      </c>
      <c r="C2202" s="829" t="s">
        <v>17715</v>
      </c>
      <c r="D2202" s="828" t="s">
        <v>17984</v>
      </c>
      <c r="E2202" s="833">
        <v>100</v>
      </c>
      <c r="F2202" s="832">
        <v>25</v>
      </c>
      <c r="G2202" s="202" t="str">
        <f t="shared" si="34"/>
        <v/>
      </c>
    </row>
    <row r="2203" spans="1:7" s="172" customFormat="1" ht="15" customHeight="1" x14ac:dyDescent="0.25">
      <c r="A2203" s="834" t="s">
        <v>18739</v>
      </c>
      <c r="B2203" s="829" t="s">
        <v>17715</v>
      </c>
      <c r="C2203" s="829" t="s">
        <v>17715</v>
      </c>
      <c r="D2203" s="828" t="s">
        <v>17985</v>
      </c>
      <c r="E2203" s="833">
        <v>100</v>
      </c>
      <c r="F2203" s="832">
        <v>30</v>
      </c>
      <c r="G2203" s="202" t="str">
        <f t="shared" si="34"/>
        <v/>
      </c>
    </row>
    <row r="2204" spans="1:7" s="172" customFormat="1" ht="15" customHeight="1" x14ac:dyDescent="0.25">
      <c r="A2204" s="834" t="s">
        <v>18740</v>
      </c>
      <c r="B2204" s="829" t="s">
        <v>17715</v>
      </c>
      <c r="C2204" s="829" t="s">
        <v>17715</v>
      </c>
      <c r="D2204" s="828" t="s">
        <v>17986</v>
      </c>
      <c r="E2204" s="833">
        <v>100</v>
      </c>
      <c r="F2204" s="832">
        <v>30</v>
      </c>
      <c r="G2204" s="202" t="str">
        <f t="shared" si="34"/>
        <v/>
      </c>
    </row>
    <row r="2205" spans="1:7" s="172" customFormat="1" ht="15" customHeight="1" x14ac:dyDescent="0.25">
      <c r="A2205" s="834" t="s">
        <v>18741</v>
      </c>
      <c r="B2205" s="829" t="s">
        <v>17715</v>
      </c>
      <c r="C2205" s="829" t="s">
        <v>17715</v>
      </c>
      <c r="D2205" s="828" t="s">
        <v>17987</v>
      </c>
      <c r="E2205" s="833">
        <v>250</v>
      </c>
      <c r="F2205" s="832">
        <v>70</v>
      </c>
      <c r="G2205" s="202" t="str">
        <f t="shared" si="34"/>
        <v/>
      </c>
    </row>
    <row r="2206" spans="1:7" s="172" customFormat="1" ht="15" customHeight="1" x14ac:dyDescent="0.25">
      <c r="A2206" s="828" t="s">
        <v>18742</v>
      </c>
      <c r="B2206" s="829" t="s">
        <v>17715</v>
      </c>
      <c r="C2206" s="829" t="s">
        <v>17715</v>
      </c>
      <c r="D2206" s="828" t="s">
        <v>17988</v>
      </c>
      <c r="E2206" s="833">
        <v>160</v>
      </c>
      <c r="F2206" s="832">
        <v>20</v>
      </c>
      <c r="G2206" s="202" t="str">
        <f t="shared" si="34"/>
        <v/>
      </c>
    </row>
    <row r="2207" spans="1:7" s="172" customFormat="1" ht="15" customHeight="1" x14ac:dyDescent="0.25">
      <c r="A2207" s="828" t="s">
        <v>18742</v>
      </c>
      <c r="B2207" s="829" t="s">
        <v>17715</v>
      </c>
      <c r="C2207" s="829" t="s">
        <v>17715</v>
      </c>
      <c r="D2207" s="828" t="s">
        <v>17989</v>
      </c>
      <c r="E2207" s="833">
        <v>250</v>
      </c>
      <c r="F2207" s="832">
        <v>180</v>
      </c>
      <c r="G2207" s="202" t="str">
        <f t="shared" si="34"/>
        <v/>
      </c>
    </row>
    <row r="2208" spans="1:7" s="172" customFormat="1" ht="15" customHeight="1" x14ac:dyDescent="0.25">
      <c r="A2208" s="828" t="s">
        <v>18743</v>
      </c>
      <c r="B2208" s="829" t="s">
        <v>17715</v>
      </c>
      <c r="C2208" s="829" t="s">
        <v>17715</v>
      </c>
      <c r="D2208" s="828" t="s">
        <v>17990</v>
      </c>
      <c r="E2208" s="833">
        <v>160</v>
      </c>
      <c r="F2208" s="832">
        <v>20</v>
      </c>
      <c r="G2208" s="202" t="str">
        <f t="shared" si="34"/>
        <v/>
      </c>
    </row>
    <row r="2209" spans="1:7" s="172" customFormat="1" ht="15" customHeight="1" x14ac:dyDescent="0.25">
      <c r="A2209" s="834" t="s">
        <v>18744</v>
      </c>
      <c r="B2209" s="829" t="s">
        <v>17715</v>
      </c>
      <c r="C2209" s="829" t="s">
        <v>17715</v>
      </c>
      <c r="D2209" s="828" t="s">
        <v>17991</v>
      </c>
      <c r="E2209" s="833">
        <v>160</v>
      </c>
      <c r="F2209" s="832">
        <v>5</v>
      </c>
      <c r="G2209" s="202" t="str">
        <f t="shared" si="34"/>
        <v/>
      </c>
    </row>
    <row r="2210" spans="1:7" s="172" customFormat="1" ht="15" customHeight="1" x14ac:dyDescent="0.25">
      <c r="A2210" s="828" t="s">
        <v>18745</v>
      </c>
      <c r="B2210" s="829" t="s">
        <v>17715</v>
      </c>
      <c r="C2210" s="829" t="s">
        <v>17715</v>
      </c>
      <c r="D2210" s="830" t="s">
        <v>17992</v>
      </c>
      <c r="E2210" s="833">
        <v>100</v>
      </c>
      <c r="F2210" s="832">
        <v>40</v>
      </c>
      <c r="G2210" s="202" t="str">
        <f t="shared" si="34"/>
        <v/>
      </c>
    </row>
    <row r="2211" spans="1:7" s="172" customFormat="1" ht="15" customHeight="1" x14ac:dyDescent="0.25">
      <c r="A2211" s="828" t="s">
        <v>18746</v>
      </c>
      <c r="B2211" s="829" t="s">
        <v>17715</v>
      </c>
      <c r="C2211" s="829" t="s">
        <v>17715</v>
      </c>
      <c r="D2211" s="828" t="s">
        <v>17993</v>
      </c>
      <c r="E2211" s="833">
        <v>60</v>
      </c>
      <c r="F2211" s="832">
        <v>10</v>
      </c>
      <c r="G2211" s="202" t="str">
        <f t="shared" si="34"/>
        <v/>
      </c>
    </row>
    <row r="2212" spans="1:7" s="172" customFormat="1" ht="15" customHeight="1" x14ac:dyDescent="0.25">
      <c r="A2212" s="828" t="s">
        <v>18747</v>
      </c>
      <c r="B2212" s="829" t="s">
        <v>17715</v>
      </c>
      <c r="C2212" s="829" t="s">
        <v>17715</v>
      </c>
      <c r="D2212" s="828" t="s">
        <v>17994</v>
      </c>
      <c r="E2212" s="833">
        <v>160</v>
      </c>
      <c r="F2212" s="832">
        <v>60</v>
      </c>
      <c r="G2212" s="202" t="str">
        <f t="shared" si="34"/>
        <v/>
      </c>
    </row>
    <row r="2213" spans="1:7" s="172" customFormat="1" ht="15" customHeight="1" x14ac:dyDescent="0.25">
      <c r="A2213" s="834" t="s">
        <v>18748</v>
      </c>
      <c r="B2213" s="829" t="s">
        <v>17715</v>
      </c>
      <c r="C2213" s="829" t="s">
        <v>17715</v>
      </c>
      <c r="D2213" s="828" t="s">
        <v>17995</v>
      </c>
      <c r="E2213" s="831">
        <v>160</v>
      </c>
      <c r="F2213" s="832">
        <v>60</v>
      </c>
      <c r="G2213" s="202" t="str">
        <f t="shared" si="34"/>
        <v/>
      </c>
    </row>
    <row r="2214" spans="1:7" s="172" customFormat="1" ht="15" customHeight="1" x14ac:dyDescent="0.25">
      <c r="A2214" s="828" t="s">
        <v>18748</v>
      </c>
      <c r="B2214" s="829" t="s">
        <v>17715</v>
      </c>
      <c r="C2214" s="829" t="s">
        <v>17715</v>
      </c>
      <c r="D2214" s="828" t="s">
        <v>17996</v>
      </c>
      <c r="E2214" s="833">
        <v>320</v>
      </c>
      <c r="F2214" s="832">
        <v>250</v>
      </c>
      <c r="G2214" s="202" t="str">
        <f t="shared" si="34"/>
        <v/>
      </c>
    </row>
    <row r="2215" spans="1:7" s="172" customFormat="1" ht="15" customHeight="1" x14ac:dyDescent="0.25">
      <c r="A2215" s="828" t="s">
        <v>18748</v>
      </c>
      <c r="B2215" s="829" t="s">
        <v>17715</v>
      </c>
      <c r="C2215" s="829" t="s">
        <v>17715</v>
      </c>
      <c r="D2215" s="828" t="s">
        <v>17998</v>
      </c>
      <c r="E2215" s="833">
        <v>100</v>
      </c>
      <c r="F2215" s="832">
        <v>40</v>
      </c>
      <c r="G2215" s="202" t="str">
        <f t="shared" si="34"/>
        <v/>
      </c>
    </row>
    <row r="2216" spans="1:7" s="172" customFormat="1" ht="15" customHeight="1" x14ac:dyDescent="0.25">
      <c r="A2216" s="828" t="s">
        <v>18749</v>
      </c>
      <c r="B2216" s="829" t="s">
        <v>17715</v>
      </c>
      <c r="C2216" s="829" t="s">
        <v>17715</v>
      </c>
      <c r="D2216" s="830" t="s">
        <v>17997</v>
      </c>
      <c r="E2216" s="833">
        <v>160</v>
      </c>
      <c r="F2216" s="832">
        <v>40</v>
      </c>
      <c r="G2216" s="202" t="str">
        <f t="shared" si="34"/>
        <v/>
      </c>
    </row>
    <row r="2217" spans="1:7" s="172" customFormat="1" ht="15" customHeight="1" x14ac:dyDescent="0.25">
      <c r="A2217" s="828" t="s">
        <v>18750</v>
      </c>
      <c r="B2217" s="829" t="s">
        <v>17715</v>
      </c>
      <c r="C2217" s="829" t="s">
        <v>17715</v>
      </c>
      <c r="D2217" s="828" t="s">
        <v>17999</v>
      </c>
      <c r="E2217" s="833">
        <v>100</v>
      </c>
      <c r="F2217" s="832">
        <v>30</v>
      </c>
      <c r="G2217" s="202" t="str">
        <f t="shared" si="34"/>
        <v/>
      </c>
    </row>
    <row r="2218" spans="1:7" s="172" customFormat="1" ht="15" customHeight="1" x14ac:dyDescent="0.25">
      <c r="A2218" s="828" t="s">
        <v>18750</v>
      </c>
      <c r="B2218" s="829" t="s">
        <v>17715</v>
      </c>
      <c r="C2218" s="829" t="s">
        <v>17715</v>
      </c>
      <c r="D2218" s="828" t="s">
        <v>18000</v>
      </c>
      <c r="E2218" s="833">
        <v>100</v>
      </c>
      <c r="F2218" s="832">
        <v>30</v>
      </c>
      <c r="G2218" s="202" t="str">
        <f t="shared" si="34"/>
        <v/>
      </c>
    </row>
    <row r="2219" spans="1:7" s="172" customFormat="1" ht="15" customHeight="1" x14ac:dyDescent="0.25">
      <c r="A2219" s="828" t="s">
        <v>18751</v>
      </c>
      <c r="B2219" s="829" t="s">
        <v>17715</v>
      </c>
      <c r="C2219" s="829" t="s">
        <v>17715</v>
      </c>
      <c r="D2219" s="828" t="s">
        <v>18001</v>
      </c>
      <c r="E2219" s="833">
        <v>250</v>
      </c>
      <c r="F2219" s="832">
        <v>45</v>
      </c>
      <c r="G2219" s="202" t="str">
        <f t="shared" si="34"/>
        <v/>
      </c>
    </row>
    <row r="2220" spans="1:7" s="172" customFormat="1" ht="15" customHeight="1" x14ac:dyDescent="0.25">
      <c r="A2220" s="834" t="s">
        <v>18752</v>
      </c>
      <c r="B2220" s="829" t="s">
        <v>17715</v>
      </c>
      <c r="C2220" s="829" t="s">
        <v>17715</v>
      </c>
      <c r="D2220" s="828" t="s">
        <v>18002</v>
      </c>
      <c r="E2220" s="833">
        <v>100</v>
      </c>
      <c r="F2220" s="832">
        <v>20</v>
      </c>
      <c r="G2220" s="202" t="str">
        <f t="shared" si="34"/>
        <v/>
      </c>
    </row>
    <row r="2221" spans="1:7" s="172" customFormat="1" ht="15" customHeight="1" x14ac:dyDescent="0.25">
      <c r="A2221" s="828" t="s">
        <v>18753</v>
      </c>
      <c r="B2221" s="829" t="s">
        <v>17715</v>
      </c>
      <c r="C2221" s="829" t="s">
        <v>17715</v>
      </c>
      <c r="D2221" s="828" t="s">
        <v>18003</v>
      </c>
      <c r="E2221" s="833">
        <v>250</v>
      </c>
      <c r="F2221" s="832">
        <v>70</v>
      </c>
      <c r="G2221" s="202" t="str">
        <f t="shared" si="34"/>
        <v/>
      </c>
    </row>
    <row r="2222" spans="1:7" s="172" customFormat="1" ht="15" customHeight="1" x14ac:dyDescent="0.25">
      <c r="A2222" s="828" t="s">
        <v>18754</v>
      </c>
      <c r="B2222" s="829" t="s">
        <v>17715</v>
      </c>
      <c r="C2222" s="829" t="s">
        <v>17715</v>
      </c>
      <c r="D2222" s="828" t="s">
        <v>18004</v>
      </c>
      <c r="E2222" s="833">
        <v>400</v>
      </c>
      <c r="F2222" s="832">
        <v>110</v>
      </c>
      <c r="G2222" s="202" t="str">
        <f t="shared" si="34"/>
        <v/>
      </c>
    </row>
    <row r="2223" spans="1:7" s="172" customFormat="1" ht="15" customHeight="1" x14ac:dyDescent="0.25">
      <c r="A2223" s="834" t="s">
        <v>18754</v>
      </c>
      <c r="B2223" s="829" t="s">
        <v>17715</v>
      </c>
      <c r="C2223" s="829" t="s">
        <v>17715</v>
      </c>
      <c r="D2223" s="828" t="s">
        <v>18005</v>
      </c>
      <c r="E2223" s="833">
        <v>570</v>
      </c>
      <c r="F2223" s="832">
        <v>230</v>
      </c>
      <c r="G2223" s="202" t="str">
        <f t="shared" si="34"/>
        <v/>
      </c>
    </row>
    <row r="2224" spans="1:7" s="172" customFormat="1" ht="15" customHeight="1" x14ac:dyDescent="0.25">
      <c r="A2224" s="834" t="s">
        <v>15046</v>
      </c>
      <c r="B2224" s="829" t="s">
        <v>17715</v>
      </c>
      <c r="C2224" s="829" t="s">
        <v>17715</v>
      </c>
      <c r="D2224" s="828" t="s">
        <v>18006</v>
      </c>
      <c r="E2224" s="833">
        <v>160</v>
      </c>
      <c r="F2224" s="832">
        <v>40</v>
      </c>
      <c r="G2224" s="202" t="str">
        <f t="shared" si="34"/>
        <v/>
      </c>
    </row>
    <row r="2225" spans="1:7" s="172" customFormat="1" ht="15" customHeight="1" x14ac:dyDescent="0.25">
      <c r="A2225" s="828" t="s">
        <v>15046</v>
      </c>
      <c r="B2225" s="829" t="s">
        <v>17715</v>
      </c>
      <c r="C2225" s="829" t="s">
        <v>17715</v>
      </c>
      <c r="D2225" s="830" t="s">
        <v>18007</v>
      </c>
      <c r="E2225" s="833">
        <v>160</v>
      </c>
      <c r="F2225" s="832">
        <v>40</v>
      </c>
      <c r="G2225" s="202" t="str">
        <f t="shared" si="34"/>
        <v/>
      </c>
    </row>
    <row r="2226" spans="1:7" s="172" customFormat="1" ht="15" customHeight="1" x14ac:dyDescent="0.25">
      <c r="A2226" s="834" t="s">
        <v>15046</v>
      </c>
      <c r="B2226" s="829" t="s">
        <v>17715</v>
      </c>
      <c r="C2226" s="829" t="s">
        <v>17715</v>
      </c>
      <c r="D2226" s="830" t="s">
        <v>18008</v>
      </c>
      <c r="E2226" s="833">
        <v>100</v>
      </c>
      <c r="F2226" s="832">
        <v>25</v>
      </c>
      <c r="G2226" s="202" t="str">
        <f t="shared" si="34"/>
        <v/>
      </c>
    </row>
    <row r="2227" spans="1:7" s="172" customFormat="1" ht="15" customHeight="1" x14ac:dyDescent="0.25">
      <c r="A2227" s="834" t="s">
        <v>18755</v>
      </c>
      <c r="B2227" s="829" t="s">
        <v>17715</v>
      </c>
      <c r="C2227" s="829" t="s">
        <v>17715</v>
      </c>
      <c r="D2227" s="828" t="s">
        <v>18009</v>
      </c>
      <c r="E2227" s="833">
        <v>250</v>
      </c>
      <c r="F2227" s="832">
        <v>70</v>
      </c>
      <c r="G2227" s="202" t="str">
        <f t="shared" si="34"/>
        <v/>
      </c>
    </row>
    <row r="2228" spans="1:7" s="172" customFormat="1" ht="15" customHeight="1" x14ac:dyDescent="0.25">
      <c r="A2228" s="834" t="s">
        <v>18756</v>
      </c>
      <c r="B2228" s="829" t="s">
        <v>17715</v>
      </c>
      <c r="C2228" s="829" t="s">
        <v>17715</v>
      </c>
      <c r="D2228" s="828" t="s">
        <v>18010</v>
      </c>
      <c r="E2228" s="833">
        <v>63</v>
      </c>
      <c r="F2228" s="832">
        <v>10</v>
      </c>
      <c r="G2228" s="202" t="str">
        <f t="shared" si="34"/>
        <v/>
      </c>
    </row>
    <row r="2229" spans="1:7" s="172" customFormat="1" ht="15" customHeight="1" x14ac:dyDescent="0.25">
      <c r="A2229" s="828" t="s">
        <v>18757</v>
      </c>
      <c r="B2229" s="829" t="s">
        <v>17715</v>
      </c>
      <c r="C2229" s="829" t="s">
        <v>17715</v>
      </c>
      <c r="D2229" s="828" t="s">
        <v>18011</v>
      </c>
      <c r="E2229" s="833">
        <v>63</v>
      </c>
      <c r="F2229" s="832">
        <v>15</v>
      </c>
      <c r="G2229" s="202" t="str">
        <f t="shared" si="34"/>
        <v/>
      </c>
    </row>
    <row r="2230" spans="1:7" s="172" customFormat="1" ht="15" customHeight="1" x14ac:dyDescent="0.25">
      <c r="A2230" s="828" t="s">
        <v>18758</v>
      </c>
      <c r="B2230" s="829" t="s">
        <v>17715</v>
      </c>
      <c r="C2230" s="829" t="s">
        <v>17715</v>
      </c>
      <c r="D2230" s="828" t="s">
        <v>18012</v>
      </c>
      <c r="E2230" s="833">
        <v>100</v>
      </c>
      <c r="F2230" s="832">
        <v>30</v>
      </c>
      <c r="G2230" s="202" t="str">
        <f t="shared" si="34"/>
        <v/>
      </c>
    </row>
    <row r="2231" spans="1:7" s="172" customFormat="1" ht="15" customHeight="1" x14ac:dyDescent="0.25">
      <c r="A2231" s="828" t="s">
        <v>18758</v>
      </c>
      <c r="B2231" s="829" t="s">
        <v>17715</v>
      </c>
      <c r="C2231" s="829" t="s">
        <v>17715</v>
      </c>
      <c r="D2231" s="828" t="s">
        <v>18013</v>
      </c>
      <c r="E2231" s="833">
        <v>160</v>
      </c>
      <c r="F2231" s="832">
        <v>45</v>
      </c>
      <c r="G2231" s="202" t="str">
        <f t="shared" si="34"/>
        <v/>
      </c>
    </row>
    <row r="2232" spans="1:7" s="172" customFormat="1" ht="15" customHeight="1" x14ac:dyDescent="0.25">
      <c r="A2232" s="828" t="s">
        <v>18759</v>
      </c>
      <c r="B2232" s="829" t="s">
        <v>17715</v>
      </c>
      <c r="C2232" s="829" t="s">
        <v>17715</v>
      </c>
      <c r="D2232" s="828" t="s">
        <v>18014</v>
      </c>
      <c r="E2232" s="833">
        <v>400</v>
      </c>
      <c r="F2232" s="832">
        <v>30</v>
      </c>
      <c r="G2232" s="202" t="str">
        <f t="shared" si="34"/>
        <v/>
      </c>
    </row>
    <row r="2233" spans="1:7" s="172" customFormat="1" ht="15" customHeight="1" x14ac:dyDescent="0.25">
      <c r="A2233" s="828" t="s">
        <v>18760</v>
      </c>
      <c r="B2233" s="829" t="s">
        <v>17715</v>
      </c>
      <c r="C2233" s="829" t="s">
        <v>17715</v>
      </c>
      <c r="D2233" s="828" t="s">
        <v>18015</v>
      </c>
      <c r="E2233" s="833">
        <v>160</v>
      </c>
      <c r="F2233" s="832">
        <v>25</v>
      </c>
      <c r="G2233" s="202" t="str">
        <f t="shared" si="34"/>
        <v/>
      </c>
    </row>
    <row r="2234" spans="1:7" s="172" customFormat="1" ht="15" customHeight="1" x14ac:dyDescent="0.25">
      <c r="A2234" s="828" t="s">
        <v>18761</v>
      </c>
      <c r="B2234" s="829" t="s">
        <v>17715</v>
      </c>
      <c r="C2234" s="829" t="s">
        <v>17715</v>
      </c>
      <c r="D2234" s="828" t="s">
        <v>18016</v>
      </c>
      <c r="E2234" s="833">
        <v>20</v>
      </c>
      <c r="F2234" s="832">
        <v>0</v>
      </c>
      <c r="G2234" s="202" t="str">
        <f t="shared" si="34"/>
        <v/>
      </c>
    </row>
    <row r="2235" spans="1:7" s="172" customFormat="1" ht="15" customHeight="1" x14ac:dyDescent="0.25">
      <c r="A2235" s="828" t="s">
        <v>18762</v>
      </c>
      <c r="B2235" s="829" t="s">
        <v>17715</v>
      </c>
      <c r="C2235" s="829" t="s">
        <v>17715</v>
      </c>
      <c r="D2235" s="828" t="s">
        <v>18017</v>
      </c>
      <c r="E2235" s="833">
        <v>400</v>
      </c>
      <c r="F2235" s="832">
        <v>180</v>
      </c>
      <c r="G2235" s="202" t="str">
        <f t="shared" si="34"/>
        <v/>
      </c>
    </row>
    <row r="2236" spans="1:7" s="172" customFormat="1" ht="15" customHeight="1" x14ac:dyDescent="0.25">
      <c r="A2236" s="828" t="s">
        <v>18762</v>
      </c>
      <c r="B2236" s="829" t="s">
        <v>17715</v>
      </c>
      <c r="C2236" s="829" t="s">
        <v>17715</v>
      </c>
      <c r="D2236" s="830" t="s">
        <v>18019</v>
      </c>
      <c r="E2236" s="833">
        <v>160</v>
      </c>
      <c r="F2236" s="832">
        <v>65</v>
      </c>
      <c r="G2236" s="202" t="str">
        <f t="shared" si="34"/>
        <v/>
      </c>
    </row>
    <row r="2237" spans="1:7" s="172" customFormat="1" ht="15" customHeight="1" x14ac:dyDescent="0.25">
      <c r="A2237" s="828" t="s">
        <v>18762</v>
      </c>
      <c r="B2237" s="829" t="s">
        <v>17715</v>
      </c>
      <c r="C2237" s="829" t="s">
        <v>17715</v>
      </c>
      <c r="D2237" s="828" t="s">
        <v>18018</v>
      </c>
      <c r="E2237" s="833">
        <v>160</v>
      </c>
      <c r="F2237" s="832">
        <v>35</v>
      </c>
      <c r="G2237" s="202" t="str">
        <f t="shared" si="34"/>
        <v/>
      </c>
    </row>
    <row r="2238" spans="1:7" s="172" customFormat="1" ht="15" customHeight="1" x14ac:dyDescent="0.25">
      <c r="A2238" s="828" t="s">
        <v>18763</v>
      </c>
      <c r="B2238" s="829" t="s">
        <v>17715</v>
      </c>
      <c r="C2238" s="829" t="s">
        <v>17715</v>
      </c>
      <c r="D2238" s="830" t="s">
        <v>18020</v>
      </c>
      <c r="E2238" s="833">
        <v>160</v>
      </c>
      <c r="F2238" s="832">
        <v>50</v>
      </c>
      <c r="G2238" s="202" t="str">
        <f t="shared" si="34"/>
        <v/>
      </c>
    </row>
    <row r="2239" spans="1:7" s="172" customFormat="1" ht="15" customHeight="1" x14ac:dyDescent="0.25">
      <c r="A2239" s="828" t="s">
        <v>18764</v>
      </c>
      <c r="B2239" s="829" t="s">
        <v>17715</v>
      </c>
      <c r="C2239" s="829" t="s">
        <v>17715</v>
      </c>
      <c r="D2239" s="830" t="s">
        <v>18021</v>
      </c>
      <c r="E2239" s="833">
        <v>250</v>
      </c>
      <c r="F2239" s="832">
        <v>120</v>
      </c>
      <c r="G2239" s="202" t="str">
        <f t="shared" si="34"/>
        <v/>
      </c>
    </row>
    <row r="2240" spans="1:7" s="172" customFormat="1" ht="15" customHeight="1" x14ac:dyDescent="0.25">
      <c r="A2240" s="828" t="s">
        <v>18765</v>
      </c>
      <c r="B2240" s="829" t="s">
        <v>17715</v>
      </c>
      <c r="C2240" s="829" t="s">
        <v>17715</v>
      </c>
      <c r="D2240" s="828" t="s">
        <v>18030</v>
      </c>
      <c r="E2240" s="833">
        <v>250</v>
      </c>
      <c r="F2240" s="832">
        <v>70</v>
      </c>
      <c r="G2240" s="202" t="str">
        <f t="shared" si="34"/>
        <v/>
      </c>
    </row>
    <row r="2241" spans="1:7" s="172" customFormat="1" ht="15" customHeight="1" x14ac:dyDescent="0.25">
      <c r="A2241" s="828" t="s">
        <v>18765</v>
      </c>
      <c r="B2241" s="829" t="s">
        <v>17715</v>
      </c>
      <c r="C2241" s="829" t="s">
        <v>17715</v>
      </c>
      <c r="D2241" s="828" t="s">
        <v>18031</v>
      </c>
      <c r="E2241" s="833">
        <v>63</v>
      </c>
      <c r="F2241" s="832">
        <v>10</v>
      </c>
      <c r="G2241" s="202" t="str">
        <f t="shared" si="34"/>
        <v/>
      </c>
    </row>
    <row r="2242" spans="1:7" s="172" customFormat="1" ht="15" customHeight="1" x14ac:dyDescent="0.25">
      <c r="A2242" s="828" t="s">
        <v>18765</v>
      </c>
      <c r="B2242" s="829" t="s">
        <v>17715</v>
      </c>
      <c r="C2242" s="829" t="s">
        <v>17715</v>
      </c>
      <c r="D2242" s="828" t="s">
        <v>18032</v>
      </c>
      <c r="E2242" s="833">
        <v>25</v>
      </c>
      <c r="F2242" s="832">
        <v>5</v>
      </c>
      <c r="G2242" s="202" t="str">
        <f t="shared" si="34"/>
        <v/>
      </c>
    </row>
    <row r="2243" spans="1:7" s="172" customFormat="1" ht="15" customHeight="1" x14ac:dyDescent="0.25">
      <c r="A2243" s="828" t="s">
        <v>18765</v>
      </c>
      <c r="B2243" s="829" t="s">
        <v>17715</v>
      </c>
      <c r="C2243" s="829" t="s">
        <v>17715</v>
      </c>
      <c r="D2243" s="828" t="s">
        <v>18033</v>
      </c>
      <c r="E2243" s="833">
        <v>400</v>
      </c>
      <c r="F2243" s="832">
        <v>75</v>
      </c>
      <c r="G2243" s="202" t="str">
        <f t="shared" si="34"/>
        <v/>
      </c>
    </row>
    <row r="2244" spans="1:7" s="172" customFormat="1" ht="15" customHeight="1" x14ac:dyDescent="0.25">
      <c r="A2244" s="828" t="s">
        <v>18765</v>
      </c>
      <c r="B2244" s="829" t="s">
        <v>17715</v>
      </c>
      <c r="C2244" s="829" t="s">
        <v>17715</v>
      </c>
      <c r="D2244" s="828" t="s">
        <v>18034</v>
      </c>
      <c r="E2244" s="833">
        <v>250</v>
      </c>
      <c r="F2244" s="832">
        <v>55</v>
      </c>
      <c r="G2244" s="202" t="str">
        <f t="shared" ref="G2244:G2307" si="35">IF(E2244=F2244,"не загружен","")</f>
        <v/>
      </c>
    </row>
    <row r="2245" spans="1:7" s="172" customFormat="1" ht="15" customHeight="1" x14ac:dyDescent="0.25">
      <c r="A2245" s="828" t="s">
        <v>18766</v>
      </c>
      <c r="B2245" s="829" t="s">
        <v>17715</v>
      </c>
      <c r="C2245" s="829" t="s">
        <v>17715</v>
      </c>
      <c r="D2245" s="828" t="s">
        <v>18022</v>
      </c>
      <c r="E2245" s="833">
        <v>160</v>
      </c>
      <c r="F2245" s="832">
        <v>80</v>
      </c>
      <c r="G2245" s="202" t="str">
        <f t="shared" si="35"/>
        <v/>
      </c>
    </row>
    <row r="2246" spans="1:7" s="172" customFormat="1" ht="15" customHeight="1" x14ac:dyDescent="0.25">
      <c r="A2246" s="828" t="s">
        <v>18766</v>
      </c>
      <c r="B2246" s="829" t="s">
        <v>17715</v>
      </c>
      <c r="C2246" s="829" t="s">
        <v>17715</v>
      </c>
      <c r="D2246" s="828" t="s">
        <v>18023</v>
      </c>
      <c r="E2246" s="833">
        <v>100</v>
      </c>
      <c r="F2246" s="832">
        <v>20</v>
      </c>
      <c r="G2246" s="202" t="str">
        <f t="shared" si="35"/>
        <v/>
      </c>
    </row>
    <row r="2247" spans="1:7" s="172" customFormat="1" ht="15" customHeight="1" x14ac:dyDescent="0.25">
      <c r="A2247" s="828" t="s">
        <v>18766</v>
      </c>
      <c r="B2247" s="829" t="s">
        <v>17715</v>
      </c>
      <c r="C2247" s="829" t="s">
        <v>17715</v>
      </c>
      <c r="D2247" s="828" t="s">
        <v>18024</v>
      </c>
      <c r="E2247" s="833">
        <v>250</v>
      </c>
      <c r="F2247" s="832">
        <v>80</v>
      </c>
      <c r="G2247" s="202" t="str">
        <f t="shared" si="35"/>
        <v/>
      </c>
    </row>
    <row r="2248" spans="1:7" s="172" customFormat="1" ht="15" customHeight="1" x14ac:dyDescent="0.25">
      <c r="A2248" s="828" t="s">
        <v>18766</v>
      </c>
      <c r="B2248" s="829" t="s">
        <v>17715</v>
      </c>
      <c r="C2248" s="829" t="s">
        <v>17715</v>
      </c>
      <c r="D2248" s="830" t="s">
        <v>18025</v>
      </c>
      <c r="E2248" s="833">
        <v>100</v>
      </c>
      <c r="F2248" s="832">
        <v>0</v>
      </c>
      <c r="G2248" s="202" t="str">
        <f t="shared" si="35"/>
        <v/>
      </c>
    </row>
    <row r="2249" spans="1:7" s="172" customFormat="1" ht="15" customHeight="1" x14ac:dyDescent="0.25">
      <c r="A2249" s="828" t="s">
        <v>18766</v>
      </c>
      <c r="B2249" s="829" t="s">
        <v>17715</v>
      </c>
      <c r="C2249" s="829" t="s">
        <v>17715</v>
      </c>
      <c r="D2249" s="830" t="s">
        <v>18026</v>
      </c>
      <c r="E2249" s="833">
        <v>160</v>
      </c>
      <c r="F2249" s="832">
        <v>40</v>
      </c>
      <c r="G2249" s="202" t="str">
        <f t="shared" si="35"/>
        <v/>
      </c>
    </row>
    <row r="2250" spans="1:7" s="172" customFormat="1" ht="15" customHeight="1" x14ac:dyDescent="0.25">
      <c r="A2250" s="834" t="s">
        <v>18766</v>
      </c>
      <c r="B2250" s="829" t="s">
        <v>17715</v>
      </c>
      <c r="C2250" s="829" t="s">
        <v>17715</v>
      </c>
      <c r="D2250" s="828" t="s">
        <v>18027</v>
      </c>
      <c r="E2250" s="831">
        <v>160</v>
      </c>
      <c r="F2250" s="832">
        <v>55</v>
      </c>
      <c r="G2250" s="202" t="str">
        <f t="shared" si="35"/>
        <v/>
      </c>
    </row>
    <row r="2251" spans="1:7" s="172" customFormat="1" ht="15" customHeight="1" x14ac:dyDescent="0.25">
      <c r="A2251" s="834" t="s">
        <v>18766</v>
      </c>
      <c r="B2251" s="829" t="s">
        <v>17715</v>
      </c>
      <c r="C2251" s="829" t="s">
        <v>17715</v>
      </c>
      <c r="D2251" s="828" t="s">
        <v>18028</v>
      </c>
      <c r="E2251" s="833">
        <v>400</v>
      </c>
      <c r="F2251" s="832">
        <v>100</v>
      </c>
      <c r="G2251" s="202" t="str">
        <f t="shared" si="35"/>
        <v/>
      </c>
    </row>
    <row r="2252" spans="1:7" s="172" customFormat="1" ht="15" customHeight="1" x14ac:dyDescent="0.25">
      <c r="A2252" s="834" t="s">
        <v>18766</v>
      </c>
      <c r="B2252" s="829" t="s">
        <v>17715</v>
      </c>
      <c r="C2252" s="829" t="s">
        <v>17715</v>
      </c>
      <c r="D2252" s="828" t="s">
        <v>18029</v>
      </c>
      <c r="E2252" s="833">
        <v>160</v>
      </c>
      <c r="F2252" s="832">
        <v>50</v>
      </c>
      <c r="G2252" s="202" t="str">
        <f t="shared" si="35"/>
        <v/>
      </c>
    </row>
    <row r="2253" spans="1:7" s="172" customFormat="1" ht="15" customHeight="1" x14ac:dyDescent="0.25">
      <c r="A2253" s="834" t="s">
        <v>18766</v>
      </c>
      <c r="B2253" s="829" t="s">
        <v>17715</v>
      </c>
      <c r="C2253" s="829" t="s">
        <v>17715</v>
      </c>
      <c r="D2253" s="828" t="s">
        <v>18035</v>
      </c>
      <c r="E2253" s="831">
        <v>160</v>
      </c>
      <c r="F2253" s="832">
        <v>55</v>
      </c>
      <c r="G2253" s="202" t="str">
        <f t="shared" si="35"/>
        <v/>
      </c>
    </row>
    <row r="2254" spans="1:7" s="172" customFormat="1" ht="15" customHeight="1" x14ac:dyDescent="0.25">
      <c r="A2254" s="828" t="s">
        <v>18766</v>
      </c>
      <c r="B2254" s="829" t="s">
        <v>17715</v>
      </c>
      <c r="C2254" s="829" t="s">
        <v>17715</v>
      </c>
      <c r="D2254" s="828" t="s">
        <v>18036</v>
      </c>
      <c r="E2254" s="833">
        <v>100</v>
      </c>
      <c r="F2254" s="832">
        <v>35</v>
      </c>
      <c r="G2254" s="202" t="str">
        <f t="shared" si="35"/>
        <v/>
      </c>
    </row>
    <row r="2255" spans="1:7" s="172" customFormat="1" ht="15" customHeight="1" x14ac:dyDescent="0.25">
      <c r="A2255" s="828" t="s">
        <v>18767</v>
      </c>
      <c r="B2255" s="829" t="s">
        <v>17715</v>
      </c>
      <c r="C2255" s="829" t="s">
        <v>17715</v>
      </c>
      <c r="D2255" s="828" t="s">
        <v>18037</v>
      </c>
      <c r="E2255" s="831">
        <v>250</v>
      </c>
      <c r="F2255" s="832">
        <v>20</v>
      </c>
      <c r="G2255" s="202" t="str">
        <f t="shared" si="35"/>
        <v/>
      </c>
    </row>
    <row r="2256" spans="1:7" s="172" customFormat="1" ht="15" customHeight="1" x14ac:dyDescent="0.25">
      <c r="A2256" s="828" t="s">
        <v>18768</v>
      </c>
      <c r="B2256" s="829" t="s">
        <v>17715</v>
      </c>
      <c r="C2256" s="829" t="s">
        <v>17715</v>
      </c>
      <c r="D2256" s="828" t="s">
        <v>18038</v>
      </c>
      <c r="E2256" s="831">
        <v>160</v>
      </c>
      <c r="F2256" s="832">
        <v>60</v>
      </c>
      <c r="G2256" s="202" t="str">
        <f t="shared" si="35"/>
        <v/>
      </c>
    </row>
    <row r="2257" spans="1:7" s="172" customFormat="1" ht="15" customHeight="1" x14ac:dyDescent="0.25">
      <c r="A2257" s="828" t="s">
        <v>18769</v>
      </c>
      <c r="B2257" s="829" t="s">
        <v>17715</v>
      </c>
      <c r="C2257" s="829" t="s">
        <v>17715</v>
      </c>
      <c r="D2257" s="828" t="s">
        <v>18039</v>
      </c>
      <c r="E2257" s="833">
        <v>100</v>
      </c>
      <c r="F2257" s="832">
        <v>35</v>
      </c>
      <c r="G2257" s="202" t="str">
        <f t="shared" si="35"/>
        <v/>
      </c>
    </row>
    <row r="2258" spans="1:7" s="172" customFormat="1" ht="15" customHeight="1" x14ac:dyDescent="0.25">
      <c r="A2258" s="828" t="s">
        <v>18770</v>
      </c>
      <c r="B2258" s="829" t="s">
        <v>17715</v>
      </c>
      <c r="C2258" s="829" t="s">
        <v>17715</v>
      </c>
      <c r="D2258" s="828" t="s">
        <v>18040</v>
      </c>
      <c r="E2258" s="833">
        <v>100</v>
      </c>
      <c r="F2258" s="832">
        <v>20</v>
      </c>
      <c r="G2258" s="202" t="str">
        <f t="shared" si="35"/>
        <v/>
      </c>
    </row>
    <row r="2259" spans="1:7" s="172" customFormat="1" ht="15" customHeight="1" x14ac:dyDescent="0.25">
      <c r="A2259" s="828" t="s">
        <v>15038</v>
      </c>
      <c r="B2259" s="829" t="s">
        <v>17715</v>
      </c>
      <c r="C2259" s="829" t="s">
        <v>17715</v>
      </c>
      <c r="D2259" s="828" t="s">
        <v>18041</v>
      </c>
      <c r="E2259" s="833">
        <v>100</v>
      </c>
      <c r="F2259" s="832">
        <v>30</v>
      </c>
      <c r="G2259" s="202" t="str">
        <f t="shared" si="35"/>
        <v/>
      </c>
    </row>
    <row r="2260" spans="1:7" s="172" customFormat="1" ht="15" customHeight="1" x14ac:dyDescent="0.25">
      <c r="A2260" s="828" t="s">
        <v>18771</v>
      </c>
      <c r="B2260" s="829" t="s">
        <v>17715</v>
      </c>
      <c r="C2260" s="829" t="s">
        <v>17715</v>
      </c>
      <c r="D2260" s="830" t="s">
        <v>18042</v>
      </c>
      <c r="E2260" s="833">
        <v>180</v>
      </c>
      <c r="F2260" s="832">
        <v>70</v>
      </c>
      <c r="G2260" s="202" t="str">
        <f t="shared" si="35"/>
        <v/>
      </c>
    </row>
    <row r="2261" spans="1:7" s="172" customFormat="1" ht="15" customHeight="1" x14ac:dyDescent="0.25">
      <c r="A2261" s="830" t="s">
        <v>18771</v>
      </c>
      <c r="B2261" s="829" t="s">
        <v>17715</v>
      </c>
      <c r="C2261" s="829" t="s">
        <v>17715</v>
      </c>
      <c r="D2261" s="830" t="s">
        <v>18043</v>
      </c>
      <c r="E2261" s="833">
        <v>160</v>
      </c>
      <c r="F2261" s="832">
        <v>40</v>
      </c>
      <c r="G2261" s="202" t="str">
        <f t="shared" si="35"/>
        <v/>
      </c>
    </row>
    <row r="2262" spans="1:7" s="172" customFormat="1" ht="15" customHeight="1" x14ac:dyDescent="0.25">
      <c r="A2262" s="834" t="s">
        <v>18771</v>
      </c>
      <c r="B2262" s="829" t="s">
        <v>17715</v>
      </c>
      <c r="C2262" s="829" t="s">
        <v>17715</v>
      </c>
      <c r="D2262" s="828" t="s">
        <v>18044</v>
      </c>
      <c r="E2262" s="833">
        <v>400</v>
      </c>
      <c r="F2262" s="832">
        <v>150</v>
      </c>
      <c r="G2262" s="202" t="str">
        <f t="shared" si="35"/>
        <v/>
      </c>
    </row>
    <row r="2263" spans="1:7" s="172" customFormat="1" ht="15" customHeight="1" x14ac:dyDescent="0.25">
      <c r="A2263" s="834" t="s">
        <v>18771</v>
      </c>
      <c r="B2263" s="829" t="s">
        <v>17715</v>
      </c>
      <c r="C2263" s="829" t="s">
        <v>17715</v>
      </c>
      <c r="D2263" s="828" t="s">
        <v>18045</v>
      </c>
      <c r="E2263" s="833">
        <v>160</v>
      </c>
      <c r="F2263" s="832">
        <v>45</v>
      </c>
      <c r="G2263" s="202" t="str">
        <f t="shared" si="35"/>
        <v/>
      </c>
    </row>
    <row r="2264" spans="1:7" s="172" customFormat="1" ht="15" customHeight="1" x14ac:dyDescent="0.25">
      <c r="A2264" s="834" t="s">
        <v>18771</v>
      </c>
      <c r="B2264" s="829" t="s">
        <v>17715</v>
      </c>
      <c r="C2264" s="829" t="s">
        <v>17715</v>
      </c>
      <c r="D2264" s="828" t="s">
        <v>18046</v>
      </c>
      <c r="E2264" s="833">
        <v>160</v>
      </c>
      <c r="F2264" s="832">
        <v>40</v>
      </c>
      <c r="G2264" s="202" t="str">
        <f t="shared" si="35"/>
        <v/>
      </c>
    </row>
    <row r="2265" spans="1:7" s="172" customFormat="1" ht="15" customHeight="1" x14ac:dyDescent="0.25">
      <c r="A2265" s="828" t="s">
        <v>18771</v>
      </c>
      <c r="B2265" s="829" t="s">
        <v>17715</v>
      </c>
      <c r="C2265" s="829" t="s">
        <v>17715</v>
      </c>
      <c r="D2265" s="828" t="s">
        <v>18047</v>
      </c>
      <c r="E2265" s="833">
        <v>250</v>
      </c>
      <c r="F2265" s="832">
        <v>65</v>
      </c>
      <c r="G2265" s="202" t="str">
        <f t="shared" si="35"/>
        <v/>
      </c>
    </row>
    <row r="2266" spans="1:7" s="172" customFormat="1" ht="15" customHeight="1" x14ac:dyDescent="0.25">
      <c r="A2266" s="828" t="s">
        <v>18772</v>
      </c>
      <c r="B2266" s="829" t="s">
        <v>17715</v>
      </c>
      <c r="C2266" s="829" t="s">
        <v>17715</v>
      </c>
      <c r="D2266" s="828" t="s">
        <v>18048</v>
      </c>
      <c r="E2266" s="833">
        <v>100</v>
      </c>
      <c r="F2266" s="832">
        <v>55</v>
      </c>
      <c r="G2266" s="202" t="str">
        <f t="shared" si="35"/>
        <v/>
      </c>
    </row>
    <row r="2267" spans="1:7" s="172" customFormat="1" ht="15" customHeight="1" x14ac:dyDescent="0.25">
      <c r="A2267" s="834" t="s">
        <v>18773</v>
      </c>
      <c r="B2267" s="829" t="s">
        <v>17715</v>
      </c>
      <c r="C2267" s="829" t="s">
        <v>17715</v>
      </c>
      <c r="D2267" s="828" t="s">
        <v>18049</v>
      </c>
      <c r="E2267" s="831">
        <v>60</v>
      </c>
      <c r="F2267" s="832">
        <v>15</v>
      </c>
      <c r="G2267" s="202" t="str">
        <f t="shared" si="35"/>
        <v/>
      </c>
    </row>
    <row r="2268" spans="1:7" s="172" customFormat="1" ht="15" customHeight="1" x14ac:dyDescent="0.25">
      <c r="A2268" s="834" t="s">
        <v>18774</v>
      </c>
      <c r="B2268" s="829" t="s">
        <v>17715</v>
      </c>
      <c r="C2268" s="829" t="s">
        <v>17715</v>
      </c>
      <c r="D2268" s="828" t="s">
        <v>18050</v>
      </c>
      <c r="E2268" s="833">
        <v>63</v>
      </c>
      <c r="F2268" s="832">
        <v>15</v>
      </c>
      <c r="G2268" s="202" t="str">
        <f t="shared" si="35"/>
        <v/>
      </c>
    </row>
    <row r="2269" spans="1:7" s="172" customFormat="1" ht="15" customHeight="1" x14ac:dyDescent="0.25">
      <c r="A2269" s="828" t="s">
        <v>18775</v>
      </c>
      <c r="B2269" s="829" t="s">
        <v>17715</v>
      </c>
      <c r="C2269" s="829" t="s">
        <v>17715</v>
      </c>
      <c r="D2269" s="828" t="s">
        <v>18051</v>
      </c>
      <c r="E2269" s="833">
        <v>60</v>
      </c>
      <c r="F2269" s="832">
        <v>10</v>
      </c>
      <c r="G2269" s="202" t="str">
        <f t="shared" si="35"/>
        <v/>
      </c>
    </row>
    <row r="2270" spans="1:7" s="172" customFormat="1" ht="15" customHeight="1" x14ac:dyDescent="0.25">
      <c r="A2270" s="828" t="s">
        <v>18776</v>
      </c>
      <c r="B2270" s="829" t="s">
        <v>17715</v>
      </c>
      <c r="C2270" s="829" t="s">
        <v>17715</v>
      </c>
      <c r="D2270" s="828" t="s">
        <v>18052</v>
      </c>
      <c r="E2270" s="833">
        <v>100</v>
      </c>
      <c r="F2270" s="832">
        <v>20</v>
      </c>
      <c r="G2270" s="202" t="str">
        <f t="shared" si="35"/>
        <v/>
      </c>
    </row>
    <row r="2271" spans="1:7" s="172" customFormat="1" ht="15" customHeight="1" x14ac:dyDescent="0.25">
      <c r="A2271" s="828" t="s">
        <v>18776</v>
      </c>
      <c r="B2271" s="829" t="s">
        <v>17715</v>
      </c>
      <c r="C2271" s="829" t="s">
        <v>17715</v>
      </c>
      <c r="D2271" s="828" t="s">
        <v>18053</v>
      </c>
      <c r="E2271" s="833">
        <v>160</v>
      </c>
      <c r="F2271" s="832">
        <v>65</v>
      </c>
      <c r="G2271" s="202" t="str">
        <f t="shared" si="35"/>
        <v/>
      </c>
    </row>
    <row r="2272" spans="1:7" s="172" customFormat="1" ht="15" customHeight="1" x14ac:dyDescent="0.25">
      <c r="A2272" s="828" t="s">
        <v>18777</v>
      </c>
      <c r="B2272" s="829" t="s">
        <v>17715</v>
      </c>
      <c r="C2272" s="829" t="s">
        <v>17715</v>
      </c>
      <c r="D2272" s="828" t="s">
        <v>18054</v>
      </c>
      <c r="E2272" s="833">
        <v>60</v>
      </c>
      <c r="F2272" s="832">
        <v>5</v>
      </c>
      <c r="G2272" s="202" t="str">
        <f t="shared" si="35"/>
        <v/>
      </c>
    </row>
    <row r="2273" spans="1:7" s="172" customFormat="1" ht="15" customHeight="1" x14ac:dyDescent="0.25">
      <c r="A2273" s="828" t="s">
        <v>18778</v>
      </c>
      <c r="B2273" s="829" t="s">
        <v>17715</v>
      </c>
      <c r="C2273" s="829" t="s">
        <v>17715</v>
      </c>
      <c r="D2273" s="828" t="s">
        <v>18055</v>
      </c>
      <c r="E2273" s="833">
        <v>30</v>
      </c>
      <c r="F2273" s="832">
        <v>5</v>
      </c>
      <c r="G2273" s="202" t="str">
        <f t="shared" si="35"/>
        <v/>
      </c>
    </row>
    <row r="2274" spans="1:7" s="172" customFormat="1" ht="15" customHeight="1" x14ac:dyDescent="0.25">
      <c r="A2274" s="828" t="s">
        <v>18779</v>
      </c>
      <c r="B2274" s="829" t="s">
        <v>17715</v>
      </c>
      <c r="C2274" s="829" t="s">
        <v>17715</v>
      </c>
      <c r="D2274" s="828" t="s">
        <v>18056</v>
      </c>
      <c r="E2274" s="833">
        <v>160</v>
      </c>
      <c r="F2274" s="832">
        <v>60</v>
      </c>
      <c r="G2274" s="202" t="str">
        <f t="shared" si="35"/>
        <v/>
      </c>
    </row>
    <row r="2275" spans="1:7" s="172" customFormat="1" ht="15" customHeight="1" x14ac:dyDescent="0.25">
      <c r="A2275" s="828" t="s">
        <v>18779</v>
      </c>
      <c r="B2275" s="829" t="s">
        <v>17715</v>
      </c>
      <c r="C2275" s="829" t="s">
        <v>17715</v>
      </c>
      <c r="D2275" s="828" t="s">
        <v>18057</v>
      </c>
      <c r="E2275" s="833">
        <v>400</v>
      </c>
      <c r="F2275" s="832">
        <v>160</v>
      </c>
      <c r="G2275" s="202" t="str">
        <f t="shared" si="35"/>
        <v/>
      </c>
    </row>
    <row r="2276" spans="1:7" s="172" customFormat="1" ht="15" customHeight="1" x14ac:dyDescent="0.25">
      <c r="A2276" s="828" t="s">
        <v>18779</v>
      </c>
      <c r="B2276" s="829" t="s">
        <v>17715</v>
      </c>
      <c r="C2276" s="829" t="s">
        <v>17715</v>
      </c>
      <c r="D2276" s="828" t="s">
        <v>18059</v>
      </c>
      <c r="E2276" s="833">
        <v>160</v>
      </c>
      <c r="F2276" s="832">
        <v>40</v>
      </c>
      <c r="G2276" s="202" t="str">
        <f t="shared" si="35"/>
        <v/>
      </c>
    </row>
    <row r="2277" spans="1:7" s="172" customFormat="1" ht="15" customHeight="1" x14ac:dyDescent="0.25">
      <c r="A2277" s="834" t="s">
        <v>18779</v>
      </c>
      <c r="B2277" s="829" t="s">
        <v>17715</v>
      </c>
      <c r="C2277" s="829" t="s">
        <v>17715</v>
      </c>
      <c r="D2277" s="828" t="s">
        <v>18060</v>
      </c>
      <c r="E2277" s="833">
        <v>160</v>
      </c>
      <c r="F2277" s="832">
        <v>60</v>
      </c>
      <c r="G2277" s="202" t="str">
        <f t="shared" si="35"/>
        <v/>
      </c>
    </row>
    <row r="2278" spans="1:7" s="172" customFormat="1" ht="15" customHeight="1" x14ac:dyDescent="0.25">
      <c r="A2278" s="834" t="s">
        <v>18779</v>
      </c>
      <c r="B2278" s="829" t="s">
        <v>17715</v>
      </c>
      <c r="C2278" s="829" t="s">
        <v>17715</v>
      </c>
      <c r="D2278" s="828" t="s">
        <v>18061</v>
      </c>
      <c r="E2278" s="833">
        <v>250</v>
      </c>
      <c r="F2278" s="832">
        <v>70</v>
      </c>
      <c r="G2278" s="202" t="str">
        <f t="shared" si="35"/>
        <v/>
      </c>
    </row>
    <row r="2279" spans="1:7" s="172" customFormat="1" ht="15" customHeight="1" x14ac:dyDescent="0.25">
      <c r="A2279" s="834" t="s">
        <v>18779</v>
      </c>
      <c r="B2279" s="829" t="s">
        <v>17715</v>
      </c>
      <c r="C2279" s="829" t="s">
        <v>17715</v>
      </c>
      <c r="D2279" s="830" t="s">
        <v>18062</v>
      </c>
      <c r="E2279" s="833">
        <v>100</v>
      </c>
      <c r="F2279" s="832">
        <v>20</v>
      </c>
      <c r="G2279" s="202" t="str">
        <f t="shared" si="35"/>
        <v/>
      </c>
    </row>
    <row r="2280" spans="1:7" s="172" customFormat="1" ht="15" customHeight="1" x14ac:dyDescent="0.25">
      <c r="A2280" s="828" t="s">
        <v>18779</v>
      </c>
      <c r="B2280" s="829" t="s">
        <v>17715</v>
      </c>
      <c r="C2280" s="829" t="s">
        <v>17715</v>
      </c>
      <c r="D2280" s="828" t="s">
        <v>18063</v>
      </c>
      <c r="E2280" s="833">
        <v>100</v>
      </c>
      <c r="F2280" s="832">
        <v>30</v>
      </c>
      <c r="G2280" s="202" t="str">
        <f t="shared" si="35"/>
        <v/>
      </c>
    </row>
    <row r="2281" spans="1:7" s="172" customFormat="1" ht="15" customHeight="1" x14ac:dyDescent="0.25">
      <c r="A2281" s="828" t="s">
        <v>18780</v>
      </c>
      <c r="B2281" s="829" t="s">
        <v>17715</v>
      </c>
      <c r="C2281" s="829" t="s">
        <v>17715</v>
      </c>
      <c r="D2281" s="828" t="s">
        <v>18058</v>
      </c>
      <c r="E2281" s="833">
        <v>160</v>
      </c>
      <c r="F2281" s="832">
        <v>55</v>
      </c>
      <c r="G2281" s="202" t="str">
        <f t="shared" si="35"/>
        <v/>
      </c>
    </row>
    <row r="2282" spans="1:7" s="172" customFormat="1" ht="15" customHeight="1" x14ac:dyDescent="0.25">
      <c r="A2282" s="828" t="s">
        <v>18781</v>
      </c>
      <c r="B2282" s="829" t="s">
        <v>17715</v>
      </c>
      <c r="C2282" s="829" t="s">
        <v>17715</v>
      </c>
      <c r="D2282" s="828" t="s">
        <v>18064</v>
      </c>
      <c r="E2282" s="833">
        <v>30</v>
      </c>
      <c r="F2282" s="832">
        <v>5</v>
      </c>
      <c r="G2282" s="202" t="str">
        <f t="shared" si="35"/>
        <v/>
      </c>
    </row>
    <row r="2283" spans="1:7" s="172" customFormat="1" ht="15" customHeight="1" x14ac:dyDescent="0.25">
      <c r="A2283" s="828" t="s">
        <v>18782</v>
      </c>
      <c r="B2283" s="829" t="s">
        <v>17715</v>
      </c>
      <c r="C2283" s="829" t="s">
        <v>17715</v>
      </c>
      <c r="D2283" s="828" t="s">
        <v>18065</v>
      </c>
      <c r="E2283" s="833">
        <v>60</v>
      </c>
      <c r="F2283" s="832">
        <v>15</v>
      </c>
      <c r="G2283" s="202" t="str">
        <f t="shared" si="35"/>
        <v/>
      </c>
    </row>
    <row r="2284" spans="1:7" s="172" customFormat="1" ht="15" customHeight="1" x14ac:dyDescent="0.25">
      <c r="A2284" s="830" t="s">
        <v>18783</v>
      </c>
      <c r="B2284" s="829" t="s">
        <v>17715</v>
      </c>
      <c r="C2284" s="829" t="s">
        <v>17715</v>
      </c>
      <c r="D2284" s="830" t="s">
        <v>18066</v>
      </c>
      <c r="E2284" s="833">
        <v>30</v>
      </c>
      <c r="F2284" s="832">
        <v>5</v>
      </c>
      <c r="G2284" s="202" t="str">
        <f t="shared" si="35"/>
        <v/>
      </c>
    </row>
    <row r="2285" spans="1:7" s="172" customFormat="1" ht="15" customHeight="1" x14ac:dyDescent="0.25">
      <c r="A2285" s="828" t="s">
        <v>18784</v>
      </c>
      <c r="B2285" s="829" t="s">
        <v>17715</v>
      </c>
      <c r="C2285" s="829" t="s">
        <v>17715</v>
      </c>
      <c r="D2285" s="828" t="s">
        <v>18067</v>
      </c>
      <c r="E2285" s="833">
        <v>160</v>
      </c>
      <c r="F2285" s="832">
        <v>40</v>
      </c>
      <c r="G2285" s="202" t="str">
        <f t="shared" si="35"/>
        <v/>
      </c>
    </row>
    <row r="2286" spans="1:7" s="172" customFormat="1" ht="15" customHeight="1" x14ac:dyDescent="0.25">
      <c r="A2286" s="828" t="s">
        <v>18784</v>
      </c>
      <c r="B2286" s="829" t="s">
        <v>17715</v>
      </c>
      <c r="C2286" s="829" t="s">
        <v>17715</v>
      </c>
      <c r="D2286" s="828" t="s">
        <v>18068</v>
      </c>
      <c r="E2286" s="833">
        <v>60</v>
      </c>
      <c r="F2286" s="832">
        <v>15</v>
      </c>
      <c r="G2286" s="202" t="str">
        <f t="shared" si="35"/>
        <v/>
      </c>
    </row>
    <row r="2287" spans="1:7" s="172" customFormat="1" ht="15" customHeight="1" x14ac:dyDescent="0.25">
      <c r="A2287" s="828" t="s">
        <v>18784</v>
      </c>
      <c r="B2287" s="829" t="s">
        <v>17715</v>
      </c>
      <c r="C2287" s="829" t="s">
        <v>17715</v>
      </c>
      <c r="D2287" s="828" t="s">
        <v>18069</v>
      </c>
      <c r="E2287" s="833">
        <v>250</v>
      </c>
      <c r="F2287" s="832">
        <v>65</v>
      </c>
      <c r="G2287" s="202" t="str">
        <f t="shared" si="35"/>
        <v/>
      </c>
    </row>
    <row r="2288" spans="1:7" s="172" customFormat="1" ht="15" customHeight="1" x14ac:dyDescent="0.25">
      <c r="A2288" s="828" t="s">
        <v>18784</v>
      </c>
      <c r="B2288" s="829" t="s">
        <v>17715</v>
      </c>
      <c r="C2288" s="829" t="s">
        <v>17715</v>
      </c>
      <c r="D2288" s="828" t="s">
        <v>18070</v>
      </c>
      <c r="E2288" s="833">
        <v>250</v>
      </c>
      <c r="F2288" s="832">
        <v>60</v>
      </c>
      <c r="G2288" s="202" t="str">
        <f t="shared" si="35"/>
        <v/>
      </c>
    </row>
    <row r="2289" spans="1:7" s="172" customFormat="1" ht="15" customHeight="1" x14ac:dyDescent="0.25">
      <c r="A2289" s="834" t="s">
        <v>18785</v>
      </c>
      <c r="B2289" s="829" t="s">
        <v>17715</v>
      </c>
      <c r="C2289" s="829" t="s">
        <v>17715</v>
      </c>
      <c r="D2289" s="828" t="s">
        <v>18071</v>
      </c>
      <c r="E2289" s="833">
        <v>60</v>
      </c>
      <c r="F2289" s="832">
        <v>20</v>
      </c>
      <c r="G2289" s="202" t="str">
        <f t="shared" si="35"/>
        <v/>
      </c>
    </row>
    <row r="2290" spans="1:7" s="172" customFormat="1" ht="15" customHeight="1" x14ac:dyDescent="0.25">
      <c r="A2290" s="834" t="s">
        <v>18786</v>
      </c>
      <c r="B2290" s="829" t="s">
        <v>17715</v>
      </c>
      <c r="C2290" s="829" t="s">
        <v>17715</v>
      </c>
      <c r="D2290" s="828" t="s">
        <v>18072</v>
      </c>
      <c r="E2290" s="833">
        <v>100</v>
      </c>
      <c r="F2290" s="832">
        <v>20</v>
      </c>
      <c r="G2290" s="202" t="str">
        <f t="shared" si="35"/>
        <v/>
      </c>
    </row>
    <row r="2291" spans="1:7" s="172" customFormat="1" ht="15" customHeight="1" x14ac:dyDescent="0.25">
      <c r="A2291" s="828" t="s">
        <v>18786</v>
      </c>
      <c r="B2291" s="829" t="s">
        <v>17715</v>
      </c>
      <c r="C2291" s="829" t="s">
        <v>17715</v>
      </c>
      <c r="D2291" s="828" t="s">
        <v>18073</v>
      </c>
      <c r="E2291" s="833">
        <v>160</v>
      </c>
      <c r="F2291" s="832">
        <v>55</v>
      </c>
      <c r="G2291" s="202" t="str">
        <f t="shared" si="35"/>
        <v/>
      </c>
    </row>
    <row r="2292" spans="1:7" s="172" customFormat="1" ht="15" customHeight="1" x14ac:dyDescent="0.25">
      <c r="A2292" s="828" t="s">
        <v>18786</v>
      </c>
      <c r="B2292" s="829" t="s">
        <v>17715</v>
      </c>
      <c r="C2292" s="829" t="s">
        <v>17715</v>
      </c>
      <c r="D2292" s="828" t="s">
        <v>18072</v>
      </c>
      <c r="E2292" s="833">
        <v>100</v>
      </c>
      <c r="F2292" s="832">
        <v>35</v>
      </c>
      <c r="G2292" s="202" t="str">
        <f t="shared" si="35"/>
        <v/>
      </c>
    </row>
    <row r="2293" spans="1:7" s="172" customFormat="1" ht="15" customHeight="1" x14ac:dyDescent="0.25">
      <c r="A2293" s="834" t="s">
        <v>18787</v>
      </c>
      <c r="B2293" s="829" t="s">
        <v>17715</v>
      </c>
      <c r="C2293" s="829" t="s">
        <v>17715</v>
      </c>
      <c r="D2293" s="828" t="s">
        <v>18074</v>
      </c>
      <c r="E2293" s="833">
        <v>160</v>
      </c>
      <c r="F2293" s="832">
        <v>60</v>
      </c>
      <c r="G2293" s="202" t="str">
        <f t="shared" si="35"/>
        <v/>
      </c>
    </row>
    <row r="2294" spans="1:7" s="172" customFormat="1" ht="15" customHeight="1" x14ac:dyDescent="0.25">
      <c r="A2294" s="834" t="s">
        <v>18788</v>
      </c>
      <c r="B2294" s="829" t="s">
        <v>17715</v>
      </c>
      <c r="C2294" s="829" t="s">
        <v>17715</v>
      </c>
      <c r="D2294" s="828" t="s">
        <v>18075</v>
      </c>
      <c r="E2294" s="833">
        <v>60</v>
      </c>
      <c r="F2294" s="832">
        <v>15</v>
      </c>
      <c r="G2294" s="202" t="str">
        <f t="shared" si="35"/>
        <v/>
      </c>
    </row>
    <row r="2295" spans="1:7" s="172" customFormat="1" ht="15" customHeight="1" x14ac:dyDescent="0.25">
      <c r="A2295" s="834" t="s">
        <v>18789</v>
      </c>
      <c r="B2295" s="829" t="s">
        <v>17715</v>
      </c>
      <c r="C2295" s="829" t="s">
        <v>17715</v>
      </c>
      <c r="D2295" s="828" t="s">
        <v>18076</v>
      </c>
      <c r="E2295" s="833">
        <v>63</v>
      </c>
      <c r="F2295" s="832">
        <v>0</v>
      </c>
      <c r="G2295" s="202" t="str">
        <f t="shared" si="35"/>
        <v/>
      </c>
    </row>
    <row r="2296" spans="1:7" s="172" customFormat="1" ht="15" customHeight="1" x14ac:dyDescent="0.25">
      <c r="A2296" s="834" t="s">
        <v>18789</v>
      </c>
      <c r="B2296" s="829" t="s">
        <v>17715</v>
      </c>
      <c r="C2296" s="829" t="s">
        <v>17715</v>
      </c>
      <c r="D2296" s="828" t="s">
        <v>18077</v>
      </c>
      <c r="E2296" s="833">
        <v>100</v>
      </c>
      <c r="F2296" s="832">
        <v>15</v>
      </c>
      <c r="G2296" s="202" t="str">
        <f t="shared" si="35"/>
        <v/>
      </c>
    </row>
    <row r="2297" spans="1:7" s="172" customFormat="1" ht="15" customHeight="1" x14ac:dyDescent="0.25">
      <c r="A2297" s="834" t="s">
        <v>18790</v>
      </c>
      <c r="B2297" s="829" t="s">
        <v>17715</v>
      </c>
      <c r="C2297" s="829" t="s">
        <v>17715</v>
      </c>
      <c r="D2297" s="828" t="s">
        <v>18078</v>
      </c>
      <c r="E2297" s="833">
        <v>160</v>
      </c>
      <c r="F2297" s="832">
        <v>75</v>
      </c>
      <c r="G2297" s="202" t="str">
        <f t="shared" si="35"/>
        <v/>
      </c>
    </row>
    <row r="2298" spans="1:7" s="172" customFormat="1" ht="15" customHeight="1" x14ac:dyDescent="0.25">
      <c r="A2298" s="834" t="s">
        <v>18791</v>
      </c>
      <c r="B2298" s="829" t="s">
        <v>17715</v>
      </c>
      <c r="C2298" s="829" t="s">
        <v>17715</v>
      </c>
      <c r="D2298" s="828" t="s">
        <v>18079</v>
      </c>
      <c r="E2298" s="833">
        <v>250</v>
      </c>
      <c r="F2298" s="832">
        <v>65</v>
      </c>
      <c r="G2298" s="202" t="str">
        <f t="shared" si="35"/>
        <v/>
      </c>
    </row>
    <row r="2299" spans="1:7" s="172" customFormat="1" ht="15" customHeight="1" x14ac:dyDescent="0.25">
      <c r="A2299" s="834" t="s">
        <v>18792</v>
      </c>
      <c r="B2299" s="829" t="s">
        <v>17715</v>
      </c>
      <c r="C2299" s="829" t="s">
        <v>17715</v>
      </c>
      <c r="D2299" s="828" t="s">
        <v>18080</v>
      </c>
      <c r="E2299" s="833">
        <v>100</v>
      </c>
      <c r="F2299" s="832">
        <v>25</v>
      </c>
      <c r="G2299" s="202" t="str">
        <f t="shared" si="35"/>
        <v/>
      </c>
    </row>
    <row r="2300" spans="1:7" s="172" customFormat="1" ht="15" customHeight="1" x14ac:dyDescent="0.25">
      <c r="A2300" s="834" t="s">
        <v>18793</v>
      </c>
      <c r="B2300" s="829" t="s">
        <v>17715</v>
      </c>
      <c r="C2300" s="829" t="s">
        <v>17715</v>
      </c>
      <c r="D2300" s="830" t="s">
        <v>18081</v>
      </c>
      <c r="E2300" s="833">
        <v>100</v>
      </c>
      <c r="F2300" s="832">
        <v>75</v>
      </c>
      <c r="G2300" s="202" t="str">
        <f t="shared" si="35"/>
        <v/>
      </c>
    </row>
    <row r="2301" spans="1:7" s="172" customFormat="1" ht="15" customHeight="1" x14ac:dyDescent="0.25">
      <c r="A2301" s="828" t="s">
        <v>18793</v>
      </c>
      <c r="B2301" s="829" t="s">
        <v>17715</v>
      </c>
      <c r="C2301" s="829" t="s">
        <v>17715</v>
      </c>
      <c r="D2301" s="828" t="s">
        <v>18081</v>
      </c>
      <c r="E2301" s="833">
        <v>100</v>
      </c>
      <c r="F2301" s="832">
        <v>25</v>
      </c>
      <c r="G2301" s="202" t="str">
        <f t="shared" si="35"/>
        <v/>
      </c>
    </row>
    <row r="2302" spans="1:7" s="172" customFormat="1" ht="15" customHeight="1" x14ac:dyDescent="0.25">
      <c r="A2302" s="828" t="s">
        <v>18794</v>
      </c>
      <c r="B2302" s="829" t="s">
        <v>17715</v>
      </c>
      <c r="C2302" s="829" t="s">
        <v>17715</v>
      </c>
      <c r="D2302" s="828" t="s">
        <v>18082</v>
      </c>
      <c r="E2302" s="833">
        <v>63</v>
      </c>
      <c r="F2302" s="832">
        <v>5</v>
      </c>
      <c r="G2302" s="202" t="str">
        <f t="shared" si="35"/>
        <v/>
      </c>
    </row>
    <row r="2303" spans="1:7" s="172" customFormat="1" ht="15" customHeight="1" x14ac:dyDescent="0.25">
      <c r="A2303" s="828" t="s">
        <v>18795</v>
      </c>
      <c r="B2303" s="829" t="s">
        <v>17715</v>
      </c>
      <c r="C2303" s="829" t="s">
        <v>17715</v>
      </c>
      <c r="D2303" s="828" t="s">
        <v>18083</v>
      </c>
      <c r="E2303" s="833">
        <v>100</v>
      </c>
      <c r="F2303" s="832">
        <v>5</v>
      </c>
      <c r="G2303" s="202" t="str">
        <f t="shared" si="35"/>
        <v/>
      </c>
    </row>
    <row r="2304" spans="1:7" s="172" customFormat="1" ht="15" customHeight="1" x14ac:dyDescent="0.25">
      <c r="A2304" s="828" t="s">
        <v>18796</v>
      </c>
      <c r="B2304" s="829" t="s">
        <v>17715</v>
      </c>
      <c r="C2304" s="829" t="s">
        <v>17715</v>
      </c>
      <c r="D2304" s="828" t="s">
        <v>18084</v>
      </c>
      <c r="E2304" s="833">
        <v>40</v>
      </c>
      <c r="F2304" s="832">
        <v>20</v>
      </c>
      <c r="G2304" s="202" t="str">
        <f t="shared" si="35"/>
        <v/>
      </c>
    </row>
    <row r="2305" spans="1:7" s="172" customFormat="1" ht="15" customHeight="1" x14ac:dyDescent="0.25">
      <c r="A2305" s="828" t="s">
        <v>18797</v>
      </c>
      <c r="B2305" s="829" t="s">
        <v>17715</v>
      </c>
      <c r="C2305" s="829" t="s">
        <v>17715</v>
      </c>
      <c r="D2305" s="828" t="s">
        <v>18085</v>
      </c>
      <c r="E2305" s="833">
        <v>160</v>
      </c>
      <c r="F2305" s="832">
        <v>65</v>
      </c>
      <c r="G2305" s="202" t="str">
        <f t="shared" si="35"/>
        <v/>
      </c>
    </row>
    <row r="2306" spans="1:7" s="172" customFormat="1" ht="15" customHeight="1" x14ac:dyDescent="0.25">
      <c r="A2306" s="828" t="s">
        <v>18797</v>
      </c>
      <c r="B2306" s="829" t="s">
        <v>17715</v>
      </c>
      <c r="C2306" s="829" t="s">
        <v>17715</v>
      </c>
      <c r="D2306" s="828" t="s">
        <v>18086</v>
      </c>
      <c r="E2306" s="833">
        <v>100</v>
      </c>
      <c r="F2306" s="832">
        <v>25</v>
      </c>
      <c r="G2306" s="202" t="str">
        <f t="shared" si="35"/>
        <v/>
      </c>
    </row>
    <row r="2307" spans="1:7" s="172" customFormat="1" ht="15" customHeight="1" x14ac:dyDescent="0.25">
      <c r="A2307" s="828" t="s">
        <v>18797</v>
      </c>
      <c r="B2307" s="829" t="s">
        <v>17715</v>
      </c>
      <c r="C2307" s="829" t="s">
        <v>17715</v>
      </c>
      <c r="D2307" s="828" t="s">
        <v>18087</v>
      </c>
      <c r="E2307" s="833">
        <v>60</v>
      </c>
      <c r="F2307" s="832">
        <v>15</v>
      </c>
      <c r="G2307" s="202" t="str">
        <f t="shared" si="35"/>
        <v/>
      </c>
    </row>
    <row r="2308" spans="1:7" s="172" customFormat="1" ht="15" customHeight="1" x14ac:dyDescent="0.25">
      <c r="A2308" s="828" t="s">
        <v>18798</v>
      </c>
      <c r="B2308" s="829" t="s">
        <v>17715</v>
      </c>
      <c r="C2308" s="829" t="s">
        <v>17715</v>
      </c>
      <c r="D2308" s="828" t="s">
        <v>18088</v>
      </c>
      <c r="E2308" s="833">
        <v>400</v>
      </c>
      <c r="F2308" s="832">
        <v>110</v>
      </c>
      <c r="G2308" s="202" t="str">
        <f t="shared" ref="G2308:G2371" si="36">IF(E2308=F2308,"не загружен","")</f>
        <v/>
      </c>
    </row>
    <row r="2309" spans="1:7" s="172" customFormat="1" ht="15" customHeight="1" x14ac:dyDescent="0.25">
      <c r="A2309" s="828" t="s">
        <v>18798</v>
      </c>
      <c r="B2309" s="829" t="s">
        <v>17715</v>
      </c>
      <c r="C2309" s="829" t="s">
        <v>17715</v>
      </c>
      <c r="D2309" s="828" t="s">
        <v>18089</v>
      </c>
      <c r="E2309" s="833">
        <v>63</v>
      </c>
      <c r="F2309" s="832">
        <v>10</v>
      </c>
      <c r="G2309" s="202" t="str">
        <f t="shared" si="36"/>
        <v/>
      </c>
    </row>
    <row r="2310" spans="1:7" s="172" customFormat="1" ht="15" customHeight="1" x14ac:dyDescent="0.25">
      <c r="A2310" s="828" t="s">
        <v>18799</v>
      </c>
      <c r="B2310" s="829" t="s">
        <v>17715</v>
      </c>
      <c r="C2310" s="829" t="s">
        <v>17715</v>
      </c>
      <c r="D2310" s="828" t="s">
        <v>18090</v>
      </c>
      <c r="E2310" s="833">
        <v>100</v>
      </c>
      <c r="F2310" s="832">
        <v>40</v>
      </c>
      <c r="G2310" s="202" t="str">
        <f t="shared" si="36"/>
        <v/>
      </c>
    </row>
    <row r="2311" spans="1:7" s="172" customFormat="1" ht="15" customHeight="1" x14ac:dyDescent="0.25">
      <c r="A2311" s="828" t="s">
        <v>18799</v>
      </c>
      <c r="B2311" s="829" t="s">
        <v>17715</v>
      </c>
      <c r="C2311" s="829" t="s">
        <v>17715</v>
      </c>
      <c r="D2311" s="828" t="s">
        <v>18091</v>
      </c>
      <c r="E2311" s="833">
        <v>100</v>
      </c>
      <c r="F2311" s="832">
        <v>25</v>
      </c>
      <c r="G2311" s="202" t="str">
        <f t="shared" si="36"/>
        <v/>
      </c>
    </row>
    <row r="2312" spans="1:7" s="172" customFormat="1" ht="15" customHeight="1" x14ac:dyDescent="0.25">
      <c r="A2312" s="828" t="s">
        <v>18799</v>
      </c>
      <c r="B2312" s="829" t="s">
        <v>17715</v>
      </c>
      <c r="C2312" s="829" t="s">
        <v>17715</v>
      </c>
      <c r="D2312" s="828" t="s">
        <v>18092</v>
      </c>
      <c r="E2312" s="833">
        <v>250</v>
      </c>
      <c r="F2312" s="832">
        <v>65</v>
      </c>
      <c r="G2312" s="202" t="str">
        <f t="shared" si="36"/>
        <v/>
      </c>
    </row>
    <row r="2313" spans="1:7" s="172" customFormat="1" ht="15" customHeight="1" x14ac:dyDescent="0.25">
      <c r="A2313" s="828" t="s">
        <v>18799</v>
      </c>
      <c r="B2313" s="829" t="s">
        <v>17715</v>
      </c>
      <c r="C2313" s="829" t="s">
        <v>17715</v>
      </c>
      <c r="D2313" s="828" t="s">
        <v>18093</v>
      </c>
      <c r="E2313" s="833">
        <v>250</v>
      </c>
      <c r="F2313" s="832">
        <v>75</v>
      </c>
      <c r="G2313" s="202" t="str">
        <f t="shared" si="36"/>
        <v/>
      </c>
    </row>
    <row r="2314" spans="1:7" s="172" customFormat="1" ht="15" customHeight="1" x14ac:dyDescent="0.25">
      <c r="A2314" s="834" t="s">
        <v>15818</v>
      </c>
      <c r="B2314" s="829" t="s">
        <v>17715</v>
      </c>
      <c r="C2314" s="829" t="s">
        <v>17715</v>
      </c>
      <c r="D2314" s="828" t="s">
        <v>18094</v>
      </c>
      <c r="E2314" s="833">
        <v>160</v>
      </c>
      <c r="F2314" s="832">
        <v>70</v>
      </c>
      <c r="G2314" s="202" t="str">
        <f t="shared" si="36"/>
        <v/>
      </c>
    </row>
    <row r="2315" spans="1:7" s="172" customFormat="1" ht="15" customHeight="1" x14ac:dyDescent="0.25">
      <c r="A2315" s="828" t="s">
        <v>15818</v>
      </c>
      <c r="B2315" s="829" t="s">
        <v>17715</v>
      </c>
      <c r="C2315" s="829" t="s">
        <v>17715</v>
      </c>
      <c r="D2315" s="828" t="s">
        <v>18095</v>
      </c>
      <c r="E2315" s="833">
        <v>100</v>
      </c>
      <c r="F2315" s="832">
        <v>25</v>
      </c>
      <c r="G2315" s="202" t="str">
        <f t="shared" si="36"/>
        <v/>
      </c>
    </row>
    <row r="2316" spans="1:7" s="172" customFormat="1" ht="15" customHeight="1" x14ac:dyDescent="0.25">
      <c r="A2316" s="828" t="s">
        <v>15818</v>
      </c>
      <c r="B2316" s="829" t="s">
        <v>17715</v>
      </c>
      <c r="C2316" s="829" t="s">
        <v>17715</v>
      </c>
      <c r="D2316" s="828" t="s">
        <v>18096</v>
      </c>
      <c r="E2316" s="833">
        <v>250</v>
      </c>
      <c r="F2316" s="832">
        <v>45</v>
      </c>
      <c r="G2316" s="202" t="str">
        <f t="shared" si="36"/>
        <v/>
      </c>
    </row>
    <row r="2317" spans="1:7" s="172" customFormat="1" ht="15" customHeight="1" x14ac:dyDescent="0.25">
      <c r="A2317" s="828" t="s">
        <v>15818</v>
      </c>
      <c r="B2317" s="829" t="s">
        <v>17715</v>
      </c>
      <c r="C2317" s="829" t="s">
        <v>17715</v>
      </c>
      <c r="D2317" s="828" t="s">
        <v>18097</v>
      </c>
      <c r="E2317" s="833">
        <v>100</v>
      </c>
      <c r="F2317" s="832">
        <v>25</v>
      </c>
      <c r="G2317" s="202" t="str">
        <f t="shared" si="36"/>
        <v/>
      </c>
    </row>
    <row r="2318" spans="1:7" s="172" customFormat="1" ht="15" customHeight="1" x14ac:dyDescent="0.25">
      <c r="A2318" s="828" t="s">
        <v>18800</v>
      </c>
      <c r="B2318" s="829" t="s">
        <v>17715</v>
      </c>
      <c r="C2318" s="829" t="s">
        <v>17715</v>
      </c>
      <c r="D2318" s="828" t="s">
        <v>18098</v>
      </c>
      <c r="E2318" s="833">
        <v>400</v>
      </c>
      <c r="F2318" s="832">
        <v>350</v>
      </c>
      <c r="G2318" s="202" t="str">
        <f t="shared" si="36"/>
        <v/>
      </c>
    </row>
    <row r="2319" spans="1:7" s="172" customFormat="1" ht="15" customHeight="1" x14ac:dyDescent="0.25">
      <c r="A2319" s="828" t="s">
        <v>18801</v>
      </c>
      <c r="B2319" s="829" t="s">
        <v>17715</v>
      </c>
      <c r="C2319" s="829" t="s">
        <v>17715</v>
      </c>
      <c r="D2319" s="830" t="s">
        <v>18100</v>
      </c>
      <c r="E2319" s="833">
        <v>100</v>
      </c>
      <c r="F2319" s="832">
        <v>30</v>
      </c>
      <c r="G2319" s="202" t="str">
        <f t="shared" si="36"/>
        <v/>
      </c>
    </row>
    <row r="2320" spans="1:7" s="172" customFormat="1" ht="15" customHeight="1" x14ac:dyDescent="0.25">
      <c r="A2320" s="830" t="s">
        <v>18801</v>
      </c>
      <c r="B2320" s="829" t="s">
        <v>17715</v>
      </c>
      <c r="C2320" s="829" t="s">
        <v>17715</v>
      </c>
      <c r="D2320" s="830" t="s">
        <v>18101</v>
      </c>
      <c r="E2320" s="831">
        <v>100</v>
      </c>
      <c r="F2320" s="832">
        <v>20</v>
      </c>
      <c r="G2320" s="202" t="str">
        <f t="shared" si="36"/>
        <v/>
      </c>
    </row>
    <row r="2321" spans="1:7" s="172" customFormat="1" ht="15" customHeight="1" x14ac:dyDescent="0.25">
      <c r="A2321" s="834" t="s">
        <v>18801</v>
      </c>
      <c r="B2321" s="829" t="s">
        <v>17715</v>
      </c>
      <c r="C2321" s="829" t="s">
        <v>17715</v>
      </c>
      <c r="D2321" s="828" t="s">
        <v>18102</v>
      </c>
      <c r="E2321" s="833">
        <v>160</v>
      </c>
      <c r="F2321" s="832">
        <v>40</v>
      </c>
      <c r="G2321" s="202" t="str">
        <f t="shared" si="36"/>
        <v/>
      </c>
    </row>
    <row r="2322" spans="1:7" s="172" customFormat="1" ht="15" customHeight="1" x14ac:dyDescent="0.25">
      <c r="A2322" s="828" t="s">
        <v>18801</v>
      </c>
      <c r="B2322" s="829" t="s">
        <v>17715</v>
      </c>
      <c r="C2322" s="829" t="s">
        <v>17715</v>
      </c>
      <c r="D2322" s="830" t="s">
        <v>18103</v>
      </c>
      <c r="E2322" s="833">
        <v>400</v>
      </c>
      <c r="F2322" s="832">
        <v>120</v>
      </c>
      <c r="G2322" s="202" t="str">
        <f t="shared" si="36"/>
        <v/>
      </c>
    </row>
    <row r="2323" spans="1:7" s="172" customFormat="1" ht="15" customHeight="1" x14ac:dyDescent="0.25">
      <c r="A2323" s="834" t="s">
        <v>18801</v>
      </c>
      <c r="B2323" s="829" t="s">
        <v>17715</v>
      </c>
      <c r="C2323" s="829" t="s">
        <v>17715</v>
      </c>
      <c r="D2323" s="828" t="s">
        <v>18104</v>
      </c>
      <c r="E2323" s="831">
        <v>500</v>
      </c>
      <c r="F2323" s="832">
        <v>120</v>
      </c>
      <c r="G2323" s="202" t="str">
        <f t="shared" si="36"/>
        <v/>
      </c>
    </row>
    <row r="2324" spans="1:7" s="172" customFormat="1" ht="15" customHeight="1" x14ac:dyDescent="0.25">
      <c r="A2324" s="834" t="s">
        <v>18802</v>
      </c>
      <c r="B2324" s="829" t="s">
        <v>17715</v>
      </c>
      <c r="C2324" s="829" t="s">
        <v>17715</v>
      </c>
      <c r="D2324" s="828" t="s">
        <v>18099</v>
      </c>
      <c r="E2324" s="833">
        <v>30</v>
      </c>
      <c r="F2324" s="832">
        <v>5</v>
      </c>
      <c r="G2324" s="202" t="str">
        <f t="shared" si="36"/>
        <v/>
      </c>
    </row>
    <row r="2325" spans="1:7" s="172" customFormat="1" ht="15" customHeight="1" x14ac:dyDescent="0.25">
      <c r="A2325" s="834" t="s">
        <v>18803</v>
      </c>
      <c r="B2325" s="829" t="s">
        <v>17715</v>
      </c>
      <c r="C2325" s="829" t="s">
        <v>17715</v>
      </c>
      <c r="D2325" s="828" t="s">
        <v>18105</v>
      </c>
      <c r="E2325" s="831">
        <v>100</v>
      </c>
      <c r="F2325" s="832">
        <v>30</v>
      </c>
      <c r="G2325" s="202" t="str">
        <f t="shared" si="36"/>
        <v/>
      </c>
    </row>
    <row r="2326" spans="1:7" s="172" customFormat="1" ht="15" customHeight="1" x14ac:dyDescent="0.25">
      <c r="A2326" s="834" t="s">
        <v>18803</v>
      </c>
      <c r="B2326" s="829" t="s">
        <v>17715</v>
      </c>
      <c r="C2326" s="829" t="s">
        <v>17715</v>
      </c>
      <c r="D2326" s="828" t="s">
        <v>18106</v>
      </c>
      <c r="E2326" s="833">
        <v>250</v>
      </c>
      <c r="F2326" s="832">
        <v>45</v>
      </c>
      <c r="G2326" s="202" t="str">
        <f t="shared" si="36"/>
        <v/>
      </c>
    </row>
    <row r="2327" spans="1:7" s="172" customFormat="1" ht="15" customHeight="1" x14ac:dyDescent="0.25">
      <c r="A2327" s="828" t="s">
        <v>18804</v>
      </c>
      <c r="B2327" s="829" t="s">
        <v>17715</v>
      </c>
      <c r="C2327" s="829" t="s">
        <v>17715</v>
      </c>
      <c r="D2327" s="828" t="s">
        <v>18107</v>
      </c>
      <c r="E2327" s="833">
        <v>30</v>
      </c>
      <c r="F2327" s="832">
        <v>5</v>
      </c>
      <c r="G2327" s="202" t="str">
        <f t="shared" si="36"/>
        <v/>
      </c>
    </row>
    <row r="2328" spans="1:7" s="172" customFormat="1" ht="15" customHeight="1" x14ac:dyDescent="0.25">
      <c r="A2328" s="828" t="s">
        <v>18805</v>
      </c>
      <c r="B2328" s="829" t="s">
        <v>17715</v>
      </c>
      <c r="C2328" s="829" t="s">
        <v>17715</v>
      </c>
      <c r="D2328" s="828" t="s">
        <v>18108</v>
      </c>
      <c r="E2328" s="833">
        <v>60</v>
      </c>
      <c r="F2328" s="832">
        <v>10</v>
      </c>
      <c r="G2328" s="202" t="str">
        <f t="shared" si="36"/>
        <v/>
      </c>
    </row>
    <row r="2329" spans="1:7" s="172" customFormat="1" ht="15" customHeight="1" x14ac:dyDescent="0.25">
      <c r="A2329" s="828" t="s">
        <v>18806</v>
      </c>
      <c r="B2329" s="829" t="s">
        <v>17715</v>
      </c>
      <c r="C2329" s="829" t="s">
        <v>17715</v>
      </c>
      <c r="D2329" s="828" t="s">
        <v>18109</v>
      </c>
      <c r="E2329" s="833">
        <v>160</v>
      </c>
      <c r="F2329" s="832">
        <v>60</v>
      </c>
      <c r="G2329" s="202" t="str">
        <f t="shared" si="36"/>
        <v/>
      </c>
    </row>
    <row r="2330" spans="1:7" s="172" customFormat="1" ht="15" customHeight="1" x14ac:dyDescent="0.25">
      <c r="A2330" s="828" t="s">
        <v>18807</v>
      </c>
      <c r="B2330" s="829" t="s">
        <v>17715</v>
      </c>
      <c r="C2330" s="829" t="s">
        <v>17715</v>
      </c>
      <c r="D2330" s="830" t="s">
        <v>18110</v>
      </c>
      <c r="E2330" s="833">
        <v>63</v>
      </c>
      <c r="F2330" s="832">
        <v>20</v>
      </c>
      <c r="G2330" s="202" t="str">
        <f t="shared" si="36"/>
        <v/>
      </c>
    </row>
    <row r="2331" spans="1:7" s="172" customFormat="1" ht="15" customHeight="1" x14ac:dyDescent="0.25">
      <c r="A2331" s="828" t="s">
        <v>18808</v>
      </c>
      <c r="B2331" s="829" t="s">
        <v>17715</v>
      </c>
      <c r="C2331" s="829" t="s">
        <v>17715</v>
      </c>
      <c r="D2331" s="828" t="s">
        <v>18111</v>
      </c>
      <c r="E2331" s="833">
        <v>250</v>
      </c>
      <c r="F2331" s="832">
        <v>75</v>
      </c>
      <c r="G2331" s="202" t="str">
        <f t="shared" si="36"/>
        <v/>
      </c>
    </row>
    <row r="2332" spans="1:7" s="172" customFormat="1" ht="15" customHeight="1" x14ac:dyDescent="0.25">
      <c r="A2332" s="834" t="s">
        <v>18808</v>
      </c>
      <c r="B2332" s="829" t="s">
        <v>17715</v>
      </c>
      <c r="C2332" s="829" t="s">
        <v>17715</v>
      </c>
      <c r="D2332" s="828" t="s">
        <v>18112</v>
      </c>
      <c r="E2332" s="833">
        <v>400</v>
      </c>
      <c r="F2332" s="832">
        <v>150</v>
      </c>
      <c r="G2332" s="202" t="str">
        <f t="shared" si="36"/>
        <v/>
      </c>
    </row>
    <row r="2333" spans="1:7" s="172" customFormat="1" ht="15" customHeight="1" x14ac:dyDescent="0.25">
      <c r="A2333" s="834" t="s">
        <v>18808</v>
      </c>
      <c r="B2333" s="829" t="s">
        <v>17715</v>
      </c>
      <c r="C2333" s="829" t="s">
        <v>17715</v>
      </c>
      <c r="D2333" s="828" t="s">
        <v>18113</v>
      </c>
      <c r="E2333" s="833">
        <v>160</v>
      </c>
      <c r="F2333" s="832">
        <v>50</v>
      </c>
      <c r="G2333" s="202" t="str">
        <f t="shared" si="36"/>
        <v/>
      </c>
    </row>
    <row r="2334" spans="1:7" s="172" customFormat="1" ht="15" customHeight="1" x14ac:dyDescent="0.25">
      <c r="A2334" s="828" t="s">
        <v>18808</v>
      </c>
      <c r="B2334" s="829" t="s">
        <v>17715</v>
      </c>
      <c r="C2334" s="829" t="s">
        <v>17715</v>
      </c>
      <c r="D2334" s="828" t="s">
        <v>18114</v>
      </c>
      <c r="E2334" s="833">
        <v>400</v>
      </c>
      <c r="F2334" s="832">
        <v>130</v>
      </c>
      <c r="G2334" s="202" t="str">
        <f t="shared" si="36"/>
        <v/>
      </c>
    </row>
    <row r="2335" spans="1:7" s="172" customFormat="1" ht="15" customHeight="1" x14ac:dyDescent="0.25">
      <c r="A2335" s="828" t="s">
        <v>18808</v>
      </c>
      <c r="B2335" s="829" t="s">
        <v>17715</v>
      </c>
      <c r="C2335" s="829" t="s">
        <v>17715</v>
      </c>
      <c r="D2335" s="828" t="s">
        <v>18115</v>
      </c>
      <c r="E2335" s="833">
        <v>160</v>
      </c>
      <c r="F2335" s="832">
        <v>55</v>
      </c>
      <c r="G2335" s="202" t="str">
        <f t="shared" si="36"/>
        <v/>
      </c>
    </row>
    <row r="2336" spans="1:7" s="172" customFormat="1" ht="15" customHeight="1" x14ac:dyDescent="0.25">
      <c r="A2336" s="828" t="s">
        <v>18809</v>
      </c>
      <c r="B2336" s="829" t="s">
        <v>17715</v>
      </c>
      <c r="C2336" s="829" t="s">
        <v>17715</v>
      </c>
      <c r="D2336" s="828" t="s">
        <v>18116</v>
      </c>
      <c r="E2336" s="833">
        <v>100</v>
      </c>
      <c r="F2336" s="832">
        <v>20</v>
      </c>
      <c r="G2336" s="202" t="str">
        <f t="shared" si="36"/>
        <v/>
      </c>
    </row>
    <row r="2337" spans="1:7" s="172" customFormat="1" ht="15" customHeight="1" x14ac:dyDescent="0.25">
      <c r="A2337" s="834" t="s">
        <v>18810</v>
      </c>
      <c r="B2337" s="829" t="s">
        <v>17715</v>
      </c>
      <c r="C2337" s="829" t="s">
        <v>17715</v>
      </c>
      <c r="D2337" s="830" t="s">
        <v>18117</v>
      </c>
      <c r="E2337" s="833">
        <v>100</v>
      </c>
      <c r="F2337" s="832">
        <v>20</v>
      </c>
      <c r="G2337" s="202" t="str">
        <f t="shared" si="36"/>
        <v/>
      </c>
    </row>
    <row r="2338" spans="1:7" s="172" customFormat="1" ht="15" customHeight="1" x14ac:dyDescent="0.25">
      <c r="A2338" s="834" t="s">
        <v>18811</v>
      </c>
      <c r="B2338" s="829" t="s">
        <v>17715</v>
      </c>
      <c r="C2338" s="829" t="s">
        <v>17715</v>
      </c>
      <c r="D2338" s="828" t="s">
        <v>18118</v>
      </c>
      <c r="E2338" s="833">
        <v>400</v>
      </c>
      <c r="F2338" s="832">
        <v>70</v>
      </c>
      <c r="G2338" s="202" t="str">
        <f t="shared" si="36"/>
        <v/>
      </c>
    </row>
    <row r="2339" spans="1:7" s="172" customFormat="1" ht="15" customHeight="1" x14ac:dyDescent="0.25">
      <c r="A2339" s="834" t="s">
        <v>19828</v>
      </c>
      <c r="B2339" s="829" t="s">
        <v>17715</v>
      </c>
      <c r="C2339" s="829" t="s">
        <v>17715</v>
      </c>
      <c r="D2339" s="828" t="s">
        <v>19829</v>
      </c>
      <c r="E2339" s="831">
        <v>100</v>
      </c>
      <c r="F2339" s="832">
        <v>40</v>
      </c>
      <c r="G2339" s="202" t="str">
        <f t="shared" si="36"/>
        <v/>
      </c>
    </row>
    <row r="2340" spans="1:7" s="172" customFormat="1" ht="15" customHeight="1" x14ac:dyDescent="0.25">
      <c r="A2340" s="834" t="s">
        <v>18813</v>
      </c>
      <c r="B2340" s="829" t="s">
        <v>17715</v>
      </c>
      <c r="C2340" s="829" t="s">
        <v>17715</v>
      </c>
      <c r="D2340" s="828" t="s">
        <v>18119</v>
      </c>
      <c r="E2340" s="833">
        <v>100</v>
      </c>
      <c r="F2340" s="832">
        <v>15</v>
      </c>
      <c r="G2340" s="202" t="str">
        <f t="shared" si="36"/>
        <v/>
      </c>
    </row>
    <row r="2341" spans="1:7" s="172" customFormat="1" ht="15" customHeight="1" x14ac:dyDescent="0.25">
      <c r="A2341" s="834" t="s">
        <v>18814</v>
      </c>
      <c r="B2341" s="829" t="s">
        <v>17715</v>
      </c>
      <c r="C2341" s="829" t="s">
        <v>17715</v>
      </c>
      <c r="D2341" s="828" t="s">
        <v>18120</v>
      </c>
      <c r="E2341" s="833">
        <v>250</v>
      </c>
      <c r="F2341" s="832">
        <v>190</v>
      </c>
      <c r="G2341" s="202" t="str">
        <f t="shared" si="36"/>
        <v/>
      </c>
    </row>
    <row r="2342" spans="1:7" s="172" customFormat="1" ht="15" customHeight="1" x14ac:dyDescent="0.25">
      <c r="A2342" s="834" t="s">
        <v>18815</v>
      </c>
      <c r="B2342" s="829" t="s">
        <v>17715</v>
      </c>
      <c r="C2342" s="829" t="s">
        <v>17715</v>
      </c>
      <c r="D2342" s="828" t="s">
        <v>18121</v>
      </c>
      <c r="E2342" s="833">
        <v>63</v>
      </c>
      <c r="F2342" s="832">
        <v>15</v>
      </c>
      <c r="G2342" s="202" t="str">
        <f t="shared" si="36"/>
        <v/>
      </c>
    </row>
    <row r="2343" spans="1:7" s="172" customFormat="1" ht="15" customHeight="1" x14ac:dyDescent="0.25">
      <c r="A2343" s="834" t="s">
        <v>18816</v>
      </c>
      <c r="B2343" s="829" t="s">
        <v>17715</v>
      </c>
      <c r="C2343" s="829" t="s">
        <v>17715</v>
      </c>
      <c r="D2343" s="828" t="s">
        <v>18122</v>
      </c>
      <c r="E2343" s="833">
        <v>20</v>
      </c>
      <c r="F2343" s="832">
        <v>5</v>
      </c>
      <c r="G2343" s="202" t="str">
        <f t="shared" si="36"/>
        <v/>
      </c>
    </row>
    <row r="2344" spans="1:7" s="172" customFormat="1" ht="15" customHeight="1" x14ac:dyDescent="0.25">
      <c r="A2344" s="828" t="s">
        <v>18817</v>
      </c>
      <c r="B2344" s="829" t="s">
        <v>17715</v>
      </c>
      <c r="C2344" s="829" t="s">
        <v>17715</v>
      </c>
      <c r="D2344" s="828" t="s">
        <v>18123</v>
      </c>
      <c r="E2344" s="833">
        <v>40</v>
      </c>
      <c r="F2344" s="832">
        <v>5</v>
      </c>
      <c r="G2344" s="202" t="str">
        <f t="shared" si="36"/>
        <v/>
      </c>
    </row>
    <row r="2345" spans="1:7" s="172" customFormat="1" ht="15" customHeight="1" x14ac:dyDescent="0.25">
      <c r="A2345" s="834" t="s">
        <v>18818</v>
      </c>
      <c r="B2345" s="829" t="s">
        <v>17715</v>
      </c>
      <c r="C2345" s="829" t="s">
        <v>17715</v>
      </c>
      <c r="D2345" s="828" t="s">
        <v>18124</v>
      </c>
      <c r="E2345" s="833">
        <v>160</v>
      </c>
      <c r="F2345" s="832">
        <v>60</v>
      </c>
      <c r="G2345" s="202" t="str">
        <f t="shared" si="36"/>
        <v/>
      </c>
    </row>
    <row r="2346" spans="1:7" s="172" customFormat="1" ht="15" customHeight="1" x14ac:dyDescent="0.25">
      <c r="A2346" s="828" t="s">
        <v>18819</v>
      </c>
      <c r="B2346" s="829" t="s">
        <v>17715</v>
      </c>
      <c r="C2346" s="829" t="s">
        <v>17715</v>
      </c>
      <c r="D2346" s="828" t="s">
        <v>18125</v>
      </c>
      <c r="E2346" s="833">
        <v>100</v>
      </c>
      <c r="F2346" s="832">
        <v>30</v>
      </c>
      <c r="G2346" s="202" t="str">
        <f t="shared" si="36"/>
        <v/>
      </c>
    </row>
    <row r="2347" spans="1:7" s="172" customFormat="1" ht="15" customHeight="1" x14ac:dyDescent="0.25">
      <c r="A2347" s="828" t="s">
        <v>18820</v>
      </c>
      <c r="B2347" s="829" t="s">
        <v>17715</v>
      </c>
      <c r="C2347" s="829" t="s">
        <v>17715</v>
      </c>
      <c r="D2347" s="830" t="s">
        <v>18126</v>
      </c>
      <c r="E2347" s="833">
        <v>63</v>
      </c>
      <c r="F2347" s="832">
        <v>5</v>
      </c>
      <c r="G2347" s="202" t="str">
        <f t="shared" si="36"/>
        <v/>
      </c>
    </row>
    <row r="2348" spans="1:7" s="172" customFormat="1" ht="15" customHeight="1" x14ac:dyDescent="0.25">
      <c r="A2348" s="828" t="s">
        <v>18821</v>
      </c>
      <c r="B2348" s="829" t="s">
        <v>17715</v>
      </c>
      <c r="C2348" s="829" t="s">
        <v>17715</v>
      </c>
      <c r="D2348" s="830" t="s">
        <v>18127</v>
      </c>
      <c r="E2348" s="833">
        <v>63</v>
      </c>
      <c r="F2348" s="832">
        <v>10</v>
      </c>
      <c r="G2348" s="202" t="str">
        <f t="shared" si="36"/>
        <v/>
      </c>
    </row>
    <row r="2349" spans="1:7" s="172" customFormat="1" ht="15" customHeight="1" x14ac:dyDescent="0.25">
      <c r="A2349" s="828" t="s">
        <v>18822</v>
      </c>
      <c r="B2349" s="829" t="s">
        <v>17715</v>
      </c>
      <c r="C2349" s="829" t="s">
        <v>17715</v>
      </c>
      <c r="D2349" s="828" t="s">
        <v>18128</v>
      </c>
      <c r="E2349" s="833">
        <v>40</v>
      </c>
      <c r="F2349" s="832">
        <v>10</v>
      </c>
      <c r="G2349" s="202" t="str">
        <f t="shared" si="36"/>
        <v/>
      </c>
    </row>
    <row r="2350" spans="1:7" s="172" customFormat="1" ht="15" customHeight="1" x14ac:dyDescent="0.25">
      <c r="A2350" s="834" t="s">
        <v>18823</v>
      </c>
      <c r="B2350" s="829" t="s">
        <v>17715</v>
      </c>
      <c r="C2350" s="829" t="s">
        <v>17715</v>
      </c>
      <c r="D2350" s="828" t="s">
        <v>18129</v>
      </c>
      <c r="E2350" s="833">
        <v>400</v>
      </c>
      <c r="F2350" s="832">
        <v>120</v>
      </c>
      <c r="G2350" s="202" t="str">
        <f t="shared" si="36"/>
        <v/>
      </c>
    </row>
    <row r="2351" spans="1:7" s="172" customFormat="1" ht="15" customHeight="1" x14ac:dyDescent="0.25">
      <c r="A2351" s="828" t="s">
        <v>18823</v>
      </c>
      <c r="B2351" s="829" t="s">
        <v>17715</v>
      </c>
      <c r="C2351" s="829" t="s">
        <v>17715</v>
      </c>
      <c r="D2351" s="828" t="s">
        <v>18131</v>
      </c>
      <c r="E2351" s="833">
        <v>100</v>
      </c>
      <c r="F2351" s="832">
        <v>25</v>
      </c>
      <c r="G2351" s="202" t="str">
        <f t="shared" si="36"/>
        <v/>
      </c>
    </row>
    <row r="2352" spans="1:7" s="172" customFormat="1" ht="15" customHeight="1" x14ac:dyDescent="0.25">
      <c r="A2352" s="828" t="s">
        <v>18823</v>
      </c>
      <c r="B2352" s="829" t="s">
        <v>17715</v>
      </c>
      <c r="C2352" s="829" t="s">
        <v>17715</v>
      </c>
      <c r="D2352" s="828" t="s">
        <v>18132</v>
      </c>
      <c r="E2352" s="833">
        <v>100</v>
      </c>
      <c r="F2352" s="832">
        <v>25</v>
      </c>
      <c r="G2352" s="202" t="str">
        <f t="shared" si="36"/>
        <v/>
      </c>
    </row>
    <row r="2353" spans="1:7" s="172" customFormat="1" ht="15" customHeight="1" x14ac:dyDescent="0.25">
      <c r="A2353" s="828" t="s">
        <v>18824</v>
      </c>
      <c r="B2353" s="829" t="s">
        <v>17715</v>
      </c>
      <c r="C2353" s="829" t="s">
        <v>17715</v>
      </c>
      <c r="D2353" s="828" t="s">
        <v>18130</v>
      </c>
      <c r="E2353" s="833">
        <v>250</v>
      </c>
      <c r="F2353" s="832">
        <v>85</v>
      </c>
      <c r="G2353" s="202" t="str">
        <f t="shared" si="36"/>
        <v/>
      </c>
    </row>
    <row r="2354" spans="1:7" s="172" customFormat="1" ht="15" customHeight="1" x14ac:dyDescent="0.25">
      <c r="A2354" s="828" t="s">
        <v>18825</v>
      </c>
      <c r="B2354" s="829" t="s">
        <v>17715</v>
      </c>
      <c r="C2354" s="829" t="s">
        <v>17715</v>
      </c>
      <c r="D2354" s="828" t="s">
        <v>18133</v>
      </c>
      <c r="E2354" s="833">
        <v>160</v>
      </c>
      <c r="F2354" s="832">
        <v>45</v>
      </c>
      <c r="G2354" s="202" t="str">
        <f t="shared" si="36"/>
        <v/>
      </c>
    </row>
    <row r="2355" spans="1:7" s="172" customFormat="1" ht="15" customHeight="1" x14ac:dyDescent="0.25">
      <c r="A2355" s="828" t="s">
        <v>18826</v>
      </c>
      <c r="B2355" s="829" t="s">
        <v>17715</v>
      </c>
      <c r="C2355" s="829" t="s">
        <v>17715</v>
      </c>
      <c r="D2355" s="828" t="s">
        <v>18134</v>
      </c>
      <c r="E2355" s="833">
        <v>100</v>
      </c>
      <c r="F2355" s="832">
        <v>30</v>
      </c>
      <c r="G2355" s="202" t="str">
        <f t="shared" si="36"/>
        <v/>
      </c>
    </row>
    <row r="2356" spans="1:7" s="172" customFormat="1" ht="15" customHeight="1" x14ac:dyDescent="0.25">
      <c r="A2356" s="828" t="s">
        <v>18826</v>
      </c>
      <c r="B2356" s="829" t="s">
        <v>17715</v>
      </c>
      <c r="C2356" s="829" t="s">
        <v>17715</v>
      </c>
      <c r="D2356" s="828" t="s">
        <v>18135</v>
      </c>
      <c r="E2356" s="833">
        <v>250</v>
      </c>
      <c r="F2356" s="832">
        <v>80</v>
      </c>
      <c r="G2356" s="202" t="str">
        <f t="shared" si="36"/>
        <v/>
      </c>
    </row>
    <row r="2357" spans="1:7" s="172" customFormat="1" ht="15" customHeight="1" x14ac:dyDescent="0.25">
      <c r="A2357" s="828" t="s">
        <v>18827</v>
      </c>
      <c r="B2357" s="829" t="s">
        <v>17715</v>
      </c>
      <c r="C2357" s="829" t="s">
        <v>17715</v>
      </c>
      <c r="D2357" s="828" t="s">
        <v>18138</v>
      </c>
      <c r="E2357" s="833">
        <v>250</v>
      </c>
      <c r="F2357" s="832">
        <v>40</v>
      </c>
      <c r="G2357" s="202" t="str">
        <f t="shared" si="36"/>
        <v/>
      </c>
    </row>
    <row r="2358" spans="1:7" s="172" customFormat="1" ht="15" customHeight="1" x14ac:dyDescent="0.25">
      <c r="A2358" s="828" t="s">
        <v>18827</v>
      </c>
      <c r="B2358" s="829" t="s">
        <v>17715</v>
      </c>
      <c r="C2358" s="829" t="s">
        <v>17715</v>
      </c>
      <c r="D2358" s="828" t="s">
        <v>18139</v>
      </c>
      <c r="E2358" s="833">
        <v>100</v>
      </c>
      <c r="F2358" s="832">
        <v>25</v>
      </c>
      <c r="G2358" s="202" t="str">
        <f t="shared" si="36"/>
        <v/>
      </c>
    </row>
    <row r="2359" spans="1:7" s="172" customFormat="1" ht="15" customHeight="1" x14ac:dyDescent="0.25">
      <c r="A2359" s="828" t="s">
        <v>18827</v>
      </c>
      <c r="B2359" s="829" t="s">
        <v>17715</v>
      </c>
      <c r="C2359" s="829" t="s">
        <v>17715</v>
      </c>
      <c r="D2359" s="830" t="s">
        <v>18140</v>
      </c>
      <c r="E2359" s="833">
        <v>160</v>
      </c>
      <c r="F2359" s="832">
        <v>40</v>
      </c>
      <c r="G2359" s="202" t="str">
        <f t="shared" si="36"/>
        <v/>
      </c>
    </row>
    <row r="2360" spans="1:7" s="172" customFormat="1" ht="15" customHeight="1" x14ac:dyDescent="0.25">
      <c r="A2360" s="828" t="s">
        <v>18827</v>
      </c>
      <c r="B2360" s="829" t="s">
        <v>17715</v>
      </c>
      <c r="C2360" s="829" t="s">
        <v>17715</v>
      </c>
      <c r="D2360" s="830" t="s">
        <v>18141</v>
      </c>
      <c r="E2360" s="833">
        <v>160</v>
      </c>
      <c r="F2360" s="832">
        <v>60</v>
      </c>
      <c r="G2360" s="202" t="str">
        <f t="shared" si="36"/>
        <v/>
      </c>
    </row>
    <row r="2361" spans="1:7" s="172" customFormat="1" ht="15" customHeight="1" x14ac:dyDescent="0.25">
      <c r="A2361" s="828" t="s">
        <v>18827</v>
      </c>
      <c r="B2361" s="829" t="s">
        <v>17715</v>
      </c>
      <c r="C2361" s="829" t="s">
        <v>17715</v>
      </c>
      <c r="D2361" s="828" t="s">
        <v>18142</v>
      </c>
      <c r="E2361" s="833">
        <v>160</v>
      </c>
      <c r="F2361" s="832">
        <v>45</v>
      </c>
      <c r="G2361" s="202" t="str">
        <f t="shared" si="36"/>
        <v/>
      </c>
    </row>
    <row r="2362" spans="1:7" s="172" customFormat="1" ht="15" customHeight="1" x14ac:dyDescent="0.25">
      <c r="A2362" s="828" t="s">
        <v>18827</v>
      </c>
      <c r="B2362" s="829" t="s">
        <v>17715</v>
      </c>
      <c r="C2362" s="829" t="s">
        <v>17715</v>
      </c>
      <c r="D2362" s="830" t="s">
        <v>18143</v>
      </c>
      <c r="E2362" s="833">
        <v>160</v>
      </c>
      <c r="F2362" s="832">
        <v>45</v>
      </c>
      <c r="G2362" s="202" t="str">
        <f t="shared" si="36"/>
        <v/>
      </c>
    </row>
    <row r="2363" spans="1:7" s="172" customFormat="1" ht="15" customHeight="1" x14ac:dyDescent="0.25">
      <c r="A2363" s="828" t="s">
        <v>18827</v>
      </c>
      <c r="B2363" s="829" t="s">
        <v>17715</v>
      </c>
      <c r="C2363" s="829" t="s">
        <v>17715</v>
      </c>
      <c r="D2363" s="828" t="s">
        <v>18145</v>
      </c>
      <c r="E2363" s="833">
        <v>250</v>
      </c>
      <c r="F2363" s="832">
        <v>75</v>
      </c>
      <c r="G2363" s="202" t="str">
        <f t="shared" si="36"/>
        <v/>
      </c>
    </row>
    <row r="2364" spans="1:7" s="172" customFormat="1" ht="15" customHeight="1" x14ac:dyDescent="0.25">
      <c r="A2364" s="834" t="s">
        <v>18827</v>
      </c>
      <c r="B2364" s="829" t="s">
        <v>17715</v>
      </c>
      <c r="C2364" s="829" t="s">
        <v>17715</v>
      </c>
      <c r="D2364" s="828" t="s">
        <v>18146</v>
      </c>
      <c r="E2364" s="833">
        <v>630</v>
      </c>
      <c r="F2364" s="832">
        <v>240</v>
      </c>
      <c r="G2364" s="202" t="str">
        <f t="shared" si="36"/>
        <v/>
      </c>
    </row>
    <row r="2365" spans="1:7" s="172" customFormat="1" ht="15" customHeight="1" x14ac:dyDescent="0.25">
      <c r="A2365" s="828" t="s">
        <v>18828</v>
      </c>
      <c r="B2365" s="829" t="s">
        <v>17715</v>
      </c>
      <c r="C2365" s="829" t="s">
        <v>17715</v>
      </c>
      <c r="D2365" s="828" t="s">
        <v>18136</v>
      </c>
      <c r="E2365" s="831">
        <v>160</v>
      </c>
      <c r="F2365" s="832">
        <v>50</v>
      </c>
      <c r="G2365" s="202" t="str">
        <f t="shared" si="36"/>
        <v/>
      </c>
    </row>
    <row r="2366" spans="1:7" s="172" customFormat="1" ht="15" customHeight="1" x14ac:dyDescent="0.25">
      <c r="A2366" s="834" t="s">
        <v>18828</v>
      </c>
      <c r="B2366" s="829" t="s">
        <v>17715</v>
      </c>
      <c r="C2366" s="829" t="s">
        <v>17715</v>
      </c>
      <c r="D2366" s="828" t="s">
        <v>18137</v>
      </c>
      <c r="E2366" s="833">
        <v>400</v>
      </c>
      <c r="F2366" s="832">
        <v>100</v>
      </c>
      <c r="G2366" s="202" t="str">
        <f t="shared" si="36"/>
        <v/>
      </c>
    </row>
    <row r="2367" spans="1:7" s="172" customFormat="1" ht="15" customHeight="1" x14ac:dyDescent="0.25">
      <c r="A2367" s="834" t="s">
        <v>18828</v>
      </c>
      <c r="B2367" s="829" t="s">
        <v>17715</v>
      </c>
      <c r="C2367" s="829" t="s">
        <v>17715</v>
      </c>
      <c r="D2367" s="828" t="s">
        <v>18144</v>
      </c>
      <c r="E2367" s="833">
        <v>63</v>
      </c>
      <c r="F2367" s="832">
        <v>15</v>
      </c>
      <c r="G2367" s="202" t="str">
        <f t="shared" si="36"/>
        <v/>
      </c>
    </row>
    <row r="2368" spans="1:7" s="172" customFormat="1" ht="15" customHeight="1" x14ac:dyDescent="0.25">
      <c r="A2368" s="834" t="s">
        <v>18829</v>
      </c>
      <c r="B2368" s="829" t="s">
        <v>17715</v>
      </c>
      <c r="C2368" s="829" t="s">
        <v>17715</v>
      </c>
      <c r="D2368" s="828" t="s">
        <v>18147</v>
      </c>
      <c r="E2368" s="833">
        <v>20</v>
      </c>
      <c r="F2368" s="832">
        <v>5</v>
      </c>
      <c r="G2368" s="202" t="str">
        <f t="shared" si="36"/>
        <v/>
      </c>
    </row>
    <row r="2369" spans="1:7" s="172" customFormat="1" ht="15" customHeight="1" x14ac:dyDescent="0.25">
      <c r="A2369" s="834" t="s">
        <v>18830</v>
      </c>
      <c r="B2369" s="829" t="s">
        <v>17715</v>
      </c>
      <c r="C2369" s="829" t="s">
        <v>17715</v>
      </c>
      <c r="D2369" s="828" t="s">
        <v>18148</v>
      </c>
      <c r="E2369" s="831">
        <v>160</v>
      </c>
      <c r="F2369" s="832">
        <v>90</v>
      </c>
      <c r="G2369" s="202" t="str">
        <f t="shared" si="36"/>
        <v/>
      </c>
    </row>
    <row r="2370" spans="1:7" s="172" customFormat="1" ht="15" customHeight="1" x14ac:dyDescent="0.25">
      <c r="A2370" s="834" t="s">
        <v>18831</v>
      </c>
      <c r="B2370" s="829" t="s">
        <v>17715</v>
      </c>
      <c r="C2370" s="829" t="s">
        <v>17715</v>
      </c>
      <c r="D2370" s="828" t="s">
        <v>18149</v>
      </c>
      <c r="E2370" s="833">
        <v>100</v>
      </c>
      <c r="F2370" s="832">
        <v>30</v>
      </c>
      <c r="G2370" s="202" t="str">
        <f t="shared" si="36"/>
        <v/>
      </c>
    </row>
    <row r="2371" spans="1:7" s="172" customFormat="1" ht="15" customHeight="1" x14ac:dyDescent="0.25">
      <c r="A2371" s="835" t="s">
        <v>18832</v>
      </c>
      <c r="B2371" s="835" t="s">
        <v>17715</v>
      </c>
      <c r="C2371" s="835" t="s">
        <v>17715</v>
      </c>
      <c r="D2371" s="835" t="s">
        <v>18150</v>
      </c>
      <c r="E2371" s="835">
        <v>20</v>
      </c>
      <c r="F2371" s="836">
        <v>5</v>
      </c>
      <c r="G2371" s="202" t="str">
        <f t="shared" si="36"/>
        <v/>
      </c>
    </row>
    <row r="2372" spans="1:7" s="172" customFormat="1" ht="15" customHeight="1" x14ac:dyDescent="0.25">
      <c r="A2372" s="835" t="s">
        <v>18833</v>
      </c>
      <c r="B2372" s="835" t="s">
        <v>17715</v>
      </c>
      <c r="C2372" s="835" t="s">
        <v>17715</v>
      </c>
      <c r="D2372" s="835" t="s">
        <v>18151</v>
      </c>
      <c r="E2372" s="835">
        <v>63</v>
      </c>
      <c r="F2372" s="836">
        <v>20</v>
      </c>
      <c r="G2372" s="202" t="str">
        <f t="shared" ref="G2372:G2438" si="37">IF(E2372=F2372,"не загружен","")</f>
        <v/>
      </c>
    </row>
    <row r="2373" spans="1:7" s="172" customFormat="1" ht="15" customHeight="1" x14ac:dyDescent="0.25">
      <c r="A2373" s="835" t="s">
        <v>18834</v>
      </c>
      <c r="B2373" s="835" t="s">
        <v>17715</v>
      </c>
      <c r="C2373" s="835" t="s">
        <v>17715</v>
      </c>
      <c r="D2373" s="835" t="s">
        <v>18152</v>
      </c>
      <c r="E2373" s="835">
        <v>25</v>
      </c>
      <c r="F2373" s="836">
        <v>15</v>
      </c>
      <c r="G2373" s="202" t="str">
        <f t="shared" si="37"/>
        <v/>
      </c>
    </row>
    <row r="2374" spans="1:7" s="172" customFormat="1" ht="15" customHeight="1" x14ac:dyDescent="0.25">
      <c r="A2374" s="835" t="s">
        <v>18835</v>
      </c>
      <c r="B2374" s="835" t="s">
        <v>17715</v>
      </c>
      <c r="C2374" s="835" t="s">
        <v>17715</v>
      </c>
      <c r="D2374" s="835" t="s">
        <v>18153</v>
      </c>
      <c r="E2374" s="835">
        <v>60</v>
      </c>
      <c r="F2374" s="836">
        <v>20</v>
      </c>
      <c r="G2374" s="202" t="str">
        <f t="shared" si="37"/>
        <v/>
      </c>
    </row>
    <row r="2375" spans="1:7" s="172" customFormat="1" ht="15" customHeight="1" x14ac:dyDescent="0.25">
      <c r="A2375" s="835" t="s">
        <v>18760</v>
      </c>
      <c r="B2375" s="835" t="s">
        <v>17715</v>
      </c>
      <c r="C2375" s="835" t="s">
        <v>17715</v>
      </c>
      <c r="D2375" s="835" t="s">
        <v>19830</v>
      </c>
      <c r="E2375" s="835">
        <v>160</v>
      </c>
      <c r="F2375" s="836">
        <v>5</v>
      </c>
      <c r="G2375" s="202" t="str">
        <f t="shared" si="37"/>
        <v/>
      </c>
    </row>
    <row r="2376" spans="1:7" s="172" customFormat="1" ht="15" customHeight="1" x14ac:dyDescent="0.25">
      <c r="A2376" s="835" t="s">
        <v>15046</v>
      </c>
      <c r="B2376" s="835" t="s">
        <v>17715</v>
      </c>
      <c r="C2376" s="835" t="s">
        <v>17715</v>
      </c>
      <c r="D2376" s="835" t="s">
        <v>19831</v>
      </c>
      <c r="E2376" s="835">
        <v>100</v>
      </c>
      <c r="F2376" s="836">
        <v>40</v>
      </c>
      <c r="G2376" s="202" t="str">
        <f t="shared" si="37"/>
        <v/>
      </c>
    </row>
    <row r="2377" spans="1:7" s="172" customFormat="1" ht="15" customHeight="1" x14ac:dyDescent="0.25">
      <c r="A2377" s="835" t="s">
        <v>18758</v>
      </c>
      <c r="B2377" s="835" t="s">
        <v>17715</v>
      </c>
      <c r="C2377" s="835" t="s">
        <v>17715</v>
      </c>
      <c r="D2377" s="835" t="s">
        <v>19832</v>
      </c>
      <c r="E2377" s="835">
        <v>100</v>
      </c>
      <c r="F2377" s="836">
        <v>30</v>
      </c>
      <c r="G2377" s="202" t="str">
        <f t="shared" si="37"/>
        <v/>
      </c>
    </row>
    <row r="2378" spans="1:7" s="172" customFormat="1" ht="15" customHeight="1" x14ac:dyDescent="0.25">
      <c r="A2378" s="835" t="s">
        <v>18758</v>
      </c>
      <c r="B2378" s="835" t="s">
        <v>17715</v>
      </c>
      <c r="C2378" s="835" t="s">
        <v>17715</v>
      </c>
      <c r="D2378" s="835" t="s">
        <v>19833</v>
      </c>
      <c r="E2378" s="835">
        <v>100</v>
      </c>
      <c r="F2378" s="836">
        <v>70</v>
      </c>
      <c r="G2378" s="202" t="str">
        <f t="shared" si="37"/>
        <v/>
      </c>
    </row>
    <row r="2379" spans="1:7" s="172" customFormat="1" ht="15" customHeight="1" x14ac:dyDescent="0.25">
      <c r="A2379" s="835" t="s">
        <v>18760</v>
      </c>
      <c r="B2379" s="835" t="s">
        <v>17715</v>
      </c>
      <c r="C2379" s="835" t="s">
        <v>17715</v>
      </c>
      <c r="D2379" s="835" t="s">
        <v>19834</v>
      </c>
      <c r="E2379" s="835">
        <v>100</v>
      </c>
      <c r="F2379" s="836">
        <v>60</v>
      </c>
      <c r="G2379" s="202" t="str">
        <f t="shared" si="37"/>
        <v/>
      </c>
    </row>
    <row r="2380" spans="1:7" s="172" customFormat="1" ht="15" customHeight="1" x14ac:dyDescent="0.25">
      <c r="A2380" s="835" t="s">
        <v>18812</v>
      </c>
      <c r="B2380" s="835" t="s">
        <v>17715</v>
      </c>
      <c r="C2380" s="835" t="s">
        <v>17715</v>
      </c>
      <c r="D2380" s="835" t="s">
        <v>19835</v>
      </c>
      <c r="E2380" s="835">
        <v>63</v>
      </c>
      <c r="F2380" s="836">
        <v>10</v>
      </c>
      <c r="G2380" s="202" t="str">
        <f t="shared" si="37"/>
        <v/>
      </c>
    </row>
    <row r="2381" spans="1:7" s="172" customFormat="1" ht="15" customHeight="1" x14ac:dyDescent="0.25">
      <c r="A2381" s="835" t="s">
        <v>18742</v>
      </c>
      <c r="B2381" s="835" t="s">
        <v>17715</v>
      </c>
      <c r="C2381" s="835" t="s">
        <v>17715</v>
      </c>
      <c r="D2381" s="835" t="s">
        <v>19836</v>
      </c>
      <c r="E2381" s="835">
        <v>160</v>
      </c>
      <c r="F2381" s="836">
        <v>100</v>
      </c>
      <c r="G2381" s="202" t="str">
        <f t="shared" si="37"/>
        <v/>
      </c>
    </row>
    <row r="2382" spans="1:7" s="172" customFormat="1" ht="15" customHeight="1" x14ac:dyDescent="0.25">
      <c r="A2382" s="835" t="s">
        <v>18701</v>
      </c>
      <c r="B2382" s="835" t="s">
        <v>17715</v>
      </c>
      <c r="C2382" s="835" t="s">
        <v>17715</v>
      </c>
      <c r="D2382" s="835" t="s">
        <v>17934</v>
      </c>
      <c r="E2382" s="835">
        <v>250</v>
      </c>
      <c r="F2382" s="836">
        <v>200</v>
      </c>
      <c r="G2382" s="202" t="str">
        <f t="shared" si="37"/>
        <v/>
      </c>
    </row>
    <row r="2383" spans="1:7" s="172" customFormat="1" ht="15" customHeight="1" x14ac:dyDescent="0.25">
      <c r="A2383" s="835" t="s">
        <v>19837</v>
      </c>
      <c r="B2383" s="835" t="s">
        <v>17715</v>
      </c>
      <c r="C2383" s="835" t="s">
        <v>17715</v>
      </c>
      <c r="D2383" s="835" t="s">
        <v>19838</v>
      </c>
      <c r="E2383" s="835">
        <v>160</v>
      </c>
      <c r="F2383" s="836">
        <v>65</v>
      </c>
      <c r="G2383" s="202" t="str">
        <f t="shared" si="37"/>
        <v/>
      </c>
    </row>
    <row r="2384" spans="1:7" s="172" customFormat="1" ht="15" customHeight="1" x14ac:dyDescent="0.25">
      <c r="A2384" s="835" t="s">
        <v>19839</v>
      </c>
      <c r="B2384" s="835" t="s">
        <v>17715</v>
      </c>
      <c r="C2384" s="835" t="s">
        <v>17715</v>
      </c>
      <c r="D2384" s="835" t="s">
        <v>19840</v>
      </c>
      <c r="E2384" s="835">
        <v>160</v>
      </c>
      <c r="F2384" s="836">
        <v>85</v>
      </c>
      <c r="G2384" s="202" t="str">
        <f t="shared" si="37"/>
        <v/>
      </c>
    </row>
    <row r="2385" spans="1:7" s="172" customFormat="1" ht="15" customHeight="1" x14ac:dyDescent="0.25">
      <c r="A2385" s="835" t="s">
        <v>19841</v>
      </c>
      <c r="B2385" s="835" t="s">
        <v>17715</v>
      </c>
      <c r="C2385" s="835" t="s">
        <v>17715</v>
      </c>
      <c r="D2385" s="835" t="s">
        <v>19842</v>
      </c>
      <c r="E2385" s="835">
        <v>630</v>
      </c>
      <c r="F2385" s="836">
        <v>250</v>
      </c>
      <c r="G2385" s="202" t="str">
        <f t="shared" si="37"/>
        <v/>
      </c>
    </row>
    <row r="2386" spans="1:7" s="172" customFormat="1" ht="15" customHeight="1" x14ac:dyDescent="0.25">
      <c r="A2386" s="835" t="s">
        <v>19843</v>
      </c>
      <c r="B2386" s="835" t="s">
        <v>17715</v>
      </c>
      <c r="C2386" s="835" t="s">
        <v>17715</v>
      </c>
      <c r="D2386" s="835" t="s">
        <v>19844</v>
      </c>
      <c r="E2386" s="835">
        <v>400</v>
      </c>
      <c r="F2386" s="836">
        <v>100</v>
      </c>
      <c r="G2386" s="202" t="str">
        <f t="shared" si="37"/>
        <v/>
      </c>
    </row>
    <row r="2387" spans="1:7" s="172" customFormat="1" ht="15" customHeight="1" x14ac:dyDescent="0.25">
      <c r="A2387" s="835" t="s">
        <v>11352</v>
      </c>
      <c r="B2387" s="835" t="s">
        <v>10501</v>
      </c>
      <c r="C2387" s="835" t="s">
        <v>10501</v>
      </c>
      <c r="D2387" s="835" t="s">
        <v>11353</v>
      </c>
      <c r="E2387" s="835">
        <v>100</v>
      </c>
      <c r="F2387" s="836">
        <v>43</v>
      </c>
      <c r="G2387" s="202" t="str">
        <f t="shared" si="37"/>
        <v/>
      </c>
    </row>
    <row r="2388" spans="1:7" s="172" customFormat="1" ht="15" customHeight="1" x14ac:dyDescent="0.25">
      <c r="A2388" s="835" t="s">
        <v>11437</v>
      </c>
      <c r="B2388" s="835" t="s">
        <v>10501</v>
      </c>
      <c r="C2388" s="835" t="s">
        <v>10501</v>
      </c>
      <c r="D2388" s="835" t="s">
        <v>11438</v>
      </c>
      <c r="E2388" s="835">
        <v>100</v>
      </c>
      <c r="F2388" s="836">
        <v>33</v>
      </c>
      <c r="G2388" s="202" t="str">
        <f t="shared" si="37"/>
        <v/>
      </c>
    </row>
    <row r="2389" spans="1:7" s="172" customFormat="1" ht="15" customHeight="1" x14ac:dyDescent="0.25">
      <c r="A2389" s="835" t="s">
        <v>11190</v>
      </c>
      <c r="B2389" s="835" t="s">
        <v>10501</v>
      </c>
      <c r="C2389" s="835" t="s">
        <v>10501</v>
      </c>
      <c r="D2389" s="835" t="s">
        <v>11434</v>
      </c>
      <c r="E2389" s="835">
        <v>63</v>
      </c>
      <c r="F2389" s="836">
        <v>17</v>
      </c>
      <c r="G2389" s="202" t="str">
        <f t="shared" si="37"/>
        <v/>
      </c>
    </row>
    <row r="2390" spans="1:7" s="172" customFormat="1" ht="15" customHeight="1" x14ac:dyDescent="0.25">
      <c r="A2390" s="835" t="s">
        <v>4651</v>
      </c>
      <c r="B2390" s="835" t="s">
        <v>10501</v>
      </c>
      <c r="C2390" s="835" t="s">
        <v>10501</v>
      </c>
      <c r="D2390" s="835" t="s">
        <v>11439</v>
      </c>
      <c r="E2390" s="835">
        <v>160</v>
      </c>
      <c r="F2390" s="836">
        <v>59</v>
      </c>
      <c r="G2390" s="202" t="str">
        <f t="shared" si="37"/>
        <v/>
      </c>
    </row>
    <row r="2391" spans="1:7" s="172" customFormat="1" ht="15" customHeight="1" x14ac:dyDescent="0.25">
      <c r="A2391" s="835" t="s">
        <v>4651</v>
      </c>
      <c r="B2391" s="835" t="s">
        <v>10501</v>
      </c>
      <c r="C2391" s="835" t="s">
        <v>10501</v>
      </c>
      <c r="D2391" s="835" t="s">
        <v>11440</v>
      </c>
      <c r="E2391" s="835">
        <v>160</v>
      </c>
      <c r="F2391" s="836">
        <v>70</v>
      </c>
      <c r="G2391" s="202" t="str">
        <f t="shared" si="37"/>
        <v/>
      </c>
    </row>
    <row r="2392" spans="1:7" s="172" customFormat="1" ht="15" customHeight="1" x14ac:dyDescent="0.25">
      <c r="A2392" s="835" t="s">
        <v>11441</v>
      </c>
      <c r="B2392" s="835" t="s">
        <v>10501</v>
      </c>
      <c r="C2392" s="835" t="s">
        <v>10501</v>
      </c>
      <c r="D2392" s="835" t="s">
        <v>11442</v>
      </c>
      <c r="E2392" s="835">
        <v>10</v>
      </c>
      <c r="F2392" s="836">
        <v>0</v>
      </c>
      <c r="G2392" s="202" t="str">
        <f t="shared" si="37"/>
        <v/>
      </c>
    </row>
    <row r="2393" spans="1:7" s="172" customFormat="1" ht="15" customHeight="1" x14ac:dyDescent="0.25">
      <c r="A2393" s="835" t="s">
        <v>11435</v>
      </c>
      <c r="B2393" s="835" t="s">
        <v>10501</v>
      </c>
      <c r="C2393" s="835" t="s">
        <v>10501</v>
      </c>
      <c r="D2393" s="835" t="s">
        <v>11436</v>
      </c>
      <c r="E2393" s="835">
        <v>100</v>
      </c>
      <c r="F2393" s="836">
        <v>24</v>
      </c>
      <c r="G2393" s="202" t="str">
        <f t="shared" si="37"/>
        <v/>
      </c>
    </row>
    <row r="2394" spans="1:7" s="172" customFormat="1" ht="15" customHeight="1" x14ac:dyDescent="0.25">
      <c r="A2394" s="835" t="s">
        <v>11443</v>
      </c>
      <c r="B2394" s="835" t="s">
        <v>10501</v>
      </c>
      <c r="C2394" s="835" t="s">
        <v>10501</v>
      </c>
      <c r="D2394" s="835" t="s">
        <v>11444</v>
      </c>
      <c r="E2394" s="835">
        <v>100</v>
      </c>
      <c r="F2394" s="836">
        <v>19</v>
      </c>
      <c r="G2394" s="202" t="str">
        <f t="shared" si="37"/>
        <v/>
      </c>
    </row>
    <row r="2395" spans="1:7" s="172" customFormat="1" ht="15" customHeight="1" x14ac:dyDescent="0.25">
      <c r="A2395" s="835" t="s">
        <v>11429</v>
      </c>
      <c r="B2395" s="835" t="s">
        <v>10501</v>
      </c>
      <c r="C2395" s="835" t="s">
        <v>10501</v>
      </c>
      <c r="D2395" s="835" t="s">
        <v>11431</v>
      </c>
      <c r="E2395" s="835">
        <v>400</v>
      </c>
      <c r="F2395" s="836">
        <v>229</v>
      </c>
      <c r="G2395" s="202" t="str">
        <f t="shared" si="37"/>
        <v/>
      </c>
    </row>
    <row r="2396" spans="1:7" s="172" customFormat="1" ht="15" customHeight="1" x14ac:dyDescent="0.25">
      <c r="A2396" s="835" t="s">
        <v>11429</v>
      </c>
      <c r="B2396" s="835" t="s">
        <v>10501</v>
      </c>
      <c r="C2396" s="835" t="s">
        <v>10501</v>
      </c>
      <c r="D2396" s="835" t="s">
        <v>11432</v>
      </c>
      <c r="E2396" s="835">
        <v>160</v>
      </c>
      <c r="F2396" s="836">
        <v>35</v>
      </c>
      <c r="G2396" s="202" t="str">
        <f t="shared" si="37"/>
        <v/>
      </c>
    </row>
    <row r="2397" spans="1:7" s="172" customFormat="1" ht="15" customHeight="1" x14ac:dyDescent="0.25">
      <c r="A2397" s="835" t="s">
        <v>11429</v>
      </c>
      <c r="B2397" s="835" t="s">
        <v>10501</v>
      </c>
      <c r="C2397" s="835" t="s">
        <v>10501</v>
      </c>
      <c r="D2397" s="835" t="s">
        <v>11433</v>
      </c>
      <c r="E2397" s="835">
        <v>160</v>
      </c>
      <c r="F2397" s="836">
        <v>40</v>
      </c>
      <c r="G2397" s="202" t="str">
        <f t="shared" si="37"/>
        <v/>
      </c>
    </row>
    <row r="2398" spans="1:7" s="172" customFormat="1" ht="15" customHeight="1" x14ac:dyDescent="0.25">
      <c r="A2398" s="835" t="s">
        <v>11429</v>
      </c>
      <c r="B2398" s="835" t="s">
        <v>10501</v>
      </c>
      <c r="C2398" s="835" t="s">
        <v>10501</v>
      </c>
      <c r="D2398" s="835" t="s">
        <v>11430</v>
      </c>
      <c r="E2398" s="835">
        <v>100</v>
      </c>
      <c r="F2398" s="836">
        <v>18</v>
      </c>
      <c r="G2398" s="202" t="str">
        <f t="shared" si="37"/>
        <v/>
      </c>
    </row>
    <row r="2399" spans="1:7" s="172" customFormat="1" ht="15" customHeight="1" x14ac:dyDescent="0.25">
      <c r="A2399" s="835" t="s">
        <v>5355</v>
      </c>
      <c r="B2399" s="835" t="s">
        <v>10501</v>
      </c>
      <c r="C2399" s="835" t="s">
        <v>10501</v>
      </c>
      <c r="D2399" s="835" t="s">
        <v>11428</v>
      </c>
      <c r="E2399" s="835">
        <v>63</v>
      </c>
      <c r="F2399" s="836">
        <v>14</v>
      </c>
      <c r="G2399" s="202" t="str">
        <f t="shared" si="37"/>
        <v/>
      </c>
    </row>
    <row r="2400" spans="1:7" s="172" customFormat="1" ht="15" customHeight="1" x14ac:dyDescent="0.25">
      <c r="A2400" s="835" t="s">
        <v>11422</v>
      </c>
      <c r="B2400" s="835" t="s">
        <v>10501</v>
      </c>
      <c r="C2400" s="835" t="s">
        <v>10501</v>
      </c>
      <c r="D2400" s="835" t="s">
        <v>11423</v>
      </c>
      <c r="E2400" s="835">
        <v>63</v>
      </c>
      <c r="F2400" s="836">
        <v>0</v>
      </c>
      <c r="G2400" s="202" t="str">
        <f t="shared" si="37"/>
        <v/>
      </c>
    </row>
    <row r="2401" spans="1:7" s="172" customFormat="1" ht="15" customHeight="1" x14ac:dyDescent="0.25">
      <c r="A2401" s="835" t="s">
        <v>11424</v>
      </c>
      <c r="B2401" s="835" t="s">
        <v>10501</v>
      </c>
      <c r="C2401" s="835" t="s">
        <v>10501</v>
      </c>
      <c r="D2401" s="854" t="s">
        <v>11425</v>
      </c>
      <c r="E2401" s="835">
        <v>160</v>
      </c>
      <c r="F2401" s="836">
        <v>71</v>
      </c>
      <c r="G2401" s="202" t="str">
        <f t="shared" si="37"/>
        <v/>
      </c>
    </row>
    <row r="2402" spans="1:7" s="172" customFormat="1" ht="15" customHeight="1" x14ac:dyDescent="0.25">
      <c r="A2402" s="835" t="s">
        <v>11426</v>
      </c>
      <c r="B2402" s="835" t="s">
        <v>10501</v>
      </c>
      <c r="C2402" s="835" t="s">
        <v>10501</v>
      </c>
      <c r="D2402" s="854" t="s">
        <v>11427</v>
      </c>
      <c r="E2402" s="835">
        <v>10</v>
      </c>
      <c r="F2402" s="836">
        <v>0</v>
      </c>
      <c r="G2402" s="202" t="str">
        <f t="shared" si="37"/>
        <v/>
      </c>
    </row>
    <row r="2403" spans="1:7" s="172" customFormat="1" ht="15" customHeight="1" x14ac:dyDescent="0.25">
      <c r="A2403" s="835" t="s">
        <v>13269</v>
      </c>
      <c r="B2403" s="835" t="s">
        <v>10501</v>
      </c>
      <c r="C2403" s="835" t="s">
        <v>10501</v>
      </c>
      <c r="D2403" s="835" t="s">
        <v>11507</v>
      </c>
      <c r="E2403" s="835">
        <v>50</v>
      </c>
      <c r="F2403" s="836">
        <v>1</v>
      </c>
      <c r="G2403" s="202" t="str">
        <f t="shared" si="37"/>
        <v/>
      </c>
    </row>
    <row r="2404" spans="1:7" s="172" customFormat="1" ht="15" customHeight="1" x14ac:dyDescent="0.25">
      <c r="A2404" s="835" t="s">
        <v>13270</v>
      </c>
      <c r="B2404" s="835" t="s">
        <v>10501</v>
      </c>
      <c r="C2404" s="835" t="s">
        <v>10501</v>
      </c>
      <c r="D2404" s="835" t="s">
        <v>11508</v>
      </c>
      <c r="E2404" s="835">
        <v>100</v>
      </c>
      <c r="F2404" s="836">
        <v>34</v>
      </c>
      <c r="G2404" s="202" t="str">
        <f t="shared" si="37"/>
        <v/>
      </c>
    </row>
    <row r="2405" spans="1:7" s="172" customFormat="1" ht="15" customHeight="1" x14ac:dyDescent="0.25">
      <c r="A2405" s="835" t="s">
        <v>11505</v>
      </c>
      <c r="B2405" s="835" t="s">
        <v>10501</v>
      </c>
      <c r="C2405" s="835" t="s">
        <v>10501</v>
      </c>
      <c r="D2405" s="835" t="s">
        <v>11506</v>
      </c>
      <c r="E2405" s="835">
        <v>30</v>
      </c>
      <c r="F2405" s="836">
        <v>2</v>
      </c>
      <c r="G2405" s="202" t="str">
        <f t="shared" si="37"/>
        <v/>
      </c>
    </row>
    <row r="2406" spans="1:7" s="172" customFormat="1" ht="15" customHeight="1" x14ac:dyDescent="0.25">
      <c r="A2406" s="835" t="s">
        <v>11354</v>
      </c>
      <c r="B2406" s="835" t="s">
        <v>10501</v>
      </c>
      <c r="C2406" s="835" t="s">
        <v>10501</v>
      </c>
      <c r="D2406" s="835" t="s">
        <v>11355</v>
      </c>
      <c r="E2406" s="835">
        <v>160</v>
      </c>
      <c r="F2406" s="836">
        <v>60</v>
      </c>
      <c r="G2406" s="202" t="str">
        <f t="shared" si="37"/>
        <v/>
      </c>
    </row>
    <row r="2407" spans="1:7" s="172" customFormat="1" ht="15" customHeight="1" x14ac:dyDescent="0.25">
      <c r="A2407" s="835" t="s">
        <v>11356</v>
      </c>
      <c r="B2407" s="835" t="s">
        <v>10501</v>
      </c>
      <c r="C2407" s="835" t="s">
        <v>10501</v>
      </c>
      <c r="D2407" s="835" t="s">
        <v>11357</v>
      </c>
      <c r="E2407" s="835">
        <v>50</v>
      </c>
      <c r="F2407" s="836">
        <v>0</v>
      </c>
      <c r="G2407" s="202" t="str">
        <f t="shared" si="37"/>
        <v/>
      </c>
    </row>
    <row r="2408" spans="1:7" s="172" customFormat="1" ht="15" customHeight="1" x14ac:dyDescent="0.25">
      <c r="A2408" s="835" t="s">
        <v>11414</v>
      </c>
      <c r="B2408" s="835" t="s">
        <v>10501</v>
      </c>
      <c r="C2408" s="835" t="s">
        <v>10501</v>
      </c>
      <c r="D2408" s="835" t="s">
        <v>11415</v>
      </c>
      <c r="E2408" s="835">
        <v>63</v>
      </c>
      <c r="F2408" s="836">
        <v>21</v>
      </c>
      <c r="G2408" s="202" t="str">
        <f t="shared" si="37"/>
        <v/>
      </c>
    </row>
    <row r="2409" spans="1:7" s="172" customFormat="1" ht="15" customHeight="1" x14ac:dyDescent="0.25">
      <c r="A2409" s="835" t="s">
        <v>11098</v>
      </c>
      <c r="B2409" s="835" t="s">
        <v>10501</v>
      </c>
      <c r="C2409" s="835" t="s">
        <v>10501</v>
      </c>
      <c r="D2409" s="835" t="s">
        <v>11413</v>
      </c>
      <c r="E2409" s="835">
        <v>60</v>
      </c>
      <c r="F2409" s="836">
        <v>0</v>
      </c>
      <c r="G2409" s="202" t="str">
        <f t="shared" si="37"/>
        <v/>
      </c>
    </row>
    <row r="2410" spans="1:7" s="172" customFormat="1" ht="15" customHeight="1" x14ac:dyDescent="0.25">
      <c r="A2410" s="835" t="s">
        <v>11420</v>
      </c>
      <c r="B2410" s="835" t="s">
        <v>10501</v>
      </c>
      <c r="C2410" s="835" t="s">
        <v>10501</v>
      </c>
      <c r="D2410" s="835" t="s">
        <v>11421</v>
      </c>
      <c r="E2410" s="835">
        <v>63</v>
      </c>
      <c r="F2410" s="836">
        <v>0</v>
      </c>
      <c r="G2410" s="202" t="str">
        <f t="shared" si="37"/>
        <v/>
      </c>
    </row>
    <row r="2411" spans="1:7" s="172" customFormat="1" ht="15" customHeight="1" x14ac:dyDescent="0.25">
      <c r="A2411" s="835" t="s">
        <v>11418</v>
      </c>
      <c r="B2411" s="835" t="s">
        <v>10501</v>
      </c>
      <c r="C2411" s="835" t="s">
        <v>10501</v>
      </c>
      <c r="D2411" s="835" t="s">
        <v>11419</v>
      </c>
      <c r="E2411" s="835">
        <v>30</v>
      </c>
      <c r="F2411" s="836">
        <v>6</v>
      </c>
      <c r="G2411" s="202" t="str">
        <f t="shared" si="37"/>
        <v/>
      </c>
    </row>
    <row r="2412" spans="1:7" s="172" customFormat="1" ht="15" customHeight="1" x14ac:dyDescent="0.25">
      <c r="A2412" s="835" t="s">
        <v>11416</v>
      </c>
      <c r="B2412" s="835" t="s">
        <v>10501</v>
      </c>
      <c r="C2412" s="835" t="s">
        <v>10501</v>
      </c>
      <c r="D2412" s="835" t="s">
        <v>11417</v>
      </c>
      <c r="E2412" s="835">
        <v>40</v>
      </c>
      <c r="F2412" s="836">
        <v>0</v>
      </c>
      <c r="G2412" s="202" t="str">
        <f t="shared" si="37"/>
        <v/>
      </c>
    </row>
    <row r="2413" spans="1:7" s="172" customFormat="1" ht="15" customHeight="1" x14ac:dyDescent="0.25">
      <c r="A2413" s="835" t="s">
        <v>11411</v>
      </c>
      <c r="B2413" s="835" t="s">
        <v>10501</v>
      </c>
      <c r="C2413" s="835" t="s">
        <v>10501</v>
      </c>
      <c r="D2413" s="835" t="s">
        <v>11412</v>
      </c>
      <c r="E2413" s="835">
        <v>10</v>
      </c>
      <c r="F2413" s="836">
        <v>0</v>
      </c>
      <c r="G2413" s="202" t="str">
        <f t="shared" si="37"/>
        <v/>
      </c>
    </row>
    <row r="2414" spans="1:7" s="172" customFormat="1" ht="15" customHeight="1" x14ac:dyDescent="0.25">
      <c r="A2414" s="835" t="s">
        <v>11407</v>
      </c>
      <c r="B2414" s="835" t="s">
        <v>10501</v>
      </c>
      <c r="C2414" s="835" t="s">
        <v>10501</v>
      </c>
      <c r="D2414" s="835" t="s">
        <v>11408</v>
      </c>
      <c r="E2414" s="835">
        <v>10</v>
      </c>
      <c r="F2414" s="836">
        <v>0</v>
      </c>
      <c r="G2414" s="202" t="str">
        <f t="shared" si="37"/>
        <v/>
      </c>
    </row>
    <row r="2415" spans="1:7" s="172" customFormat="1" ht="15" customHeight="1" x14ac:dyDescent="0.25">
      <c r="A2415" s="835" t="s">
        <v>11409</v>
      </c>
      <c r="B2415" s="835" t="s">
        <v>10501</v>
      </c>
      <c r="C2415" s="835" t="s">
        <v>10501</v>
      </c>
      <c r="D2415" s="835" t="s">
        <v>11410</v>
      </c>
      <c r="E2415" s="835">
        <v>60</v>
      </c>
      <c r="F2415" s="836">
        <v>28</v>
      </c>
      <c r="G2415" s="202" t="str">
        <f t="shared" si="37"/>
        <v/>
      </c>
    </row>
    <row r="2416" spans="1:7" s="172" customFormat="1" ht="15" customHeight="1" x14ac:dyDescent="0.25">
      <c r="A2416" s="835" t="s">
        <v>11403</v>
      </c>
      <c r="B2416" s="835" t="s">
        <v>10501</v>
      </c>
      <c r="C2416" s="835" t="s">
        <v>10501</v>
      </c>
      <c r="D2416" s="835" t="s">
        <v>11404</v>
      </c>
      <c r="E2416" s="835">
        <v>20</v>
      </c>
      <c r="F2416" s="836">
        <v>0</v>
      </c>
      <c r="G2416" s="202" t="str">
        <f t="shared" si="37"/>
        <v/>
      </c>
    </row>
    <row r="2417" spans="1:7" s="172" customFormat="1" ht="15" customHeight="1" x14ac:dyDescent="0.25">
      <c r="A2417" s="835" t="s">
        <v>11405</v>
      </c>
      <c r="B2417" s="835" t="s">
        <v>10501</v>
      </c>
      <c r="C2417" s="835" t="s">
        <v>10501</v>
      </c>
      <c r="D2417" s="835" t="s">
        <v>11406</v>
      </c>
      <c r="E2417" s="835">
        <v>160</v>
      </c>
      <c r="F2417" s="836">
        <v>58</v>
      </c>
      <c r="G2417" s="202" t="str">
        <f t="shared" si="37"/>
        <v/>
      </c>
    </row>
    <row r="2418" spans="1:7" s="172" customFormat="1" ht="15" customHeight="1" x14ac:dyDescent="0.25">
      <c r="A2418" s="835" t="s">
        <v>10845</v>
      </c>
      <c r="B2418" s="835" t="s">
        <v>10501</v>
      </c>
      <c r="C2418" s="835" t="s">
        <v>10501</v>
      </c>
      <c r="D2418" s="835" t="s">
        <v>11402</v>
      </c>
      <c r="E2418" s="835">
        <v>160</v>
      </c>
      <c r="F2418" s="836">
        <v>43</v>
      </c>
      <c r="G2418" s="202" t="str">
        <f t="shared" si="37"/>
        <v/>
      </c>
    </row>
    <row r="2419" spans="1:7" s="172" customFormat="1" ht="15" customHeight="1" x14ac:dyDescent="0.25">
      <c r="A2419" s="835" t="s">
        <v>11387</v>
      </c>
      <c r="B2419" s="835" t="s">
        <v>10501</v>
      </c>
      <c r="C2419" s="835" t="s">
        <v>10501</v>
      </c>
      <c r="D2419" s="835" t="s">
        <v>11388</v>
      </c>
      <c r="E2419" s="835">
        <v>63</v>
      </c>
      <c r="F2419" s="836">
        <v>4</v>
      </c>
      <c r="G2419" s="202" t="str">
        <f t="shared" si="37"/>
        <v/>
      </c>
    </row>
    <row r="2420" spans="1:7" s="172" customFormat="1" ht="15" customHeight="1" x14ac:dyDescent="0.25">
      <c r="A2420" s="835" t="s">
        <v>10856</v>
      </c>
      <c r="B2420" s="835" t="s">
        <v>10501</v>
      </c>
      <c r="C2420" s="835" t="s">
        <v>10501</v>
      </c>
      <c r="D2420" s="835" t="s">
        <v>11384</v>
      </c>
      <c r="E2420" s="835">
        <v>160</v>
      </c>
      <c r="F2420" s="836">
        <v>57</v>
      </c>
      <c r="G2420" s="202" t="str">
        <f t="shared" si="37"/>
        <v/>
      </c>
    </row>
    <row r="2421" spans="1:7" s="172" customFormat="1" ht="15" customHeight="1" x14ac:dyDescent="0.25">
      <c r="A2421" s="835" t="s">
        <v>11385</v>
      </c>
      <c r="B2421" s="835" t="s">
        <v>10501</v>
      </c>
      <c r="C2421" s="835" t="s">
        <v>10501</v>
      </c>
      <c r="D2421" s="835" t="s">
        <v>11386</v>
      </c>
      <c r="E2421" s="835">
        <v>63</v>
      </c>
      <c r="F2421" s="836">
        <v>21</v>
      </c>
      <c r="G2421" s="202" t="str">
        <f t="shared" si="37"/>
        <v/>
      </c>
    </row>
    <row r="2422" spans="1:7" s="172" customFormat="1" ht="15" customHeight="1" x14ac:dyDescent="0.25">
      <c r="A2422" s="835" t="s">
        <v>11382</v>
      </c>
      <c r="B2422" s="835" t="s">
        <v>10501</v>
      </c>
      <c r="C2422" s="835" t="s">
        <v>10501</v>
      </c>
      <c r="D2422" s="835" t="s">
        <v>11383</v>
      </c>
      <c r="E2422" s="835">
        <v>100</v>
      </c>
      <c r="F2422" s="836">
        <v>0</v>
      </c>
      <c r="G2422" s="202" t="str">
        <f t="shared" si="37"/>
        <v/>
      </c>
    </row>
    <row r="2423" spans="1:7" s="172" customFormat="1" ht="15" customHeight="1" x14ac:dyDescent="0.25">
      <c r="A2423" s="835" t="s">
        <v>11008</v>
      </c>
      <c r="B2423" s="835" t="s">
        <v>10501</v>
      </c>
      <c r="C2423" s="835" t="s">
        <v>10501</v>
      </c>
      <c r="D2423" s="835" t="s">
        <v>11380</v>
      </c>
      <c r="E2423" s="835">
        <v>250</v>
      </c>
      <c r="F2423" s="836">
        <v>124</v>
      </c>
      <c r="G2423" s="202" t="str">
        <f t="shared" si="37"/>
        <v/>
      </c>
    </row>
    <row r="2424" spans="1:7" s="172" customFormat="1" ht="15" customHeight="1" x14ac:dyDescent="0.25">
      <c r="A2424" s="835" t="s">
        <v>11008</v>
      </c>
      <c r="B2424" s="835" t="s">
        <v>10501</v>
      </c>
      <c r="C2424" s="835" t="s">
        <v>10501</v>
      </c>
      <c r="D2424" s="835" t="s">
        <v>11381</v>
      </c>
      <c r="E2424" s="835">
        <v>800</v>
      </c>
      <c r="F2424" s="836">
        <v>535</v>
      </c>
      <c r="G2424" s="202" t="str">
        <f t="shared" si="37"/>
        <v/>
      </c>
    </row>
    <row r="2425" spans="1:7" s="172" customFormat="1" ht="15" customHeight="1" x14ac:dyDescent="0.25">
      <c r="A2425" s="835" t="s">
        <v>11057</v>
      </c>
      <c r="B2425" s="835" t="s">
        <v>10501</v>
      </c>
      <c r="C2425" s="835" t="s">
        <v>10501</v>
      </c>
      <c r="D2425" s="835" t="s">
        <v>11374</v>
      </c>
      <c r="E2425" s="835">
        <v>100</v>
      </c>
      <c r="F2425" s="836">
        <v>17</v>
      </c>
      <c r="G2425" s="202" t="str">
        <f t="shared" si="37"/>
        <v/>
      </c>
    </row>
    <row r="2426" spans="1:7" s="172" customFormat="1" ht="15" customHeight="1" x14ac:dyDescent="0.25">
      <c r="A2426" s="835" t="s">
        <v>11057</v>
      </c>
      <c r="B2426" s="835" t="s">
        <v>10501</v>
      </c>
      <c r="C2426" s="835" t="s">
        <v>10501</v>
      </c>
      <c r="D2426" s="835" t="s">
        <v>11375</v>
      </c>
      <c r="E2426" s="835">
        <v>100</v>
      </c>
      <c r="F2426" s="836">
        <v>16</v>
      </c>
      <c r="G2426" s="202" t="str">
        <f t="shared" si="37"/>
        <v/>
      </c>
    </row>
    <row r="2427" spans="1:7" s="172" customFormat="1" ht="15" customHeight="1" x14ac:dyDescent="0.25">
      <c r="A2427" s="835" t="s">
        <v>11368</v>
      </c>
      <c r="B2427" s="835" t="s">
        <v>10501</v>
      </c>
      <c r="C2427" s="835" t="s">
        <v>10501</v>
      </c>
      <c r="D2427" s="835" t="s">
        <v>11369</v>
      </c>
      <c r="E2427" s="835">
        <v>30</v>
      </c>
      <c r="F2427" s="836">
        <v>0</v>
      </c>
      <c r="G2427" s="202" t="str">
        <f t="shared" si="37"/>
        <v/>
      </c>
    </row>
    <row r="2428" spans="1:7" s="172" customFormat="1" ht="15" customHeight="1" x14ac:dyDescent="0.25">
      <c r="A2428" s="835" t="s">
        <v>11378</v>
      </c>
      <c r="B2428" s="835" t="s">
        <v>10501</v>
      </c>
      <c r="C2428" s="835" t="s">
        <v>10501</v>
      </c>
      <c r="D2428" s="835" t="s">
        <v>11379</v>
      </c>
      <c r="E2428" s="835">
        <v>160</v>
      </c>
      <c r="F2428" s="836">
        <v>54</v>
      </c>
      <c r="G2428" s="202" t="str">
        <f t="shared" si="37"/>
        <v/>
      </c>
    </row>
    <row r="2429" spans="1:7" s="172" customFormat="1" ht="15" customHeight="1" x14ac:dyDescent="0.25">
      <c r="A2429" s="835" t="s">
        <v>11358</v>
      </c>
      <c r="B2429" s="835" t="s">
        <v>10501</v>
      </c>
      <c r="C2429" s="835" t="s">
        <v>10501</v>
      </c>
      <c r="D2429" s="835" t="s">
        <v>11359</v>
      </c>
      <c r="E2429" s="835">
        <v>30</v>
      </c>
      <c r="F2429" s="836">
        <v>0</v>
      </c>
      <c r="G2429" s="202" t="str">
        <f t="shared" si="37"/>
        <v/>
      </c>
    </row>
    <row r="2430" spans="1:7" s="172" customFormat="1" ht="15" customHeight="1" x14ac:dyDescent="0.25">
      <c r="A2430" s="835" t="s">
        <v>11363</v>
      </c>
      <c r="B2430" s="835" t="s">
        <v>10501</v>
      </c>
      <c r="C2430" s="835" t="s">
        <v>10501</v>
      </c>
      <c r="D2430" s="835" t="s">
        <v>11364</v>
      </c>
      <c r="E2430" s="835">
        <v>63</v>
      </c>
      <c r="F2430" s="836">
        <v>33</v>
      </c>
      <c r="G2430" s="202" t="str">
        <f t="shared" si="37"/>
        <v/>
      </c>
    </row>
    <row r="2431" spans="1:7" s="172" customFormat="1" ht="15" customHeight="1" x14ac:dyDescent="0.25">
      <c r="A2431" s="835" t="s">
        <v>10967</v>
      </c>
      <c r="B2431" s="835" t="s">
        <v>10501</v>
      </c>
      <c r="C2431" s="835" t="s">
        <v>10501</v>
      </c>
      <c r="D2431" s="835" t="s">
        <v>11365</v>
      </c>
      <c r="E2431" s="835">
        <v>63</v>
      </c>
      <c r="F2431" s="836">
        <v>7</v>
      </c>
      <c r="G2431" s="202" t="str">
        <f t="shared" si="37"/>
        <v/>
      </c>
    </row>
    <row r="2432" spans="1:7" s="172" customFormat="1" ht="15" customHeight="1" x14ac:dyDescent="0.25">
      <c r="A2432" s="835" t="s">
        <v>10562</v>
      </c>
      <c r="B2432" s="835" t="s">
        <v>10501</v>
      </c>
      <c r="C2432" s="835" t="s">
        <v>10501</v>
      </c>
      <c r="D2432" s="835" t="s">
        <v>11362</v>
      </c>
      <c r="E2432" s="835">
        <v>63</v>
      </c>
      <c r="F2432" s="836">
        <v>8</v>
      </c>
      <c r="G2432" s="202" t="str">
        <f t="shared" si="37"/>
        <v/>
      </c>
    </row>
    <row r="2433" spans="1:7" s="172" customFormat="1" ht="15" customHeight="1" x14ac:dyDescent="0.25">
      <c r="A2433" s="835" t="s">
        <v>11372</v>
      </c>
      <c r="B2433" s="835" t="s">
        <v>10501</v>
      </c>
      <c r="C2433" s="835" t="s">
        <v>10501</v>
      </c>
      <c r="D2433" s="835" t="s">
        <v>11373</v>
      </c>
      <c r="E2433" s="835">
        <v>250</v>
      </c>
      <c r="F2433" s="836">
        <v>104</v>
      </c>
      <c r="G2433" s="202" t="str">
        <f t="shared" si="37"/>
        <v/>
      </c>
    </row>
    <row r="2434" spans="1:7" s="172" customFormat="1" ht="15" customHeight="1" x14ac:dyDescent="0.25">
      <c r="A2434" s="835" t="s">
        <v>11376</v>
      </c>
      <c r="B2434" s="835" t="s">
        <v>10501</v>
      </c>
      <c r="C2434" s="835" t="s">
        <v>10501</v>
      </c>
      <c r="D2434" s="835" t="s">
        <v>11377</v>
      </c>
      <c r="E2434" s="835">
        <v>160</v>
      </c>
      <c r="F2434" s="836">
        <v>52</v>
      </c>
      <c r="G2434" s="202" t="str">
        <f t="shared" si="37"/>
        <v/>
      </c>
    </row>
    <row r="2435" spans="1:7" s="172" customFormat="1" ht="15" customHeight="1" x14ac:dyDescent="0.25">
      <c r="A2435" s="835" t="s">
        <v>11370</v>
      </c>
      <c r="B2435" s="835" t="s">
        <v>10501</v>
      </c>
      <c r="C2435" s="835" t="s">
        <v>10501</v>
      </c>
      <c r="D2435" s="835" t="s">
        <v>11371</v>
      </c>
      <c r="E2435" s="835">
        <v>30</v>
      </c>
      <c r="F2435" s="836">
        <v>1</v>
      </c>
      <c r="G2435" s="202" t="str">
        <f t="shared" si="37"/>
        <v/>
      </c>
    </row>
    <row r="2436" spans="1:7" s="172" customFormat="1" ht="15" customHeight="1" x14ac:dyDescent="0.25">
      <c r="A2436" s="835" t="s">
        <v>11366</v>
      </c>
      <c r="B2436" s="835" t="s">
        <v>10501</v>
      </c>
      <c r="C2436" s="835" t="s">
        <v>10501</v>
      </c>
      <c r="D2436" s="835" t="s">
        <v>11367</v>
      </c>
      <c r="E2436" s="835">
        <v>25</v>
      </c>
      <c r="F2436" s="836">
        <v>0</v>
      </c>
      <c r="G2436" s="202" t="str">
        <f t="shared" si="37"/>
        <v/>
      </c>
    </row>
    <row r="2437" spans="1:7" s="172" customFormat="1" ht="15" customHeight="1" x14ac:dyDescent="0.25">
      <c r="A2437" s="835" t="s">
        <v>11360</v>
      </c>
      <c r="B2437" s="835" t="s">
        <v>10501</v>
      </c>
      <c r="C2437" s="835" t="s">
        <v>10501</v>
      </c>
      <c r="D2437" s="835" t="s">
        <v>11361</v>
      </c>
      <c r="E2437" s="835">
        <v>63</v>
      </c>
      <c r="F2437" s="836">
        <v>8</v>
      </c>
      <c r="G2437" s="202" t="str">
        <f t="shared" si="37"/>
        <v/>
      </c>
    </row>
    <row r="2438" spans="1:7" s="172" customFormat="1" ht="15" customHeight="1" x14ac:dyDescent="0.25">
      <c r="A2438" s="835" t="s">
        <v>10839</v>
      </c>
      <c r="B2438" s="835" t="s">
        <v>10501</v>
      </c>
      <c r="C2438" s="835" t="s">
        <v>10501</v>
      </c>
      <c r="D2438" s="835" t="s">
        <v>11504</v>
      </c>
      <c r="E2438" s="835">
        <v>250</v>
      </c>
      <c r="F2438" s="836">
        <v>143</v>
      </c>
      <c r="G2438" s="202" t="str">
        <f t="shared" si="37"/>
        <v/>
      </c>
    </row>
    <row r="2439" spans="1:7" s="172" customFormat="1" ht="15" customHeight="1" x14ac:dyDescent="0.25">
      <c r="A2439" s="835" t="s">
        <v>10839</v>
      </c>
      <c r="B2439" s="835" t="s">
        <v>10501</v>
      </c>
      <c r="C2439" s="835" t="s">
        <v>10501</v>
      </c>
      <c r="D2439" s="835" t="s">
        <v>11496</v>
      </c>
      <c r="E2439" s="835">
        <v>250</v>
      </c>
      <c r="F2439" s="836">
        <v>149</v>
      </c>
      <c r="G2439" s="202" t="str">
        <f t="shared" ref="G2439:G2502" si="38">IF(E2439=F2439,"не загружен","")</f>
        <v/>
      </c>
    </row>
    <row r="2440" spans="1:7" s="172" customFormat="1" ht="15" customHeight="1" x14ac:dyDescent="0.25">
      <c r="A2440" s="835" t="s">
        <v>10839</v>
      </c>
      <c r="B2440" s="835" t="s">
        <v>10501</v>
      </c>
      <c r="C2440" s="835" t="s">
        <v>10501</v>
      </c>
      <c r="D2440" s="835" t="s">
        <v>11497</v>
      </c>
      <c r="E2440" s="835">
        <v>250</v>
      </c>
      <c r="F2440" s="836">
        <v>129</v>
      </c>
      <c r="G2440" s="202" t="str">
        <f t="shared" si="38"/>
        <v/>
      </c>
    </row>
    <row r="2441" spans="1:7" s="172" customFormat="1" ht="15" customHeight="1" x14ac:dyDescent="0.25">
      <c r="A2441" s="835" t="s">
        <v>10839</v>
      </c>
      <c r="B2441" s="835" t="s">
        <v>10501</v>
      </c>
      <c r="C2441" s="835" t="s">
        <v>10501</v>
      </c>
      <c r="D2441" s="835" t="s">
        <v>11498</v>
      </c>
      <c r="E2441" s="835">
        <v>250</v>
      </c>
      <c r="F2441" s="836">
        <v>164</v>
      </c>
      <c r="G2441" s="202" t="str">
        <f t="shared" si="38"/>
        <v/>
      </c>
    </row>
    <row r="2442" spans="1:7" s="172" customFormat="1" ht="15" customHeight="1" x14ac:dyDescent="0.25">
      <c r="A2442" s="835" t="s">
        <v>11499</v>
      </c>
      <c r="B2442" s="835" t="s">
        <v>10501</v>
      </c>
      <c r="C2442" s="835" t="s">
        <v>10501</v>
      </c>
      <c r="D2442" s="835" t="s">
        <v>11500</v>
      </c>
      <c r="E2442" s="835">
        <v>100</v>
      </c>
      <c r="F2442" s="836">
        <v>46</v>
      </c>
      <c r="G2442" s="202" t="str">
        <f t="shared" si="38"/>
        <v/>
      </c>
    </row>
    <row r="2443" spans="1:7" s="172" customFormat="1" ht="15" customHeight="1" x14ac:dyDescent="0.25">
      <c r="A2443" s="835" t="s">
        <v>11501</v>
      </c>
      <c r="B2443" s="835" t="s">
        <v>10501</v>
      </c>
      <c r="C2443" s="835" t="s">
        <v>10501</v>
      </c>
      <c r="D2443" s="835" t="s">
        <v>11502</v>
      </c>
      <c r="E2443" s="835">
        <v>60</v>
      </c>
      <c r="F2443" s="836">
        <v>19</v>
      </c>
      <c r="G2443" s="202" t="str">
        <f t="shared" si="38"/>
        <v/>
      </c>
    </row>
    <row r="2444" spans="1:7" s="172" customFormat="1" ht="15" customHeight="1" x14ac:dyDescent="0.25">
      <c r="A2444" s="835" t="s">
        <v>11501</v>
      </c>
      <c r="B2444" s="835" t="s">
        <v>10501</v>
      </c>
      <c r="C2444" s="835" t="s">
        <v>10501</v>
      </c>
      <c r="D2444" s="835" t="s">
        <v>11503</v>
      </c>
      <c r="E2444" s="835">
        <v>160</v>
      </c>
      <c r="F2444" s="836">
        <v>55</v>
      </c>
      <c r="G2444" s="202" t="str">
        <f t="shared" si="38"/>
        <v/>
      </c>
    </row>
    <row r="2445" spans="1:7" s="172" customFormat="1" ht="15" customHeight="1" x14ac:dyDescent="0.25">
      <c r="A2445" s="835" t="s">
        <v>11492</v>
      </c>
      <c r="B2445" s="835" t="s">
        <v>10501</v>
      </c>
      <c r="C2445" s="835" t="s">
        <v>10501</v>
      </c>
      <c r="D2445" s="835" t="s">
        <v>11493</v>
      </c>
      <c r="E2445" s="835">
        <v>50</v>
      </c>
      <c r="F2445" s="836">
        <v>16</v>
      </c>
      <c r="G2445" s="202" t="str">
        <f t="shared" si="38"/>
        <v/>
      </c>
    </row>
    <row r="2446" spans="1:7" s="172" customFormat="1" ht="15" customHeight="1" x14ac:dyDescent="0.25">
      <c r="A2446" s="835" t="s">
        <v>11494</v>
      </c>
      <c r="B2446" s="835" t="s">
        <v>10501</v>
      </c>
      <c r="C2446" s="835" t="s">
        <v>10501</v>
      </c>
      <c r="D2446" s="835" t="s">
        <v>11495</v>
      </c>
      <c r="E2446" s="835">
        <v>20</v>
      </c>
      <c r="F2446" s="836">
        <v>0</v>
      </c>
      <c r="G2446" s="202" t="str">
        <f t="shared" si="38"/>
        <v/>
      </c>
    </row>
    <row r="2447" spans="1:7" s="172" customFormat="1" ht="15" customHeight="1" x14ac:dyDescent="0.25">
      <c r="A2447" s="835" t="s">
        <v>11471</v>
      </c>
      <c r="B2447" s="835" t="s">
        <v>10501</v>
      </c>
      <c r="C2447" s="835" t="s">
        <v>10501</v>
      </c>
      <c r="D2447" s="835" t="s">
        <v>11472</v>
      </c>
      <c r="E2447" s="835">
        <v>250</v>
      </c>
      <c r="F2447" s="836">
        <v>96</v>
      </c>
      <c r="G2447" s="202" t="str">
        <f t="shared" si="38"/>
        <v/>
      </c>
    </row>
    <row r="2448" spans="1:7" s="172" customFormat="1" ht="15" customHeight="1" x14ac:dyDescent="0.25">
      <c r="A2448" s="835" t="s">
        <v>11471</v>
      </c>
      <c r="B2448" s="835" t="s">
        <v>10501</v>
      </c>
      <c r="C2448" s="835" t="s">
        <v>10501</v>
      </c>
      <c r="D2448" s="835" t="s">
        <v>11473</v>
      </c>
      <c r="E2448" s="835">
        <v>500</v>
      </c>
      <c r="F2448" s="836">
        <v>300</v>
      </c>
      <c r="G2448" s="202" t="str">
        <f t="shared" si="38"/>
        <v/>
      </c>
    </row>
    <row r="2449" spans="1:7" s="172" customFormat="1" ht="15" customHeight="1" x14ac:dyDescent="0.25">
      <c r="A2449" s="835" t="s">
        <v>11471</v>
      </c>
      <c r="B2449" s="835" t="s">
        <v>10501</v>
      </c>
      <c r="C2449" s="835" t="s">
        <v>10501</v>
      </c>
      <c r="D2449" s="835" t="s">
        <v>11474</v>
      </c>
      <c r="E2449" s="835">
        <v>30</v>
      </c>
      <c r="F2449" s="836">
        <v>0</v>
      </c>
      <c r="G2449" s="202" t="str">
        <f t="shared" si="38"/>
        <v/>
      </c>
    </row>
    <row r="2450" spans="1:7" s="172" customFormat="1" ht="15" customHeight="1" x14ac:dyDescent="0.25">
      <c r="A2450" s="835" t="s">
        <v>11488</v>
      </c>
      <c r="B2450" s="835" t="s">
        <v>10501</v>
      </c>
      <c r="C2450" s="835" t="s">
        <v>10501</v>
      </c>
      <c r="D2450" s="835" t="s">
        <v>11489</v>
      </c>
      <c r="E2450" s="835">
        <v>100</v>
      </c>
      <c r="F2450" s="836">
        <v>41</v>
      </c>
      <c r="G2450" s="202" t="str">
        <f t="shared" si="38"/>
        <v/>
      </c>
    </row>
    <row r="2451" spans="1:7" s="172" customFormat="1" ht="15" customHeight="1" x14ac:dyDescent="0.25">
      <c r="A2451" s="835" t="s">
        <v>11479</v>
      </c>
      <c r="B2451" s="835" t="s">
        <v>10501</v>
      </c>
      <c r="C2451" s="835" t="s">
        <v>10501</v>
      </c>
      <c r="D2451" s="835" t="s">
        <v>11480</v>
      </c>
      <c r="E2451" s="835">
        <v>100</v>
      </c>
      <c r="F2451" s="836">
        <v>27</v>
      </c>
      <c r="G2451" s="202" t="str">
        <f t="shared" si="38"/>
        <v/>
      </c>
    </row>
    <row r="2452" spans="1:7" s="172" customFormat="1" ht="15" customHeight="1" x14ac:dyDescent="0.25">
      <c r="A2452" s="835" t="s">
        <v>11483</v>
      </c>
      <c r="B2452" s="835" t="s">
        <v>10501</v>
      </c>
      <c r="C2452" s="835" t="s">
        <v>10501</v>
      </c>
      <c r="D2452" s="835" t="s">
        <v>11484</v>
      </c>
      <c r="E2452" s="835">
        <v>20</v>
      </c>
      <c r="F2452" s="836">
        <v>0</v>
      </c>
      <c r="G2452" s="202" t="str">
        <f t="shared" si="38"/>
        <v/>
      </c>
    </row>
    <row r="2453" spans="1:7" s="172" customFormat="1" ht="15" customHeight="1" x14ac:dyDescent="0.25">
      <c r="A2453" s="835" t="s">
        <v>11477</v>
      </c>
      <c r="B2453" s="835" t="s">
        <v>10501</v>
      </c>
      <c r="C2453" s="835" t="s">
        <v>10501</v>
      </c>
      <c r="D2453" s="835" t="s">
        <v>11478</v>
      </c>
      <c r="E2453" s="835">
        <v>160</v>
      </c>
      <c r="F2453" s="836">
        <v>71</v>
      </c>
      <c r="G2453" s="202" t="str">
        <f t="shared" si="38"/>
        <v/>
      </c>
    </row>
    <row r="2454" spans="1:7" s="172" customFormat="1" ht="15" customHeight="1" x14ac:dyDescent="0.25">
      <c r="A2454" s="835" t="s">
        <v>11486</v>
      </c>
      <c r="B2454" s="835" t="s">
        <v>10501</v>
      </c>
      <c r="C2454" s="835" t="s">
        <v>10501</v>
      </c>
      <c r="D2454" s="835" t="s">
        <v>11487</v>
      </c>
      <c r="E2454" s="835">
        <v>30</v>
      </c>
      <c r="F2454" s="836">
        <v>3</v>
      </c>
      <c r="G2454" s="202" t="str">
        <f t="shared" si="38"/>
        <v/>
      </c>
    </row>
    <row r="2455" spans="1:7" s="172" customFormat="1" ht="15" customHeight="1" x14ac:dyDescent="0.25">
      <c r="A2455" s="835" t="s">
        <v>13268</v>
      </c>
      <c r="B2455" s="835" t="s">
        <v>10501</v>
      </c>
      <c r="C2455" s="835" t="s">
        <v>10501</v>
      </c>
      <c r="D2455" s="835" t="s">
        <v>11485</v>
      </c>
      <c r="E2455" s="835">
        <v>60</v>
      </c>
      <c r="F2455" s="836">
        <v>29</v>
      </c>
      <c r="G2455" s="202" t="str">
        <f t="shared" si="38"/>
        <v/>
      </c>
    </row>
    <row r="2456" spans="1:7" s="172" customFormat="1" ht="15" customHeight="1" x14ac:dyDescent="0.25">
      <c r="A2456" s="835" t="s">
        <v>11490</v>
      </c>
      <c r="B2456" s="835" t="s">
        <v>10501</v>
      </c>
      <c r="C2456" s="835" t="s">
        <v>10501</v>
      </c>
      <c r="D2456" s="835" t="s">
        <v>11491</v>
      </c>
      <c r="E2456" s="835">
        <v>40</v>
      </c>
      <c r="F2456" s="836">
        <v>14</v>
      </c>
      <c r="G2456" s="202" t="str">
        <f t="shared" si="38"/>
        <v/>
      </c>
    </row>
    <row r="2457" spans="1:7" s="172" customFormat="1" ht="15" customHeight="1" x14ac:dyDescent="0.25">
      <c r="A2457" s="835" t="s">
        <v>11481</v>
      </c>
      <c r="B2457" s="835" t="s">
        <v>10501</v>
      </c>
      <c r="C2457" s="835" t="s">
        <v>10501</v>
      </c>
      <c r="D2457" s="835" t="s">
        <v>11482</v>
      </c>
      <c r="E2457" s="835">
        <v>160</v>
      </c>
      <c r="F2457" s="836">
        <v>66</v>
      </c>
      <c r="G2457" s="202" t="str">
        <f t="shared" si="38"/>
        <v/>
      </c>
    </row>
    <row r="2458" spans="1:7" s="172" customFormat="1" ht="15" customHeight="1" x14ac:dyDescent="0.25">
      <c r="A2458" s="835" t="s">
        <v>11475</v>
      </c>
      <c r="B2458" s="835" t="s">
        <v>10501</v>
      </c>
      <c r="C2458" s="835" t="s">
        <v>10501</v>
      </c>
      <c r="D2458" s="835" t="s">
        <v>11476</v>
      </c>
      <c r="E2458" s="835">
        <v>50</v>
      </c>
      <c r="F2458" s="836">
        <v>10</v>
      </c>
      <c r="G2458" s="202" t="str">
        <f t="shared" si="38"/>
        <v/>
      </c>
    </row>
    <row r="2459" spans="1:7" s="172" customFormat="1" ht="15" customHeight="1" x14ac:dyDescent="0.25">
      <c r="A2459" s="835" t="s">
        <v>11456</v>
      </c>
      <c r="B2459" s="835" t="s">
        <v>10501</v>
      </c>
      <c r="C2459" s="835" t="s">
        <v>10501</v>
      </c>
      <c r="D2459" s="835" t="s">
        <v>11470</v>
      </c>
      <c r="E2459" s="835">
        <v>160</v>
      </c>
      <c r="F2459" s="836">
        <v>75</v>
      </c>
      <c r="G2459" s="202" t="str">
        <f t="shared" si="38"/>
        <v/>
      </c>
    </row>
    <row r="2460" spans="1:7" s="172" customFormat="1" ht="15" customHeight="1" x14ac:dyDescent="0.25">
      <c r="A2460" s="835" t="s">
        <v>10751</v>
      </c>
      <c r="B2460" s="835" t="s">
        <v>10501</v>
      </c>
      <c r="C2460" s="835" t="s">
        <v>10501</v>
      </c>
      <c r="D2460" s="835" t="s">
        <v>11468</v>
      </c>
      <c r="E2460" s="835">
        <v>50</v>
      </c>
      <c r="F2460" s="836">
        <v>14</v>
      </c>
      <c r="G2460" s="202" t="str">
        <f t="shared" si="38"/>
        <v/>
      </c>
    </row>
    <row r="2461" spans="1:7" s="172" customFormat="1" ht="15" customHeight="1" x14ac:dyDescent="0.25">
      <c r="A2461" s="835" t="s">
        <v>11462</v>
      </c>
      <c r="B2461" s="835" t="s">
        <v>10501</v>
      </c>
      <c r="C2461" s="835" t="s">
        <v>10501</v>
      </c>
      <c r="D2461" s="835" t="s">
        <v>11463</v>
      </c>
      <c r="E2461" s="835">
        <v>100</v>
      </c>
      <c r="F2461" s="836">
        <v>40</v>
      </c>
      <c r="G2461" s="202" t="str">
        <f t="shared" si="38"/>
        <v/>
      </c>
    </row>
    <row r="2462" spans="1:7" s="172" customFormat="1" ht="15" customHeight="1" x14ac:dyDescent="0.25">
      <c r="A2462" s="835" t="s">
        <v>11456</v>
      </c>
      <c r="B2462" s="835" t="s">
        <v>10501</v>
      </c>
      <c r="C2462" s="835" t="s">
        <v>10501</v>
      </c>
      <c r="D2462" s="835" t="s">
        <v>11457</v>
      </c>
      <c r="E2462" s="835">
        <v>400</v>
      </c>
      <c r="F2462" s="836">
        <v>231</v>
      </c>
      <c r="G2462" s="202" t="str">
        <f t="shared" si="38"/>
        <v/>
      </c>
    </row>
    <row r="2463" spans="1:7" s="172" customFormat="1" ht="15" customHeight="1" x14ac:dyDescent="0.25">
      <c r="A2463" s="835" t="s">
        <v>11456</v>
      </c>
      <c r="B2463" s="835" t="s">
        <v>10501</v>
      </c>
      <c r="C2463" s="835" t="s">
        <v>10501</v>
      </c>
      <c r="D2463" s="835" t="s">
        <v>11458</v>
      </c>
      <c r="E2463" s="835">
        <v>160</v>
      </c>
      <c r="F2463" s="836">
        <v>75</v>
      </c>
      <c r="G2463" s="202" t="str">
        <f t="shared" si="38"/>
        <v/>
      </c>
    </row>
    <row r="2464" spans="1:7" s="172" customFormat="1" ht="15" customHeight="1" x14ac:dyDescent="0.25">
      <c r="A2464" s="835" t="s">
        <v>13266</v>
      </c>
      <c r="B2464" s="835" t="s">
        <v>10501</v>
      </c>
      <c r="C2464" s="835" t="s">
        <v>10501</v>
      </c>
      <c r="D2464" s="835" t="s">
        <v>11461</v>
      </c>
      <c r="E2464" s="835">
        <v>30</v>
      </c>
      <c r="F2464" s="836">
        <v>12</v>
      </c>
      <c r="G2464" s="202" t="str">
        <f t="shared" si="38"/>
        <v/>
      </c>
    </row>
    <row r="2465" spans="1:7" s="172" customFormat="1" ht="15" customHeight="1" x14ac:dyDescent="0.25">
      <c r="A2465" s="835" t="s">
        <v>13267</v>
      </c>
      <c r="B2465" s="835" t="s">
        <v>10501</v>
      </c>
      <c r="C2465" s="835" t="s">
        <v>10501</v>
      </c>
      <c r="D2465" s="835" t="s">
        <v>11469</v>
      </c>
      <c r="E2465" s="835">
        <v>63</v>
      </c>
      <c r="F2465" s="836">
        <v>14</v>
      </c>
      <c r="G2465" s="202" t="str">
        <f t="shared" si="38"/>
        <v/>
      </c>
    </row>
    <row r="2466" spans="1:7" s="172" customFormat="1" ht="15" customHeight="1" x14ac:dyDescent="0.25">
      <c r="A2466" s="835" t="s">
        <v>11465</v>
      </c>
      <c r="B2466" s="835" t="s">
        <v>10501</v>
      </c>
      <c r="C2466" s="835" t="s">
        <v>10501</v>
      </c>
      <c r="D2466" s="835" t="s">
        <v>11466</v>
      </c>
      <c r="E2466" s="835">
        <v>63</v>
      </c>
      <c r="F2466" s="836">
        <v>18</v>
      </c>
      <c r="G2466" s="202" t="str">
        <f t="shared" si="38"/>
        <v/>
      </c>
    </row>
    <row r="2467" spans="1:7" s="172" customFormat="1" ht="15" customHeight="1" x14ac:dyDescent="0.25">
      <c r="A2467" s="835" t="s">
        <v>11465</v>
      </c>
      <c r="B2467" s="835" t="s">
        <v>10501</v>
      </c>
      <c r="C2467" s="835" t="s">
        <v>10501</v>
      </c>
      <c r="D2467" s="835" t="s">
        <v>11467</v>
      </c>
      <c r="E2467" s="835">
        <v>63</v>
      </c>
      <c r="F2467" s="836">
        <v>28</v>
      </c>
      <c r="G2467" s="202" t="str">
        <f t="shared" si="38"/>
        <v/>
      </c>
    </row>
    <row r="2468" spans="1:7" s="172" customFormat="1" ht="15" customHeight="1" x14ac:dyDescent="0.25">
      <c r="A2468" s="835" t="s">
        <v>10595</v>
      </c>
      <c r="B2468" s="835" t="s">
        <v>10501</v>
      </c>
      <c r="C2468" s="835" t="s">
        <v>10501</v>
      </c>
      <c r="D2468" s="835" t="s">
        <v>11464</v>
      </c>
      <c r="E2468" s="835">
        <v>30</v>
      </c>
      <c r="F2468" s="836">
        <v>8</v>
      </c>
      <c r="G2468" s="202" t="str">
        <f t="shared" si="38"/>
        <v/>
      </c>
    </row>
    <row r="2469" spans="1:7" s="172" customFormat="1" ht="15" customHeight="1" x14ac:dyDescent="0.25">
      <c r="A2469" s="835" t="s">
        <v>11459</v>
      </c>
      <c r="B2469" s="835" t="s">
        <v>10501</v>
      </c>
      <c r="C2469" s="835" t="s">
        <v>10501</v>
      </c>
      <c r="D2469" s="835" t="s">
        <v>11460</v>
      </c>
      <c r="E2469" s="835">
        <v>30</v>
      </c>
      <c r="F2469" s="836">
        <v>4</v>
      </c>
      <c r="G2469" s="202" t="str">
        <f t="shared" si="38"/>
        <v/>
      </c>
    </row>
    <row r="2470" spans="1:7" s="172" customFormat="1" ht="15" customHeight="1" x14ac:dyDescent="0.25">
      <c r="A2470" s="835" t="s">
        <v>11277</v>
      </c>
      <c r="B2470" s="835" t="s">
        <v>10501</v>
      </c>
      <c r="C2470" s="835" t="s">
        <v>10501</v>
      </c>
      <c r="D2470" s="835" t="s">
        <v>19195</v>
      </c>
      <c r="E2470" s="835">
        <v>630</v>
      </c>
      <c r="F2470" s="836">
        <v>363</v>
      </c>
      <c r="G2470" s="202" t="str">
        <f t="shared" si="38"/>
        <v/>
      </c>
    </row>
    <row r="2471" spans="1:7" s="172" customFormat="1" ht="15" customHeight="1" x14ac:dyDescent="0.25">
      <c r="A2471" s="835" t="s">
        <v>11400</v>
      </c>
      <c r="B2471" s="835" t="s">
        <v>10501</v>
      </c>
      <c r="C2471" s="835" t="s">
        <v>10501</v>
      </c>
      <c r="D2471" s="835" t="s">
        <v>11401</v>
      </c>
      <c r="E2471" s="835">
        <v>60</v>
      </c>
      <c r="F2471" s="836">
        <v>18</v>
      </c>
      <c r="G2471" s="202" t="str">
        <f t="shared" si="38"/>
        <v/>
      </c>
    </row>
    <row r="2472" spans="1:7" s="172" customFormat="1" ht="15" customHeight="1" x14ac:dyDescent="0.25">
      <c r="A2472" s="835" t="s">
        <v>11398</v>
      </c>
      <c r="B2472" s="835" t="s">
        <v>10501</v>
      </c>
      <c r="C2472" s="835" t="s">
        <v>10501</v>
      </c>
      <c r="D2472" s="835" t="s">
        <v>11399</v>
      </c>
      <c r="E2472" s="835">
        <v>50</v>
      </c>
      <c r="F2472" s="836">
        <v>14</v>
      </c>
      <c r="G2472" s="202" t="str">
        <f t="shared" si="38"/>
        <v/>
      </c>
    </row>
    <row r="2473" spans="1:7" s="172" customFormat="1" ht="15" customHeight="1" x14ac:dyDescent="0.25">
      <c r="A2473" s="835" t="s">
        <v>11392</v>
      </c>
      <c r="B2473" s="835" t="s">
        <v>10501</v>
      </c>
      <c r="C2473" s="835" t="s">
        <v>10501</v>
      </c>
      <c r="D2473" s="835" t="s">
        <v>11393</v>
      </c>
      <c r="E2473" s="835">
        <v>20</v>
      </c>
      <c r="F2473" s="836">
        <v>0</v>
      </c>
      <c r="G2473" s="202" t="str">
        <f t="shared" si="38"/>
        <v/>
      </c>
    </row>
    <row r="2474" spans="1:7" s="172" customFormat="1" ht="15" customHeight="1" x14ac:dyDescent="0.25">
      <c r="A2474" s="835" t="s">
        <v>11394</v>
      </c>
      <c r="B2474" s="835" t="s">
        <v>10501</v>
      </c>
      <c r="C2474" s="835" t="s">
        <v>10501</v>
      </c>
      <c r="D2474" s="835" t="s">
        <v>11395</v>
      </c>
      <c r="E2474" s="835">
        <v>25</v>
      </c>
      <c r="F2474" s="836">
        <v>0</v>
      </c>
      <c r="G2474" s="202" t="str">
        <f t="shared" si="38"/>
        <v/>
      </c>
    </row>
    <row r="2475" spans="1:7" s="172" customFormat="1" ht="15" customHeight="1" x14ac:dyDescent="0.25">
      <c r="A2475" s="835" t="s">
        <v>11396</v>
      </c>
      <c r="B2475" s="835" t="s">
        <v>10501</v>
      </c>
      <c r="C2475" s="835" t="s">
        <v>10501</v>
      </c>
      <c r="D2475" s="835" t="s">
        <v>11397</v>
      </c>
      <c r="E2475" s="835">
        <v>63</v>
      </c>
      <c r="F2475" s="836">
        <v>3</v>
      </c>
      <c r="G2475" s="202" t="str">
        <f t="shared" si="38"/>
        <v/>
      </c>
    </row>
    <row r="2476" spans="1:7" s="172" customFormat="1" ht="15" customHeight="1" x14ac:dyDescent="0.25">
      <c r="A2476" s="835" t="s">
        <v>11389</v>
      </c>
      <c r="B2476" s="835" t="s">
        <v>10501</v>
      </c>
      <c r="C2476" s="835" t="s">
        <v>10501</v>
      </c>
      <c r="D2476" s="835" t="s">
        <v>11391</v>
      </c>
      <c r="E2476" s="835">
        <v>250</v>
      </c>
      <c r="F2476" s="836">
        <v>78</v>
      </c>
      <c r="G2476" s="202" t="str">
        <f t="shared" si="38"/>
        <v/>
      </c>
    </row>
    <row r="2477" spans="1:7" s="172" customFormat="1" ht="15" customHeight="1" x14ac:dyDescent="0.25">
      <c r="A2477" s="835" t="s">
        <v>11389</v>
      </c>
      <c r="B2477" s="835" t="s">
        <v>10501</v>
      </c>
      <c r="C2477" s="835" t="s">
        <v>10501</v>
      </c>
      <c r="D2477" s="835" t="s">
        <v>11390</v>
      </c>
      <c r="E2477" s="835">
        <v>250</v>
      </c>
      <c r="F2477" s="836">
        <v>134</v>
      </c>
      <c r="G2477" s="202" t="str">
        <f t="shared" si="38"/>
        <v/>
      </c>
    </row>
    <row r="2478" spans="1:7" s="172" customFormat="1" ht="15" customHeight="1" x14ac:dyDescent="0.25">
      <c r="A2478" s="835" t="s">
        <v>11445</v>
      </c>
      <c r="B2478" s="835" t="s">
        <v>10501</v>
      </c>
      <c r="C2478" s="835" t="s">
        <v>10501</v>
      </c>
      <c r="D2478" s="835" t="s">
        <v>11452</v>
      </c>
      <c r="E2478" s="835">
        <v>63</v>
      </c>
      <c r="F2478" s="836">
        <v>16</v>
      </c>
      <c r="G2478" s="202" t="str">
        <f t="shared" si="38"/>
        <v/>
      </c>
    </row>
    <row r="2479" spans="1:7" s="172" customFormat="1" ht="15" customHeight="1" x14ac:dyDescent="0.25">
      <c r="A2479" s="835" t="s">
        <v>11445</v>
      </c>
      <c r="B2479" s="835" t="s">
        <v>10501</v>
      </c>
      <c r="C2479" s="835" t="s">
        <v>10501</v>
      </c>
      <c r="D2479" s="835" t="s">
        <v>11453</v>
      </c>
      <c r="E2479" s="835">
        <v>100</v>
      </c>
      <c r="F2479" s="836">
        <v>30</v>
      </c>
      <c r="G2479" s="202" t="str">
        <f t="shared" si="38"/>
        <v/>
      </c>
    </row>
    <row r="2480" spans="1:7" s="172" customFormat="1" ht="15" customHeight="1" x14ac:dyDescent="0.25">
      <c r="A2480" s="835" t="s">
        <v>11454</v>
      </c>
      <c r="B2480" s="835" t="s">
        <v>10501</v>
      </c>
      <c r="C2480" s="835" t="s">
        <v>10501</v>
      </c>
      <c r="D2480" s="835" t="s">
        <v>11455</v>
      </c>
      <c r="E2480" s="835">
        <v>100</v>
      </c>
      <c r="F2480" s="836">
        <v>34</v>
      </c>
      <c r="G2480" s="202" t="str">
        <f t="shared" si="38"/>
        <v/>
      </c>
    </row>
    <row r="2481" spans="1:7" s="172" customFormat="1" ht="15" customHeight="1" x14ac:dyDescent="0.25">
      <c r="A2481" s="835" t="s">
        <v>11445</v>
      </c>
      <c r="B2481" s="835" t="s">
        <v>10501</v>
      </c>
      <c r="C2481" s="835" t="s">
        <v>10501</v>
      </c>
      <c r="D2481" s="835" t="s">
        <v>11450</v>
      </c>
      <c r="E2481" s="835">
        <v>320</v>
      </c>
      <c r="F2481" s="836">
        <v>175</v>
      </c>
      <c r="G2481" s="202" t="str">
        <f t="shared" si="38"/>
        <v/>
      </c>
    </row>
    <row r="2482" spans="1:7" s="172" customFormat="1" ht="15" customHeight="1" x14ac:dyDescent="0.25">
      <c r="A2482" s="835" t="s">
        <v>11445</v>
      </c>
      <c r="B2482" s="835" t="s">
        <v>10501</v>
      </c>
      <c r="C2482" s="835" t="s">
        <v>10501</v>
      </c>
      <c r="D2482" s="835" t="s">
        <v>11451</v>
      </c>
      <c r="E2482" s="835">
        <v>260</v>
      </c>
      <c r="F2482" s="836">
        <v>118</v>
      </c>
      <c r="G2482" s="202" t="str">
        <f t="shared" si="38"/>
        <v/>
      </c>
    </row>
    <row r="2483" spans="1:7" s="172" customFormat="1" ht="15" customHeight="1" x14ac:dyDescent="0.25">
      <c r="A2483" s="835" t="s">
        <v>11445</v>
      </c>
      <c r="B2483" s="835" t="s">
        <v>10501</v>
      </c>
      <c r="C2483" s="835" t="s">
        <v>10501</v>
      </c>
      <c r="D2483" s="835" t="s">
        <v>11446</v>
      </c>
      <c r="E2483" s="835">
        <v>400</v>
      </c>
      <c r="F2483" s="836">
        <v>210</v>
      </c>
      <c r="G2483" s="202" t="str">
        <f t="shared" si="38"/>
        <v/>
      </c>
    </row>
    <row r="2484" spans="1:7" s="172" customFormat="1" ht="15" customHeight="1" x14ac:dyDescent="0.25">
      <c r="A2484" s="835" t="s">
        <v>11445</v>
      </c>
      <c r="B2484" s="835" t="s">
        <v>10501</v>
      </c>
      <c r="C2484" s="835" t="s">
        <v>10501</v>
      </c>
      <c r="D2484" s="835" t="s">
        <v>11449</v>
      </c>
      <c r="E2484" s="835">
        <v>100</v>
      </c>
      <c r="F2484" s="836">
        <v>33</v>
      </c>
      <c r="G2484" s="202" t="str">
        <f t="shared" si="38"/>
        <v/>
      </c>
    </row>
    <row r="2485" spans="1:7" s="172" customFormat="1" ht="15" customHeight="1" x14ac:dyDescent="0.25">
      <c r="A2485" s="835" t="s">
        <v>11447</v>
      </c>
      <c r="B2485" s="835" t="s">
        <v>10501</v>
      </c>
      <c r="C2485" s="835" t="s">
        <v>10501</v>
      </c>
      <c r="D2485" s="835" t="s">
        <v>11448</v>
      </c>
      <c r="E2485" s="835">
        <v>63</v>
      </c>
      <c r="F2485" s="836">
        <v>22</v>
      </c>
      <c r="G2485" s="202" t="str">
        <f t="shared" si="38"/>
        <v/>
      </c>
    </row>
    <row r="2486" spans="1:7" s="172" customFormat="1" ht="15" customHeight="1" x14ac:dyDescent="0.25">
      <c r="A2486" s="835" t="s">
        <v>11069</v>
      </c>
      <c r="B2486" s="835" t="s">
        <v>10501</v>
      </c>
      <c r="C2486" s="835" t="s">
        <v>10501</v>
      </c>
      <c r="D2486" s="835" t="s">
        <v>11070</v>
      </c>
      <c r="E2486" s="835">
        <v>100</v>
      </c>
      <c r="F2486" s="836">
        <v>11</v>
      </c>
      <c r="G2486" s="202" t="str">
        <f t="shared" si="38"/>
        <v/>
      </c>
    </row>
    <row r="2487" spans="1:7" s="172" customFormat="1" ht="15" customHeight="1" x14ac:dyDescent="0.25">
      <c r="A2487" s="835" t="s">
        <v>11069</v>
      </c>
      <c r="B2487" s="835" t="s">
        <v>10501</v>
      </c>
      <c r="C2487" s="835" t="s">
        <v>10501</v>
      </c>
      <c r="D2487" s="835" t="s">
        <v>11071</v>
      </c>
      <c r="E2487" s="835">
        <v>100</v>
      </c>
      <c r="F2487" s="836">
        <v>20</v>
      </c>
      <c r="G2487" s="202" t="str">
        <f t="shared" si="38"/>
        <v/>
      </c>
    </row>
    <row r="2488" spans="1:7" s="172" customFormat="1" ht="15" customHeight="1" x14ac:dyDescent="0.25">
      <c r="A2488" s="835" t="s">
        <v>11065</v>
      </c>
      <c r="B2488" s="835" t="s">
        <v>10501</v>
      </c>
      <c r="C2488" s="835" t="s">
        <v>10501</v>
      </c>
      <c r="D2488" s="835" t="s">
        <v>11066</v>
      </c>
      <c r="E2488" s="835">
        <v>160</v>
      </c>
      <c r="F2488" s="836">
        <v>16</v>
      </c>
      <c r="G2488" s="202" t="str">
        <f t="shared" si="38"/>
        <v/>
      </c>
    </row>
    <row r="2489" spans="1:7" s="172" customFormat="1" ht="15" customHeight="1" x14ac:dyDescent="0.25">
      <c r="A2489" s="835" t="s">
        <v>11072</v>
      </c>
      <c r="B2489" s="835" t="s">
        <v>10501</v>
      </c>
      <c r="C2489" s="835" t="s">
        <v>10501</v>
      </c>
      <c r="D2489" s="835" t="s">
        <v>11073</v>
      </c>
      <c r="E2489" s="835">
        <v>100</v>
      </c>
      <c r="F2489" s="836">
        <v>24</v>
      </c>
      <c r="G2489" s="202" t="str">
        <f t="shared" si="38"/>
        <v/>
      </c>
    </row>
    <row r="2490" spans="1:7" s="172" customFormat="1" ht="15" customHeight="1" x14ac:dyDescent="0.25">
      <c r="A2490" s="835" t="s">
        <v>11063</v>
      </c>
      <c r="B2490" s="835" t="s">
        <v>10501</v>
      </c>
      <c r="C2490" s="835" t="s">
        <v>10501</v>
      </c>
      <c r="D2490" s="835" t="s">
        <v>11064</v>
      </c>
      <c r="E2490" s="835">
        <v>100</v>
      </c>
      <c r="F2490" s="836">
        <v>0</v>
      </c>
      <c r="G2490" s="202" t="str">
        <f t="shared" si="38"/>
        <v/>
      </c>
    </row>
    <row r="2491" spans="1:7" s="172" customFormat="1" ht="15" customHeight="1" x14ac:dyDescent="0.25">
      <c r="A2491" s="835" t="s">
        <v>10548</v>
      </c>
      <c r="B2491" s="835" t="s">
        <v>10501</v>
      </c>
      <c r="C2491" s="835" t="s">
        <v>10501</v>
      </c>
      <c r="D2491" s="835" t="s">
        <v>11067</v>
      </c>
      <c r="E2491" s="835">
        <v>63</v>
      </c>
      <c r="F2491" s="836">
        <v>10</v>
      </c>
      <c r="G2491" s="202" t="str">
        <f t="shared" si="38"/>
        <v/>
      </c>
    </row>
    <row r="2492" spans="1:7" s="172" customFormat="1" ht="15" customHeight="1" x14ac:dyDescent="0.25">
      <c r="A2492" s="835" t="s">
        <v>10548</v>
      </c>
      <c r="B2492" s="835" t="s">
        <v>10501</v>
      </c>
      <c r="C2492" s="835" t="s">
        <v>10501</v>
      </c>
      <c r="D2492" s="835" t="s">
        <v>11068</v>
      </c>
      <c r="E2492" s="835">
        <v>315</v>
      </c>
      <c r="F2492" s="836">
        <v>94</v>
      </c>
      <c r="G2492" s="202" t="str">
        <f t="shared" si="38"/>
        <v/>
      </c>
    </row>
    <row r="2493" spans="1:7" s="172" customFormat="1" ht="15" customHeight="1" x14ac:dyDescent="0.25">
      <c r="A2493" s="835" t="s">
        <v>13235</v>
      </c>
      <c r="B2493" s="835" t="s">
        <v>10501</v>
      </c>
      <c r="C2493" s="835" t="s">
        <v>10501</v>
      </c>
      <c r="D2493" s="835" t="s">
        <v>10869</v>
      </c>
      <c r="E2493" s="835">
        <v>160</v>
      </c>
      <c r="F2493" s="836">
        <v>34</v>
      </c>
      <c r="G2493" s="202" t="str">
        <f t="shared" si="38"/>
        <v/>
      </c>
    </row>
    <row r="2494" spans="1:7" s="172" customFormat="1" ht="15" customHeight="1" x14ac:dyDescent="0.25">
      <c r="A2494" s="835" t="s">
        <v>13233</v>
      </c>
      <c r="B2494" s="835" t="s">
        <v>10501</v>
      </c>
      <c r="C2494" s="835" t="s">
        <v>10501</v>
      </c>
      <c r="D2494" s="835" t="s">
        <v>10870</v>
      </c>
      <c r="E2494" s="835">
        <v>63</v>
      </c>
      <c r="F2494" s="836">
        <v>0</v>
      </c>
      <c r="G2494" s="202" t="str">
        <f t="shared" si="38"/>
        <v/>
      </c>
    </row>
    <row r="2495" spans="1:7" s="172" customFormat="1" ht="15" customHeight="1" x14ac:dyDescent="0.25">
      <c r="A2495" s="835" t="s">
        <v>13234</v>
      </c>
      <c r="B2495" s="835" t="s">
        <v>10501</v>
      </c>
      <c r="C2495" s="835" t="s">
        <v>10501</v>
      </c>
      <c r="D2495" s="835" t="s">
        <v>10868</v>
      </c>
      <c r="E2495" s="835">
        <v>100</v>
      </c>
      <c r="F2495" s="836">
        <v>0</v>
      </c>
      <c r="G2495" s="202" t="str">
        <f t="shared" si="38"/>
        <v/>
      </c>
    </row>
    <row r="2496" spans="1:7" s="172" customFormat="1" ht="15" customHeight="1" x14ac:dyDescent="0.25">
      <c r="A2496" s="835" t="s">
        <v>13233</v>
      </c>
      <c r="B2496" s="835" t="s">
        <v>10501</v>
      </c>
      <c r="C2496" s="835" t="s">
        <v>10501</v>
      </c>
      <c r="D2496" s="835" t="s">
        <v>10867</v>
      </c>
      <c r="E2496" s="835">
        <v>180</v>
      </c>
      <c r="F2496" s="836">
        <v>0</v>
      </c>
      <c r="G2496" s="202" t="str">
        <f t="shared" si="38"/>
        <v/>
      </c>
    </row>
    <row r="2497" spans="1:7" s="172" customFormat="1" ht="15" customHeight="1" x14ac:dyDescent="0.25">
      <c r="A2497" s="835" t="s">
        <v>10865</v>
      </c>
      <c r="B2497" s="835" t="s">
        <v>10501</v>
      </c>
      <c r="C2497" s="835" t="s">
        <v>10501</v>
      </c>
      <c r="D2497" s="835" t="s">
        <v>10866</v>
      </c>
      <c r="E2497" s="835">
        <v>160</v>
      </c>
      <c r="F2497" s="836">
        <v>49</v>
      </c>
      <c r="G2497" s="202" t="str">
        <f t="shared" si="38"/>
        <v/>
      </c>
    </row>
    <row r="2498" spans="1:7" s="172" customFormat="1" ht="15" customHeight="1" x14ac:dyDescent="0.25">
      <c r="A2498" s="835" t="s">
        <v>11356</v>
      </c>
      <c r="B2498" s="835" t="s">
        <v>10501</v>
      </c>
      <c r="C2498" s="835" t="s">
        <v>10501</v>
      </c>
      <c r="D2498" s="835" t="s">
        <v>19845</v>
      </c>
      <c r="E2498" s="835">
        <v>160</v>
      </c>
      <c r="F2498" s="836">
        <v>114</v>
      </c>
      <c r="G2498" s="202" t="str">
        <f t="shared" si="38"/>
        <v/>
      </c>
    </row>
    <row r="2499" spans="1:7" s="172" customFormat="1" ht="15" customHeight="1" x14ac:dyDescent="0.25">
      <c r="A2499" s="835" t="s">
        <v>10863</v>
      </c>
      <c r="B2499" s="835" t="s">
        <v>10501</v>
      </c>
      <c r="C2499" s="835" t="s">
        <v>10501</v>
      </c>
      <c r="D2499" s="835" t="s">
        <v>10864</v>
      </c>
      <c r="E2499" s="835">
        <v>60</v>
      </c>
      <c r="F2499" s="836">
        <v>1</v>
      </c>
      <c r="G2499" s="202" t="str">
        <f t="shared" si="38"/>
        <v/>
      </c>
    </row>
    <row r="2500" spans="1:7" s="172" customFormat="1" ht="15" customHeight="1" x14ac:dyDescent="0.25">
      <c r="A2500" s="835" t="s">
        <v>10580</v>
      </c>
      <c r="B2500" s="835" t="s">
        <v>10501</v>
      </c>
      <c r="C2500" s="835" t="s">
        <v>10501</v>
      </c>
      <c r="D2500" s="835" t="s">
        <v>10581</v>
      </c>
      <c r="E2500" s="835">
        <v>100</v>
      </c>
      <c r="F2500" s="836">
        <v>3</v>
      </c>
      <c r="G2500" s="202" t="str">
        <f t="shared" si="38"/>
        <v/>
      </c>
    </row>
    <row r="2501" spans="1:7" s="172" customFormat="1" ht="15" customHeight="1" x14ac:dyDescent="0.25">
      <c r="A2501" s="835" t="s">
        <v>10580</v>
      </c>
      <c r="B2501" s="835" t="s">
        <v>10501</v>
      </c>
      <c r="C2501" s="835" t="s">
        <v>10501</v>
      </c>
      <c r="D2501" s="835" t="s">
        <v>10582</v>
      </c>
      <c r="E2501" s="835">
        <v>100</v>
      </c>
      <c r="F2501" s="836">
        <v>0</v>
      </c>
      <c r="G2501" s="202" t="str">
        <f t="shared" si="38"/>
        <v/>
      </c>
    </row>
    <row r="2502" spans="1:7" s="172" customFormat="1" ht="15" customHeight="1" x14ac:dyDescent="0.25">
      <c r="A2502" s="835" t="s">
        <v>10580</v>
      </c>
      <c r="B2502" s="835" t="s">
        <v>10501</v>
      </c>
      <c r="C2502" s="835" t="s">
        <v>10501</v>
      </c>
      <c r="D2502" s="835" t="s">
        <v>10583</v>
      </c>
      <c r="E2502" s="835">
        <v>400</v>
      </c>
      <c r="F2502" s="836">
        <v>124</v>
      </c>
      <c r="G2502" s="202" t="str">
        <f t="shared" si="38"/>
        <v/>
      </c>
    </row>
    <row r="2503" spans="1:7" s="172" customFormat="1" ht="15" customHeight="1" x14ac:dyDescent="0.25">
      <c r="A2503" s="835" t="s">
        <v>10580</v>
      </c>
      <c r="B2503" s="835" t="s">
        <v>10501</v>
      </c>
      <c r="C2503" s="835" t="s">
        <v>10501</v>
      </c>
      <c r="D2503" s="835" t="s">
        <v>10584</v>
      </c>
      <c r="E2503" s="835">
        <v>160</v>
      </c>
      <c r="F2503" s="836">
        <v>24</v>
      </c>
      <c r="G2503" s="202" t="str">
        <f t="shared" ref="G2503:G2566" si="39">IF(E2503=F2503,"не загружен","")</f>
        <v/>
      </c>
    </row>
    <row r="2504" spans="1:7" s="172" customFormat="1" ht="15" customHeight="1" x14ac:dyDescent="0.25">
      <c r="A2504" s="835" t="s">
        <v>10580</v>
      </c>
      <c r="B2504" s="835" t="s">
        <v>10501</v>
      </c>
      <c r="C2504" s="835" t="s">
        <v>10501</v>
      </c>
      <c r="D2504" s="835" t="s">
        <v>10585</v>
      </c>
      <c r="E2504" s="835">
        <v>50</v>
      </c>
      <c r="F2504" s="836">
        <v>0</v>
      </c>
      <c r="G2504" s="202" t="str">
        <f t="shared" si="39"/>
        <v/>
      </c>
    </row>
    <row r="2505" spans="1:7" s="172" customFormat="1" ht="15" customHeight="1" x14ac:dyDescent="0.25">
      <c r="A2505" s="835" t="s">
        <v>10576</v>
      </c>
      <c r="B2505" s="835" t="s">
        <v>10501</v>
      </c>
      <c r="C2505" s="835" t="s">
        <v>10501</v>
      </c>
      <c r="D2505" s="835" t="s">
        <v>10577</v>
      </c>
      <c r="E2505" s="835">
        <v>100</v>
      </c>
      <c r="F2505" s="836">
        <v>2</v>
      </c>
      <c r="G2505" s="202" t="str">
        <f t="shared" si="39"/>
        <v/>
      </c>
    </row>
    <row r="2506" spans="1:7" s="172" customFormat="1" ht="15" customHeight="1" x14ac:dyDescent="0.25">
      <c r="A2506" s="835" t="s">
        <v>10576</v>
      </c>
      <c r="B2506" s="835" t="s">
        <v>10501</v>
      </c>
      <c r="C2506" s="835" t="s">
        <v>10501</v>
      </c>
      <c r="D2506" s="835" t="s">
        <v>10586</v>
      </c>
      <c r="E2506" s="835">
        <v>400</v>
      </c>
      <c r="F2506" s="836">
        <v>85</v>
      </c>
      <c r="G2506" s="202" t="str">
        <f t="shared" si="39"/>
        <v/>
      </c>
    </row>
    <row r="2507" spans="1:7" s="172" customFormat="1" ht="15" customHeight="1" x14ac:dyDescent="0.25">
      <c r="A2507" s="835" t="s">
        <v>10576</v>
      </c>
      <c r="B2507" s="835" t="s">
        <v>10501</v>
      </c>
      <c r="C2507" s="835" t="s">
        <v>10501</v>
      </c>
      <c r="D2507" s="835" t="s">
        <v>10588</v>
      </c>
      <c r="E2507" s="835">
        <v>100</v>
      </c>
      <c r="F2507" s="836">
        <v>23</v>
      </c>
      <c r="G2507" s="202" t="str">
        <f t="shared" si="39"/>
        <v/>
      </c>
    </row>
    <row r="2508" spans="1:7" s="172" customFormat="1" ht="15" customHeight="1" x14ac:dyDescent="0.25">
      <c r="A2508" s="835" t="s">
        <v>10574</v>
      </c>
      <c r="B2508" s="835" t="s">
        <v>10501</v>
      </c>
      <c r="C2508" s="835" t="s">
        <v>10501</v>
      </c>
      <c r="D2508" s="835" t="s">
        <v>10575</v>
      </c>
      <c r="E2508" s="835">
        <v>160</v>
      </c>
      <c r="F2508" s="836">
        <v>43</v>
      </c>
      <c r="G2508" s="202" t="str">
        <f t="shared" si="39"/>
        <v/>
      </c>
    </row>
    <row r="2509" spans="1:7" s="172" customFormat="1" ht="15" customHeight="1" x14ac:dyDescent="0.25">
      <c r="A2509" s="835" t="s">
        <v>10572</v>
      </c>
      <c r="B2509" s="835" t="s">
        <v>10501</v>
      </c>
      <c r="C2509" s="835" t="s">
        <v>10501</v>
      </c>
      <c r="D2509" s="835" t="s">
        <v>10573</v>
      </c>
      <c r="E2509" s="835">
        <v>160</v>
      </c>
      <c r="F2509" s="836">
        <v>10</v>
      </c>
      <c r="G2509" s="202" t="str">
        <f t="shared" si="39"/>
        <v/>
      </c>
    </row>
    <row r="2510" spans="1:7" s="172" customFormat="1" ht="15" customHeight="1" x14ac:dyDescent="0.25">
      <c r="A2510" s="835" t="s">
        <v>10572</v>
      </c>
      <c r="B2510" s="835" t="s">
        <v>10501</v>
      </c>
      <c r="C2510" s="835" t="s">
        <v>10501</v>
      </c>
      <c r="D2510" s="835" t="s">
        <v>10587</v>
      </c>
      <c r="E2510" s="835">
        <v>63</v>
      </c>
      <c r="F2510" s="836">
        <v>37</v>
      </c>
      <c r="G2510" s="202" t="str">
        <f t="shared" si="39"/>
        <v/>
      </c>
    </row>
    <row r="2511" spans="1:7" s="172" customFormat="1" ht="15" customHeight="1" x14ac:dyDescent="0.25">
      <c r="A2511" s="835" t="s">
        <v>10578</v>
      </c>
      <c r="B2511" s="835" t="s">
        <v>10501</v>
      </c>
      <c r="C2511" s="835" t="s">
        <v>10501</v>
      </c>
      <c r="D2511" s="835" t="s">
        <v>10579</v>
      </c>
      <c r="E2511" s="835">
        <v>100</v>
      </c>
      <c r="F2511" s="836">
        <v>0</v>
      </c>
      <c r="G2511" s="202" t="str">
        <f t="shared" si="39"/>
        <v/>
      </c>
    </row>
    <row r="2512" spans="1:7" s="172" customFormat="1" ht="15" customHeight="1" x14ac:dyDescent="0.25">
      <c r="A2512" s="835" t="s">
        <v>10589</v>
      </c>
      <c r="B2512" s="835" t="s">
        <v>10501</v>
      </c>
      <c r="C2512" s="835" t="s">
        <v>10501</v>
      </c>
      <c r="D2512" s="835" t="s">
        <v>10590</v>
      </c>
      <c r="E2512" s="835">
        <v>60</v>
      </c>
      <c r="F2512" s="836">
        <v>9</v>
      </c>
      <c r="G2512" s="202" t="str">
        <f t="shared" si="39"/>
        <v/>
      </c>
    </row>
    <row r="2513" spans="1:7" s="172" customFormat="1" ht="15" customHeight="1" x14ac:dyDescent="0.25">
      <c r="A2513" s="835" t="s">
        <v>10576</v>
      </c>
      <c r="B2513" s="835" t="s">
        <v>10501</v>
      </c>
      <c r="C2513" s="835" t="s">
        <v>10501</v>
      </c>
      <c r="D2513" s="835" t="s">
        <v>19846</v>
      </c>
      <c r="E2513" s="835">
        <v>400</v>
      </c>
      <c r="F2513" s="836">
        <v>275</v>
      </c>
      <c r="G2513" s="202" t="str">
        <f t="shared" si="39"/>
        <v/>
      </c>
    </row>
    <row r="2514" spans="1:7" s="172" customFormat="1" ht="15" customHeight="1" x14ac:dyDescent="0.25">
      <c r="A2514" s="835" t="s">
        <v>13217</v>
      </c>
      <c r="B2514" s="835" t="s">
        <v>10501</v>
      </c>
      <c r="C2514" s="835" t="s">
        <v>10501</v>
      </c>
      <c r="D2514" s="835" t="s">
        <v>10591</v>
      </c>
      <c r="E2514" s="835">
        <v>100</v>
      </c>
      <c r="F2514" s="836">
        <v>18</v>
      </c>
      <c r="G2514" s="202" t="str">
        <f t="shared" si="39"/>
        <v/>
      </c>
    </row>
    <row r="2515" spans="1:7" s="172" customFormat="1" ht="15" customHeight="1" x14ac:dyDescent="0.25">
      <c r="A2515" s="835" t="s">
        <v>13217</v>
      </c>
      <c r="B2515" s="835" t="s">
        <v>10501</v>
      </c>
      <c r="C2515" s="835" t="s">
        <v>10501</v>
      </c>
      <c r="D2515" s="835" t="s">
        <v>10592</v>
      </c>
      <c r="E2515" s="835">
        <v>100</v>
      </c>
      <c r="F2515" s="836">
        <v>16</v>
      </c>
      <c r="G2515" s="202" t="str">
        <f t="shared" si="39"/>
        <v/>
      </c>
    </row>
    <row r="2516" spans="1:7" s="172" customFormat="1" ht="15" customHeight="1" x14ac:dyDescent="0.25">
      <c r="A2516" s="835" t="s">
        <v>10625</v>
      </c>
      <c r="B2516" s="835" t="s">
        <v>10501</v>
      </c>
      <c r="C2516" s="835" t="s">
        <v>10501</v>
      </c>
      <c r="D2516" s="835" t="s">
        <v>10626</v>
      </c>
      <c r="E2516" s="835">
        <v>63</v>
      </c>
      <c r="F2516" s="836">
        <v>26</v>
      </c>
      <c r="G2516" s="202" t="str">
        <f t="shared" si="39"/>
        <v/>
      </c>
    </row>
    <row r="2517" spans="1:7" s="172" customFormat="1" ht="15" customHeight="1" x14ac:dyDescent="0.25">
      <c r="A2517" s="835" t="s">
        <v>10623</v>
      </c>
      <c r="B2517" s="835" t="s">
        <v>10501</v>
      </c>
      <c r="C2517" s="835" t="s">
        <v>10501</v>
      </c>
      <c r="D2517" s="835" t="s">
        <v>10624</v>
      </c>
      <c r="E2517" s="835">
        <v>100</v>
      </c>
      <c r="F2517" s="836">
        <v>53</v>
      </c>
      <c r="G2517" s="202" t="str">
        <f t="shared" si="39"/>
        <v/>
      </c>
    </row>
    <row r="2518" spans="1:7" s="172" customFormat="1" ht="15" customHeight="1" x14ac:dyDescent="0.25">
      <c r="A2518" s="835" t="s">
        <v>4593</v>
      </c>
      <c r="B2518" s="835" t="s">
        <v>10501</v>
      </c>
      <c r="C2518" s="835" t="s">
        <v>10501</v>
      </c>
      <c r="D2518" s="835" t="s">
        <v>10622</v>
      </c>
      <c r="E2518" s="835">
        <v>30</v>
      </c>
      <c r="F2518" s="836">
        <v>0</v>
      </c>
      <c r="G2518" s="202" t="str">
        <f t="shared" si="39"/>
        <v/>
      </c>
    </row>
    <row r="2519" spans="1:7" s="172" customFormat="1" ht="15" customHeight="1" x14ac:dyDescent="0.25">
      <c r="A2519" s="835" t="s">
        <v>10618</v>
      </c>
      <c r="B2519" s="835" t="s">
        <v>10501</v>
      </c>
      <c r="C2519" s="835" t="s">
        <v>10501</v>
      </c>
      <c r="D2519" s="835" t="s">
        <v>10619</v>
      </c>
      <c r="E2519" s="835">
        <v>160</v>
      </c>
      <c r="F2519" s="836">
        <v>75</v>
      </c>
      <c r="G2519" s="202" t="str">
        <f t="shared" si="39"/>
        <v/>
      </c>
    </row>
    <row r="2520" spans="1:7" s="172" customFormat="1" ht="15" customHeight="1" x14ac:dyDescent="0.25">
      <c r="A2520" s="835" t="s">
        <v>10620</v>
      </c>
      <c r="B2520" s="835" t="s">
        <v>10501</v>
      </c>
      <c r="C2520" s="835" t="s">
        <v>10501</v>
      </c>
      <c r="D2520" s="835" t="s">
        <v>10621</v>
      </c>
      <c r="E2520" s="835">
        <v>50</v>
      </c>
      <c r="F2520" s="836">
        <v>1</v>
      </c>
      <c r="G2520" s="202" t="str">
        <f t="shared" si="39"/>
        <v/>
      </c>
    </row>
    <row r="2521" spans="1:7" s="172" customFormat="1" ht="15" customHeight="1" x14ac:dyDescent="0.25">
      <c r="A2521" s="835" t="s">
        <v>10683</v>
      </c>
      <c r="B2521" s="835" t="s">
        <v>10501</v>
      </c>
      <c r="C2521" s="835" t="s">
        <v>10501</v>
      </c>
      <c r="D2521" s="835" t="s">
        <v>10684</v>
      </c>
      <c r="E2521" s="835">
        <v>50</v>
      </c>
      <c r="F2521" s="836">
        <v>14</v>
      </c>
      <c r="G2521" s="202" t="str">
        <f t="shared" si="39"/>
        <v/>
      </c>
    </row>
    <row r="2522" spans="1:7" s="172" customFormat="1" ht="15" customHeight="1" x14ac:dyDescent="0.25">
      <c r="A2522" s="835" t="s">
        <v>10689</v>
      </c>
      <c r="B2522" s="835" t="s">
        <v>10501</v>
      </c>
      <c r="C2522" s="835" t="s">
        <v>10501</v>
      </c>
      <c r="D2522" s="835" t="s">
        <v>10690</v>
      </c>
      <c r="E2522" s="835">
        <v>60</v>
      </c>
      <c r="F2522" s="836">
        <v>17</v>
      </c>
      <c r="G2522" s="202" t="str">
        <f t="shared" si="39"/>
        <v/>
      </c>
    </row>
    <row r="2523" spans="1:7" s="172" customFormat="1" ht="15" customHeight="1" x14ac:dyDescent="0.25">
      <c r="A2523" s="835" t="s">
        <v>10669</v>
      </c>
      <c r="B2523" s="835" t="s">
        <v>10501</v>
      </c>
      <c r="C2523" s="835" t="s">
        <v>10501</v>
      </c>
      <c r="D2523" s="835" t="s">
        <v>10670</v>
      </c>
      <c r="E2523" s="835">
        <v>30</v>
      </c>
      <c r="F2523" s="836">
        <v>3</v>
      </c>
      <c r="G2523" s="202" t="str">
        <f t="shared" si="39"/>
        <v/>
      </c>
    </row>
    <row r="2524" spans="1:7" s="172" customFormat="1" ht="15" customHeight="1" x14ac:dyDescent="0.25">
      <c r="A2524" s="835" t="s">
        <v>10651</v>
      </c>
      <c r="B2524" s="835" t="s">
        <v>10501</v>
      </c>
      <c r="C2524" s="835" t="s">
        <v>10501</v>
      </c>
      <c r="D2524" s="835" t="s">
        <v>10652</v>
      </c>
      <c r="E2524" s="835">
        <v>30</v>
      </c>
      <c r="F2524" s="836">
        <v>2</v>
      </c>
      <c r="G2524" s="202" t="str">
        <f t="shared" si="39"/>
        <v/>
      </c>
    </row>
    <row r="2525" spans="1:7" s="172" customFormat="1" ht="15" customHeight="1" x14ac:dyDescent="0.25">
      <c r="A2525" s="835" t="s">
        <v>4387</v>
      </c>
      <c r="B2525" s="835" t="s">
        <v>10501</v>
      </c>
      <c r="C2525" s="835" t="s">
        <v>10501</v>
      </c>
      <c r="D2525" s="835" t="s">
        <v>10659</v>
      </c>
      <c r="E2525" s="835">
        <v>250</v>
      </c>
      <c r="F2525" s="836">
        <v>91</v>
      </c>
      <c r="G2525" s="202" t="str">
        <f t="shared" si="39"/>
        <v/>
      </c>
    </row>
    <row r="2526" spans="1:7" s="172" customFormat="1" ht="15" customHeight="1" x14ac:dyDescent="0.25">
      <c r="A2526" s="835" t="s">
        <v>10653</v>
      </c>
      <c r="B2526" s="835" t="s">
        <v>10501</v>
      </c>
      <c r="C2526" s="835" t="s">
        <v>10501</v>
      </c>
      <c r="D2526" s="835" t="s">
        <v>10654</v>
      </c>
      <c r="E2526" s="835">
        <v>20</v>
      </c>
      <c r="F2526" s="836">
        <v>1</v>
      </c>
      <c r="G2526" s="202" t="str">
        <f t="shared" si="39"/>
        <v/>
      </c>
    </row>
    <row r="2527" spans="1:7" s="172" customFormat="1" ht="15" customHeight="1" x14ac:dyDescent="0.25">
      <c r="A2527" s="835" t="s">
        <v>10687</v>
      </c>
      <c r="B2527" s="835" t="s">
        <v>10501</v>
      </c>
      <c r="C2527" s="835" t="s">
        <v>10501</v>
      </c>
      <c r="D2527" s="835" t="s">
        <v>10688</v>
      </c>
      <c r="E2527" s="835">
        <v>50</v>
      </c>
      <c r="F2527" s="836">
        <v>13</v>
      </c>
      <c r="G2527" s="202" t="str">
        <f t="shared" si="39"/>
        <v/>
      </c>
    </row>
    <row r="2528" spans="1:7" s="172" customFormat="1" ht="15" customHeight="1" x14ac:dyDescent="0.25">
      <c r="A2528" s="835" t="s">
        <v>10662</v>
      </c>
      <c r="B2528" s="835" t="s">
        <v>10501</v>
      </c>
      <c r="C2528" s="835" t="s">
        <v>10501</v>
      </c>
      <c r="D2528" s="835" t="s">
        <v>10663</v>
      </c>
      <c r="E2528" s="835">
        <v>30</v>
      </c>
      <c r="F2528" s="836">
        <v>2</v>
      </c>
      <c r="G2528" s="202" t="str">
        <f t="shared" si="39"/>
        <v/>
      </c>
    </row>
    <row r="2529" spans="1:7" s="172" customFormat="1" ht="15" customHeight="1" x14ac:dyDescent="0.25">
      <c r="A2529" s="835" t="s">
        <v>10660</v>
      </c>
      <c r="B2529" s="835" t="s">
        <v>10501</v>
      </c>
      <c r="C2529" s="835" t="s">
        <v>10501</v>
      </c>
      <c r="D2529" s="835" t="s">
        <v>10661</v>
      </c>
      <c r="E2529" s="835">
        <v>50</v>
      </c>
      <c r="F2529" s="836">
        <v>21</v>
      </c>
      <c r="G2529" s="202" t="str">
        <f t="shared" si="39"/>
        <v/>
      </c>
    </row>
    <row r="2530" spans="1:7" s="172" customFormat="1" ht="15" customHeight="1" x14ac:dyDescent="0.25">
      <c r="A2530" s="835" t="s">
        <v>10655</v>
      </c>
      <c r="B2530" s="835" t="s">
        <v>10501</v>
      </c>
      <c r="C2530" s="835" t="s">
        <v>10501</v>
      </c>
      <c r="D2530" s="835" t="s">
        <v>10656</v>
      </c>
      <c r="E2530" s="835">
        <v>100</v>
      </c>
      <c r="F2530" s="836">
        <v>46</v>
      </c>
      <c r="G2530" s="202" t="str">
        <f t="shared" si="39"/>
        <v/>
      </c>
    </row>
    <row r="2531" spans="1:7" s="172" customFormat="1" ht="15" customHeight="1" x14ac:dyDescent="0.25">
      <c r="A2531" s="835" t="s">
        <v>10675</v>
      </c>
      <c r="B2531" s="835" t="s">
        <v>10501</v>
      </c>
      <c r="C2531" s="835" t="s">
        <v>10501</v>
      </c>
      <c r="D2531" s="835" t="s">
        <v>10676</v>
      </c>
      <c r="E2531" s="835">
        <v>30</v>
      </c>
      <c r="F2531" s="836">
        <v>7</v>
      </c>
      <c r="G2531" s="202" t="str">
        <f t="shared" si="39"/>
        <v/>
      </c>
    </row>
    <row r="2532" spans="1:7" s="172" customFormat="1" ht="15" customHeight="1" x14ac:dyDescent="0.25">
      <c r="A2532" s="835" t="s">
        <v>10671</v>
      </c>
      <c r="B2532" s="835" t="s">
        <v>10501</v>
      </c>
      <c r="C2532" s="835" t="s">
        <v>10501</v>
      </c>
      <c r="D2532" s="835" t="s">
        <v>10672</v>
      </c>
      <c r="E2532" s="835">
        <v>100</v>
      </c>
      <c r="F2532" s="836">
        <v>24</v>
      </c>
      <c r="G2532" s="202" t="str">
        <f t="shared" si="39"/>
        <v/>
      </c>
    </row>
    <row r="2533" spans="1:7" s="172" customFormat="1" ht="15" customHeight="1" x14ac:dyDescent="0.25">
      <c r="A2533" s="835" t="s">
        <v>10664</v>
      </c>
      <c r="B2533" s="835" t="s">
        <v>10501</v>
      </c>
      <c r="C2533" s="835" t="s">
        <v>10501</v>
      </c>
      <c r="D2533" s="835" t="s">
        <v>10665</v>
      </c>
      <c r="E2533" s="835">
        <v>180</v>
      </c>
      <c r="F2533" s="836">
        <v>53</v>
      </c>
      <c r="G2533" s="202" t="str">
        <f t="shared" si="39"/>
        <v/>
      </c>
    </row>
    <row r="2534" spans="1:7" s="172" customFormat="1" ht="15" customHeight="1" x14ac:dyDescent="0.25">
      <c r="A2534" s="835" t="s">
        <v>10645</v>
      </c>
      <c r="B2534" s="835" t="s">
        <v>10501</v>
      </c>
      <c r="C2534" s="835" t="s">
        <v>10501</v>
      </c>
      <c r="D2534" s="835" t="s">
        <v>10646</v>
      </c>
      <c r="E2534" s="835">
        <v>63</v>
      </c>
      <c r="F2534" s="836">
        <v>30</v>
      </c>
      <c r="G2534" s="202" t="str">
        <f t="shared" si="39"/>
        <v/>
      </c>
    </row>
    <row r="2535" spans="1:7" s="172" customFormat="1" ht="15" customHeight="1" x14ac:dyDescent="0.25">
      <c r="A2535" s="835" t="s">
        <v>10679</v>
      </c>
      <c r="B2535" s="835" t="s">
        <v>10501</v>
      </c>
      <c r="C2535" s="835" t="s">
        <v>10501</v>
      </c>
      <c r="D2535" s="835" t="s">
        <v>10680</v>
      </c>
      <c r="E2535" s="835">
        <v>100</v>
      </c>
      <c r="F2535" s="836">
        <v>26</v>
      </c>
      <c r="G2535" s="202" t="str">
        <f t="shared" si="39"/>
        <v/>
      </c>
    </row>
    <row r="2536" spans="1:7" s="172" customFormat="1" ht="15" customHeight="1" x14ac:dyDescent="0.25">
      <c r="A2536" s="835" t="s">
        <v>10677</v>
      </c>
      <c r="B2536" s="835" t="s">
        <v>10501</v>
      </c>
      <c r="C2536" s="835" t="s">
        <v>10501</v>
      </c>
      <c r="D2536" s="835" t="s">
        <v>10678</v>
      </c>
      <c r="E2536" s="835">
        <v>50</v>
      </c>
      <c r="F2536" s="836">
        <v>12</v>
      </c>
      <c r="G2536" s="202" t="str">
        <f t="shared" si="39"/>
        <v/>
      </c>
    </row>
    <row r="2537" spans="1:7" s="172" customFormat="1" ht="15" customHeight="1" x14ac:dyDescent="0.25">
      <c r="A2537" s="835" t="s">
        <v>13222</v>
      </c>
      <c r="B2537" s="835" t="s">
        <v>10501</v>
      </c>
      <c r="C2537" s="835" t="s">
        <v>10501</v>
      </c>
      <c r="D2537" s="835" t="s">
        <v>10666</v>
      </c>
      <c r="E2537" s="835">
        <v>250</v>
      </c>
      <c r="F2537" s="836">
        <v>68</v>
      </c>
      <c r="G2537" s="202" t="str">
        <f t="shared" si="39"/>
        <v/>
      </c>
    </row>
    <row r="2538" spans="1:7" s="172" customFormat="1" ht="15" customHeight="1" x14ac:dyDescent="0.25">
      <c r="A2538" s="835" t="s">
        <v>10649</v>
      </c>
      <c r="B2538" s="835" t="s">
        <v>10501</v>
      </c>
      <c r="C2538" s="835" t="s">
        <v>10501</v>
      </c>
      <c r="D2538" s="835" t="s">
        <v>10650</v>
      </c>
      <c r="E2538" s="835">
        <v>20</v>
      </c>
      <c r="F2538" s="836">
        <v>0</v>
      </c>
      <c r="G2538" s="202" t="str">
        <f t="shared" si="39"/>
        <v/>
      </c>
    </row>
    <row r="2539" spans="1:7" s="172" customFormat="1" ht="15" customHeight="1" x14ac:dyDescent="0.25">
      <c r="A2539" s="835" t="s">
        <v>10685</v>
      </c>
      <c r="B2539" s="835" t="s">
        <v>10501</v>
      </c>
      <c r="C2539" s="835" t="s">
        <v>10501</v>
      </c>
      <c r="D2539" s="835" t="s">
        <v>10686</v>
      </c>
      <c r="E2539" s="835">
        <v>30</v>
      </c>
      <c r="F2539" s="836">
        <v>3</v>
      </c>
      <c r="G2539" s="202" t="str">
        <f t="shared" si="39"/>
        <v/>
      </c>
    </row>
    <row r="2540" spans="1:7" s="172" customFormat="1" ht="15" customHeight="1" x14ac:dyDescent="0.25">
      <c r="A2540" s="835" t="s">
        <v>10667</v>
      </c>
      <c r="B2540" s="835" t="s">
        <v>10501</v>
      </c>
      <c r="C2540" s="835" t="s">
        <v>10501</v>
      </c>
      <c r="D2540" s="835" t="s">
        <v>10668</v>
      </c>
      <c r="E2540" s="835">
        <v>160</v>
      </c>
      <c r="F2540" s="836">
        <v>70</v>
      </c>
      <c r="G2540" s="202" t="str">
        <f t="shared" si="39"/>
        <v/>
      </c>
    </row>
    <row r="2541" spans="1:7" s="172" customFormat="1" ht="15" customHeight="1" x14ac:dyDescent="0.25">
      <c r="A2541" s="835" t="s">
        <v>10681</v>
      </c>
      <c r="B2541" s="835" t="s">
        <v>10501</v>
      </c>
      <c r="C2541" s="835" t="s">
        <v>10501</v>
      </c>
      <c r="D2541" s="835" t="s">
        <v>10682</v>
      </c>
      <c r="E2541" s="835">
        <v>100</v>
      </c>
      <c r="F2541" s="836">
        <v>31</v>
      </c>
      <c r="G2541" s="202" t="str">
        <f t="shared" si="39"/>
        <v/>
      </c>
    </row>
    <row r="2542" spans="1:7" s="172" customFormat="1" ht="15" customHeight="1" x14ac:dyDescent="0.25">
      <c r="A2542" s="835" t="s">
        <v>10673</v>
      </c>
      <c r="B2542" s="835" t="s">
        <v>10501</v>
      </c>
      <c r="C2542" s="835" t="s">
        <v>10501</v>
      </c>
      <c r="D2542" s="835" t="s">
        <v>10674</v>
      </c>
      <c r="E2542" s="835">
        <v>60</v>
      </c>
      <c r="F2542" s="836">
        <v>21</v>
      </c>
      <c r="G2542" s="202" t="str">
        <f t="shared" si="39"/>
        <v/>
      </c>
    </row>
    <row r="2543" spans="1:7" s="172" customFormat="1" ht="15" customHeight="1" x14ac:dyDescent="0.25">
      <c r="A2543" s="835" t="s">
        <v>10647</v>
      </c>
      <c r="B2543" s="835" t="s">
        <v>10501</v>
      </c>
      <c r="C2543" s="835" t="s">
        <v>10501</v>
      </c>
      <c r="D2543" s="835" t="s">
        <v>10648</v>
      </c>
      <c r="E2543" s="835">
        <v>40</v>
      </c>
      <c r="F2543" s="836">
        <v>12</v>
      </c>
      <c r="G2543" s="202" t="str">
        <f t="shared" si="39"/>
        <v/>
      </c>
    </row>
    <row r="2544" spans="1:7" s="172" customFormat="1" ht="15" customHeight="1" x14ac:dyDescent="0.25">
      <c r="A2544" s="835" t="s">
        <v>10657</v>
      </c>
      <c r="B2544" s="835" t="s">
        <v>10501</v>
      </c>
      <c r="C2544" s="835" t="s">
        <v>10501</v>
      </c>
      <c r="D2544" s="835" t="s">
        <v>10658</v>
      </c>
      <c r="E2544" s="835">
        <v>20</v>
      </c>
      <c r="F2544" s="836">
        <v>4</v>
      </c>
      <c r="G2544" s="202" t="str">
        <f t="shared" si="39"/>
        <v/>
      </c>
    </row>
    <row r="2545" spans="1:7" s="172" customFormat="1" ht="15" customHeight="1" x14ac:dyDescent="0.25">
      <c r="A2545" s="835" t="s">
        <v>10627</v>
      </c>
      <c r="B2545" s="835" t="s">
        <v>10501</v>
      </c>
      <c r="C2545" s="835" t="s">
        <v>10501</v>
      </c>
      <c r="D2545" s="835" t="s">
        <v>10638</v>
      </c>
      <c r="E2545" s="835">
        <v>250</v>
      </c>
      <c r="F2545" s="836">
        <v>54</v>
      </c>
      <c r="G2545" s="202" t="str">
        <f t="shared" si="39"/>
        <v/>
      </c>
    </row>
    <row r="2546" spans="1:7" s="172" customFormat="1" ht="15" customHeight="1" x14ac:dyDescent="0.25">
      <c r="A2546" s="835" t="s">
        <v>10627</v>
      </c>
      <c r="B2546" s="835" t="s">
        <v>10501</v>
      </c>
      <c r="C2546" s="835" t="s">
        <v>10501</v>
      </c>
      <c r="D2546" s="835" t="s">
        <v>10639</v>
      </c>
      <c r="E2546" s="835">
        <v>160</v>
      </c>
      <c r="F2546" s="836">
        <v>53</v>
      </c>
      <c r="G2546" s="202" t="str">
        <f t="shared" si="39"/>
        <v/>
      </c>
    </row>
    <row r="2547" spans="1:7" s="172" customFormat="1" ht="15" customHeight="1" x14ac:dyDescent="0.25">
      <c r="A2547" s="835" t="s">
        <v>10627</v>
      </c>
      <c r="B2547" s="835" t="s">
        <v>10501</v>
      </c>
      <c r="C2547" s="835" t="s">
        <v>10501</v>
      </c>
      <c r="D2547" s="835" t="s">
        <v>10640</v>
      </c>
      <c r="E2547" s="835">
        <v>250</v>
      </c>
      <c r="F2547" s="836">
        <v>125</v>
      </c>
      <c r="G2547" s="202" t="str">
        <f t="shared" si="39"/>
        <v/>
      </c>
    </row>
    <row r="2548" spans="1:7" s="172" customFormat="1" ht="15" customHeight="1" x14ac:dyDescent="0.25">
      <c r="A2548" s="835" t="s">
        <v>10627</v>
      </c>
      <c r="B2548" s="835" t="s">
        <v>10501</v>
      </c>
      <c r="C2548" s="835" t="s">
        <v>10501</v>
      </c>
      <c r="D2548" s="835" t="s">
        <v>10641</v>
      </c>
      <c r="E2548" s="835">
        <v>100</v>
      </c>
      <c r="F2548" s="836">
        <v>17</v>
      </c>
      <c r="G2548" s="202" t="str">
        <f t="shared" si="39"/>
        <v/>
      </c>
    </row>
    <row r="2549" spans="1:7" s="172" customFormat="1" ht="15" customHeight="1" x14ac:dyDescent="0.25">
      <c r="A2549" s="835" t="s">
        <v>10627</v>
      </c>
      <c r="B2549" s="835" t="s">
        <v>10501</v>
      </c>
      <c r="C2549" s="835" t="s">
        <v>10501</v>
      </c>
      <c r="D2549" s="835" t="s">
        <v>10642</v>
      </c>
      <c r="E2549" s="835">
        <v>250</v>
      </c>
      <c r="F2549" s="836">
        <v>56</v>
      </c>
      <c r="G2549" s="202" t="str">
        <f t="shared" si="39"/>
        <v/>
      </c>
    </row>
    <row r="2550" spans="1:7" s="172" customFormat="1" ht="15" customHeight="1" x14ac:dyDescent="0.25">
      <c r="A2550" s="835" t="s">
        <v>10627</v>
      </c>
      <c r="B2550" s="835" t="s">
        <v>10501</v>
      </c>
      <c r="C2550" s="835" t="s">
        <v>10501</v>
      </c>
      <c r="D2550" s="835" t="s">
        <v>10643</v>
      </c>
      <c r="E2550" s="835">
        <v>250</v>
      </c>
      <c r="F2550" s="836">
        <v>194</v>
      </c>
      <c r="G2550" s="202" t="str">
        <f t="shared" si="39"/>
        <v/>
      </c>
    </row>
    <row r="2551" spans="1:7" s="172" customFormat="1" ht="15" customHeight="1" x14ac:dyDescent="0.25">
      <c r="A2551" s="835" t="s">
        <v>10636</v>
      </c>
      <c r="B2551" s="835" t="s">
        <v>10501</v>
      </c>
      <c r="C2551" s="835" t="s">
        <v>10501</v>
      </c>
      <c r="D2551" s="835" t="s">
        <v>10637</v>
      </c>
      <c r="E2551" s="835">
        <v>30</v>
      </c>
      <c r="F2551" s="836">
        <v>1</v>
      </c>
      <c r="G2551" s="202" t="str">
        <f t="shared" si="39"/>
        <v/>
      </c>
    </row>
    <row r="2552" spans="1:7" s="172" customFormat="1" ht="15" customHeight="1" x14ac:dyDescent="0.25">
      <c r="A2552" s="835" t="s">
        <v>13221</v>
      </c>
      <c r="B2552" s="835" t="s">
        <v>10501</v>
      </c>
      <c r="C2552" s="835" t="s">
        <v>10501</v>
      </c>
      <c r="D2552" s="835" t="s">
        <v>10644</v>
      </c>
      <c r="E2552" s="835">
        <v>25</v>
      </c>
      <c r="F2552" s="836">
        <v>6</v>
      </c>
      <c r="G2552" s="202" t="str">
        <f t="shared" si="39"/>
        <v/>
      </c>
    </row>
    <row r="2553" spans="1:7" s="172" customFormat="1" ht="15" customHeight="1" x14ac:dyDescent="0.25">
      <c r="A2553" s="835" t="s">
        <v>10630</v>
      </c>
      <c r="B2553" s="835" t="s">
        <v>10501</v>
      </c>
      <c r="C2553" s="835" t="s">
        <v>10501</v>
      </c>
      <c r="D2553" s="835" t="s">
        <v>10631</v>
      </c>
      <c r="E2553" s="835">
        <v>30</v>
      </c>
      <c r="F2553" s="836">
        <v>0</v>
      </c>
      <c r="G2553" s="202" t="str">
        <f t="shared" si="39"/>
        <v/>
      </c>
    </row>
    <row r="2554" spans="1:7" s="172" customFormat="1" ht="15" customHeight="1" x14ac:dyDescent="0.25">
      <c r="A2554" s="835" t="s">
        <v>10634</v>
      </c>
      <c r="B2554" s="835" t="s">
        <v>10501</v>
      </c>
      <c r="C2554" s="835" t="s">
        <v>10501</v>
      </c>
      <c r="D2554" s="835" t="s">
        <v>10635</v>
      </c>
      <c r="E2554" s="835">
        <v>30</v>
      </c>
      <c r="F2554" s="836">
        <v>0</v>
      </c>
      <c r="G2554" s="202" t="str">
        <f t="shared" si="39"/>
        <v/>
      </c>
    </row>
    <row r="2555" spans="1:7" s="172" customFormat="1" ht="15" customHeight="1" x14ac:dyDescent="0.25">
      <c r="A2555" s="835" t="s">
        <v>10627</v>
      </c>
      <c r="B2555" s="835" t="s">
        <v>10501</v>
      </c>
      <c r="C2555" s="835" t="s">
        <v>10501</v>
      </c>
      <c r="D2555" s="835" t="s">
        <v>10628</v>
      </c>
      <c r="E2555" s="835">
        <v>160</v>
      </c>
      <c r="F2555" s="836">
        <v>51</v>
      </c>
      <c r="G2555" s="202" t="str">
        <f t="shared" si="39"/>
        <v/>
      </c>
    </row>
    <row r="2556" spans="1:7" s="172" customFormat="1" ht="15" customHeight="1" x14ac:dyDescent="0.25">
      <c r="A2556" s="835" t="s">
        <v>10627</v>
      </c>
      <c r="B2556" s="835" t="s">
        <v>10501</v>
      </c>
      <c r="C2556" s="835" t="s">
        <v>10501</v>
      </c>
      <c r="D2556" s="835" t="s">
        <v>10629</v>
      </c>
      <c r="E2556" s="835">
        <v>160</v>
      </c>
      <c r="F2556" s="836">
        <v>82</v>
      </c>
      <c r="G2556" s="202" t="str">
        <f t="shared" si="39"/>
        <v/>
      </c>
    </row>
    <row r="2557" spans="1:7" s="172" customFormat="1" ht="15" customHeight="1" x14ac:dyDescent="0.25">
      <c r="A2557" s="835" t="s">
        <v>10632</v>
      </c>
      <c r="B2557" s="835" t="s">
        <v>10501</v>
      </c>
      <c r="C2557" s="835" t="s">
        <v>10501</v>
      </c>
      <c r="D2557" s="835" t="s">
        <v>10633</v>
      </c>
      <c r="E2557" s="835">
        <v>40</v>
      </c>
      <c r="F2557" s="836">
        <v>0</v>
      </c>
      <c r="G2557" s="202" t="str">
        <f t="shared" si="39"/>
        <v/>
      </c>
    </row>
    <row r="2558" spans="1:7" s="172" customFormat="1" ht="15" customHeight="1" x14ac:dyDescent="0.25">
      <c r="A2558" s="835" t="s">
        <v>10616</v>
      </c>
      <c r="B2558" s="835" t="s">
        <v>10501</v>
      </c>
      <c r="C2558" s="835" t="s">
        <v>10501</v>
      </c>
      <c r="D2558" s="835" t="s">
        <v>10617</v>
      </c>
      <c r="E2558" s="835">
        <v>360</v>
      </c>
      <c r="F2558" s="836">
        <v>27</v>
      </c>
      <c r="G2558" s="202" t="str">
        <f t="shared" si="39"/>
        <v/>
      </c>
    </row>
    <row r="2559" spans="1:7" s="172" customFormat="1" ht="15" customHeight="1" x14ac:dyDescent="0.25">
      <c r="A2559" s="835" t="s">
        <v>10500</v>
      </c>
      <c r="B2559" s="835" t="s">
        <v>10501</v>
      </c>
      <c r="C2559" s="835" t="s">
        <v>10501</v>
      </c>
      <c r="D2559" s="835" t="s">
        <v>10502</v>
      </c>
      <c r="E2559" s="835">
        <v>250</v>
      </c>
      <c r="F2559" s="836">
        <v>124</v>
      </c>
      <c r="G2559" s="202" t="str">
        <f t="shared" si="39"/>
        <v/>
      </c>
    </row>
    <row r="2560" spans="1:7" s="172" customFormat="1" ht="15" customHeight="1" x14ac:dyDescent="0.25">
      <c r="A2560" s="835" t="s">
        <v>15009</v>
      </c>
      <c r="B2560" s="835" t="s">
        <v>10501</v>
      </c>
      <c r="C2560" s="835" t="s">
        <v>10501</v>
      </c>
      <c r="D2560" s="835" t="s">
        <v>15010</v>
      </c>
      <c r="E2560" s="835">
        <v>100</v>
      </c>
      <c r="F2560" s="836">
        <v>51</v>
      </c>
      <c r="G2560" s="202" t="str">
        <f t="shared" si="39"/>
        <v/>
      </c>
    </row>
    <row r="2561" spans="1:7" s="172" customFormat="1" ht="15" customHeight="1" x14ac:dyDescent="0.25">
      <c r="A2561" s="835" t="s">
        <v>10503</v>
      </c>
      <c r="B2561" s="835" t="s">
        <v>10501</v>
      </c>
      <c r="C2561" s="835" t="s">
        <v>10501</v>
      </c>
      <c r="D2561" s="835" t="s">
        <v>10504</v>
      </c>
      <c r="E2561" s="835">
        <v>400</v>
      </c>
      <c r="F2561" s="836">
        <v>6</v>
      </c>
      <c r="G2561" s="202" t="str">
        <f t="shared" si="39"/>
        <v/>
      </c>
    </row>
    <row r="2562" spans="1:7" s="172" customFormat="1" ht="15" customHeight="1" x14ac:dyDescent="0.25">
      <c r="A2562" s="835" t="s">
        <v>13214</v>
      </c>
      <c r="B2562" s="835" t="s">
        <v>10501</v>
      </c>
      <c r="C2562" s="835" t="s">
        <v>10501</v>
      </c>
      <c r="D2562" s="835" t="s">
        <v>10532</v>
      </c>
      <c r="E2562" s="835">
        <v>30</v>
      </c>
      <c r="F2562" s="836">
        <v>0</v>
      </c>
      <c r="G2562" s="202" t="str">
        <f t="shared" si="39"/>
        <v/>
      </c>
    </row>
    <row r="2563" spans="1:7" s="172" customFormat="1" ht="15" customHeight="1" x14ac:dyDescent="0.25">
      <c r="A2563" s="835" t="s">
        <v>4555</v>
      </c>
      <c r="B2563" s="835" t="s">
        <v>10501</v>
      </c>
      <c r="C2563" s="835" t="s">
        <v>10501</v>
      </c>
      <c r="D2563" s="835" t="s">
        <v>10547</v>
      </c>
      <c r="E2563" s="835">
        <v>100</v>
      </c>
      <c r="F2563" s="836">
        <v>30</v>
      </c>
      <c r="G2563" s="202" t="str">
        <f t="shared" si="39"/>
        <v/>
      </c>
    </row>
    <row r="2564" spans="1:7" s="172" customFormat="1" ht="15" customHeight="1" x14ac:dyDescent="0.25">
      <c r="A2564" s="835" t="s">
        <v>10540</v>
      </c>
      <c r="B2564" s="835" t="s">
        <v>10501</v>
      </c>
      <c r="C2564" s="835" t="s">
        <v>10501</v>
      </c>
      <c r="D2564" s="835" t="s">
        <v>10541</v>
      </c>
      <c r="E2564" s="835">
        <v>20</v>
      </c>
      <c r="F2564" s="836">
        <v>0</v>
      </c>
      <c r="G2564" s="202" t="str">
        <f t="shared" si="39"/>
        <v/>
      </c>
    </row>
    <row r="2565" spans="1:7" s="172" customFormat="1" ht="15" customHeight="1" x14ac:dyDescent="0.25">
      <c r="A2565" s="835" t="s">
        <v>10545</v>
      </c>
      <c r="B2565" s="835" t="s">
        <v>10501</v>
      </c>
      <c r="C2565" s="835" t="s">
        <v>10501</v>
      </c>
      <c r="D2565" s="835" t="s">
        <v>10546</v>
      </c>
      <c r="E2565" s="835">
        <v>250</v>
      </c>
      <c r="F2565" s="836">
        <v>91</v>
      </c>
      <c r="G2565" s="202" t="str">
        <f t="shared" si="39"/>
        <v/>
      </c>
    </row>
    <row r="2566" spans="1:7" s="172" customFormat="1" ht="15" customHeight="1" x14ac:dyDescent="0.25">
      <c r="A2566" s="835" t="s">
        <v>4651</v>
      </c>
      <c r="B2566" s="835" t="s">
        <v>10501</v>
      </c>
      <c r="C2566" s="835" t="s">
        <v>10501</v>
      </c>
      <c r="D2566" s="835" t="s">
        <v>10538</v>
      </c>
      <c r="E2566" s="835">
        <v>63</v>
      </c>
      <c r="F2566" s="836">
        <v>2</v>
      </c>
      <c r="G2566" s="202" t="str">
        <f t="shared" si="39"/>
        <v/>
      </c>
    </row>
    <row r="2567" spans="1:7" s="172" customFormat="1" ht="15" customHeight="1" x14ac:dyDescent="0.25">
      <c r="A2567" s="835" t="s">
        <v>4651</v>
      </c>
      <c r="B2567" s="835" t="s">
        <v>10501</v>
      </c>
      <c r="C2567" s="835" t="s">
        <v>10501</v>
      </c>
      <c r="D2567" s="835" t="s">
        <v>10539</v>
      </c>
      <c r="E2567" s="835">
        <v>30</v>
      </c>
      <c r="F2567" s="836">
        <v>5</v>
      </c>
      <c r="G2567" s="202" t="str">
        <f t="shared" ref="G2567:G2631" si="40">IF(E2567=F2567,"не загружен","")</f>
        <v/>
      </c>
    </row>
    <row r="2568" spans="1:7" s="172" customFormat="1" ht="15" customHeight="1" x14ac:dyDescent="0.25">
      <c r="A2568" s="835" t="s">
        <v>10542</v>
      </c>
      <c r="B2568" s="835" t="s">
        <v>10501</v>
      </c>
      <c r="C2568" s="835" t="s">
        <v>10501</v>
      </c>
      <c r="D2568" s="835" t="s">
        <v>10543</v>
      </c>
      <c r="E2568" s="835">
        <v>20</v>
      </c>
      <c r="F2568" s="836">
        <v>0</v>
      </c>
      <c r="G2568" s="202"/>
    </row>
    <row r="2569" spans="1:7" s="172" customFormat="1" ht="15" customHeight="1" x14ac:dyDescent="0.25">
      <c r="A2569" s="835" t="s">
        <v>10530</v>
      </c>
      <c r="B2569" s="835" t="s">
        <v>10501</v>
      </c>
      <c r="C2569" s="835" t="s">
        <v>10501</v>
      </c>
      <c r="D2569" s="835" t="s">
        <v>10531</v>
      </c>
      <c r="E2569" s="835">
        <v>30</v>
      </c>
      <c r="F2569" s="836">
        <v>0</v>
      </c>
      <c r="G2569" s="202" t="str">
        <f t="shared" si="40"/>
        <v/>
      </c>
    </row>
    <row r="2570" spans="1:7" s="172" customFormat="1" ht="15" customHeight="1" x14ac:dyDescent="0.25">
      <c r="A2570" s="835" t="s">
        <v>10552</v>
      </c>
      <c r="B2570" s="835" t="s">
        <v>10501</v>
      </c>
      <c r="C2570" s="835" t="s">
        <v>10501</v>
      </c>
      <c r="D2570" s="835" t="s">
        <v>10553</v>
      </c>
      <c r="E2570" s="835">
        <v>63</v>
      </c>
      <c r="F2570" s="836">
        <v>16</v>
      </c>
      <c r="G2570" s="202" t="str">
        <f t="shared" si="40"/>
        <v/>
      </c>
    </row>
    <row r="2571" spans="1:7" s="172" customFormat="1" ht="15" customHeight="1" x14ac:dyDescent="0.25">
      <c r="A2571" s="835" t="s">
        <v>10533</v>
      </c>
      <c r="B2571" s="835" t="s">
        <v>10501</v>
      </c>
      <c r="C2571" s="835" t="s">
        <v>10501</v>
      </c>
      <c r="D2571" s="835" t="s">
        <v>10534</v>
      </c>
      <c r="E2571" s="835">
        <v>100</v>
      </c>
      <c r="F2571" s="836">
        <v>0</v>
      </c>
      <c r="G2571" s="202" t="str">
        <f t="shared" si="40"/>
        <v/>
      </c>
    </row>
    <row r="2572" spans="1:7" s="172" customFormat="1" ht="15" customHeight="1" x14ac:dyDescent="0.25">
      <c r="A2572" s="835" t="s">
        <v>10554</v>
      </c>
      <c r="B2572" s="835" t="s">
        <v>10501</v>
      </c>
      <c r="C2572" s="835" t="s">
        <v>10501</v>
      </c>
      <c r="D2572" s="835" t="s">
        <v>10555</v>
      </c>
      <c r="E2572" s="835">
        <v>160</v>
      </c>
      <c r="F2572" s="836">
        <v>43</v>
      </c>
      <c r="G2572" s="202" t="str">
        <f t="shared" si="40"/>
        <v/>
      </c>
    </row>
    <row r="2573" spans="1:7" s="172" customFormat="1" ht="15" customHeight="1" x14ac:dyDescent="0.25">
      <c r="A2573" s="835" t="s">
        <v>10525</v>
      </c>
      <c r="B2573" s="835" t="s">
        <v>10501</v>
      </c>
      <c r="C2573" s="835" t="s">
        <v>10501</v>
      </c>
      <c r="D2573" s="835" t="s">
        <v>10526</v>
      </c>
      <c r="E2573" s="835">
        <v>160</v>
      </c>
      <c r="F2573" s="836">
        <v>35</v>
      </c>
      <c r="G2573" s="202" t="str">
        <f t="shared" si="40"/>
        <v/>
      </c>
    </row>
    <row r="2574" spans="1:7" s="172" customFormat="1" ht="15" customHeight="1" x14ac:dyDescent="0.25">
      <c r="A2574" s="835" t="s">
        <v>13213</v>
      </c>
      <c r="B2574" s="835" t="s">
        <v>10501</v>
      </c>
      <c r="C2574" s="835" t="s">
        <v>10501</v>
      </c>
      <c r="D2574" s="835" t="s">
        <v>10527</v>
      </c>
      <c r="E2574" s="835">
        <v>800</v>
      </c>
      <c r="F2574" s="836">
        <v>517</v>
      </c>
      <c r="G2574" s="202" t="str">
        <f t="shared" si="40"/>
        <v/>
      </c>
    </row>
    <row r="2575" spans="1:7" s="172" customFormat="1" ht="15" customHeight="1" x14ac:dyDescent="0.25">
      <c r="A2575" s="835" t="s">
        <v>13213</v>
      </c>
      <c r="B2575" s="835" t="s">
        <v>10501</v>
      </c>
      <c r="C2575" s="835" t="s">
        <v>10501</v>
      </c>
      <c r="D2575" s="835" t="s">
        <v>10528</v>
      </c>
      <c r="E2575" s="835">
        <v>160</v>
      </c>
      <c r="F2575" s="836">
        <v>4</v>
      </c>
      <c r="G2575" s="202" t="str">
        <f t="shared" si="40"/>
        <v/>
      </c>
    </row>
    <row r="2576" spans="1:7" s="172" customFormat="1" ht="15" customHeight="1" x14ac:dyDescent="0.25">
      <c r="A2576" s="835" t="s">
        <v>13213</v>
      </c>
      <c r="B2576" s="835" t="s">
        <v>10501</v>
      </c>
      <c r="C2576" s="835" t="s">
        <v>10501</v>
      </c>
      <c r="D2576" s="835" t="s">
        <v>10529</v>
      </c>
      <c r="E2576" s="835">
        <v>100</v>
      </c>
      <c r="F2576" s="836">
        <v>37</v>
      </c>
      <c r="G2576" s="202" t="str">
        <f t="shared" si="40"/>
        <v/>
      </c>
    </row>
    <row r="2577" spans="1:7" s="172" customFormat="1" ht="15" customHeight="1" x14ac:dyDescent="0.25">
      <c r="A2577" s="835" t="s">
        <v>10536</v>
      </c>
      <c r="B2577" s="835" t="s">
        <v>10501</v>
      </c>
      <c r="C2577" s="835" t="s">
        <v>10501</v>
      </c>
      <c r="D2577" s="835" t="s">
        <v>10537</v>
      </c>
      <c r="E2577" s="835">
        <v>63</v>
      </c>
      <c r="F2577" s="836">
        <v>0</v>
      </c>
      <c r="G2577" s="202" t="str">
        <f t="shared" si="40"/>
        <v/>
      </c>
    </row>
    <row r="2578" spans="1:7" s="172" customFormat="1" ht="15" customHeight="1" x14ac:dyDescent="0.25">
      <c r="A2578" s="835" t="s">
        <v>10556</v>
      </c>
      <c r="B2578" s="835" t="s">
        <v>10501</v>
      </c>
      <c r="C2578" s="835" t="s">
        <v>10501</v>
      </c>
      <c r="D2578" s="835" t="s">
        <v>10544</v>
      </c>
      <c r="E2578" s="835">
        <v>63</v>
      </c>
      <c r="F2578" s="836">
        <v>1</v>
      </c>
      <c r="G2578" s="202" t="str">
        <f t="shared" si="40"/>
        <v/>
      </c>
    </row>
    <row r="2579" spans="1:7" s="172" customFormat="1" ht="15" customHeight="1" x14ac:dyDescent="0.25">
      <c r="A2579" s="835" t="s">
        <v>10556</v>
      </c>
      <c r="B2579" s="835" t="s">
        <v>10501</v>
      </c>
      <c r="C2579" s="835" t="s">
        <v>10501</v>
      </c>
      <c r="D2579" s="835" t="s">
        <v>10557</v>
      </c>
      <c r="E2579" s="835">
        <v>100</v>
      </c>
      <c r="F2579" s="836">
        <v>20</v>
      </c>
      <c r="G2579" s="202" t="str">
        <f t="shared" si="40"/>
        <v/>
      </c>
    </row>
    <row r="2580" spans="1:7" s="172" customFormat="1" ht="15" customHeight="1" x14ac:dyDescent="0.25">
      <c r="A2580" s="835" t="s">
        <v>4551</v>
      </c>
      <c r="B2580" s="835" t="s">
        <v>10501</v>
      </c>
      <c r="C2580" s="835" t="s">
        <v>10501</v>
      </c>
      <c r="D2580" s="835" t="s">
        <v>10535</v>
      </c>
      <c r="E2580" s="835">
        <v>160</v>
      </c>
      <c r="F2580" s="836">
        <v>57</v>
      </c>
      <c r="G2580" s="202" t="str">
        <f t="shared" si="40"/>
        <v/>
      </c>
    </row>
    <row r="2581" spans="1:7" s="172" customFormat="1" ht="15" customHeight="1" x14ac:dyDescent="0.25">
      <c r="A2581" s="835" t="s">
        <v>10548</v>
      </c>
      <c r="B2581" s="835" t="s">
        <v>10501</v>
      </c>
      <c r="C2581" s="835" t="s">
        <v>10501</v>
      </c>
      <c r="D2581" s="835" t="s">
        <v>10549</v>
      </c>
      <c r="E2581" s="835">
        <v>250</v>
      </c>
      <c r="F2581" s="836">
        <v>8</v>
      </c>
      <c r="G2581" s="202" t="str">
        <f t="shared" si="40"/>
        <v/>
      </c>
    </row>
    <row r="2582" spans="1:7" s="172" customFormat="1" ht="15" customHeight="1" x14ac:dyDescent="0.25">
      <c r="A2582" s="835" t="s">
        <v>10548</v>
      </c>
      <c r="B2582" s="835" t="s">
        <v>10501</v>
      </c>
      <c r="C2582" s="835" t="s">
        <v>10501</v>
      </c>
      <c r="D2582" s="835" t="s">
        <v>10550</v>
      </c>
      <c r="E2582" s="835">
        <v>500</v>
      </c>
      <c r="F2582" s="836">
        <v>78</v>
      </c>
      <c r="G2582" s="202" t="str">
        <f t="shared" si="40"/>
        <v/>
      </c>
    </row>
    <row r="2583" spans="1:7" s="172" customFormat="1" ht="15" customHeight="1" x14ac:dyDescent="0.25">
      <c r="A2583" s="835" t="s">
        <v>10548</v>
      </c>
      <c r="B2583" s="835" t="s">
        <v>10501</v>
      </c>
      <c r="C2583" s="835" t="s">
        <v>10501</v>
      </c>
      <c r="D2583" s="835" t="s">
        <v>10551</v>
      </c>
      <c r="E2583" s="835">
        <v>400</v>
      </c>
      <c r="F2583" s="836">
        <v>159</v>
      </c>
      <c r="G2583" s="202" t="str">
        <f t="shared" si="40"/>
        <v/>
      </c>
    </row>
    <row r="2584" spans="1:7" s="172" customFormat="1" ht="15" customHeight="1" x14ac:dyDescent="0.25">
      <c r="A2584" s="835" t="s">
        <v>10519</v>
      </c>
      <c r="B2584" s="835" t="s">
        <v>10501</v>
      </c>
      <c r="C2584" s="835" t="s">
        <v>10501</v>
      </c>
      <c r="D2584" s="835" t="s">
        <v>10520</v>
      </c>
      <c r="E2584" s="835">
        <v>400</v>
      </c>
      <c r="F2584" s="836">
        <v>221</v>
      </c>
      <c r="G2584" s="202" t="str">
        <f t="shared" si="40"/>
        <v/>
      </c>
    </row>
    <row r="2585" spans="1:7" s="172" customFormat="1" ht="15" customHeight="1" x14ac:dyDescent="0.25">
      <c r="A2585" s="835" t="s">
        <v>10519</v>
      </c>
      <c r="B2585" s="835" t="s">
        <v>10501</v>
      </c>
      <c r="C2585" s="835" t="s">
        <v>10501</v>
      </c>
      <c r="D2585" s="835" t="s">
        <v>10521</v>
      </c>
      <c r="E2585" s="835">
        <v>20</v>
      </c>
      <c r="F2585" s="836">
        <v>0</v>
      </c>
      <c r="G2585" s="202" t="str">
        <f t="shared" si="40"/>
        <v/>
      </c>
    </row>
    <row r="2586" spans="1:7" s="172" customFormat="1" ht="15" customHeight="1" x14ac:dyDescent="0.25">
      <c r="A2586" s="835" t="s">
        <v>13212</v>
      </c>
      <c r="B2586" s="835" t="s">
        <v>10501</v>
      </c>
      <c r="C2586" s="835" t="s">
        <v>10501</v>
      </c>
      <c r="D2586" s="835" t="s">
        <v>10522</v>
      </c>
      <c r="E2586" s="835">
        <v>160</v>
      </c>
      <c r="F2586" s="836">
        <v>109</v>
      </c>
      <c r="G2586" s="202" t="str">
        <f t="shared" si="40"/>
        <v/>
      </c>
    </row>
    <row r="2587" spans="1:7" s="172" customFormat="1" ht="15" customHeight="1" x14ac:dyDescent="0.25">
      <c r="A2587" s="835" t="s">
        <v>10523</v>
      </c>
      <c r="B2587" s="835" t="s">
        <v>10501</v>
      </c>
      <c r="C2587" s="835" t="s">
        <v>10501</v>
      </c>
      <c r="D2587" s="835" t="s">
        <v>10524</v>
      </c>
      <c r="E2587" s="835">
        <v>100</v>
      </c>
      <c r="F2587" s="836">
        <v>20</v>
      </c>
      <c r="G2587" s="202" t="str">
        <f t="shared" si="40"/>
        <v/>
      </c>
    </row>
    <row r="2588" spans="1:7" s="172" customFormat="1" ht="15" customHeight="1" x14ac:dyDescent="0.25">
      <c r="A2588" s="835" t="s">
        <v>10513</v>
      </c>
      <c r="B2588" s="835" t="s">
        <v>10501</v>
      </c>
      <c r="C2588" s="835" t="s">
        <v>10501</v>
      </c>
      <c r="D2588" s="835" t="s">
        <v>10514</v>
      </c>
      <c r="E2588" s="835">
        <v>160</v>
      </c>
      <c r="F2588" s="836">
        <v>2</v>
      </c>
      <c r="G2588" s="202" t="str">
        <f t="shared" si="40"/>
        <v/>
      </c>
    </row>
    <row r="2589" spans="1:7" s="172" customFormat="1" ht="15" customHeight="1" x14ac:dyDescent="0.25">
      <c r="A2589" s="835" t="s">
        <v>10515</v>
      </c>
      <c r="B2589" s="835" t="s">
        <v>10501</v>
      </c>
      <c r="C2589" s="835" t="s">
        <v>10501</v>
      </c>
      <c r="D2589" s="835" t="s">
        <v>10516</v>
      </c>
      <c r="E2589" s="835">
        <v>160</v>
      </c>
      <c r="F2589" s="836">
        <v>3</v>
      </c>
      <c r="G2589" s="202" t="str">
        <f t="shared" si="40"/>
        <v/>
      </c>
    </row>
    <row r="2590" spans="1:7" s="172" customFormat="1" ht="15" customHeight="1" x14ac:dyDescent="0.25">
      <c r="A2590" s="835" t="s">
        <v>10509</v>
      </c>
      <c r="B2590" s="835" t="s">
        <v>10501</v>
      </c>
      <c r="C2590" s="835" t="s">
        <v>10501</v>
      </c>
      <c r="D2590" s="835" t="s">
        <v>10510</v>
      </c>
      <c r="E2590" s="835">
        <v>63</v>
      </c>
      <c r="F2590" s="836">
        <v>14</v>
      </c>
      <c r="G2590" s="202" t="str">
        <f t="shared" si="40"/>
        <v/>
      </c>
    </row>
    <row r="2591" spans="1:7" s="172" customFormat="1" ht="15" customHeight="1" x14ac:dyDescent="0.25">
      <c r="A2591" s="835" t="s">
        <v>10511</v>
      </c>
      <c r="B2591" s="835" t="s">
        <v>10501</v>
      </c>
      <c r="C2591" s="835" t="s">
        <v>10501</v>
      </c>
      <c r="D2591" s="835" t="s">
        <v>10512</v>
      </c>
      <c r="E2591" s="835">
        <v>160</v>
      </c>
      <c r="F2591" s="836">
        <v>44</v>
      </c>
      <c r="G2591" s="202" t="str">
        <f t="shared" si="40"/>
        <v/>
      </c>
    </row>
    <row r="2592" spans="1:7" s="172" customFormat="1" ht="15" customHeight="1" x14ac:dyDescent="0.25">
      <c r="A2592" s="835" t="s">
        <v>10517</v>
      </c>
      <c r="B2592" s="835" t="s">
        <v>10501</v>
      </c>
      <c r="C2592" s="835" t="s">
        <v>10501</v>
      </c>
      <c r="D2592" s="835" t="s">
        <v>10518</v>
      </c>
      <c r="E2592" s="835">
        <v>63</v>
      </c>
      <c r="F2592" s="836">
        <v>14</v>
      </c>
      <c r="G2592" s="202" t="str">
        <f t="shared" si="40"/>
        <v/>
      </c>
    </row>
    <row r="2593" spans="1:7" s="172" customFormat="1" ht="15" customHeight="1" x14ac:dyDescent="0.25">
      <c r="A2593" s="835" t="s">
        <v>13211</v>
      </c>
      <c r="B2593" s="835" t="s">
        <v>10501</v>
      </c>
      <c r="C2593" s="835" t="s">
        <v>10501</v>
      </c>
      <c r="D2593" s="835" t="s">
        <v>10506</v>
      </c>
      <c r="E2593" s="835">
        <v>400</v>
      </c>
      <c r="F2593" s="836">
        <v>14</v>
      </c>
      <c r="G2593" s="202" t="str">
        <f t="shared" si="40"/>
        <v/>
      </c>
    </row>
    <row r="2594" spans="1:7" s="172" customFormat="1" ht="15" customHeight="1" x14ac:dyDescent="0.25">
      <c r="A2594" s="835" t="s">
        <v>10515</v>
      </c>
      <c r="B2594" s="835" t="s">
        <v>10501</v>
      </c>
      <c r="C2594" s="835" t="s">
        <v>10501</v>
      </c>
      <c r="D2594" s="835" t="s">
        <v>10505</v>
      </c>
      <c r="E2594" s="835">
        <v>63</v>
      </c>
      <c r="F2594" s="836">
        <v>3</v>
      </c>
      <c r="G2594" s="202" t="str">
        <f t="shared" si="40"/>
        <v/>
      </c>
    </row>
    <row r="2595" spans="1:7" s="172" customFormat="1" ht="15" customHeight="1" x14ac:dyDescent="0.25">
      <c r="A2595" s="835" t="s">
        <v>10507</v>
      </c>
      <c r="B2595" s="835" t="s">
        <v>10501</v>
      </c>
      <c r="C2595" s="835" t="s">
        <v>10501</v>
      </c>
      <c r="D2595" s="835" t="s">
        <v>10508</v>
      </c>
      <c r="E2595" s="835">
        <v>250</v>
      </c>
      <c r="F2595" s="836">
        <v>2</v>
      </c>
      <c r="G2595" s="202" t="str">
        <f t="shared" si="40"/>
        <v/>
      </c>
    </row>
    <row r="2596" spans="1:7" s="172" customFormat="1" ht="15" customHeight="1" x14ac:dyDescent="0.25">
      <c r="A2596" s="835" t="s">
        <v>11184</v>
      </c>
      <c r="B2596" s="835" t="s">
        <v>10501</v>
      </c>
      <c r="C2596" s="835" t="s">
        <v>10501</v>
      </c>
      <c r="D2596" s="835" t="s">
        <v>11185</v>
      </c>
      <c r="E2596" s="835">
        <v>160</v>
      </c>
      <c r="F2596" s="836">
        <v>91</v>
      </c>
      <c r="G2596" s="202" t="str">
        <f t="shared" si="40"/>
        <v/>
      </c>
    </row>
    <row r="2597" spans="1:7" s="172" customFormat="1" ht="15" customHeight="1" x14ac:dyDescent="0.25">
      <c r="A2597" s="835" t="s">
        <v>11180</v>
      </c>
      <c r="B2597" s="835" t="s">
        <v>10501</v>
      </c>
      <c r="C2597" s="835" t="s">
        <v>10501</v>
      </c>
      <c r="D2597" s="835" t="s">
        <v>11181</v>
      </c>
      <c r="E2597" s="835">
        <v>160</v>
      </c>
      <c r="F2597" s="836">
        <v>76</v>
      </c>
      <c r="G2597" s="202" t="str">
        <f t="shared" si="40"/>
        <v/>
      </c>
    </row>
    <row r="2598" spans="1:7" s="172" customFormat="1" ht="15" customHeight="1" x14ac:dyDescent="0.25">
      <c r="A2598" s="835" t="s">
        <v>11182</v>
      </c>
      <c r="B2598" s="835" t="s">
        <v>10501</v>
      </c>
      <c r="C2598" s="835" t="s">
        <v>10501</v>
      </c>
      <c r="D2598" s="835" t="s">
        <v>11183</v>
      </c>
      <c r="E2598" s="835">
        <v>500</v>
      </c>
      <c r="F2598" s="836">
        <v>285</v>
      </c>
      <c r="G2598" s="202" t="str">
        <f t="shared" si="40"/>
        <v/>
      </c>
    </row>
    <row r="2599" spans="1:7" s="172" customFormat="1" ht="15" customHeight="1" x14ac:dyDescent="0.25">
      <c r="A2599" s="835" t="s">
        <v>4651</v>
      </c>
      <c r="B2599" s="835" t="s">
        <v>10501</v>
      </c>
      <c r="C2599" s="835" t="s">
        <v>10501</v>
      </c>
      <c r="D2599" s="835" t="s">
        <v>11192</v>
      </c>
      <c r="E2599" s="835">
        <v>63</v>
      </c>
      <c r="F2599" s="836">
        <v>18</v>
      </c>
      <c r="G2599" s="202" t="str">
        <f t="shared" si="40"/>
        <v/>
      </c>
    </row>
    <row r="2600" spans="1:7" s="172" customFormat="1" ht="15" customHeight="1" x14ac:dyDescent="0.25">
      <c r="A2600" s="835" t="s">
        <v>11190</v>
      </c>
      <c r="B2600" s="835" t="s">
        <v>10501</v>
      </c>
      <c r="C2600" s="835" t="s">
        <v>10501</v>
      </c>
      <c r="D2600" s="835" t="s">
        <v>11191</v>
      </c>
      <c r="E2600" s="835">
        <v>20</v>
      </c>
      <c r="F2600" s="836">
        <v>0</v>
      </c>
      <c r="G2600" s="202" t="str">
        <f t="shared" si="40"/>
        <v/>
      </c>
    </row>
    <row r="2601" spans="1:7" s="172" customFormat="1" ht="15" customHeight="1" x14ac:dyDescent="0.25">
      <c r="A2601" s="835" t="s">
        <v>11186</v>
      </c>
      <c r="B2601" s="835" t="s">
        <v>10501</v>
      </c>
      <c r="C2601" s="835" t="s">
        <v>10501</v>
      </c>
      <c r="D2601" s="835" t="s">
        <v>11187</v>
      </c>
      <c r="E2601" s="835">
        <v>100</v>
      </c>
      <c r="F2601" s="836">
        <v>21</v>
      </c>
      <c r="G2601" s="202" t="str">
        <f t="shared" si="40"/>
        <v/>
      </c>
    </row>
    <row r="2602" spans="1:7" s="172" customFormat="1" ht="15" customHeight="1" x14ac:dyDescent="0.25">
      <c r="A2602" s="835" t="s">
        <v>11188</v>
      </c>
      <c r="B2602" s="835" t="s">
        <v>10501</v>
      </c>
      <c r="C2602" s="835" t="s">
        <v>10501</v>
      </c>
      <c r="D2602" s="835" t="s">
        <v>11189</v>
      </c>
      <c r="E2602" s="835">
        <v>20</v>
      </c>
      <c r="F2602" s="836">
        <v>0</v>
      </c>
      <c r="G2602" s="202" t="str">
        <f t="shared" si="40"/>
        <v/>
      </c>
    </row>
    <row r="2603" spans="1:7" s="172" customFormat="1" ht="15" customHeight="1" x14ac:dyDescent="0.25">
      <c r="A2603" s="835" t="s">
        <v>11116</v>
      </c>
      <c r="B2603" s="835" t="s">
        <v>10822</v>
      </c>
      <c r="C2603" s="835" t="s">
        <v>10501</v>
      </c>
      <c r="D2603" s="835" t="s">
        <v>11124</v>
      </c>
      <c r="E2603" s="835">
        <v>400</v>
      </c>
      <c r="F2603" s="836">
        <v>87</v>
      </c>
      <c r="G2603" s="202" t="str">
        <f t="shared" si="40"/>
        <v/>
      </c>
    </row>
    <row r="2604" spans="1:7" s="172" customFormat="1" ht="15" customHeight="1" x14ac:dyDescent="0.25">
      <c r="A2604" s="835" t="s">
        <v>11116</v>
      </c>
      <c r="B2604" s="835" t="s">
        <v>10822</v>
      </c>
      <c r="C2604" s="835" t="s">
        <v>10501</v>
      </c>
      <c r="D2604" s="835" t="s">
        <v>11125</v>
      </c>
      <c r="E2604" s="835">
        <v>800</v>
      </c>
      <c r="F2604" s="836">
        <v>344</v>
      </c>
      <c r="G2604" s="202" t="str">
        <f t="shared" si="40"/>
        <v/>
      </c>
    </row>
    <row r="2605" spans="1:7" s="172" customFormat="1" ht="15" customHeight="1" x14ac:dyDescent="0.25">
      <c r="A2605" s="835" t="s">
        <v>5372</v>
      </c>
      <c r="B2605" s="835" t="s">
        <v>10822</v>
      </c>
      <c r="C2605" s="835" t="s">
        <v>10501</v>
      </c>
      <c r="D2605" s="835" t="s">
        <v>11146</v>
      </c>
      <c r="E2605" s="835">
        <v>40</v>
      </c>
      <c r="F2605" s="836">
        <v>0</v>
      </c>
      <c r="G2605" s="202" t="str">
        <f t="shared" si="40"/>
        <v/>
      </c>
    </row>
    <row r="2606" spans="1:7" s="172" customFormat="1" ht="15" customHeight="1" x14ac:dyDescent="0.25">
      <c r="A2606" s="835" t="s">
        <v>11143</v>
      </c>
      <c r="B2606" s="835" t="s">
        <v>10822</v>
      </c>
      <c r="C2606" s="835" t="s">
        <v>10501</v>
      </c>
      <c r="D2606" s="835" t="s">
        <v>11144</v>
      </c>
      <c r="E2606" s="835">
        <v>630</v>
      </c>
      <c r="F2606" s="836">
        <v>351</v>
      </c>
      <c r="G2606" s="202" t="str">
        <f t="shared" si="40"/>
        <v/>
      </c>
    </row>
    <row r="2607" spans="1:7" s="172" customFormat="1" ht="15" customHeight="1" x14ac:dyDescent="0.25">
      <c r="A2607" s="835" t="s">
        <v>11143</v>
      </c>
      <c r="B2607" s="835" t="s">
        <v>10822</v>
      </c>
      <c r="C2607" s="835" t="s">
        <v>10501</v>
      </c>
      <c r="D2607" s="835" t="s">
        <v>11145</v>
      </c>
      <c r="E2607" s="835">
        <v>100</v>
      </c>
      <c r="F2607" s="836">
        <v>14</v>
      </c>
      <c r="G2607" s="202" t="str">
        <f t="shared" si="40"/>
        <v/>
      </c>
    </row>
    <row r="2608" spans="1:7" s="172" customFormat="1" ht="15" customHeight="1" x14ac:dyDescent="0.25">
      <c r="A2608" s="835" t="s">
        <v>11141</v>
      </c>
      <c r="B2608" s="835" t="s">
        <v>10822</v>
      </c>
      <c r="C2608" s="835" t="s">
        <v>10501</v>
      </c>
      <c r="D2608" s="835" t="s">
        <v>11142</v>
      </c>
      <c r="E2608" s="835">
        <v>250</v>
      </c>
      <c r="F2608" s="836">
        <v>0</v>
      </c>
      <c r="G2608" s="202" t="str">
        <f t="shared" si="40"/>
        <v/>
      </c>
    </row>
    <row r="2609" spans="1:7" s="172" customFormat="1" ht="15" customHeight="1" x14ac:dyDescent="0.25">
      <c r="A2609" s="835" t="s">
        <v>4636</v>
      </c>
      <c r="B2609" s="835" t="s">
        <v>10822</v>
      </c>
      <c r="C2609" s="835" t="s">
        <v>10501</v>
      </c>
      <c r="D2609" s="835" t="s">
        <v>11140</v>
      </c>
      <c r="E2609" s="835">
        <v>63</v>
      </c>
      <c r="F2609" s="836">
        <v>16</v>
      </c>
      <c r="G2609" s="202" t="str">
        <f t="shared" si="40"/>
        <v/>
      </c>
    </row>
    <row r="2610" spans="1:7" s="172" customFormat="1" ht="15" customHeight="1" x14ac:dyDescent="0.25">
      <c r="A2610" s="835" t="s">
        <v>10507</v>
      </c>
      <c r="B2610" s="835" t="s">
        <v>10822</v>
      </c>
      <c r="C2610" s="835" t="s">
        <v>10501</v>
      </c>
      <c r="D2610" s="835" t="s">
        <v>11137</v>
      </c>
      <c r="E2610" s="835">
        <v>160</v>
      </c>
      <c r="F2610" s="836">
        <v>50</v>
      </c>
      <c r="G2610" s="202" t="str">
        <f t="shared" si="40"/>
        <v/>
      </c>
    </row>
    <row r="2611" spans="1:7" s="172" customFormat="1" ht="15" customHeight="1" x14ac:dyDescent="0.25">
      <c r="A2611" s="835" t="s">
        <v>11138</v>
      </c>
      <c r="B2611" s="835" t="s">
        <v>10822</v>
      </c>
      <c r="C2611" s="835" t="s">
        <v>10501</v>
      </c>
      <c r="D2611" s="835" t="s">
        <v>11139</v>
      </c>
      <c r="E2611" s="835">
        <v>100</v>
      </c>
      <c r="F2611" s="836">
        <v>18</v>
      </c>
      <c r="G2611" s="202" t="str">
        <f t="shared" si="40"/>
        <v/>
      </c>
    </row>
    <row r="2612" spans="1:7" s="172" customFormat="1" ht="15" customHeight="1" x14ac:dyDescent="0.25">
      <c r="A2612" s="835" t="s">
        <v>11147</v>
      </c>
      <c r="B2612" s="835" t="s">
        <v>10822</v>
      </c>
      <c r="C2612" s="835" t="s">
        <v>10501</v>
      </c>
      <c r="D2612" s="835" t="s">
        <v>11148</v>
      </c>
      <c r="E2612" s="835">
        <v>10</v>
      </c>
      <c r="F2612" s="836">
        <v>0</v>
      </c>
      <c r="G2612" s="202" t="str">
        <f t="shared" si="40"/>
        <v/>
      </c>
    </row>
    <row r="2613" spans="1:7" s="172" customFormat="1" ht="15" customHeight="1" x14ac:dyDescent="0.25">
      <c r="A2613" s="835" t="s">
        <v>10967</v>
      </c>
      <c r="B2613" s="835" t="s">
        <v>10822</v>
      </c>
      <c r="C2613" s="835" t="s">
        <v>10501</v>
      </c>
      <c r="D2613" s="835" t="s">
        <v>11130</v>
      </c>
      <c r="E2613" s="835">
        <v>160</v>
      </c>
      <c r="F2613" s="836">
        <v>37</v>
      </c>
      <c r="G2613" s="202" t="str">
        <f t="shared" si="40"/>
        <v/>
      </c>
    </row>
    <row r="2614" spans="1:7" s="172" customFormat="1" ht="15" customHeight="1" x14ac:dyDescent="0.25">
      <c r="A2614" s="835" t="s">
        <v>10967</v>
      </c>
      <c r="B2614" s="835" t="s">
        <v>10822</v>
      </c>
      <c r="C2614" s="835" t="s">
        <v>10501</v>
      </c>
      <c r="D2614" s="835" t="s">
        <v>11131</v>
      </c>
      <c r="E2614" s="835">
        <v>400</v>
      </c>
      <c r="F2614" s="836">
        <v>177</v>
      </c>
      <c r="G2614" s="202" t="str">
        <f t="shared" si="40"/>
        <v/>
      </c>
    </row>
    <row r="2615" spans="1:7" s="172" customFormat="1" ht="15" customHeight="1" x14ac:dyDescent="0.25">
      <c r="A2615" s="835" t="s">
        <v>11135</v>
      </c>
      <c r="B2615" s="835" t="s">
        <v>10822</v>
      </c>
      <c r="C2615" s="835" t="s">
        <v>10501</v>
      </c>
      <c r="D2615" s="835" t="s">
        <v>11136</v>
      </c>
      <c r="E2615" s="835">
        <v>100</v>
      </c>
      <c r="F2615" s="836">
        <v>12</v>
      </c>
      <c r="G2615" s="202" t="str">
        <f t="shared" si="40"/>
        <v/>
      </c>
    </row>
    <row r="2616" spans="1:7" s="172" customFormat="1" ht="15" customHeight="1" x14ac:dyDescent="0.25">
      <c r="A2616" s="835" t="s">
        <v>13251</v>
      </c>
      <c r="B2616" s="835" t="s">
        <v>10822</v>
      </c>
      <c r="C2616" s="835" t="s">
        <v>10501</v>
      </c>
      <c r="D2616" s="835" t="s">
        <v>11134</v>
      </c>
      <c r="E2616" s="835">
        <v>160</v>
      </c>
      <c r="F2616" s="836">
        <v>0</v>
      </c>
      <c r="G2616" s="202" t="str">
        <f t="shared" si="40"/>
        <v/>
      </c>
    </row>
    <row r="2617" spans="1:7" s="172" customFormat="1" ht="15" customHeight="1" x14ac:dyDescent="0.25">
      <c r="A2617" s="835" t="s">
        <v>11132</v>
      </c>
      <c r="B2617" s="835" t="s">
        <v>10822</v>
      </c>
      <c r="C2617" s="835" t="s">
        <v>10501</v>
      </c>
      <c r="D2617" s="835" t="s">
        <v>11133</v>
      </c>
      <c r="E2617" s="835">
        <v>160</v>
      </c>
      <c r="F2617" s="836">
        <v>24</v>
      </c>
      <c r="G2617" s="202" t="str">
        <f t="shared" si="40"/>
        <v/>
      </c>
    </row>
    <row r="2618" spans="1:7" s="172" customFormat="1" ht="15" customHeight="1" x14ac:dyDescent="0.25">
      <c r="A2618" s="835" t="s">
        <v>11116</v>
      </c>
      <c r="B2618" s="835" t="s">
        <v>10822</v>
      </c>
      <c r="C2618" s="835" t="s">
        <v>10501</v>
      </c>
      <c r="D2618" s="835" t="s">
        <v>11126</v>
      </c>
      <c r="E2618" s="835">
        <v>800</v>
      </c>
      <c r="F2618" s="836">
        <v>391</v>
      </c>
      <c r="G2618" s="202" t="str">
        <f t="shared" si="40"/>
        <v/>
      </c>
    </row>
    <row r="2619" spans="1:7" s="172" customFormat="1" ht="15" customHeight="1" x14ac:dyDescent="0.25">
      <c r="A2619" s="835" t="s">
        <v>11116</v>
      </c>
      <c r="B2619" s="835" t="s">
        <v>10822</v>
      </c>
      <c r="C2619" s="835" t="s">
        <v>10501</v>
      </c>
      <c r="D2619" s="835" t="s">
        <v>11127</v>
      </c>
      <c r="E2619" s="835">
        <v>100</v>
      </c>
      <c r="F2619" s="836">
        <v>19</v>
      </c>
      <c r="G2619" s="202" t="str">
        <f t="shared" si="40"/>
        <v/>
      </c>
    </row>
    <row r="2620" spans="1:7" s="172" customFormat="1" ht="15" customHeight="1" x14ac:dyDescent="0.25">
      <c r="A2620" s="835" t="s">
        <v>11116</v>
      </c>
      <c r="B2620" s="835" t="s">
        <v>10822</v>
      </c>
      <c r="C2620" s="835" t="s">
        <v>10501</v>
      </c>
      <c r="D2620" s="835" t="s">
        <v>11128</v>
      </c>
      <c r="E2620" s="835">
        <v>160</v>
      </c>
      <c r="F2620" s="836">
        <v>34</v>
      </c>
      <c r="G2620" s="202" t="str">
        <f t="shared" si="40"/>
        <v/>
      </c>
    </row>
    <row r="2621" spans="1:7" s="172" customFormat="1" ht="15" customHeight="1" x14ac:dyDescent="0.25">
      <c r="A2621" s="835" t="s">
        <v>11116</v>
      </c>
      <c r="B2621" s="835" t="s">
        <v>10822</v>
      </c>
      <c r="C2621" s="835" t="s">
        <v>10501</v>
      </c>
      <c r="D2621" s="835" t="s">
        <v>11129</v>
      </c>
      <c r="E2621" s="835">
        <v>160</v>
      </c>
      <c r="F2621" s="836">
        <v>35</v>
      </c>
      <c r="G2621" s="202" t="str">
        <f t="shared" si="40"/>
        <v/>
      </c>
    </row>
    <row r="2622" spans="1:7" s="172" customFormat="1" ht="15" customHeight="1" x14ac:dyDescent="0.25">
      <c r="A2622" s="835" t="s">
        <v>11118</v>
      </c>
      <c r="B2622" s="835" t="s">
        <v>10822</v>
      </c>
      <c r="C2622" s="835" t="s">
        <v>10501</v>
      </c>
      <c r="D2622" s="835" t="s">
        <v>11119</v>
      </c>
      <c r="E2622" s="835">
        <v>63</v>
      </c>
      <c r="F2622" s="836">
        <v>14</v>
      </c>
      <c r="G2622" s="202" t="str">
        <f t="shared" si="40"/>
        <v/>
      </c>
    </row>
    <row r="2623" spans="1:7" s="172" customFormat="1" ht="15" customHeight="1" x14ac:dyDescent="0.25">
      <c r="A2623" s="835" t="s">
        <v>11121</v>
      </c>
      <c r="B2623" s="835" t="s">
        <v>10822</v>
      </c>
      <c r="C2623" s="835" t="s">
        <v>10501</v>
      </c>
      <c r="D2623" s="835" t="s">
        <v>11122</v>
      </c>
      <c r="E2623" s="835">
        <v>250</v>
      </c>
      <c r="F2623" s="836">
        <v>61</v>
      </c>
      <c r="G2623" s="202" t="str">
        <f t="shared" si="40"/>
        <v/>
      </c>
    </row>
    <row r="2624" spans="1:7" s="172" customFormat="1" ht="15" customHeight="1" x14ac:dyDescent="0.25">
      <c r="A2624" s="835" t="s">
        <v>11121</v>
      </c>
      <c r="B2624" s="835" t="s">
        <v>10822</v>
      </c>
      <c r="C2624" s="835" t="s">
        <v>10501</v>
      </c>
      <c r="D2624" s="835" t="s">
        <v>11123</v>
      </c>
      <c r="E2624" s="835">
        <v>100</v>
      </c>
      <c r="F2624" s="836">
        <v>18</v>
      </c>
      <c r="G2624" s="202" t="str">
        <f t="shared" si="40"/>
        <v/>
      </c>
    </row>
    <row r="2625" spans="1:7" s="172" customFormat="1" ht="15" customHeight="1" x14ac:dyDescent="0.25">
      <c r="A2625" s="835" t="s">
        <v>13250</v>
      </c>
      <c r="B2625" s="835" t="s">
        <v>10822</v>
      </c>
      <c r="C2625" s="835" t="s">
        <v>10501</v>
      </c>
      <c r="D2625" s="835" t="s">
        <v>11120</v>
      </c>
      <c r="E2625" s="835">
        <v>250</v>
      </c>
      <c r="F2625" s="836">
        <v>59</v>
      </c>
      <c r="G2625" s="202" t="str">
        <f t="shared" si="40"/>
        <v/>
      </c>
    </row>
    <row r="2626" spans="1:7" s="172" customFormat="1" ht="15" customHeight="1" x14ac:dyDescent="0.25">
      <c r="A2626" s="835" t="s">
        <v>11116</v>
      </c>
      <c r="B2626" s="835" t="s">
        <v>10822</v>
      </c>
      <c r="C2626" s="835" t="s">
        <v>10501</v>
      </c>
      <c r="D2626" s="835" t="s">
        <v>11117</v>
      </c>
      <c r="E2626" s="835">
        <v>320</v>
      </c>
      <c r="F2626" s="836">
        <v>112</v>
      </c>
      <c r="G2626" s="202" t="str">
        <f t="shared" si="40"/>
        <v/>
      </c>
    </row>
    <row r="2627" spans="1:7" s="172" customFormat="1" ht="15" customHeight="1" x14ac:dyDescent="0.25">
      <c r="A2627" s="835" t="s">
        <v>11116</v>
      </c>
      <c r="B2627" s="835" t="s">
        <v>10501</v>
      </c>
      <c r="C2627" s="835" t="s">
        <v>10501</v>
      </c>
      <c r="D2627" s="835" t="s">
        <v>19700</v>
      </c>
      <c r="E2627" s="835">
        <v>1000</v>
      </c>
      <c r="F2627" s="836">
        <v>638</v>
      </c>
      <c r="G2627" s="202" t="str">
        <f t="shared" si="40"/>
        <v/>
      </c>
    </row>
    <row r="2628" spans="1:7" s="172" customFormat="1" ht="15" customHeight="1" x14ac:dyDescent="0.25">
      <c r="A2628" s="835" t="s">
        <v>11116</v>
      </c>
      <c r="B2628" s="835" t="s">
        <v>10501</v>
      </c>
      <c r="C2628" s="835" t="s">
        <v>10501</v>
      </c>
      <c r="D2628" s="835" t="s">
        <v>19701</v>
      </c>
      <c r="E2628" s="835">
        <v>1000</v>
      </c>
      <c r="F2628" s="836">
        <v>673</v>
      </c>
      <c r="G2628" s="202" t="str">
        <f t="shared" si="40"/>
        <v/>
      </c>
    </row>
    <row r="2629" spans="1:7" s="172" customFormat="1" ht="15" customHeight="1" x14ac:dyDescent="0.25">
      <c r="A2629" s="835" t="s">
        <v>11108</v>
      </c>
      <c r="B2629" s="835" t="s">
        <v>10822</v>
      </c>
      <c r="C2629" s="835" t="s">
        <v>10501</v>
      </c>
      <c r="D2629" s="835" t="s">
        <v>11109</v>
      </c>
      <c r="E2629" s="835">
        <v>40</v>
      </c>
      <c r="F2629" s="836">
        <v>0</v>
      </c>
      <c r="G2629" s="202" t="str">
        <f t="shared" si="40"/>
        <v/>
      </c>
    </row>
    <row r="2630" spans="1:7" s="172" customFormat="1" ht="15" customHeight="1" x14ac:dyDescent="0.25">
      <c r="A2630" s="835" t="s">
        <v>11112</v>
      </c>
      <c r="B2630" s="835" t="s">
        <v>10822</v>
      </c>
      <c r="C2630" s="835" t="s">
        <v>10501</v>
      </c>
      <c r="D2630" s="835" t="s">
        <v>11113</v>
      </c>
      <c r="E2630" s="835">
        <v>100</v>
      </c>
      <c r="F2630" s="836">
        <v>18</v>
      </c>
      <c r="G2630" s="202" t="str">
        <f t="shared" si="40"/>
        <v/>
      </c>
    </row>
    <row r="2631" spans="1:7" s="172" customFormat="1" ht="15" customHeight="1" x14ac:dyDescent="0.25">
      <c r="A2631" s="835" t="s">
        <v>11110</v>
      </c>
      <c r="B2631" s="835" t="s">
        <v>10822</v>
      </c>
      <c r="C2631" s="835" t="s">
        <v>10501</v>
      </c>
      <c r="D2631" s="835" t="s">
        <v>11111</v>
      </c>
      <c r="E2631" s="835">
        <v>60</v>
      </c>
      <c r="F2631" s="836">
        <v>0</v>
      </c>
      <c r="G2631" s="202" t="str">
        <f t="shared" si="40"/>
        <v/>
      </c>
    </row>
    <row r="2632" spans="1:7" s="172" customFormat="1" ht="15" customHeight="1" x14ac:dyDescent="0.25">
      <c r="A2632" s="835" t="s">
        <v>11114</v>
      </c>
      <c r="B2632" s="835" t="s">
        <v>10501</v>
      </c>
      <c r="C2632" s="835" t="s">
        <v>10501</v>
      </c>
      <c r="D2632" s="835" t="s">
        <v>11115</v>
      </c>
      <c r="E2632" s="835">
        <v>63</v>
      </c>
      <c r="F2632" s="836">
        <v>14</v>
      </c>
      <c r="G2632" s="202" t="str">
        <f t="shared" ref="G2632:G2698" si="41">IF(E2632=F2632,"не загружен","")</f>
        <v/>
      </c>
    </row>
    <row r="2633" spans="1:7" s="172" customFormat="1" ht="15" customHeight="1" x14ac:dyDescent="0.25">
      <c r="A2633" s="835" t="s">
        <v>13249</v>
      </c>
      <c r="B2633" s="835" t="s">
        <v>10501</v>
      </c>
      <c r="C2633" s="835" t="s">
        <v>10501</v>
      </c>
      <c r="D2633" s="835" t="s">
        <v>11075</v>
      </c>
      <c r="E2633" s="835">
        <v>160</v>
      </c>
      <c r="F2633" s="836">
        <v>116</v>
      </c>
      <c r="G2633" s="202"/>
    </row>
    <row r="2634" spans="1:7" s="172" customFormat="1" ht="15" customHeight="1" x14ac:dyDescent="0.25">
      <c r="A2634" s="835" t="s">
        <v>11076</v>
      </c>
      <c r="B2634" s="835" t="s">
        <v>10501</v>
      </c>
      <c r="C2634" s="835" t="s">
        <v>10501</v>
      </c>
      <c r="D2634" s="835" t="s">
        <v>11077</v>
      </c>
      <c r="E2634" s="835">
        <v>250</v>
      </c>
      <c r="F2634" s="836">
        <v>103</v>
      </c>
      <c r="G2634" s="202" t="str">
        <f t="shared" si="41"/>
        <v/>
      </c>
    </row>
    <row r="2635" spans="1:7" s="172" customFormat="1" ht="15" customHeight="1" x14ac:dyDescent="0.25">
      <c r="A2635" s="835" t="s">
        <v>11076</v>
      </c>
      <c r="B2635" s="835" t="s">
        <v>10501</v>
      </c>
      <c r="C2635" s="835" t="s">
        <v>10501</v>
      </c>
      <c r="D2635" s="835" t="s">
        <v>11078</v>
      </c>
      <c r="E2635" s="835">
        <v>160</v>
      </c>
      <c r="F2635" s="836">
        <v>35</v>
      </c>
      <c r="G2635" s="202" t="str">
        <f t="shared" si="41"/>
        <v/>
      </c>
    </row>
    <row r="2636" spans="1:7" s="172" customFormat="1" ht="15" customHeight="1" x14ac:dyDescent="0.25">
      <c r="A2636" s="835" t="s">
        <v>11076</v>
      </c>
      <c r="B2636" s="835" t="s">
        <v>10501</v>
      </c>
      <c r="C2636" s="835" t="s">
        <v>10501</v>
      </c>
      <c r="D2636" s="835" t="s">
        <v>11079</v>
      </c>
      <c r="E2636" s="835">
        <v>250</v>
      </c>
      <c r="F2636" s="836">
        <v>0</v>
      </c>
      <c r="G2636" s="202" t="str">
        <f t="shared" si="41"/>
        <v/>
      </c>
    </row>
    <row r="2637" spans="1:7" s="172" customFormat="1" ht="15" customHeight="1" x14ac:dyDescent="0.25">
      <c r="A2637" s="835" t="s">
        <v>11076</v>
      </c>
      <c r="B2637" s="835" t="s">
        <v>10501</v>
      </c>
      <c r="C2637" s="835" t="s">
        <v>10501</v>
      </c>
      <c r="D2637" s="835" t="s">
        <v>11080</v>
      </c>
      <c r="E2637" s="835">
        <v>160</v>
      </c>
      <c r="F2637" s="836">
        <v>0</v>
      </c>
      <c r="G2637" s="202" t="str">
        <f t="shared" si="41"/>
        <v/>
      </c>
    </row>
    <row r="2638" spans="1:7" s="172" customFormat="1" ht="15" customHeight="1" x14ac:dyDescent="0.25">
      <c r="A2638" s="835" t="s">
        <v>11095</v>
      </c>
      <c r="B2638" s="835" t="s">
        <v>10501</v>
      </c>
      <c r="C2638" s="835" t="s">
        <v>10501</v>
      </c>
      <c r="D2638" s="835" t="s">
        <v>11074</v>
      </c>
      <c r="E2638" s="835">
        <v>500</v>
      </c>
      <c r="F2638" s="836">
        <v>258</v>
      </c>
      <c r="G2638" s="202" t="str">
        <f t="shared" si="41"/>
        <v/>
      </c>
    </row>
    <row r="2639" spans="1:7" s="172" customFormat="1" ht="15" customHeight="1" x14ac:dyDescent="0.25">
      <c r="A2639" s="835" t="s">
        <v>10783</v>
      </c>
      <c r="B2639" s="835" t="s">
        <v>10501</v>
      </c>
      <c r="C2639" s="835" t="s">
        <v>10501</v>
      </c>
      <c r="D2639" s="835" t="s">
        <v>11097</v>
      </c>
      <c r="E2639" s="835">
        <v>63</v>
      </c>
      <c r="F2639" s="836">
        <v>20</v>
      </c>
      <c r="G2639" s="202" t="str">
        <f t="shared" si="41"/>
        <v/>
      </c>
    </row>
    <row r="2640" spans="1:7" s="172" customFormat="1" ht="15" customHeight="1" x14ac:dyDescent="0.25">
      <c r="A2640" s="835" t="s">
        <v>11093</v>
      </c>
      <c r="B2640" s="835" t="s">
        <v>10501</v>
      </c>
      <c r="C2640" s="835" t="s">
        <v>10501</v>
      </c>
      <c r="D2640" s="835" t="s">
        <v>11094</v>
      </c>
      <c r="E2640" s="835">
        <v>63</v>
      </c>
      <c r="F2640" s="836">
        <v>29</v>
      </c>
      <c r="G2640" s="202" t="str">
        <f t="shared" si="41"/>
        <v/>
      </c>
    </row>
    <row r="2641" spans="1:7" s="172" customFormat="1" ht="15" customHeight="1" x14ac:dyDescent="0.25">
      <c r="A2641" s="835" t="s">
        <v>11084</v>
      </c>
      <c r="B2641" s="835" t="s">
        <v>10501</v>
      </c>
      <c r="C2641" s="835" t="s">
        <v>10501</v>
      </c>
      <c r="D2641" s="835" t="s">
        <v>11092</v>
      </c>
      <c r="E2641" s="835">
        <v>160</v>
      </c>
      <c r="F2641" s="836">
        <v>94</v>
      </c>
      <c r="G2641" s="202" t="str">
        <f t="shared" si="41"/>
        <v/>
      </c>
    </row>
    <row r="2642" spans="1:7" s="172" customFormat="1" ht="15" customHeight="1" x14ac:dyDescent="0.25">
      <c r="A2642" s="835" t="s">
        <v>11095</v>
      </c>
      <c r="B2642" s="835" t="s">
        <v>10501</v>
      </c>
      <c r="C2642" s="835" t="s">
        <v>10501</v>
      </c>
      <c r="D2642" s="835" t="s">
        <v>11096</v>
      </c>
      <c r="E2642" s="835">
        <v>160</v>
      </c>
      <c r="F2642" s="836">
        <v>60</v>
      </c>
      <c r="G2642" s="202" t="str">
        <f t="shared" si="41"/>
        <v/>
      </c>
    </row>
    <row r="2643" spans="1:7" s="172" customFormat="1" ht="15" customHeight="1" x14ac:dyDescent="0.25">
      <c r="A2643" s="835" t="s">
        <v>5399</v>
      </c>
      <c r="B2643" s="835" t="s">
        <v>10501</v>
      </c>
      <c r="C2643" s="835" t="s">
        <v>10501</v>
      </c>
      <c r="D2643" s="835" t="s">
        <v>11087</v>
      </c>
      <c r="E2643" s="835">
        <v>250</v>
      </c>
      <c r="F2643" s="836">
        <v>140</v>
      </c>
      <c r="G2643" s="202" t="str">
        <f t="shared" si="41"/>
        <v/>
      </c>
    </row>
    <row r="2644" spans="1:7" s="172" customFormat="1" ht="15" customHeight="1" x14ac:dyDescent="0.25">
      <c r="A2644" s="835" t="s">
        <v>11084</v>
      </c>
      <c r="B2644" s="835" t="s">
        <v>10501</v>
      </c>
      <c r="C2644" s="835" t="s">
        <v>10501</v>
      </c>
      <c r="D2644" s="835" t="s">
        <v>11085</v>
      </c>
      <c r="E2644" s="835">
        <v>250</v>
      </c>
      <c r="F2644" s="836">
        <v>96</v>
      </c>
      <c r="G2644" s="202" t="str">
        <f t="shared" si="41"/>
        <v/>
      </c>
    </row>
    <row r="2645" spans="1:7" s="172" customFormat="1" ht="15" customHeight="1" x14ac:dyDescent="0.25">
      <c r="A2645" s="835" t="s">
        <v>11084</v>
      </c>
      <c r="B2645" s="835" t="s">
        <v>10501</v>
      </c>
      <c r="C2645" s="835" t="s">
        <v>10501</v>
      </c>
      <c r="D2645" s="835" t="s">
        <v>11086</v>
      </c>
      <c r="E2645" s="835">
        <v>100</v>
      </c>
      <c r="F2645" s="836">
        <v>24</v>
      </c>
      <c r="G2645" s="202" t="str">
        <f t="shared" si="41"/>
        <v/>
      </c>
    </row>
    <row r="2646" spans="1:7" s="172" customFormat="1" ht="15" customHeight="1" x14ac:dyDescent="0.25">
      <c r="A2646" s="835" t="s">
        <v>11076</v>
      </c>
      <c r="B2646" s="835" t="s">
        <v>10501</v>
      </c>
      <c r="C2646" s="835" t="s">
        <v>10501</v>
      </c>
      <c r="D2646" s="835" t="s">
        <v>11088</v>
      </c>
      <c r="E2646" s="835">
        <v>400</v>
      </c>
      <c r="F2646" s="836">
        <v>183</v>
      </c>
      <c r="G2646" s="202" t="str">
        <f t="shared" si="41"/>
        <v/>
      </c>
    </row>
    <row r="2647" spans="1:7" s="172" customFormat="1" ht="15" customHeight="1" x14ac:dyDescent="0.25">
      <c r="A2647" s="835" t="s">
        <v>11076</v>
      </c>
      <c r="B2647" s="835" t="s">
        <v>10501</v>
      </c>
      <c r="C2647" s="835" t="s">
        <v>10501</v>
      </c>
      <c r="D2647" s="835" t="s">
        <v>11089</v>
      </c>
      <c r="E2647" s="835">
        <v>400</v>
      </c>
      <c r="F2647" s="836">
        <v>186</v>
      </c>
      <c r="G2647" s="202" t="str">
        <f t="shared" si="41"/>
        <v/>
      </c>
    </row>
    <row r="2648" spans="1:7" s="172" customFormat="1" ht="15" customHeight="1" x14ac:dyDescent="0.25">
      <c r="A2648" s="835" t="s">
        <v>11076</v>
      </c>
      <c r="B2648" s="835" t="s">
        <v>10501</v>
      </c>
      <c r="C2648" s="835" t="s">
        <v>10501</v>
      </c>
      <c r="D2648" s="835" t="s">
        <v>11090</v>
      </c>
      <c r="E2648" s="835">
        <v>500</v>
      </c>
      <c r="F2648" s="836">
        <v>357</v>
      </c>
      <c r="G2648" s="202" t="str">
        <f t="shared" si="41"/>
        <v/>
      </c>
    </row>
    <row r="2649" spans="1:7" s="172" customFormat="1" ht="15" customHeight="1" x14ac:dyDescent="0.25">
      <c r="A2649" s="835" t="s">
        <v>11076</v>
      </c>
      <c r="B2649" s="835" t="s">
        <v>10501</v>
      </c>
      <c r="C2649" s="835" t="s">
        <v>10501</v>
      </c>
      <c r="D2649" s="835" t="s">
        <v>11091</v>
      </c>
      <c r="E2649" s="835">
        <v>400</v>
      </c>
      <c r="F2649" s="836">
        <v>204</v>
      </c>
      <c r="G2649" s="202" t="str">
        <f t="shared" si="41"/>
        <v/>
      </c>
    </row>
    <row r="2650" spans="1:7" s="172" customFormat="1" ht="15" customHeight="1" x14ac:dyDescent="0.25">
      <c r="A2650" s="835" t="s">
        <v>11076</v>
      </c>
      <c r="B2650" s="835" t="s">
        <v>10501</v>
      </c>
      <c r="C2650" s="835" t="s">
        <v>10501</v>
      </c>
      <c r="D2650" s="835" t="s">
        <v>11081</v>
      </c>
      <c r="E2650" s="835">
        <v>160</v>
      </c>
      <c r="F2650" s="836">
        <v>60</v>
      </c>
      <c r="G2650" s="202" t="str">
        <f t="shared" si="41"/>
        <v/>
      </c>
    </row>
    <row r="2651" spans="1:7" s="172" customFormat="1" ht="15" customHeight="1" x14ac:dyDescent="0.25">
      <c r="A2651" s="835" t="s">
        <v>11076</v>
      </c>
      <c r="B2651" s="835" t="s">
        <v>10501</v>
      </c>
      <c r="C2651" s="835" t="s">
        <v>10501</v>
      </c>
      <c r="D2651" s="835" t="s">
        <v>11082</v>
      </c>
      <c r="E2651" s="835">
        <v>160</v>
      </c>
      <c r="F2651" s="836">
        <v>74</v>
      </c>
      <c r="G2651" s="202" t="str">
        <f t="shared" si="41"/>
        <v/>
      </c>
    </row>
    <row r="2652" spans="1:7" s="172" customFormat="1" ht="15" customHeight="1" x14ac:dyDescent="0.25">
      <c r="A2652" s="835" t="s">
        <v>11076</v>
      </c>
      <c r="B2652" s="835" t="s">
        <v>10501</v>
      </c>
      <c r="C2652" s="835" t="s">
        <v>10501</v>
      </c>
      <c r="D2652" s="835" t="s">
        <v>11083</v>
      </c>
      <c r="E2652" s="835">
        <v>160</v>
      </c>
      <c r="F2652" s="836">
        <v>47</v>
      </c>
      <c r="G2652" s="202" t="str">
        <f t="shared" si="41"/>
        <v/>
      </c>
    </row>
    <row r="2653" spans="1:7" s="172" customFormat="1" ht="15" customHeight="1" x14ac:dyDescent="0.25">
      <c r="A2653" s="835" t="s">
        <v>11327</v>
      </c>
      <c r="B2653" s="835" t="s">
        <v>10501</v>
      </c>
      <c r="C2653" s="835" t="s">
        <v>10501</v>
      </c>
      <c r="D2653" s="835" t="s">
        <v>11328</v>
      </c>
      <c r="E2653" s="835">
        <v>60</v>
      </c>
      <c r="F2653" s="836">
        <v>19</v>
      </c>
      <c r="G2653" s="202" t="str">
        <f t="shared" si="41"/>
        <v/>
      </c>
    </row>
    <row r="2654" spans="1:7" s="172" customFormat="1" ht="15" customHeight="1" x14ac:dyDescent="0.25">
      <c r="A2654" s="835" t="s">
        <v>11329</v>
      </c>
      <c r="B2654" s="835" t="s">
        <v>10822</v>
      </c>
      <c r="C2654" s="835" t="s">
        <v>10501</v>
      </c>
      <c r="D2654" s="835" t="s">
        <v>11330</v>
      </c>
      <c r="E2654" s="835">
        <v>250</v>
      </c>
      <c r="F2654" s="836">
        <v>116</v>
      </c>
      <c r="G2654" s="202" t="str">
        <f t="shared" si="41"/>
        <v/>
      </c>
    </row>
    <row r="2655" spans="1:7" s="172" customFormat="1" ht="15" customHeight="1" x14ac:dyDescent="0.25">
      <c r="A2655" s="835" t="s">
        <v>11333</v>
      </c>
      <c r="B2655" s="835" t="s">
        <v>10822</v>
      </c>
      <c r="C2655" s="835" t="s">
        <v>10501</v>
      </c>
      <c r="D2655" s="835" t="s">
        <v>11334</v>
      </c>
      <c r="E2655" s="835">
        <v>100</v>
      </c>
      <c r="F2655" s="836">
        <v>34</v>
      </c>
      <c r="G2655" s="202" t="str">
        <f t="shared" si="41"/>
        <v/>
      </c>
    </row>
    <row r="2656" spans="1:7" s="172" customFormat="1" ht="15" customHeight="1" x14ac:dyDescent="0.25">
      <c r="A2656" s="835" t="s">
        <v>11002</v>
      </c>
      <c r="B2656" s="835" t="s">
        <v>10501</v>
      </c>
      <c r="C2656" s="835" t="s">
        <v>10501</v>
      </c>
      <c r="D2656" s="835" t="s">
        <v>11335</v>
      </c>
      <c r="E2656" s="835">
        <v>63</v>
      </c>
      <c r="F2656" s="836">
        <v>9</v>
      </c>
      <c r="G2656" s="202" t="str">
        <f t="shared" si="41"/>
        <v/>
      </c>
    </row>
    <row r="2657" spans="1:7" s="172" customFormat="1" ht="15" customHeight="1" x14ac:dyDescent="0.25">
      <c r="A2657" s="835" t="s">
        <v>11002</v>
      </c>
      <c r="B2657" s="835" t="s">
        <v>10501</v>
      </c>
      <c r="C2657" s="835" t="s">
        <v>10501</v>
      </c>
      <c r="D2657" s="835" t="s">
        <v>11336</v>
      </c>
      <c r="E2657" s="835">
        <v>100</v>
      </c>
      <c r="F2657" s="836">
        <v>42</v>
      </c>
      <c r="G2657" s="202" t="str">
        <f t="shared" si="41"/>
        <v/>
      </c>
    </row>
    <row r="2658" spans="1:7" s="172" customFormat="1" ht="15" customHeight="1" x14ac:dyDescent="0.25">
      <c r="A2658" s="835" t="s">
        <v>11325</v>
      </c>
      <c r="B2658" s="835" t="s">
        <v>10501</v>
      </c>
      <c r="C2658" s="835" t="s">
        <v>10501</v>
      </c>
      <c r="D2658" s="835" t="s">
        <v>11326</v>
      </c>
      <c r="E2658" s="835">
        <v>160</v>
      </c>
      <c r="F2658" s="836">
        <v>68</v>
      </c>
      <c r="G2658" s="202" t="str">
        <f t="shared" si="41"/>
        <v/>
      </c>
    </row>
    <row r="2659" spans="1:7" s="172" customFormat="1" ht="15" customHeight="1" x14ac:dyDescent="0.25">
      <c r="A2659" s="835" t="s">
        <v>11331</v>
      </c>
      <c r="B2659" s="835" t="s">
        <v>10501</v>
      </c>
      <c r="C2659" s="835" t="s">
        <v>10501</v>
      </c>
      <c r="D2659" s="835" t="s">
        <v>11332</v>
      </c>
      <c r="E2659" s="835">
        <v>63</v>
      </c>
      <c r="F2659" s="836">
        <v>18</v>
      </c>
      <c r="G2659" s="202" t="str">
        <f t="shared" si="41"/>
        <v/>
      </c>
    </row>
    <row r="2660" spans="1:7" s="172" customFormat="1" ht="15" customHeight="1" x14ac:dyDescent="0.25">
      <c r="A2660" s="835" t="s">
        <v>4595</v>
      </c>
      <c r="B2660" s="835" t="s">
        <v>10501</v>
      </c>
      <c r="C2660" s="835" t="s">
        <v>10501</v>
      </c>
      <c r="D2660" s="835" t="s">
        <v>11271</v>
      </c>
      <c r="E2660" s="835">
        <v>100</v>
      </c>
      <c r="F2660" s="836">
        <v>38</v>
      </c>
      <c r="G2660" s="202" t="str">
        <f t="shared" si="41"/>
        <v/>
      </c>
    </row>
    <row r="2661" spans="1:7" s="172" customFormat="1" ht="15" customHeight="1" x14ac:dyDescent="0.25">
      <c r="A2661" s="835" t="s">
        <v>10746</v>
      </c>
      <c r="B2661" s="835" t="s">
        <v>10501</v>
      </c>
      <c r="C2661" s="835" t="s">
        <v>10501</v>
      </c>
      <c r="D2661" s="835" t="s">
        <v>11276</v>
      </c>
      <c r="E2661" s="835">
        <v>60</v>
      </c>
      <c r="F2661" s="836">
        <v>22</v>
      </c>
      <c r="G2661" s="202" t="str">
        <f t="shared" si="41"/>
        <v/>
      </c>
    </row>
    <row r="2662" spans="1:7" s="172" customFormat="1" ht="15" customHeight="1" x14ac:dyDescent="0.25">
      <c r="A2662" s="835" t="s">
        <v>11277</v>
      </c>
      <c r="B2662" s="835" t="s">
        <v>10501</v>
      </c>
      <c r="C2662" s="835" t="s">
        <v>10501</v>
      </c>
      <c r="D2662" s="835" t="s">
        <v>11278</v>
      </c>
      <c r="E2662" s="835">
        <v>250</v>
      </c>
      <c r="F2662" s="836">
        <v>151</v>
      </c>
      <c r="G2662" s="202" t="str">
        <f t="shared" si="41"/>
        <v/>
      </c>
    </row>
    <row r="2663" spans="1:7" s="172" customFormat="1" ht="15" customHeight="1" x14ac:dyDescent="0.25">
      <c r="A2663" s="835" t="s">
        <v>11277</v>
      </c>
      <c r="B2663" s="835" t="s">
        <v>10501</v>
      </c>
      <c r="C2663" s="835" t="s">
        <v>10501</v>
      </c>
      <c r="D2663" s="835" t="s">
        <v>11279</v>
      </c>
      <c r="E2663" s="835">
        <v>160</v>
      </c>
      <c r="F2663" s="836">
        <v>72</v>
      </c>
      <c r="G2663" s="202" t="str">
        <f t="shared" si="41"/>
        <v/>
      </c>
    </row>
    <row r="2664" spans="1:7" s="172" customFormat="1" ht="15" customHeight="1" x14ac:dyDescent="0.25">
      <c r="A2664" s="835" t="s">
        <v>11277</v>
      </c>
      <c r="B2664" s="835" t="s">
        <v>10501</v>
      </c>
      <c r="C2664" s="835" t="s">
        <v>10501</v>
      </c>
      <c r="D2664" s="835" t="s">
        <v>11280</v>
      </c>
      <c r="E2664" s="835">
        <v>160</v>
      </c>
      <c r="F2664" s="836">
        <v>75</v>
      </c>
      <c r="G2664" s="202" t="str">
        <f t="shared" si="41"/>
        <v/>
      </c>
    </row>
    <row r="2665" spans="1:7" s="172" customFormat="1" ht="15" customHeight="1" x14ac:dyDescent="0.25">
      <c r="A2665" s="835" t="s">
        <v>11277</v>
      </c>
      <c r="B2665" s="835" t="s">
        <v>10501</v>
      </c>
      <c r="C2665" s="835" t="s">
        <v>10501</v>
      </c>
      <c r="D2665" s="835" t="s">
        <v>11281</v>
      </c>
      <c r="E2665" s="835">
        <v>400</v>
      </c>
      <c r="F2665" s="836">
        <v>176</v>
      </c>
      <c r="G2665" s="202" t="str">
        <f t="shared" si="41"/>
        <v/>
      </c>
    </row>
    <row r="2666" spans="1:7" s="172" customFormat="1" ht="15" customHeight="1" x14ac:dyDescent="0.25">
      <c r="A2666" s="835" t="s">
        <v>11272</v>
      </c>
      <c r="B2666" s="835" t="s">
        <v>10501</v>
      </c>
      <c r="C2666" s="835" t="s">
        <v>10501</v>
      </c>
      <c r="D2666" s="835" t="s">
        <v>11273</v>
      </c>
      <c r="E2666" s="835">
        <v>63</v>
      </c>
      <c r="F2666" s="836">
        <v>19</v>
      </c>
      <c r="G2666" s="202" t="str">
        <f t="shared" si="41"/>
        <v/>
      </c>
    </row>
    <row r="2667" spans="1:7" s="172" customFormat="1" ht="15" customHeight="1" x14ac:dyDescent="0.25">
      <c r="A2667" s="835" t="s">
        <v>11274</v>
      </c>
      <c r="B2667" s="835" t="s">
        <v>10501</v>
      </c>
      <c r="C2667" s="835" t="s">
        <v>10501</v>
      </c>
      <c r="D2667" s="835" t="s">
        <v>11275</v>
      </c>
      <c r="E2667" s="835">
        <v>63</v>
      </c>
      <c r="F2667" s="836">
        <v>29</v>
      </c>
      <c r="G2667" s="202" t="str">
        <f t="shared" si="41"/>
        <v/>
      </c>
    </row>
    <row r="2668" spans="1:7" s="172" customFormat="1" ht="15" customHeight="1" x14ac:dyDescent="0.25">
      <c r="A2668" s="835" t="s">
        <v>11265</v>
      </c>
      <c r="B2668" s="835" t="s">
        <v>10501</v>
      </c>
      <c r="C2668" s="835" t="s">
        <v>10501</v>
      </c>
      <c r="D2668" s="835" t="s">
        <v>11266</v>
      </c>
      <c r="E2668" s="835">
        <v>30</v>
      </c>
      <c r="F2668" s="836">
        <v>3</v>
      </c>
      <c r="G2668" s="202" t="str">
        <f t="shared" si="41"/>
        <v/>
      </c>
    </row>
    <row r="2669" spans="1:7" s="172" customFormat="1" ht="15" customHeight="1" x14ac:dyDescent="0.25">
      <c r="A2669" s="835" t="s">
        <v>11267</v>
      </c>
      <c r="B2669" s="835" t="s">
        <v>10501</v>
      </c>
      <c r="C2669" s="835" t="s">
        <v>10501</v>
      </c>
      <c r="D2669" s="835" t="s">
        <v>11268</v>
      </c>
      <c r="E2669" s="835">
        <v>63</v>
      </c>
      <c r="F2669" s="836">
        <v>24</v>
      </c>
      <c r="G2669" s="202" t="str">
        <f t="shared" si="41"/>
        <v/>
      </c>
    </row>
    <row r="2670" spans="1:7" s="172" customFormat="1" ht="15" customHeight="1" x14ac:dyDescent="0.25">
      <c r="A2670" s="835" t="s">
        <v>11267</v>
      </c>
      <c r="B2670" s="835" t="s">
        <v>10501</v>
      </c>
      <c r="C2670" s="835" t="s">
        <v>10501</v>
      </c>
      <c r="D2670" s="835" t="s">
        <v>11269</v>
      </c>
      <c r="E2670" s="835">
        <v>20</v>
      </c>
      <c r="F2670" s="836">
        <v>0</v>
      </c>
      <c r="G2670" s="202" t="str">
        <f t="shared" si="41"/>
        <v/>
      </c>
    </row>
    <row r="2671" spans="1:7" s="172" customFormat="1" ht="15" customHeight="1" x14ac:dyDescent="0.25">
      <c r="A2671" s="835" t="s">
        <v>11263</v>
      </c>
      <c r="B2671" s="835" t="s">
        <v>10501</v>
      </c>
      <c r="C2671" s="835" t="s">
        <v>10501</v>
      </c>
      <c r="D2671" s="835" t="s">
        <v>11264</v>
      </c>
      <c r="E2671" s="835">
        <v>30</v>
      </c>
      <c r="F2671" s="836">
        <v>3</v>
      </c>
      <c r="G2671" s="202" t="str">
        <f t="shared" si="41"/>
        <v/>
      </c>
    </row>
    <row r="2672" spans="1:7" s="172" customFormat="1" ht="15" customHeight="1" x14ac:dyDescent="0.25">
      <c r="A2672" s="835" t="s">
        <v>13258</v>
      </c>
      <c r="B2672" s="835" t="s">
        <v>10501</v>
      </c>
      <c r="C2672" s="835" t="s">
        <v>10501</v>
      </c>
      <c r="D2672" s="835" t="s">
        <v>11262</v>
      </c>
      <c r="E2672" s="835">
        <v>30</v>
      </c>
      <c r="F2672" s="836">
        <v>8</v>
      </c>
      <c r="G2672" s="202" t="str">
        <f t="shared" si="41"/>
        <v/>
      </c>
    </row>
    <row r="2673" spans="1:7" s="172" customFormat="1" ht="15" customHeight="1" x14ac:dyDescent="0.25">
      <c r="A2673" s="835" t="s">
        <v>11256</v>
      </c>
      <c r="B2673" s="835" t="s">
        <v>10501</v>
      </c>
      <c r="C2673" s="835" t="s">
        <v>10501</v>
      </c>
      <c r="D2673" s="835" t="s">
        <v>11257</v>
      </c>
      <c r="E2673" s="835">
        <v>30</v>
      </c>
      <c r="F2673" s="836">
        <v>5</v>
      </c>
      <c r="G2673" s="202" t="str">
        <f t="shared" si="41"/>
        <v/>
      </c>
    </row>
    <row r="2674" spans="1:7" s="172" customFormat="1" ht="15" customHeight="1" x14ac:dyDescent="0.25">
      <c r="A2674" s="835" t="s">
        <v>10605</v>
      </c>
      <c r="B2674" s="835" t="s">
        <v>10501</v>
      </c>
      <c r="C2674" s="835" t="s">
        <v>10501</v>
      </c>
      <c r="D2674" s="835" t="s">
        <v>11270</v>
      </c>
      <c r="E2674" s="835">
        <v>100</v>
      </c>
      <c r="F2674" s="836">
        <v>41</v>
      </c>
      <c r="G2674" s="202"/>
    </row>
    <row r="2675" spans="1:7" s="172" customFormat="1" ht="15" customHeight="1" x14ac:dyDescent="0.25">
      <c r="A2675" s="835" t="s">
        <v>11260</v>
      </c>
      <c r="B2675" s="835" t="s">
        <v>10501</v>
      </c>
      <c r="C2675" s="835" t="s">
        <v>10501</v>
      </c>
      <c r="D2675" s="835" t="s">
        <v>11261</v>
      </c>
      <c r="E2675" s="835">
        <v>100</v>
      </c>
      <c r="F2675" s="836">
        <v>35</v>
      </c>
      <c r="G2675" s="202" t="str">
        <f t="shared" si="41"/>
        <v/>
      </c>
    </row>
    <row r="2676" spans="1:7" s="172" customFormat="1" ht="15" customHeight="1" x14ac:dyDescent="0.25">
      <c r="A2676" s="835" t="s">
        <v>13259</v>
      </c>
      <c r="B2676" s="835" t="s">
        <v>10501</v>
      </c>
      <c r="C2676" s="835" t="s">
        <v>10501</v>
      </c>
      <c r="D2676" s="835" t="s">
        <v>11282</v>
      </c>
      <c r="E2676" s="835">
        <v>63</v>
      </c>
      <c r="F2676" s="836">
        <v>42</v>
      </c>
      <c r="G2676" s="202" t="str">
        <f t="shared" si="41"/>
        <v/>
      </c>
    </row>
    <row r="2677" spans="1:7" s="172" customFormat="1" ht="15" customHeight="1" x14ac:dyDescent="0.25">
      <c r="A2677" s="835" t="s">
        <v>11258</v>
      </c>
      <c r="B2677" s="835" t="s">
        <v>10501</v>
      </c>
      <c r="C2677" s="835" t="s">
        <v>10501</v>
      </c>
      <c r="D2677" s="835" t="s">
        <v>11259</v>
      </c>
      <c r="E2677" s="835">
        <v>100</v>
      </c>
      <c r="F2677" s="836">
        <v>29</v>
      </c>
      <c r="G2677" s="202" t="str">
        <f t="shared" si="41"/>
        <v/>
      </c>
    </row>
    <row r="2678" spans="1:7" s="172" customFormat="1" ht="15" customHeight="1" x14ac:dyDescent="0.25">
      <c r="A2678" s="835" t="s">
        <v>11195</v>
      </c>
      <c r="B2678" s="835" t="s">
        <v>10501</v>
      </c>
      <c r="C2678" s="835" t="s">
        <v>10501</v>
      </c>
      <c r="D2678" s="835" t="s">
        <v>11324</v>
      </c>
      <c r="E2678" s="835">
        <v>160</v>
      </c>
      <c r="F2678" s="836">
        <v>79</v>
      </c>
      <c r="G2678" s="202" t="str">
        <f t="shared" si="41"/>
        <v/>
      </c>
    </row>
    <row r="2679" spans="1:7" s="172" customFormat="1" ht="15" customHeight="1" x14ac:dyDescent="0.25">
      <c r="A2679" s="835" t="s">
        <v>13263</v>
      </c>
      <c r="B2679" s="835" t="s">
        <v>10822</v>
      </c>
      <c r="C2679" s="835" t="s">
        <v>10501</v>
      </c>
      <c r="D2679" s="835" t="s">
        <v>11321</v>
      </c>
      <c r="E2679" s="835">
        <v>100</v>
      </c>
      <c r="F2679" s="836">
        <v>49</v>
      </c>
      <c r="G2679" s="202" t="str">
        <f t="shared" si="41"/>
        <v/>
      </c>
    </row>
    <row r="2680" spans="1:7" s="172" customFormat="1" ht="15" customHeight="1" x14ac:dyDescent="0.25">
      <c r="A2680" s="835" t="s">
        <v>11322</v>
      </c>
      <c r="B2680" s="835" t="s">
        <v>10822</v>
      </c>
      <c r="C2680" s="835" t="s">
        <v>10501</v>
      </c>
      <c r="D2680" s="835" t="s">
        <v>11323</v>
      </c>
      <c r="E2680" s="835">
        <v>50</v>
      </c>
      <c r="F2680" s="836">
        <v>17</v>
      </c>
      <c r="G2680" s="202" t="str">
        <f t="shared" si="41"/>
        <v/>
      </c>
    </row>
    <row r="2681" spans="1:7" s="172" customFormat="1" ht="15" customHeight="1" x14ac:dyDescent="0.25">
      <c r="A2681" s="835" t="s">
        <v>11180</v>
      </c>
      <c r="B2681" s="835" t="s">
        <v>10822</v>
      </c>
      <c r="C2681" s="835" t="s">
        <v>10501</v>
      </c>
      <c r="D2681" s="835" t="s">
        <v>11319</v>
      </c>
      <c r="E2681" s="835">
        <v>50</v>
      </c>
      <c r="F2681" s="836">
        <v>10</v>
      </c>
      <c r="G2681" s="202" t="str">
        <f t="shared" si="41"/>
        <v/>
      </c>
    </row>
    <row r="2682" spans="1:7" s="172" customFormat="1" ht="15" customHeight="1" x14ac:dyDescent="0.25">
      <c r="A2682" s="835" t="s">
        <v>10801</v>
      </c>
      <c r="B2682" s="835" t="s">
        <v>10822</v>
      </c>
      <c r="C2682" s="835" t="s">
        <v>10501</v>
      </c>
      <c r="D2682" s="835" t="s">
        <v>11320</v>
      </c>
      <c r="E2682" s="835">
        <v>100</v>
      </c>
      <c r="F2682" s="836">
        <v>21</v>
      </c>
      <c r="G2682" s="202" t="str">
        <f t="shared" si="41"/>
        <v/>
      </c>
    </row>
    <row r="2683" spans="1:7" s="172" customFormat="1" ht="15" customHeight="1" x14ac:dyDescent="0.25">
      <c r="A2683" s="835" t="s">
        <v>11322</v>
      </c>
      <c r="B2683" s="835" t="s">
        <v>10501</v>
      </c>
      <c r="C2683" s="835" t="s">
        <v>10501</v>
      </c>
      <c r="D2683" s="835" t="s">
        <v>19196</v>
      </c>
      <c r="E2683" s="835">
        <v>25</v>
      </c>
      <c r="F2683" s="836">
        <v>8</v>
      </c>
      <c r="G2683" s="202" t="str">
        <f t="shared" si="41"/>
        <v/>
      </c>
    </row>
    <row r="2684" spans="1:7" s="172" customFormat="1" ht="15" customHeight="1" x14ac:dyDescent="0.25">
      <c r="A2684" s="835" t="s">
        <v>11322</v>
      </c>
      <c r="B2684" s="835" t="s">
        <v>10501</v>
      </c>
      <c r="C2684" s="835" t="s">
        <v>10501</v>
      </c>
      <c r="D2684" s="835" t="s">
        <v>19197</v>
      </c>
      <c r="E2684" s="835">
        <v>25</v>
      </c>
      <c r="F2684" s="836">
        <v>5</v>
      </c>
      <c r="G2684" s="202" t="str">
        <f t="shared" si="41"/>
        <v/>
      </c>
    </row>
    <row r="2685" spans="1:7" s="172" customFormat="1" ht="15" customHeight="1" x14ac:dyDescent="0.25">
      <c r="A2685" s="835" t="s">
        <v>11322</v>
      </c>
      <c r="B2685" s="835" t="s">
        <v>10501</v>
      </c>
      <c r="C2685" s="835" t="s">
        <v>10501</v>
      </c>
      <c r="D2685" s="835" t="s">
        <v>19198</v>
      </c>
      <c r="E2685" s="835">
        <v>25</v>
      </c>
      <c r="F2685" s="836">
        <v>10</v>
      </c>
      <c r="G2685" s="202" t="str">
        <f t="shared" si="41"/>
        <v/>
      </c>
    </row>
    <row r="2686" spans="1:7" s="172" customFormat="1" ht="15" customHeight="1" x14ac:dyDescent="0.25">
      <c r="A2686" s="835" t="s">
        <v>11322</v>
      </c>
      <c r="B2686" s="835" t="s">
        <v>10501</v>
      </c>
      <c r="C2686" s="835" t="s">
        <v>10501</v>
      </c>
      <c r="D2686" s="835" t="s">
        <v>19199</v>
      </c>
      <c r="E2686" s="835">
        <v>25</v>
      </c>
      <c r="F2686" s="836">
        <v>4</v>
      </c>
      <c r="G2686" s="202" t="str">
        <f t="shared" si="41"/>
        <v/>
      </c>
    </row>
    <row r="2687" spans="1:7" s="172" customFormat="1" ht="15" customHeight="1" x14ac:dyDescent="0.25">
      <c r="A2687" s="835" t="s">
        <v>11322</v>
      </c>
      <c r="B2687" s="835" t="s">
        <v>10501</v>
      </c>
      <c r="C2687" s="835" t="s">
        <v>10501</v>
      </c>
      <c r="D2687" s="835" t="s">
        <v>19697</v>
      </c>
      <c r="E2687" s="835">
        <v>25</v>
      </c>
      <c r="F2687" s="836">
        <v>10</v>
      </c>
      <c r="G2687" s="202" t="str">
        <f t="shared" si="41"/>
        <v/>
      </c>
    </row>
    <row r="2688" spans="1:7" s="172" customFormat="1" ht="15" customHeight="1" x14ac:dyDescent="0.25">
      <c r="A2688" s="835" t="s">
        <v>11322</v>
      </c>
      <c r="B2688" s="835" t="s">
        <v>10501</v>
      </c>
      <c r="C2688" s="835" t="s">
        <v>10501</v>
      </c>
      <c r="D2688" s="835" t="s">
        <v>19695</v>
      </c>
      <c r="E2688" s="835">
        <v>25</v>
      </c>
      <c r="F2688" s="836">
        <v>13</v>
      </c>
      <c r="G2688" s="202" t="str">
        <f t="shared" si="41"/>
        <v/>
      </c>
    </row>
    <row r="2689" spans="1:7" s="172" customFormat="1" ht="15" customHeight="1" x14ac:dyDescent="0.25">
      <c r="A2689" s="835" t="s">
        <v>11322</v>
      </c>
      <c r="B2689" s="835" t="s">
        <v>10501</v>
      </c>
      <c r="C2689" s="835" t="s">
        <v>10501</v>
      </c>
      <c r="D2689" s="835" t="s">
        <v>19696</v>
      </c>
      <c r="E2689" s="835">
        <v>25</v>
      </c>
      <c r="F2689" s="836">
        <v>7</v>
      </c>
      <c r="G2689" s="202" t="str">
        <f t="shared" si="41"/>
        <v/>
      </c>
    </row>
    <row r="2690" spans="1:7" s="172" customFormat="1" ht="15" customHeight="1" x14ac:dyDescent="0.25">
      <c r="A2690" s="835" t="s">
        <v>11322</v>
      </c>
      <c r="B2690" s="835" t="s">
        <v>10501</v>
      </c>
      <c r="C2690" s="835" t="s">
        <v>10501</v>
      </c>
      <c r="D2690" s="835" t="s">
        <v>19692</v>
      </c>
      <c r="E2690" s="835">
        <v>25</v>
      </c>
      <c r="F2690" s="836">
        <v>10</v>
      </c>
      <c r="G2690" s="202" t="str">
        <f t="shared" si="41"/>
        <v/>
      </c>
    </row>
    <row r="2691" spans="1:7" s="172" customFormat="1" ht="15" customHeight="1" x14ac:dyDescent="0.25">
      <c r="A2691" s="835" t="s">
        <v>11322</v>
      </c>
      <c r="B2691" s="835" t="s">
        <v>10501</v>
      </c>
      <c r="C2691" s="835" t="s">
        <v>10501</v>
      </c>
      <c r="D2691" s="835" t="s">
        <v>19693</v>
      </c>
      <c r="E2691" s="835">
        <v>25</v>
      </c>
      <c r="F2691" s="836">
        <v>11</v>
      </c>
      <c r="G2691" s="202" t="str">
        <f t="shared" si="41"/>
        <v/>
      </c>
    </row>
    <row r="2692" spans="1:7" s="172" customFormat="1" ht="15" customHeight="1" x14ac:dyDescent="0.25">
      <c r="A2692" s="835" t="s">
        <v>11322</v>
      </c>
      <c r="B2692" s="835" t="s">
        <v>10501</v>
      </c>
      <c r="C2692" s="835" t="s">
        <v>10501</v>
      </c>
      <c r="D2692" s="835" t="s">
        <v>19694</v>
      </c>
      <c r="E2692" s="835">
        <v>25</v>
      </c>
      <c r="F2692" s="836">
        <v>8</v>
      </c>
      <c r="G2692" s="202" t="str">
        <f t="shared" si="41"/>
        <v/>
      </c>
    </row>
    <row r="2693" spans="1:7" s="172" customFormat="1" ht="15" customHeight="1" x14ac:dyDescent="0.25">
      <c r="A2693" s="835" t="s">
        <v>13257</v>
      </c>
      <c r="B2693" s="835" t="s">
        <v>10501</v>
      </c>
      <c r="C2693" s="835" t="s">
        <v>10501</v>
      </c>
      <c r="D2693" s="835" t="s">
        <v>11255</v>
      </c>
      <c r="E2693" s="835">
        <v>100</v>
      </c>
      <c r="F2693" s="836">
        <v>53</v>
      </c>
      <c r="G2693" s="202" t="str">
        <f t="shared" si="41"/>
        <v/>
      </c>
    </row>
    <row r="2694" spans="1:7" s="172" customFormat="1" ht="15" customHeight="1" x14ac:dyDescent="0.25">
      <c r="A2694" s="835" t="s">
        <v>11252</v>
      </c>
      <c r="B2694" s="835" t="s">
        <v>10501</v>
      </c>
      <c r="C2694" s="835" t="s">
        <v>10501</v>
      </c>
      <c r="D2694" s="835" t="s">
        <v>11253</v>
      </c>
      <c r="E2694" s="835">
        <v>100</v>
      </c>
      <c r="F2694" s="836">
        <v>50</v>
      </c>
      <c r="G2694" s="202" t="str">
        <f t="shared" si="41"/>
        <v/>
      </c>
    </row>
    <row r="2695" spans="1:7" s="172" customFormat="1" ht="15" customHeight="1" x14ac:dyDescent="0.25">
      <c r="A2695" s="835" t="s">
        <v>10660</v>
      </c>
      <c r="B2695" s="835" t="s">
        <v>10501</v>
      </c>
      <c r="C2695" s="835" t="s">
        <v>10501</v>
      </c>
      <c r="D2695" s="835" t="s">
        <v>11237</v>
      </c>
      <c r="E2695" s="835">
        <v>63</v>
      </c>
      <c r="F2695" s="836">
        <v>24</v>
      </c>
      <c r="G2695" s="202" t="str">
        <f t="shared" si="41"/>
        <v/>
      </c>
    </row>
    <row r="2696" spans="1:7" s="172" customFormat="1" ht="15" customHeight="1" x14ac:dyDescent="0.25">
      <c r="A2696" s="835" t="s">
        <v>11250</v>
      </c>
      <c r="B2696" s="835" t="s">
        <v>10501</v>
      </c>
      <c r="C2696" s="835" t="s">
        <v>10501</v>
      </c>
      <c r="D2696" s="835" t="s">
        <v>11251</v>
      </c>
      <c r="E2696" s="835">
        <v>25</v>
      </c>
      <c r="F2696" s="836">
        <v>5</v>
      </c>
      <c r="G2696" s="202" t="str">
        <f t="shared" si="41"/>
        <v/>
      </c>
    </row>
    <row r="2697" spans="1:7" s="172" customFormat="1" ht="15" customHeight="1" x14ac:dyDescent="0.25">
      <c r="A2697" s="835" t="s">
        <v>11240</v>
      </c>
      <c r="B2697" s="835" t="s">
        <v>10501</v>
      </c>
      <c r="C2697" s="835" t="s">
        <v>10501</v>
      </c>
      <c r="D2697" s="835" t="s">
        <v>11241</v>
      </c>
      <c r="E2697" s="835">
        <v>30</v>
      </c>
      <c r="F2697" s="836">
        <v>0</v>
      </c>
      <c r="G2697" s="202" t="str">
        <f t="shared" si="41"/>
        <v/>
      </c>
    </row>
    <row r="2698" spans="1:7" s="172" customFormat="1" ht="15" customHeight="1" x14ac:dyDescent="0.25">
      <c r="A2698" s="835" t="s">
        <v>13256</v>
      </c>
      <c r="B2698" s="835" t="s">
        <v>10501</v>
      </c>
      <c r="C2698" s="835" t="s">
        <v>10501</v>
      </c>
      <c r="D2698" s="835" t="s">
        <v>11254</v>
      </c>
      <c r="E2698" s="835">
        <v>25</v>
      </c>
      <c r="F2698" s="836">
        <v>4</v>
      </c>
      <c r="G2698" s="202" t="str">
        <f t="shared" si="41"/>
        <v/>
      </c>
    </row>
    <row r="2699" spans="1:7" s="172" customFormat="1" ht="15" customHeight="1" x14ac:dyDescent="0.25">
      <c r="A2699" s="835" t="s">
        <v>10507</v>
      </c>
      <c r="B2699" s="835" t="s">
        <v>10501</v>
      </c>
      <c r="C2699" s="835" t="s">
        <v>10501</v>
      </c>
      <c r="D2699" s="835" t="s">
        <v>11245</v>
      </c>
      <c r="E2699" s="835">
        <v>25</v>
      </c>
      <c r="F2699" s="836">
        <v>0</v>
      </c>
      <c r="G2699" s="202" t="str">
        <f t="shared" ref="G2699:G2762" si="42">IF(E2699=F2699,"не загружен","")</f>
        <v/>
      </c>
    </row>
    <row r="2700" spans="1:7" s="172" customFormat="1" ht="15" customHeight="1" x14ac:dyDescent="0.25">
      <c r="A2700" s="835" t="s">
        <v>11238</v>
      </c>
      <c r="B2700" s="835" t="s">
        <v>10501</v>
      </c>
      <c r="C2700" s="835" t="s">
        <v>10501</v>
      </c>
      <c r="D2700" s="835" t="s">
        <v>11239</v>
      </c>
      <c r="E2700" s="835">
        <v>30</v>
      </c>
      <c r="F2700" s="836">
        <v>1</v>
      </c>
      <c r="G2700" s="202" t="str">
        <f t="shared" si="42"/>
        <v/>
      </c>
    </row>
    <row r="2701" spans="1:7" s="172" customFormat="1" ht="15" customHeight="1" x14ac:dyDescent="0.25">
      <c r="A2701" s="835" t="s">
        <v>11246</v>
      </c>
      <c r="B2701" s="835" t="s">
        <v>10501</v>
      </c>
      <c r="C2701" s="835" t="s">
        <v>10501</v>
      </c>
      <c r="D2701" s="835" t="s">
        <v>11247</v>
      </c>
      <c r="E2701" s="835">
        <v>100</v>
      </c>
      <c r="F2701" s="836">
        <v>28</v>
      </c>
      <c r="G2701" s="202" t="str">
        <f t="shared" si="42"/>
        <v/>
      </c>
    </row>
    <row r="2702" spans="1:7" s="172" customFormat="1" ht="15" customHeight="1" x14ac:dyDescent="0.25">
      <c r="A2702" s="835" t="s">
        <v>11248</v>
      </c>
      <c r="B2702" s="835" t="s">
        <v>10501</v>
      </c>
      <c r="C2702" s="835" t="s">
        <v>10501</v>
      </c>
      <c r="D2702" s="835" t="s">
        <v>11249</v>
      </c>
      <c r="E2702" s="835">
        <v>20</v>
      </c>
      <c r="F2702" s="836">
        <v>2</v>
      </c>
      <c r="G2702" s="202" t="str">
        <f t="shared" si="42"/>
        <v/>
      </c>
    </row>
    <row r="2703" spans="1:7" s="172" customFormat="1" ht="15" customHeight="1" x14ac:dyDescent="0.25">
      <c r="A2703" s="835" t="s">
        <v>11235</v>
      </c>
      <c r="B2703" s="835" t="s">
        <v>10501</v>
      </c>
      <c r="C2703" s="835" t="s">
        <v>10501</v>
      </c>
      <c r="D2703" s="835" t="s">
        <v>11236</v>
      </c>
      <c r="E2703" s="835">
        <v>160</v>
      </c>
      <c r="F2703" s="836">
        <v>72</v>
      </c>
      <c r="G2703" s="202" t="str">
        <f t="shared" si="42"/>
        <v/>
      </c>
    </row>
    <row r="2704" spans="1:7" s="172" customFormat="1" ht="15" customHeight="1" x14ac:dyDescent="0.25">
      <c r="A2704" s="835" t="s">
        <v>11243</v>
      </c>
      <c r="B2704" s="835" t="s">
        <v>10501</v>
      </c>
      <c r="C2704" s="835" t="s">
        <v>10501</v>
      </c>
      <c r="D2704" s="835" t="s">
        <v>11244</v>
      </c>
      <c r="E2704" s="835">
        <v>30</v>
      </c>
      <c r="F2704" s="836">
        <v>3</v>
      </c>
      <c r="G2704" s="202" t="str">
        <f t="shared" si="42"/>
        <v/>
      </c>
    </row>
    <row r="2705" spans="1:7" s="172" customFormat="1" ht="15" customHeight="1" x14ac:dyDescent="0.25">
      <c r="A2705" s="835" t="s">
        <v>10605</v>
      </c>
      <c r="B2705" s="835" t="s">
        <v>10501</v>
      </c>
      <c r="C2705" s="835" t="s">
        <v>10501</v>
      </c>
      <c r="D2705" s="835" t="s">
        <v>11242</v>
      </c>
      <c r="E2705" s="835">
        <v>100</v>
      </c>
      <c r="F2705" s="836">
        <v>35</v>
      </c>
      <c r="G2705" s="202" t="str">
        <f t="shared" si="42"/>
        <v/>
      </c>
    </row>
    <row r="2706" spans="1:7" s="172" customFormat="1" ht="15" customHeight="1" x14ac:dyDescent="0.25">
      <c r="A2706" s="835" t="s">
        <v>11195</v>
      </c>
      <c r="B2706" s="835" t="s">
        <v>10501</v>
      </c>
      <c r="C2706" s="835" t="s">
        <v>10501</v>
      </c>
      <c r="D2706" s="835" t="s">
        <v>11318</v>
      </c>
      <c r="E2706" s="835">
        <v>250</v>
      </c>
      <c r="F2706" s="836">
        <v>133</v>
      </c>
      <c r="G2706" s="202" t="str">
        <f t="shared" si="42"/>
        <v/>
      </c>
    </row>
    <row r="2707" spans="1:7" s="172" customFormat="1" ht="15" customHeight="1" x14ac:dyDescent="0.25">
      <c r="A2707" s="835" t="s">
        <v>5464</v>
      </c>
      <c r="B2707" s="835" t="s">
        <v>10501</v>
      </c>
      <c r="C2707" s="835" t="s">
        <v>10501</v>
      </c>
      <c r="D2707" s="835" t="s">
        <v>11316</v>
      </c>
      <c r="E2707" s="835">
        <v>100</v>
      </c>
      <c r="F2707" s="836">
        <v>37</v>
      </c>
      <c r="G2707" s="202" t="str">
        <f t="shared" si="42"/>
        <v/>
      </c>
    </row>
    <row r="2708" spans="1:7" s="172" customFormat="1" ht="15" customHeight="1" x14ac:dyDescent="0.25">
      <c r="A2708" s="835" t="s">
        <v>10605</v>
      </c>
      <c r="B2708" s="835" t="s">
        <v>10501</v>
      </c>
      <c r="C2708" s="835" t="s">
        <v>10501</v>
      </c>
      <c r="D2708" s="835" t="s">
        <v>11309</v>
      </c>
      <c r="E2708" s="835">
        <v>100</v>
      </c>
      <c r="F2708" s="836">
        <v>40</v>
      </c>
      <c r="G2708" s="202" t="str">
        <f t="shared" si="42"/>
        <v/>
      </c>
    </row>
    <row r="2709" spans="1:7" s="172" customFormat="1" ht="15" customHeight="1" x14ac:dyDescent="0.25">
      <c r="A2709" s="835" t="s">
        <v>10605</v>
      </c>
      <c r="B2709" s="835" t="s">
        <v>10501</v>
      </c>
      <c r="C2709" s="835" t="s">
        <v>10501</v>
      </c>
      <c r="D2709" s="835" t="s">
        <v>11310</v>
      </c>
      <c r="E2709" s="835">
        <v>50</v>
      </c>
      <c r="F2709" s="836">
        <v>12</v>
      </c>
      <c r="G2709" s="202" t="str">
        <f t="shared" si="42"/>
        <v/>
      </c>
    </row>
    <row r="2710" spans="1:7" s="172" customFormat="1" ht="15" customHeight="1" x14ac:dyDescent="0.25">
      <c r="A2710" s="835" t="s">
        <v>10605</v>
      </c>
      <c r="B2710" s="835" t="s">
        <v>10501</v>
      </c>
      <c r="C2710" s="835" t="s">
        <v>10501</v>
      </c>
      <c r="D2710" s="835" t="s">
        <v>11311</v>
      </c>
      <c r="E2710" s="835">
        <v>50</v>
      </c>
      <c r="F2710" s="836">
        <v>22</v>
      </c>
      <c r="G2710" s="202" t="str">
        <f t="shared" si="42"/>
        <v/>
      </c>
    </row>
    <row r="2711" spans="1:7" s="172" customFormat="1" ht="15" customHeight="1" x14ac:dyDescent="0.25">
      <c r="A2711" s="835" t="s">
        <v>10605</v>
      </c>
      <c r="B2711" s="835" t="s">
        <v>10501</v>
      </c>
      <c r="C2711" s="835" t="s">
        <v>10501</v>
      </c>
      <c r="D2711" s="835" t="s">
        <v>11312</v>
      </c>
      <c r="E2711" s="835">
        <v>250</v>
      </c>
      <c r="F2711" s="836">
        <v>91</v>
      </c>
      <c r="G2711" s="202" t="str">
        <f t="shared" si="42"/>
        <v/>
      </c>
    </row>
    <row r="2712" spans="1:7" s="172" customFormat="1" ht="15" customHeight="1" x14ac:dyDescent="0.25">
      <c r="A2712" s="835" t="s">
        <v>10605</v>
      </c>
      <c r="B2712" s="835" t="s">
        <v>10501</v>
      </c>
      <c r="C2712" s="835" t="s">
        <v>10501</v>
      </c>
      <c r="D2712" s="835" t="s">
        <v>11313</v>
      </c>
      <c r="E2712" s="835">
        <v>100</v>
      </c>
      <c r="F2712" s="836">
        <v>33</v>
      </c>
      <c r="G2712" s="202" t="str">
        <f t="shared" si="42"/>
        <v/>
      </c>
    </row>
    <row r="2713" spans="1:7" s="172" customFormat="1" ht="15" customHeight="1" x14ac:dyDescent="0.25">
      <c r="A2713" s="835" t="s">
        <v>10605</v>
      </c>
      <c r="B2713" s="835" t="s">
        <v>10501</v>
      </c>
      <c r="C2713" s="835" t="s">
        <v>10501</v>
      </c>
      <c r="D2713" s="835" t="s">
        <v>11314</v>
      </c>
      <c r="E2713" s="835">
        <v>160</v>
      </c>
      <c r="F2713" s="836">
        <v>13</v>
      </c>
      <c r="G2713" s="202" t="str">
        <f t="shared" si="42"/>
        <v/>
      </c>
    </row>
    <row r="2714" spans="1:7" s="172" customFormat="1" ht="15" customHeight="1" x14ac:dyDescent="0.25">
      <c r="A2714" s="835" t="s">
        <v>10605</v>
      </c>
      <c r="B2714" s="835" t="s">
        <v>10501</v>
      </c>
      <c r="C2714" s="835" t="s">
        <v>10501</v>
      </c>
      <c r="D2714" s="835" t="s">
        <v>11315</v>
      </c>
      <c r="E2714" s="835">
        <v>250</v>
      </c>
      <c r="F2714" s="836">
        <v>133</v>
      </c>
      <c r="G2714" s="202" t="str">
        <f t="shared" si="42"/>
        <v/>
      </c>
    </row>
    <row r="2715" spans="1:7" s="172" customFormat="1" ht="15" customHeight="1" x14ac:dyDescent="0.25">
      <c r="A2715" s="835" t="s">
        <v>10605</v>
      </c>
      <c r="B2715" s="835" t="s">
        <v>10501</v>
      </c>
      <c r="C2715" s="835" t="s">
        <v>10501</v>
      </c>
      <c r="D2715" s="835" t="s">
        <v>11317</v>
      </c>
      <c r="E2715" s="835">
        <v>250</v>
      </c>
      <c r="F2715" s="836">
        <v>148</v>
      </c>
      <c r="G2715" s="202" t="str">
        <f t="shared" si="42"/>
        <v/>
      </c>
    </row>
    <row r="2716" spans="1:7" s="172" customFormat="1" ht="15" customHeight="1" x14ac:dyDescent="0.25">
      <c r="A2716" s="835" t="s">
        <v>11233</v>
      </c>
      <c r="B2716" s="835" t="s">
        <v>10501</v>
      </c>
      <c r="C2716" s="835" t="s">
        <v>10501</v>
      </c>
      <c r="D2716" s="835" t="s">
        <v>11234</v>
      </c>
      <c r="E2716" s="835">
        <v>400</v>
      </c>
      <c r="F2716" s="836">
        <v>183</v>
      </c>
      <c r="G2716" s="202" t="str">
        <f t="shared" si="42"/>
        <v/>
      </c>
    </row>
    <row r="2717" spans="1:7" s="172" customFormat="1" ht="15" customHeight="1" x14ac:dyDescent="0.25">
      <c r="A2717" s="835" t="s">
        <v>13255</v>
      </c>
      <c r="B2717" s="835" t="s">
        <v>10822</v>
      </c>
      <c r="C2717" s="835" t="s">
        <v>10501</v>
      </c>
      <c r="D2717" s="835" t="s">
        <v>11225</v>
      </c>
      <c r="E2717" s="835">
        <v>160</v>
      </c>
      <c r="F2717" s="836">
        <v>75</v>
      </c>
      <c r="G2717" s="202" t="str">
        <f t="shared" si="42"/>
        <v/>
      </c>
    </row>
    <row r="2718" spans="1:7" s="172" customFormat="1" ht="15" customHeight="1" x14ac:dyDescent="0.25">
      <c r="A2718" s="835" t="s">
        <v>10746</v>
      </c>
      <c r="B2718" s="835" t="s">
        <v>10822</v>
      </c>
      <c r="C2718" s="835" t="s">
        <v>10501</v>
      </c>
      <c r="D2718" s="835" t="s">
        <v>11228</v>
      </c>
      <c r="E2718" s="835">
        <v>50</v>
      </c>
      <c r="F2718" s="836">
        <v>14</v>
      </c>
      <c r="G2718" s="202" t="str">
        <f t="shared" si="42"/>
        <v/>
      </c>
    </row>
    <row r="2719" spans="1:7" s="172" customFormat="1" ht="15" customHeight="1" x14ac:dyDescent="0.25">
      <c r="A2719" s="835" t="s">
        <v>11226</v>
      </c>
      <c r="B2719" s="835" t="s">
        <v>10822</v>
      </c>
      <c r="C2719" s="835" t="s">
        <v>10501</v>
      </c>
      <c r="D2719" s="835" t="s">
        <v>11227</v>
      </c>
      <c r="E2719" s="835">
        <v>100</v>
      </c>
      <c r="F2719" s="836">
        <v>41</v>
      </c>
      <c r="G2719" s="202" t="str">
        <f t="shared" si="42"/>
        <v/>
      </c>
    </row>
    <row r="2720" spans="1:7" s="172" customFormat="1" ht="15" customHeight="1" x14ac:dyDescent="0.25">
      <c r="A2720" s="835" t="s">
        <v>11229</v>
      </c>
      <c r="B2720" s="835" t="s">
        <v>10822</v>
      </c>
      <c r="C2720" s="835" t="s">
        <v>10501</v>
      </c>
      <c r="D2720" s="835" t="s">
        <v>11230</v>
      </c>
      <c r="E2720" s="835">
        <v>100</v>
      </c>
      <c r="F2720" s="836">
        <v>30</v>
      </c>
      <c r="G2720" s="202" t="str">
        <f t="shared" si="42"/>
        <v/>
      </c>
    </row>
    <row r="2721" spans="1:7" s="172" customFormat="1" ht="15" customHeight="1" x14ac:dyDescent="0.25">
      <c r="A2721" s="835" t="s">
        <v>11231</v>
      </c>
      <c r="B2721" s="835" t="s">
        <v>10822</v>
      </c>
      <c r="C2721" s="835" t="s">
        <v>10501</v>
      </c>
      <c r="D2721" s="835" t="s">
        <v>11232</v>
      </c>
      <c r="E2721" s="835">
        <v>160</v>
      </c>
      <c r="F2721" s="836">
        <v>75</v>
      </c>
      <c r="G2721" s="202" t="str">
        <f t="shared" si="42"/>
        <v/>
      </c>
    </row>
    <row r="2722" spans="1:7" s="172" customFormat="1" ht="15" customHeight="1" x14ac:dyDescent="0.25">
      <c r="A2722" s="835" t="s">
        <v>10605</v>
      </c>
      <c r="B2722" s="835" t="s">
        <v>10501</v>
      </c>
      <c r="C2722" s="835" t="s">
        <v>10501</v>
      </c>
      <c r="D2722" s="835" t="s">
        <v>11308</v>
      </c>
      <c r="E2722" s="835">
        <v>160</v>
      </c>
      <c r="F2722" s="836">
        <v>83</v>
      </c>
      <c r="G2722" s="202" t="str">
        <f t="shared" si="42"/>
        <v/>
      </c>
    </row>
    <row r="2723" spans="1:7" s="172" customFormat="1" ht="15" customHeight="1" x14ac:dyDescent="0.25">
      <c r="A2723" s="835" t="s">
        <v>11290</v>
      </c>
      <c r="B2723" s="835" t="s">
        <v>10501</v>
      </c>
      <c r="C2723" s="835" t="s">
        <v>10501</v>
      </c>
      <c r="D2723" s="835" t="s">
        <v>11291</v>
      </c>
      <c r="E2723" s="835">
        <v>20</v>
      </c>
      <c r="F2723" s="836">
        <v>0</v>
      </c>
      <c r="G2723" s="202" t="str">
        <f t="shared" si="42"/>
        <v/>
      </c>
    </row>
    <row r="2724" spans="1:7" s="172" customFormat="1" ht="15" customHeight="1" x14ac:dyDescent="0.25">
      <c r="A2724" s="835" t="s">
        <v>13261</v>
      </c>
      <c r="B2724" s="835" t="s">
        <v>10501</v>
      </c>
      <c r="C2724" s="835" t="s">
        <v>10501</v>
      </c>
      <c r="D2724" s="835" t="s">
        <v>11294</v>
      </c>
      <c r="E2724" s="835">
        <v>60</v>
      </c>
      <c r="F2724" s="836">
        <v>18</v>
      </c>
      <c r="G2724" s="202" t="str">
        <f t="shared" si="42"/>
        <v/>
      </c>
    </row>
    <row r="2725" spans="1:7" s="172" customFormat="1" ht="15" customHeight="1" x14ac:dyDescent="0.25">
      <c r="A2725" s="835" t="s">
        <v>11297</v>
      </c>
      <c r="B2725" s="835" t="s">
        <v>10501</v>
      </c>
      <c r="C2725" s="835" t="s">
        <v>10501</v>
      </c>
      <c r="D2725" s="835" t="s">
        <v>11298</v>
      </c>
      <c r="E2725" s="835">
        <v>30</v>
      </c>
      <c r="F2725" s="836">
        <v>3</v>
      </c>
      <c r="G2725" s="202" t="str">
        <f t="shared" si="42"/>
        <v/>
      </c>
    </row>
    <row r="2726" spans="1:7" s="172" customFormat="1" ht="15" customHeight="1" x14ac:dyDescent="0.25">
      <c r="A2726" s="835" t="s">
        <v>11300</v>
      </c>
      <c r="B2726" s="835" t="s">
        <v>10501</v>
      </c>
      <c r="C2726" s="835" t="s">
        <v>10501</v>
      </c>
      <c r="D2726" s="835" t="s">
        <v>11301</v>
      </c>
      <c r="E2726" s="835">
        <v>50</v>
      </c>
      <c r="F2726" s="836">
        <v>20</v>
      </c>
      <c r="G2726" s="202" t="str">
        <f t="shared" si="42"/>
        <v/>
      </c>
    </row>
    <row r="2727" spans="1:7" s="172" customFormat="1" ht="15" customHeight="1" x14ac:dyDescent="0.25">
      <c r="A2727" s="835" t="s">
        <v>13260</v>
      </c>
      <c r="B2727" s="835" t="s">
        <v>10501</v>
      </c>
      <c r="C2727" s="835" t="s">
        <v>10501</v>
      </c>
      <c r="D2727" s="835" t="s">
        <v>11283</v>
      </c>
      <c r="E2727" s="835">
        <v>250</v>
      </c>
      <c r="F2727" s="836">
        <v>189</v>
      </c>
      <c r="G2727" s="202" t="str">
        <f t="shared" si="42"/>
        <v/>
      </c>
    </row>
    <row r="2728" spans="1:7" s="172" customFormat="1" ht="15" customHeight="1" x14ac:dyDescent="0.25">
      <c r="A2728" s="835" t="s">
        <v>13262</v>
      </c>
      <c r="B2728" s="835" t="s">
        <v>10501</v>
      </c>
      <c r="C2728" s="835" t="s">
        <v>10501</v>
      </c>
      <c r="D2728" s="835" t="s">
        <v>11299</v>
      </c>
      <c r="E2728" s="835">
        <v>63</v>
      </c>
      <c r="F2728" s="836">
        <v>22</v>
      </c>
      <c r="G2728" s="202" t="str">
        <f t="shared" si="42"/>
        <v/>
      </c>
    </row>
    <row r="2729" spans="1:7" s="172" customFormat="1" ht="15" customHeight="1" x14ac:dyDescent="0.25">
      <c r="A2729" s="835" t="s">
        <v>11302</v>
      </c>
      <c r="B2729" s="835" t="s">
        <v>10501</v>
      </c>
      <c r="C2729" s="835" t="s">
        <v>10501</v>
      </c>
      <c r="D2729" s="835" t="s">
        <v>11303</v>
      </c>
      <c r="E2729" s="835">
        <v>100</v>
      </c>
      <c r="F2729" s="836">
        <v>63</v>
      </c>
      <c r="G2729" s="202" t="str">
        <f t="shared" si="42"/>
        <v/>
      </c>
    </row>
    <row r="2730" spans="1:7" s="172" customFormat="1" ht="15" customHeight="1" x14ac:dyDescent="0.25">
      <c r="A2730" s="835" t="s">
        <v>11233</v>
      </c>
      <c r="B2730" s="835" t="s">
        <v>10501</v>
      </c>
      <c r="C2730" s="835" t="s">
        <v>10501</v>
      </c>
      <c r="D2730" s="835" t="s">
        <v>11285</v>
      </c>
      <c r="E2730" s="835">
        <v>400</v>
      </c>
      <c r="F2730" s="836">
        <v>258</v>
      </c>
      <c r="G2730" s="202" t="str">
        <f t="shared" si="42"/>
        <v/>
      </c>
    </row>
    <row r="2731" spans="1:7" s="172" customFormat="1" ht="15" customHeight="1" x14ac:dyDescent="0.25">
      <c r="A2731" s="835" t="s">
        <v>11233</v>
      </c>
      <c r="B2731" s="835" t="s">
        <v>10501</v>
      </c>
      <c r="C2731" s="835" t="s">
        <v>10501</v>
      </c>
      <c r="D2731" s="835" t="s">
        <v>11286</v>
      </c>
      <c r="E2731" s="835">
        <v>400</v>
      </c>
      <c r="F2731" s="836">
        <v>185</v>
      </c>
      <c r="G2731" s="202" t="str">
        <f t="shared" si="42"/>
        <v/>
      </c>
    </row>
    <row r="2732" spans="1:7" s="172" customFormat="1" ht="15" customHeight="1" x14ac:dyDescent="0.25">
      <c r="A2732" s="835" t="s">
        <v>11233</v>
      </c>
      <c r="B2732" s="835" t="s">
        <v>10501</v>
      </c>
      <c r="C2732" s="835" t="s">
        <v>10501</v>
      </c>
      <c r="D2732" s="835" t="s">
        <v>11287</v>
      </c>
      <c r="E2732" s="835">
        <v>630</v>
      </c>
      <c r="F2732" s="836">
        <v>349</v>
      </c>
      <c r="G2732" s="202" t="str">
        <f t="shared" si="42"/>
        <v/>
      </c>
    </row>
    <row r="2733" spans="1:7" s="172" customFormat="1" ht="15" customHeight="1" x14ac:dyDescent="0.25">
      <c r="A2733" s="835" t="s">
        <v>11233</v>
      </c>
      <c r="B2733" s="835" t="s">
        <v>10501</v>
      </c>
      <c r="C2733" s="835" t="s">
        <v>10501</v>
      </c>
      <c r="D2733" s="835" t="s">
        <v>11288</v>
      </c>
      <c r="E2733" s="835">
        <v>100</v>
      </c>
      <c r="F2733" s="836">
        <v>26</v>
      </c>
      <c r="G2733" s="202" t="str">
        <f t="shared" si="42"/>
        <v/>
      </c>
    </row>
    <row r="2734" spans="1:7" s="172" customFormat="1" ht="15" customHeight="1" x14ac:dyDescent="0.25">
      <c r="A2734" s="835" t="s">
        <v>11233</v>
      </c>
      <c r="B2734" s="835" t="s">
        <v>10501</v>
      </c>
      <c r="C2734" s="835" t="s">
        <v>10501</v>
      </c>
      <c r="D2734" s="835" t="s">
        <v>11289</v>
      </c>
      <c r="E2734" s="835">
        <v>400</v>
      </c>
      <c r="F2734" s="836">
        <v>257</v>
      </c>
      <c r="G2734" s="202" t="str">
        <f t="shared" si="42"/>
        <v/>
      </c>
    </row>
    <row r="2735" spans="1:7" s="172" customFormat="1" ht="15" customHeight="1" x14ac:dyDescent="0.25">
      <c r="A2735" s="835" t="s">
        <v>11292</v>
      </c>
      <c r="B2735" s="835" t="s">
        <v>10501</v>
      </c>
      <c r="C2735" s="835" t="s">
        <v>10501</v>
      </c>
      <c r="D2735" s="835" t="s">
        <v>11293</v>
      </c>
      <c r="E2735" s="835">
        <v>50</v>
      </c>
      <c r="F2735" s="836">
        <v>14</v>
      </c>
      <c r="G2735" s="202" t="str">
        <f t="shared" si="42"/>
        <v/>
      </c>
    </row>
    <row r="2736" spans="1:7" s="172" customFormat="1" ht="15" customHeight="1" x14ac:dyDescent="0.25">
      <c r="A2736" s="835" t="s">
        <v>11306</v>
      </c>
      <c r="B2736" s="835" t="s">
        <v>10501</v>
      </c>
      <c r="C2736" s="835" t="s">
        <v>10501</v>
      </c>
      <c r="D2736" s="835" t="s">
        <v>11307</v>
      </c>
      <c r="E2736" s="835">
        <v>63</v>
      </c>
      <c r="F2736" s="836">
        <v>18</v>
      </c>
      <c r="G2736" s="202" t="str">
        <f t="shared" si="42"/>
        <v/>
      </c>
    </row>
    <row r="2737" spans="1:7" s="172" customFormat="1" ht="15" customHeight="1" x14ac:dyDescent="0.25">
      <c r="A2737" s="835" t="s">
        <v>11304</v>
      </c>
      <c r="B2737" s="835" t="s">
        <v>10501</v>
      </c>
      <c r="C2737" s="835" t="s">
        <v>10501</v>
      </c>
      <c r="D2737" s="835" t="s">
        <v>11305</v>
      </c>
      <c r="E2737" s="835">
        <v>30</v>
      </c>
      <c r="F2737" s="836">
        <v>7</v>
      </c>
      <c r="G2737" s="202" t="str">
        <f t="shared" si="42"/>
        <v/>
      </c>
    </row>
    <row r="2738" spans="1:7" s="172" customFormat="1" ht="15" customHeight="1" x14ac:dyDescent="0.25">
      <c r="A2738" s="835" t="s">
        <v>5289</v>
      </c>
      <c r="B2738" s="835" t="s">
        <v>10501</v>
      </c>
      <c r="C2738" s="835" t="s">
        <v>10501</v>
      </c>
      <c r="D2738" s="835" t="s">
        <v>11284</v>
      </c>
      <c r="E2738" s="835">
        <v>160</v>
      </c>
      <c r="F2738" s="836">
        <v>87</v>
      </c>
      <c r="G2738" s="202" t="str">
        <f t="shared" si="42"/>
        <v/>
      </c>
    </row>
    <row r="2739" spans="1:7" s="172" customFormat="1" ht="15" customHeight="1" x14ac:dyDescent="0.25">
      <c r="A2739" s="835" t="s">
        <v>11295</v>
      </c>
      <c r="B2739" s="835" t="s">
        <v>10501</v>
      </c>
      <c r="C2739" s="835" t="s">
        <v>10501</v>
      </c>
      <c r="D2739" s="835" t="s">
        <v>11296</v>
      </c>
      <c r="E2739" s="835">
        <v>60</v>
      </c>
      <c r="F2739" s="836">
        <v>16</v>
      </c>
      <c r="G2739" s="202" t="str">
        <f t="shared" si="42"/>
        <v/>
      </c>
    </row>
    <row r="2740" spans="1:7" s="172" customFormat="1" ht="15" customHeight="1" x14ac:dyDescent="0.25">
      <c r="A2740" s="835" t="s">
        <v>13254</v>
      </c>
      <c r="B2740" s="835" t="s">
        <v>10501</v>
      </c>
      <c r="C2740" s="835" t="s">
        <v>10501</v>
      </c>
      <c r="D2740" s="835" t="s">
        <v>11208</v>
      </c>
      <c r="E2740" s="835">
        <v>100</v>
      </c>
      <c r="F2740" s="836">
        <v>4</v>
      </c>
      <c r="G2740" s="202" t="str">
        <f t="shared" si="42"/>
        <v/>
      </c>
    </row>
    <row r="2741" spans="1:7" s="172" customFormat="1" ht="15" customHeight="1" x14ac:dyDescent="0.25">
      <c r="A2741" s="835" t="s">
        <v>13254</v>
      </c>
      <c r="B2741" s="835" t="s">
        <v>10501</v>
      </c>
      <c r="C2741" s="835" t="s">
        <v>10501</v>
      </c>
      <c r="D2741" s="835" t="s">
        <v>11209</v>
      </c>
      <c r="E2741" s="835">
        <v>60</v>
      </c>
      <c r="F2741" s="836">
        <v>14</v>
      </c>
      <c r="G2741" s="202" t="str">
        <f t="shared" si="42"/>
        <v/>
      </c>
    </row>
    <row r="2742" spans="1:7" s="172" customFormat="1" ht="15" customHeight="1" x14ac:dyDescent="0.25">
      <c r="A2742" s="835" t="s">
        <v>11215</v>
      </c>
      <c r="B2742" s="835" t="s">
        <v>10501</v>
      </c>
      <c r="C2742" s="835" t="s">
        <v>10501</v>
      </c>
      <c r="D2742" s="835" t="s">
        <v>11216</v>
      </c>
      <c r="E2742" s="835">
        <v>60</v>
      </c>
      <c r="F2742" s="836">
        <v>0</v>
      </c>
      <c r="G2742" s="202" t="str">
        <f t="shared" si="42"/>
        <v/>
      </c>
    </row>
    <row r="2743" spans="1:7" s="172" customFormat="1" ht="15" customHeight="1" x14ac:dyDescent="0.25">
      <c r="A2743" s="835" t="s">
        <v>11195</v>
      </c>
      <c r="B2743" s="835" t="s">
        <v>10501</v>
      </c>
      <c r="C2743" s="835" t="s">
        <v>10501</v>
      </c>
      <c r="D2743" s="835" t="s">
        <v>11196</v>
      </c>
      <c r="E2743" s="835">
        <v>250</v>
      </c>
      <c r="F2743" s="836">
        <v>105</v>
      </c>
      <c r="G2743" s="202" t="str">
        <f t="shared" si="42"/>
        <v/>
      </c>
    </row>
    <row r="2744" spans="1:7" s="172" customFormat="1" ht="15" customHeight="1" x14ac:dyDescent="0.25">
      <c r="A2744" s="835" t="s">
        <v>11206</v>
      </c>
      <c r="B2744" s="835" t="s">
        <v>10501</v>
      </c>
      <c r="C2744" s="835" t="s">
        <v>10501</v>
      </c>
      <c r="D2744" s="835" t="s">
        <v>11207</v>
      </c>
      <c r="E2744" s="835">
        <v>160</v>
      </c>
      <c r="F2744" s="836">
        <v>53</v>
      </c>
      <c r="G2744" s="202" t="str">
        <f t="shared" si="42"/>
        <v/>
      </c>
    </row>
    <row r="2745" spans="1:7" s="172" customFormat="1" ht="15" customHeight="1" x14ac:dyDescent="0.25">
      <c r="A2745" s="835" t="s">
        <v>11202</v>
      </c>
      <c r="B2745" s="835" t="s">
        <v>10501</v>
      </c>
      <c r="C2745" s="835" t="s">
        <v>10501</v>
      </c>
      <c r="D2745" s="835" t="s">
        <v>11203</v>
      </c>
      <c r="E2745" s="835">
        <v>160</v>
      </c>
      <c r="F2745" s="836">
        <v>94</v>
      </c>
      <c r="G2745" s="202" t="str">
        <f t="shared" si="42"/>
        <v/>
      </c>
    </row>
    <row r="2746" spans="1:7" s="172" customFormat="1" ht="15" customHeight="1" x14ac:dyDescent="0.25">
      <c r="A2746" s="835" t="s">
        <v>11204</v>
      </c>
      <c r="B2746" s="835" t="s">
        <v>10501</v>
      </c>
      <c r="C2746" s="835" t="s">
        <v>10501</v>
      </c>
      <c r="D2746" s="835" t="s">
        <v>11205</v>
      </c>
      <c r="E2746" s="835">
        <v>30</v>
      </c>
      <c r="F2746" s="836">
        <v>1</v>
      </c>
      <c r="G2746" s="202" t="str">
        <f t="shared" si="42"/>
        <v/>
      </c>
    </row>
    <row r="2747" spans="1:7" s="172" customFormat="1" ht="15" customHeight="1" x14ac:dyDescent="0.25">
      <c r="A2747" s="835" t="s">
        <v>11220</v>
      </c>
      <c r="B2747" s="835" t="s">
        <v>10501</v>
      </c>
      <c r="C2747" s="835" t="s">
        <v>10501</v>
      </c>
      <c r="D2747" s="835" t="s">
        <v>11221</v>
      </c>
      <c r="E2747" s="835">
        <v>100</v>
      </c>
      <c r="F2747" s="836">
        <v>38</v>
      </c>
      <c r="G2747" s="202" t="str">
        <f t="shared" si="42"/>
        <v/>
      </c>
    </row>
    <row r="2748" spans="1:7" s="172" customFormat="1" ht="15" customHeight="1" x14ac:dyDescent="0.25">
      <c r="A2748" s="835" t="s">
        <v>11220</v>
      </c>
      <c r="B2748" s="835" t="s">
        <v>10501</v>
      </c>
      <c r="C2748" s="835" t="s">
        <v>10501</v>
      </c>
      <c r="D2748" s="835" t="s">
        <v>11222</v>
      </c>
      <c r="E2748" s="835">
        <v>100</v>
      </c>
      <c r="F2748" s="836">
        <v>42</v>
      </c>
      <c r="G2748" s="202" t="str">
        <f t="shared" si="42"/>
        <v/>
      </c>
    </row>
    <row r="2749" spans="1:7" s="172" customFormat="1" ht="15" customHeight="1" x14ac:dyDescent="0.25">
      <c r="A2749" s="835" t="s">
        <v>11213</v>
      </c>
      <c r="B2749" s="835" t="s">
        <v>10501</v>
      </c>
      <c r="C2749" s="835" t="s">
        <v>10501</v>
      </c>
      <c r="D2749" s="835" t="s">
        <v>11214</v>
      </c>
      <c r="E2749" s="835">
        <v>63</v>
      </c>
      <c r="F2749" s="836">
        <v>24</v>
      </c>
      <c r="G2749" s="202" t="str">
        <f t="shared" si="42"/>
        <v/>
      </c>
    </row>
    <row r="2750" spans="1:7" s="172" customFormat="1" ht="15" customHeight="1" x14ac:dyDescent="0.25">
      <c r="A2750" s="835" t="s">
        <v>11200</v>
      </c>
      <c r="B2750" s="835" t="s">
        <v>10501</v>
      </c>
      <c r="C2750" s="835" t="s">
        <v>10501</v>
      </c>
      <c r="D2750" s="835" t="s">
        <v>11201</v>
      </c>
      <c r="E2750" s="835">
        <v>250</v>
      </c>
      <c r="F2750" s="836">
        <v>151</v>
      </c>
      <c r="G2750" s="202" t="str">
        <f t="shared" si="42"/>
        <v/>
      </c>
    </row>
    <row r="2751" spans="1:7" s="172" customFormat="1" ht="15" customHeight="1" x14ac:dyDescent="0.25">
      <c r="A2751" s="835" t="s">
        <v>11210</v>
      </c>
      <c r="B2751" s="835" t="s">
        <v>10501</v>
      </c>
      <c r="C2751" s="835" t="s">
        <v>10501</v>
      </c>
      <c r="D2751" s="835" t="s">
        <v>11211</v>
      </c>
      <c r="E2751" s="835">
        <v>30</v>
      </c>
      <c r="F2751" s="836">
        <v>0</v>
      </c>
      <c r="G2751" s="202" t="str">
        <f t="shared" si="42"/>
        <v/>
      </c>
    </row>
    <row r="2752" spans="1:7" s="172" customFormat="1" ht="15" customHeight="1" x14ac:dyDescent="0.25">
      <c r="A2752" s="835" t="s">
        <v>11197</v>
      </c>
      <c r="B2752" s="835" t="s">
        <v>10501</v>
      </c>
      <c r="C2752" s="835" t="s">
        <v>10501</v>
      </c>
      <c r="D2752" s="835" t="s">
        <v>11198</v>
      </c>
      <c r="E2752" s="835">
        <v>100</v>
      </c>
      <c r="F2752" s="836">
        <v>41</v>
      </c>
      <c r="G2752" s="202" t="str">
        <f t="shared" si="42"/>
        <v/>
      </c>
    </row>
    <row r="2753" spans="1:7" s="172" customFormat="1" ht="15" customHeight="1" x14ac:dyDescent="0.25">
      <c r="A2753" s="835" t="s">
        <v>10762</v>
      </c>
      <c r="B2753" s="835" t="s">
        <v>10501</v>
      </c>
      <c r="C2753" s="835" t="s">
        <v>10501</v>
      </c>
      <c r="D2753" s="835" t="s">
        <v>11199</v>
      </c>
      <c r="E2753" s="835">
        <v>100</v>
      </c>
      <c r="F2753" s="836">
        <v>34</v>
      </c>
      <c r="G2753" s="202" t="str">
        <f t="shared" si="42"/>
        <v/>
      </c>
    </row>
    <row r="2754" spans="1:7" s="172" customFormat="1" ht="15" customHeight="1" x14ac:dyDescent="0.25">
      <c r="A2754" s="835" t="s">
        <v>10854</v>
      </c>
      <c r="B2754" s="835" t="s">
        <v>10501</v>
      </c>
      <c r="C2754" s="835" t="s">
        <v>10501</v>
      </c>
      <c r="D2754" s="835" t="s">
        <v>11212</v>
      </c>
      <c r="E2754" s="835">
        <v>100</v>
      </c>
      <c r="F2754" s="836">
        <v>35</v>
      </c>
      <c r="G2754" s="202" t="str">
        <f t="shared" si="42"/>
        <v/>
      </c>
    </row>
    <row r="2755" spans="1:7" s="172" customFormat="1" ht="15" customHeight="1" x14ac:dyDescent="0.25">
      <c r="A2755" s="835" t="s">
        <v>10605</v>
      </c>
      <c r="B2755" s="835" t="s">
        <v>10501</v>
      </c>
      <c r="C2755" s="835" t="s">
        <v>10501</v>
      </c>
      <c r="D2755" s="835" t="s">
        <v>11193</v>
      </c>
      <c r="E2755" s="835">
        <v>180</v>
      </c>
      <c r="F2755" s="836">
        <v>78</v>
      </c>
      <c r="G2755" s="202" t="str">
        <f t="shared" si="42"/>
        <v/>
      </c>
    </row>
    <row r="2756" spans="1:7" s="172" customFormat="1" ht="15" customHeight="1" x14ac:dyDescent="0.25">
      <c r="A2756" s="835" t="s">
        <v>10605</v>
      </c>
      <c r="B2756" s="835" t="s">
        <v>10501</v>
      </c>
      <c r="C2756" s="835" t="s">
        <v>10501</v>
      </c>
      <c r="D2756" s="835" t="s">
        <v>11194</v>
      </c>
      <c r="E2756" s="835">
        <v>180</v>
      </c>
      <c r="F2756" s="836">
        <v>115</v>
      </c>
      <c r="G2756" s="202" t="str">
        <f t="shared" si="42"/>
        <v/>
      </c>
    </row>
    <row r="2757" spans="1:7" s="172" customFormat="1" ht="15" customHeight="1" x14ac:dyDescent="0.25">
      <c r="A2757" s="835" t="s">
        <v>11217</v>
      </c>
      <c r="B2757" s="835" t="s">
        <v>10501</v>
      </c>
      <c r="C2757" s="835" t="s">
        <v>10501</v>
      </c>
      <c r="D2757" s="835" t="s">
        <v>11218</v>
      </c>
      <c r="E2757" s="835">
        <v>100</v>
      </c>
      <c r="F2757" s="836">
        <v>50</v>
      </c>
      <c r="G2757" s="202" t="str">
        <f t="shared" si="42"/>
        <v/>
      </c>
    </row>
    <row r="2758" spans="1:7" s="172" customFormat="1" ht="15" customHeight="1" x14ac:dyDescent="0.25">
      <c r="A2758" s="835" t="s">
        <v>11217</v>
      </c>
      <c r="B2758" s="835" t="s">
        <v>10501</v>
      </c>
      <c r="C2758" s="835" t="s">
        <v>10501</v>
      </c>
      <c r="D2758" s="835" t="s">
        <v>11219</v>
      </c>
      <c r="E2758" s="835">
        <v>100</v>
      </c>
      <c r="F2758" s="836">
        <v>55</v>
      </c>
      <c r="G2758" s="202" t="str">
        <f t="shared" si="42"/>
        <v/>
      </c>
    </row>
    <row r="2759" spans="1:7" s="172" customFormat="1" ht="15" customHeight="1" x14ac:dyDescent="0.25">
      <c r="A2759" s="835" t="s">
        <v>11223</v>
      </c>
      <c r="B2759" s="835" t="s">
        <v>10501</v>
      </c>
      <c r="C2759" s="835" t="s">
        <v>10501</v>
      </c>
      <c r="D2759" s="835" t="s">
        <v>11224</v>
      </c>
      <c r="E2759" s="835">
        <v>100</v>
      </c>
      <c r="F2759" s="836">
        <v>55</v>
      </c>
      <c r="G2759" s="202" t="str">
        <f t="shared" si="42"/>
        <v/>
      </c>
    </row>
    <row r="2760" spans="1:7" s="172" customFormat="1" ht="15" customHeight="1" x14ac:dyDescent="0.25">
      <c r="A2760" s="835" t="s">
        <v>4413</v>
      </c>
      <c r="B2760" s="835" t="s">
        <v>10822</v>
      </c>
      <c r="C2760" s="835" t="s">
        <v>10501</v>
      </c>
      <c r="D2760" s="835" t="s">
        <v>11170</v>
      </c>
      <c r="E2760" s="835">
        <v>100</v>
      </c>
      <c r="F2760" s="836">
        <v>27</v>
      </c>
      <c r="G2760" s="202" t="str">
        <f t="shared" si="42"/>
        <v/>
      </c>
    </row>
    <row r="2761" spans="1:7" s="172" customFormat="1" ht="15" customHeight="1" x14ac:dyDescent="0.25">
      <c r="A2761" s="835" t="s">
        <v>11171</v>
      </c>
      <c r="B2761" s="835" t="s">
        <v>10822</v>
      </c>
      <c r="C2761" s="835" t="s">
        <v>10501</v>
      </c>
      <c r="D2761" s="835" t="s">
        <v>11172</v>
      </c>
      <c r="E2761" s="835">
        <v>100</v>
      </c>
      <c r="F2761" s="836">
        <v>37</v>
      </c>
      <c r="G2761" s="202" t="str">
        <f t="shared" si="42"/>
        <v/>
      </c>
    </row>
    <row r="2762" spans="1:7" s="172" customFormat="1" ht="15" customHeight="1" x14ac:dyDescent="0.25">
      <c r="A2762" s="835" t="s">
        <v>5196</v>
      </c>
      <c r="B2762" s="835" t="s">
        <v>10822</v>
      </c>
      <c r="C2762" s="835" t="s">
        <v>10501</v>
      </c>
      <c r="D2762" s="835" t="s">
        <v>11162</v>
      </c>
      <c r="E2762" s="835">
        <v>250</v>
      </c>
      <c r="F2762" s="836">
        <v>116</v>
      </c>
      <c r="G2762" s="202" t="str">
        <f t="shared" si="42"/>
        <v/>
      </c>
    </row>
    <row r="2763" spans="1:7" s="172" customFormat="1" ht="15" customHeight="1" x14ac:dyDescent="0.25">
      <c r="A2763" s="835" t="s">
        <v>5196</v>
      </c>
      <c r="B2763" s="835" t="s">
        <v>10822</v>
      </c>
      <c r="C2763" s="835" t="s">
        <v>10501</v>
      </c>
      <c r="D2763" s="835" t="s">
        <v>11163</v>
      </c>
      <c r="E2763" s="835">
        <v>60</v>
      </c>
      <c r="F2763" s="836">
        <v>6</v>
      </c>
      <c r="G2763" s="202" t="str">
        <f t="shared" ref="G2763:G2826" si="43">IF(E2763=F2763,"не загружен","")</f>
        <v/>
      </c>
    </row>
    <row r="2764" spans="1:7" s="172" customFormat="1" ht="15" customHeight="1" x14ac:dyDescent="0.25">
      <c r="A2764" s="835" t="s">
        <v>5196</v>
      </c>
      <c r="B2764" s="835" t="s">
        <v>10822</v>
      </c>
      <c r="C2764" s="835" t="s">
        <v>10501</v>
      </c>
      <c r="D2764" s="835" t="s">
        <v>11164</v>
      </c>
      <c r="E2764" s="835">
        <v>30</v>
      </c>
      <c r="F2764" s="836">
        <v>0</v>
      </c>
      <c r="G2764" s="202" t="str">
        <f t="shared" si="43"/>
        <v/>
      </c>
    </row>
    <row r="2765" spans="1:7" s="172" customFormat="1" ht="15" customHeight="1" x14ac:dyDescent="0.25">
      <c r="A2765" s="835" t="s">
        <v>11165</v>
      </c>
      <c r="B2765" s="835" t="s">
        <v>10822</v>
      </c>
      <c r="C2765" s="835" t="s">
        <v>10501</v>
      </c>
      <c r="D2765" s="835" t="s">
        <v>11166</v>
      </c>
      <c r="E2765" s="835">
        <v>100</v>
      </c>
      <c r="F2765" s="836">
        <v>24</v>
      </c>
      <c r="G2765" s="202" t="str">
        <f t="shared" si="43"/>
        <v/>
      </c>
    </row>
    <row r="2766" spans="1:7" s="172" customFormat="1" ht="15" customHeight="1" x14ac:dyDescent="0.25">
      <c r="A2766" s="835" t="s">
        <v>11173</v>
      </c>
      <c r="B2766" s="835" t="s">
        <v>10822</v>
      </c>
      <c r="C2766" s="835" t="s">
        <v>10501</v>
      </c>
      <c r="D2766" s="835" t="s">
        <v>11174</v>
      </c>
      <c r="E2766" s="835">
        <v>100</v>
      </c>
      <c r="F2766" s="836">
        <v>35</v>
      </c>
      <c r="G2766" s="202" t="str">
        <f t="shared" si="43"/>
        <v/>
      </c>
    </row>
    <row r="2767" spans="1:7" s="172" customFormat="1" ht="15" customHeight="1" x14ac:dyDescent="0.25">
      <c r="A2767" s="835" t="s">
        <v>11167</v>
      </c>
      <c r="B2767" s="835" t="s">
        <v>10822</v>
      </c>
      <c r="C2767" s="835" t="s">
        <v>10501</v>
      </c>
      <c r="D2767" s="835" t="s">
        <v>11168</v>
      </c>
      <c r="E2767" s="835">
        <v>100</v>
      </c>
      <c r="F2767" s="836">
        <v>22</v>
      </c>
      <c r="G2767" s="202" t="str">
        <f t="shared" si="43"/>
        <v/>
      </c>
    </row>
    <row r="2768" spans="1:7" s="172" customFormat="1" ht="15" customHeight="1" x14ac:dyDescent="0.25">
      <c r="A2768" s="835" t="s">
        <v>11167</v>
      </c>
      <c r="B2768" s="835" t="s">
        <v>10822</v>
      </c>
      <c r="C2768" s="835" t="s">
        <v>10501</v>
      </c>
      <c r="D2768" s="835" t="s">
        <v>11169</v>
      </c>
      <c r="E2768" s="835">
        <v>63</v>
      </c>
      <c r="F2768" s="836">
        <v>10</v>
      </c>
      <c r="G2768" s="202" t="str">
        <f t="shared" si="43"/>
        <v/>
      </c>
    </row>
    <row r="2769" spans="1:7" s="172" customFormat="1" ht="15" customHeight="1" x14ac:dyDescent="0.25">
      <c r="A2769" s="835" t="s">
        <v>17716</v>
      </c>
      <c r="B2769" s="835" t="s">
        <v>10501</v>
      </c>
      <c r="C2769" s="835" t="s">
        <v>10501</v>
      </c>
      <c r="D2769" s="835" t="s">
        <v>18154</v>
      </c>
      <c r="E2769" s="835">
        <v>1260</v>
      </c>
      <c r="F2769" s="836">
        <v>541</v>
      </c>
      <c r="G2769" s="202" t="str">
        <f t="shared" si="43"/>
        <v/>
      </c>
    </row>
    <row r="2770" spans="1:7" s="172" customFormat="1" ht="15" customHeight="1" x14ac:dyDescent="0.25">
      <c r="A2770" s="835" t="s">
        <v>11057</v>
      </c>
      <c r="B2770" s="835" t="s">
        <v>10501</v>
      </c>
      <c r="C2770" s="835" t="s">
        <v>10501</v>
      </c>
      <c r="D2770" s="835" t="s">
        <v>11058</v>
      </c>
      <c r="E2770" s="835">
        <v>100</v>
      </c>
      <c r="F2770" s="836">
        <v>8</v>
      </c>
      <c r="G2770" s="202" t="str">
        <f t="shared" si="43"/>
        <v/>
      </c>
    </row>
    <row r="2771" spans="1:7" s="172" customFormat="1" ht="15" customHeight="1" x14ac:dyDescent="0.25">
      <c r="A2771" s="835" t="s">
        <v>11059</v>
      </c>
      <c r="B2771" s="835" t="s">
        <v>10501</v>
      </c>
      <c r="C2771" s="835" t="s">
        <v>10501</v>
      </c>
      <c r="D2771" s="835" t="s">
        <v>11060</v>
      </c>
      <c r="E2771" s="835">
        <v>250</v>
      </c>
      <c r="F2771" s="836">
        <v>58</v>
      </c>
      <c r="G2771" s="202" t="str">
        <f t="shared" si="43"/>
        <v/>
      </c>
    </row>
    <row r="2772" spans="1:7" s="172" customFormat="1" ht="15" customHeight="1" x14ac:dyDescent="0.25">
      <c r="A2772" s="835" t="s">
        <v>11061</v>
      </c>
      <c r="B2772" s="835" t="s">
        <v>10501</v>
      </c>
      <c r="C2772" s="835" t="s">
        <v>10501</v>
      </c>
      <c r="D2772" s="835" t="s">
        <v>11062</v>
      </c>
      <c r="E2772" s="835">
        <v>100</v>
      </c>
      <c r="F2772" s="836">
        <v>9</v>
      </c>
      <c r="G2772" s="202" t="str">
        <f t="shared" si="43"/>
        <v/>
      </c>
    </row>
    <row r="2773" spans="1:7" s="172" customFormat="1" ht="15" customHeight="1" x14ac:dyDescent="0.25">
      <c r="A2773" s="835" t="s">
        <v>13248</v>
      </c>
      <c r="B2773" s="835" t="s">
        <v>10501</v>
      </c>
      <c r="C2773" s="835" t="s">
        <v>10501</v>
      </c>
      <c r="D2773" s="835" t="s">
        <v>11056</v>
      </c>
      <c r="E2773" s="835">
        <v>800</v>
      </c>
      <c r="F2773" s="836">
        <v>346</v>
      </c>
      <c r="G2773" s="202" t="str">
        <f t="shared" si="43"/>
        <v/>
      </c>
    </row>
    <row r="2774" spans="1:7" s="172" customFormat="1" ht="15" customHeight="1" x14ac:dyDescent="0.25">
      <c r="A2774" s="835" t="s">
        <v>11052</v>
      </c>
      <c r="B2774" s="835" t="s">
        <v>10501</v>
      </c>
      <c r="C2774" s="835" t="s">
        <v>10501</v>
      </c>
      <c r="D2774" s="835" t="s">
        <v>11053</v>
      </c>
      <c r="E2774" s="835">
        <v>100</v>
      </c>
      <c r="F2774" s="836">
        <v>30</v>
      </c>
      <c r="G2774" s="202" t="str">
        <f t="shared" si="43"/>
        <v/>
      </c>
    </row>
    <row r="2775" spans="1:7" s="172" customFormat="1" ht="15" customHeight="1" x14ac:dyDescent="0.25">
      <c r="A2775" s="835" t="s">
        <v>11047</v>
      </c>
      <c r="B2775" s="835" t="s">
        <v>10501</v>
      </c>
      <c r="C2775" s="835" t="s">
        <v>10501</v>
      </c>
      <c r="D2775" s="835" t="s">
        <v>11048</v>
      </c>
      <c r="E2775" s="835">
        <v>180</v>
      </c>
      <c r="F2775" s="836">
        <v>21</v>
      </c>
      <c r="G2775" s="202" t="str">
        <f t="shared" si="43"/>
        <v/>
      </c>
    </row>
    <row r="2776" spans="1:7" s="172" customFormat="1" ht="15" customHeight="1" x14ac:dyDescent="0.25">
      <c r="A2776" s="835" t="s">
        <v>5185</v>
      </c>
      <c r="B2776" s="835" t="s">
        <v>10501</v>
      </c>
      <c r="C2776" s="835" t="s">
        <v>10501</v>
      </c>
      <c r="D2776" s="835" t="s">
        <v>11051</v>
      </c>
      <c r="E2776" s="835">
        <v>160</v>
      </c>
      <c r="F2776" s="836">
        <v>27</v>
      </c>
      <c r="G2776" s="202" t="str">
        <f t="shared" si="43"/>
        <v/>
      </c>
    </row>
    <row r="2777" spans="1:7" s="172" customFormat="1" ht="15" customHeight="1" x14ac:dyDescent="0.25">
      <c r="A2777" s="835" t="s">
        <v>13247</v>
      </c>
      <c r="B2777" s="835" t="s">
        <v>10501</v>
      </c>
      <c r="C2777" s="835" t="s">
        <v>10501</v>
      </c>
      <c r="D2777" s="835" t="s">
        <v>11055</v>
      </c>
      <c r="E2777" s="835">
        <v>250</v>
      </c>
      <c r="F2777" s="836">
        <v>57</v>
      </c>
      <c r="G2777" s="202" t="str">
        <f t="shared" si="43"/>
        <v/>
      </c>
    </row>
    <row r="2778" spans="1:7" s="172" customFormat="1" ht="15" customHeight="1" x14ac:dyDescent="0.25">
      <c r="A2778" s="835" t="s">
        <v>11049</v>
      </c>
      <c r="B2778" s="835" t="s">
        <v>10501</v>
      </c>
      <c r="C2778" s="835" t="s">
        <v>10501</v>
      </c>
      <c r="D2778" s="835" t="s">
        <v>11050</v>
      </c>
      <c r="E2778" s="835">
        <v>160</v>
      </c>
      <c r="F2778" s="836">
        <v>51</v>
      </c>
      <c r="G2778" s="202" t="str">
        <f t="shared" si="43"/>
        <v/>
      </c>
    </row>
    <row r="2779" spans="1:7" s="172" customFormat="1" ht="15" customHeight="1" x14ac:dyDescent="0.25">
      <c r="A2779" s="835" t="s">
        <v>11049</v>
      </c>
      <c r="B2779" s="835" t="s">
        <v>10501</v>
      </c>
      <c r="C2779" s="835" t="s">
        <v>10501</v>
      </c>
      <c r="D2779" s="835" t="s">
        <v>11054</v>
      </c>
      <c r="E2779" s="835">
        <v>160</v>
      </c>
      <c r="F2779" s="836">
        <v>54</v>
      </c>
      <c r="G2779" s="202" t="str">
        <f t="shared" si="43"/>
        <v/>
      </c>
    </row>
    <row r="2780" spans="1:7" s="172" customFormat="1" ht="15" customHeight="1" x14ac:dyDescent="0.25">
      <c r="A2780" s="835" t="s">
        <v>10655</v>
      </c>
      <c r="B2780" s="835" t="s">
        <v>10501</v>
      </c>
      <c r="C2780" s="835" t="s">
        <v>10501</v>
      </c>
      <c r="D2780" s="835" t="s">
        <v>11043</v>
      </c>
      <c r="E2780" s="835">
        <v>100</v>
      </c>
      <c r="F2780" s="836">
        <v>25</v>
      </c>
      <c r="G2780" s="202" t="str">
        <f t="shared" si="43"/>
        <v/>
      </c>
    </row>
    <row r="2781" spans="1:7" s="172" customFormat="1" ht="15" customHeight="1" x14ac:dyDescent="0.25">
      <c r="A2781" s="835" t="s">
        <v>11044</v>
      </c>
      <c r="B2781" s="835" t="s">
        <v>10501</v>
      </c>
      <c r="C2781" s="835" t="s">
        <v>10501</v>
      </c>
      <c r="D2781" s="835" t="s">
        <v>11045</v>
      </c>
      <c r="E2781" s="835">
        <v>400</v>
      </c>
      <c r="F2781" s="836">
        <v>302</v>
      </c>
      <c r="G2781" s="202" t="str">
        <f t="shared" si="43"/>
        <v/>
      </c>
    </row>
    <row r="2782" spans="1:7" s="172" customFormat="1" ht="15" customHeight="1" x14ac:dyDescent="0.25">
      <c r="A2782" s="835" t="s">
        <v>11044</v>
      </c>
      <c r="B2782" s="835" t="s">
        <v>10501</v>
      </c>
      <c r="C2782" s="835" t="s">
        <v>10501</v>
      </c>
      <c r="D2782" s="835" t="s">
        <v>11046</v>
      </c>
      <c r="E2782" s="835">
        <v>630</v>
      </c>
      <c r="F2782" s="836">
        <v>169</v>
      </c>
      <c r="G2782" s="202" t="str">
        <f t="shared" si="43"/>
        <v/>
      </c>
    </row>
    <row r="2783" spans="1:7" s="172" customFormat="1" ht="15" customHeight="1" x14ac:dyDescent="0.25">
      <c r="A2783" s="835" t="s">
        <v>11027</v>
      </c>
      <c r="B2783" s="835" t="s">
        <v>10501</v>
      </c>
      <c r="C2783" s="835" t="s">
        <v>10501</v>
      </c>
      <c r="D2783" s="835" t="s">
        <v>11041</v>
      </c>
      <c r="E2783" s="835">
        <v>250</v>
      </c>
      <c r="F2783" s="836">
        <v>136</v>
      </c>
      <c r="G2783" s="202" t="str">
        <f t="shared" si="43"/>
        <v/>
      </c>
    </row>
    <row r="2784" spans="1:7" s="172" customFormat="1" ht="15" customHeight="1" x14ac:dyDescent="0.25">
      <c r="A2784" s="835" t="s">
        <v>11027</v>
      </c>
      <c r="B2784" s="835" t="s">
        <v>10501</v>
      </c>
      <c r="C2784" s="835" t="s">
        <v>10501</v>
      </c>
      <c r="D2784" s="835" t="s">
        <v>11042</v>
      </c>
      <c r="E2784" s="835">
        <v>250</v>
      </c>
      <c r="F2784" s="836">
        <v>131</v>
      </c>
      <c r="G2784" s="202" t="str">
        <f t="shared" si="43"/>
        <v/>
      </c>
    </row>
    <row r="2785" spans="1:7" s="172" customFormat="1" ht="15" customHeight="1" x14ac:dyDescent="0.25">
      <c r="A2785" s="835" t="s">
        <v>11027</v>
      </c>
      <c r="B2785" s="835" t="s">
        <v>10501</v>
      </c>
      <c r="C2785" s="835" t="s">
        <v>10501</v>
      </c>
      <c r="D2785" s="835" t="s">
        <v>11039</v>
      </c>
      <c r="E2785" s="835">
        <v>63</v>
      </c>
      <c r="F2785" s="836">
        <v>1</v>
      </c>
      <c r="G2785" s="202" t="str">
        <f t="shared" si="43"/>
        <v/>
      </c>
    </row>
    <row r="2786" spans="1:7" s="172" customFormat="1" ht="15" customHeight="1" x14ac:dyDescent="0.25">
      <c r="A2786" s="835" t="s">
        <v>11027</v>
      </c>
      <c r="B2786" s="835" t="s">
        <v>10501</v>
      </c>
      <c r="C2786" s="835" t="s">
        <v>10501</v>
      </c>
      <c r="D2786" s="835" t="s">
        <v>11040</v>
      </c>
      <c r="E2786" s="835">
        <v>250</v>
      </c>
      <c r="F2786" s="836">
        <v>61</v>
      </c>
      <c r="G2786" s="202" t="str">
        <f t="shared" si="43"/>
        <v/>
      </c>
    </row>
    <row r="2787" spans="1:7" s="172" customFormat="1" ht="15" customHeight="1" x14ac:dyDescent="0.25">
      <c r="A2787" s="835" t="s">
        <v>10971</v>
      </c>
      <c r="B2787" s="835" t="s">
        <v>10501</v>
      </c>
      <c r="C2787" s="835" t="s">
        <v>10501</v>
      </c>
      <c r="D2787" s="835" t="s">
        <v>11035</v>
      </c>
      <c r="E2787" s="835">
        <v>160</v>
      </c>
      <c r="F2787" s="836">
        <v>18</v>
      </c>
      <c r="G2787" s="202" t="str">
        <f t="shared" si="43"/>
        <v/>
      </c>
    </row>
    <row r="2788" spans="1:7" s="172" customFormat="1" ht="15" customHeight="1" x14ac:dyDescent="0.25">
      <c r="A2788" s="835" t="s">
        <v>10971</v>
      </c>
      <c r="B2788" s="835" t="s">
        <v>10501</v>
      </c>
      <c r="C2788" s="835" t="s">
        <v>10501</v>
      </c>
      <c r="D2788" s="835" t="s">
        <v>11037</v>
      </c>
      <c r="E2788" s="835">
        <v>250</v>
      </c>
      <c r="F2788" s="836">
        <v>154</v>
      </c>
      <c r="G2788" s="202" t="str">
        <f t="shared" si="43"/>
        <v/>
      </c>
    </row>
    <row r="2789" spans="1:7" s="172" customFormat="1" ht="15" customHeight="1" x14ac:dyDescent="0.25">
      <c r="A2789" s="835" t="s">
        <v>11031</v>
      </c>
      <c r="B2789" s="835" t="s">
        <v>10501</v>
      </c>
      <c r="C2789" s="835" t="s">
        <v>10501</v>
      </c>
      <c r="D2789" s="835" t="s">
        <v>11032</v>
      </c>
      <c r="E2789" s="835">
        <v>160</v>
      </c>
      <c r="F2789" s="836">
        <v>31</v>
      </c>
      <c r="G2789" s="202" t="str">
        <f t="shared" si="43"/>
        <v/>
      </c>
    </row>
    <row r="2790" spans="1:7" s="172" customFormat="1" ht="15" customHeight="1" x14ac:dyDescent="0.25">
      <c r="A2790" s="835" t="s">
        <v>11031</v>
      </c>
      <c r="B2790" s="835" t="s">
        <v>10501</v>
      </c>
      <c r="C2790" s="835" t="s">
        <v>10501</v>
      </c>
      <c r="D2790" s="835" t="s">
        <v>11036</v>
      </c>
      <c r="E2790" s="835">
        <v>100</v>
      </c>
      <c r="F2790" s="836">
        <v>28</v>
      </c>
      <c r="G2790" s="202" t="str">
        <f t="shared" si="43"/>
        <v/>
      </c>
    </row>
    <row r="2791" spans="1:7" s="172" customFormat="1" ht="15" customHeight="1" x14ac:dyDescent="0.25">
      <c r="A2791" s="835" t="s">
        <v>11033</v>
      </c>
      <c r="B2791" s="835" t="s">
        <v>10501</v>
      </c>
      <c r="C2791" s="835" t="s">
        <v>10501</v>
      </c>
      <c r="D2791" s="835" t="s">
        <v>11034</v>
      </c>
      <c r="E2791" s="835">
        <v>60</v>
      </c>
      <c r="F2791" s="836">
        <v>0</v>
      </c>
      <c r="G2791" s="202" t="str">
        <f t="shared" si="43"/>
        <v/>
      </c>
    </row>
    <row r="2792" spans="1:7" s="172" customFormat="1" ht="15" customHeight="1" x14ac:dyDescent="0.25">
      <c r="A2792" s="835" t="s">
        <v>11033</v>
      </c>
      <c r="B2792" s="835" t="s">
        <v>10501</v>
      </c>
      <c r="C2792" s="835" t="s">
        <v>10501</v>
      </c>
      <c r="D2792" s="835" t="s">
        <v>11038</v>
      </c>
      <c r="E2792" s="835">
        <v>63</v>
      </c>
      <c r="F2792" s="836">
        <v>3</v>
      </c>
      <c r="G2792" s="202" t="str">
        <f t="shared" si="43"/>
        <v/>
      </c>
    </row>
    <row r="2793" spans="1:7" s="172" customFormat="1" ht="15" customHeight="1" x14ac:dyDescent="0.25">
      <c r="A2793" s="835" t="s">
        <v>11029</v>
      </c>
      <c r="B2793" s="835" t="s">
        <v>10501</v>
      </c>
      <c r="C2793" s="835" t="s">
        <v>10501</v>
      </c>
      <c r="D2793" s="835" t="s">
        <v>11030</v>
      </c>
      <c r="E2793" s="835">
        <v>160</v>
      </c>
      <c r="F2793" s="836">
        <v>17</v>
      </c>
      <c r="G2793" s="202" t="str">
        <f t="shared" si="43"/>
        <v/>
      </c>
    </row>
    <row r="2794" spans="1:7" s="172" customFormat="1" ht="15" customHeight="1" x14ac:dyDescent="0.25">
      <c r="A2794" s="835" t="s">
        <v>11027</v>
      </c>
      <c r="B2794" s="835" t="s">
        <v>10501</v>
      </c>
      <c r="C2794" s="835" t="s">
        <v>10501</v>
      </c>
      <c r="D2794" s="835" t="s">
        <v>11028</v>
      </c>
      <c r="E2794" s="835">
        <v>100</v>
      </c>
      <c r="F2794" s="836">
        <v>0</v>
      </c>
      <c r="G2794" s="202" t="str">
        <f t="shared" si="43"/>
        <v/>
      </c>
    </row>
    <row r="2795" spans="1:7" s="172" customFormat="1" ht="15" customHeight="1" x14ac:dyDescent="0.25">
      <c r="A2795" s="835" t="s">
        <v>11347</v>
      </c>
      <c r="B2795" s="835" t="s">
        <v>10501</v>
      </c>
      <c r="C2795" s="835" t="s">
        <v>10501</v>
      </c>
      <c r="D2795" s="835" t="s">
        <v>11348</v>
      </c>
      <c r="E2795" s="835">
        <v>60</v>
      </c>
      <c r="F2795" s="836">
        <v>26</v>
      </c>
      <c r="G2795" s="202" t="str">
        <f t="shared" si="43"/>
        <v/>
      </c>
    </row>
    <row r="2796" spans="1:7" s="172" customFormat="1" ht="15" customHeight="1" x14ac:dyDescent="0.25">
      <c r="A2796" s="835" t="s">
        <v>11345</v>
      </c>
      <c r="B2796" s="835" t="s">
        <v>10501</v>
      </c>
      <c r="C2796" s="835" t="s">
        <v>10501</v>
      </c>
      <c r="D2796" s="835" t="s">
        <v>11346</v>
      </c>
      <c r="E2796" s="835">
        <v>63</v>
      </c>
      <c r="F2796" s="836">
        <v>20</v>
      </c>
      <c r="G2796" s="202" t="str">
        <f t="shared" si="43"/>
        <v/>
      </c>
    </row>
    <row r="2797" spans="1:7" s="172" customFormat="1" ht="15" customHeight="1" x14ac:dyDescent="0.25">
      <c r="A2797" s="835" t="s">
        <v>10738</v>
      </c>
      <c r="B2797" s="835" t="s">
        <v>10501</v>
      </c>
      <c r="C2797" s="835" t="s">
        <v>10501</v>
      </c>
      <c r="D2797" s="835" t="s">
        <v>11340</v>
      </c>
      <c r="E2797" s="835">
        <v>63</v>
      </c>
      <c r="F2797" s="836">
        <v>18</v>
      </c>
      <c r="G2797" s="202" t="str">
        <f t="shared" si="43"/>
        <v/>
      </c>
    </row>
    <row r="2798" spans="1:7" s="172" customFormat="1" ht="15" customHeight="1" x14ac:dyDescent="0.25">
      <c r="A2798" s="835" t="s">
        <v>13265</v>
      </c>
      <c r="B2798" s="835" t="s">
        <v>10501</v>
      </c>
      <c r="C2798" s="835" t="s">
        <v>10501</v>
      </c>
      <c r="D2798" s="835" t="s">
        <v>11339</v>
      </c>
      <c r="E2798" s="835">
        <v>63</v>
      </c>
      <c r="F2798" s="836">
        <v>30</v>
      </c>
      <c r="G2798" s="202" t="str">
        <f t="shared" si="43"/>
        <v/>
      </c>
    </row>
    <row r="2799" spans="1:7" s="172" customFormat="1" ht="15" customHeight="1" x14ac:dyDescent="0.25">
      <c r="A2799" s="835" t="s">
        <v>5455</v>
      </c>
      <c r="B2799" s="835" t="s">
        <v>10501</v>
      </c>
      <c r="C2799" s="835" t="s">
        <v>10501</v>
      </c>
      <c r="D2799" s="835" t="s">
        <v>11341</v>
      </c>
      <c r="E2799" s="835">
        <v>315</v>
      </c>
      <c r="F2799" s="836">
        <v>178</v>
      </c>
      <c r="G2799" s="202" t="str">
        <f t="shared" si="43"/>
        <v/>
      </c>
    </row>
    <row r="2800" spans="1:7" s="172" customFormat="1" ht="15" customHeight="1" x14ac:dyDescent="0.25">
      <c r="A2800" s="835" t="s">
        <v>5455</v>
      </c>
      <c r="B2800" s="835" t="s">
        <v>10501</v>
      </c>
      <c r="C2800" s="835" t="s">
        <v>10501</v>
      </c>
      <c r="D2800" s="835" t="s">
        <v>11342</v>
      </c>
      <c r="E2800" s="835">
        <v>160</v>
      </c>
      <c r="F2800" s="836">
        <v>96</v>
      </c>
      <c r="G2800" s="202" t="str">
        <f t="shared" si="43"/>
        <v/>
      </c>
    </row>
    <row r="2801" spans="1:7" s="172" customFormat="1" ht="15" customHeight="1" x14ac:dyDescent="0.25">
      <c r="A2801" s="835" t="s">
        <v>5455</v>
      </c>
      <c r="B2801" s="835" t="s">
        <v>10501</v>
      </c>
      <c r="C2801" s="835" t="s">
        <v>10501</v>
      </c>
      <c r="D2801" s="835" t="s">
        <v>11343</v>
      </c>
      <c r="E2801" s="835">
        <v>100</v>
      </c>
      <c r="F2801" s="836">
        <v>17</v>
      </c>
      <c r="G2801" s="202" t="str">
        <f t="shared" si="43"/>
        <v/>
      </c>
    </row>
    <row r="2802" spans="1:7" s="172" customFormat="1" ht="15" customHeight="1" x14ac:dyDescent="0.25">
      <c r="A2802" s="835" t="s">
        <v>5455</v>
      </c>
      <c r="B2802" s="835" t="s">
        <v>10501</v>
      </c>
      <c r="C2802" s="835" t="s">
        <v>10501</v>
      </c>
      <c r="D2802" s="835" t="s">
        <v>11344</v>
      </c>
      <c r="E2802" s="835">
        <v>250</v>
      </c>
      <c r="F2802" s="836">
        <v>91</v>
      </c>
      <c r="G2802" s="202" t="str">
        <f t="shared" si="43"/>
        <v/>
      </c>
    </row>
    <row r="2803" spans="1:7" s="172" customFormat="1" ht="15" customHeight="1" x14ac:dyDescent="0.25">
      <c r="A2803" s="835" t="s">
        <v>11325</v>
      </c>
      <c r="B2803" s="835" t="s">
        <v>10501</v>
      </c>
      <c r="C2803" s="835" t="s">
        <v>10501</v>
      </c>
      <c r="D2803" s="835" t="s">
        <v>11338</v>
      </c>
      <c r="E2803" s="835">
        <v>160</v>
      </c>
      <c r="F2803" s="836">
        <v>100</v>
      </c>
      <c r="G2803" s="202" t="str">
        <f t="shared" si="43"/>
        <v/>
      </c>
    </row>
    <row r="2804" spans="1:7" s="172" customFormat="1" ht="15" customHeight="1" x14ac:dyDescent="0.25">
      <c r="A2804" s="835" t="s">
        <v>13264</v>
      </c>
      <c r="B2804" s="835" t="s">
        <v>10501</v>
      </c>
      <c r="C2804" s="835" t="s">
        <v>10501</v>
      </c>
      <c r="D2804" s="835" t="s">
        <v>11337</v>
      </c>
      <c r="E2804" s="835">
        <v>100</v>
      </c>
      <c r="F2804" s="836">
        <v>13</v>
      </c>
      <c r="G2804" s="202" t="str">
        <f t="shared" si="43"/>
        <v/>
      </c>
    </row>
    <row r="2805" spans="1:7" s="172" customFormat="1" ht="15" customHeight="1" x14ac:dyDescent="0.25">
      <c r="A2805" s="835" t="s">
        <v>13252</v>
      </c>
      <c r="B2805" s="835" t="s">
        <v>10501</v>
      </c>
      <c r="C2805" s="835" t="s">
        <v>10501</v>
      </c>
      <c r="D2805" s="835" t="s">
        <v>11158</v>
      </c>
      <c r="E2805" s="835">
        <v>160</v>
      </c>
      <c r="F2805" s="836">
        <v>76</v>
      </c>
      <c r="G2805" s="202" t="str">
        <f t="shared" si="43"/>
        <v/>
      </c>
    </row>
    <row r="2806" spans="1:7" s="172" customFormat="1" ht="15" customHeight="1" x14ac:dyDescent="0.25">
      <c r="A2806" s="835" t="s">
        <v>13253</v>
      </c>
      <c r="B2806" s="835" t="s">
        <v>10501</v>
      </c>
      <c r="C2806" s="835" t="s">
        <v>10501</v>
      </c>
      <c r="D2806" s="835" t="s">
        <v>11161</v>
      </c>
      <c r="E2806" s="835">
        <v>63</v>
      </c>
      <c r="F2806" s="836">
        <v>9</v>
      </c>
      <c r="G2806" s="202" t="str">
        <f t="shared" si="43"/>
        <v/>
      </c>
    </row>
    <row r="2807" spans="1:7" s="172" customFormat="1" ht="15" customHeight="1" x14ac:dyDescent="0.25">
      <c r="A2807" s="835" t="s">
        <v>11159</v>
      </c>
      <c r="B2807" s="835" t="s">
        <v>10501</v>
      </c>
      <c r="C2807" s="835" t="s">
        <v>10501</v>
      </c>
      <c r="D2807" s="835" t="s">
        <v>11160</v>
      </c>
      <c r="E2807" s="835">
        <v>63</v>
      </c>
      <c r="F2807" s="836">
        <v>0</v>
      </c>
      <c r="G2807" s="202" t="str">
        <f t="shared" si="43"/>
        <v/>
      </c>
    </row>
    <row r="2808" spans="1:7" s="172" customFormat="1" ht="15" customHeight="1" x14ac:dyDescent="0.25">
      <c r="A2808" s="835" t="s">
        <v>10738</v>
      </c>
      <c r="B2808" s="835" t="s">
        <v>10501</v>
      </c>
      <c r="C2808" s="835" t="s">
        <v>10501</v>
      </c>
      <c r="D2808" s="835" t="s">
        <v>11157</v>
      </c>
      <c r="E2808" s="835">
        <v>100</v>
      </c>
      <c r="F2808" s="836">
        <v>28</v>
      </c>
      <c r="G2808" s="202" t="str">
        <f t="shared" si="43"/>
        <v/>
      </c>
    </row>
    <row r="2809" spans="1:7" s="172" customFormat="1" ht="15" customHeight="1" x14ac:dyDescent="0.25">
      <c r="A2809" s="835" t="s">
        <v>13244</v>
      </c>
      <c r="B2809" s="835" t="s">
        <v>10501</v>
      </c>
      <c r="C2809" s="835" t="s">
        <v>10501</v>
      </c>
      <c r="D2809" s="835" t="s">
        <v>11012</v>
      </c>
      <c r="E2809" s="835">
        <v>63</v>
      </c>
      <c r="F2809" s="836">
        <v>14</v>
      </c>
      <c r="G2809" s="202" t="str">
        <f t="shared" si="43"/>
        <v/>
      </c>
    </row>
    <row r="2810" spans="1:7" s="172" customFormat="1" ht="15" customHeight="1" x14ac:dyDescent="0.25">
      <c r="A2810" s="835" t="s">
        <v>13244</v>
      </c>
      <c r="B2810" s="835" t="s">
        <v>10501</v>
      </c>
      <c r="C2810" s="835" t="s">
        <v>10501</v>
      </c>
      <c r="D2810" s="835" t="s">
        <v>11013</v>
      </c>
      <c r="E2810" s="835">
        <v>250</v>
      </c>
      <c r="F2810" s="836">
        <v>108</v>
      </c>
      <c r="G2810" s="202" t="str">
        <f t="shared" si="43"/>
        <v/>
      </c>
    </row>
    <row r="2811" spans="1:7" s="172" customFormat="1" ht="15" customHeight="1" x14ac:dyDescent="0.25">
      <c r="A2811" s="835" t="s">
        <v>11008</v>
      </c>
      <c r="B2811" s="835" t="s">
        <v>10501</v>
      </c>
      <c r="C2811" s="835" t="s">
        <v>10501</v>
      </c>
      <c r="D2811" s="835" t="s">
        <v>11009</v>
      </c>
      <c r="E2811" s="835">
        <v>63</v>
      </c>
      <c r="F2811" s="836">
        <v>18</v>
      </c>
      <c r="G2811" s="202" t="str">
        <f t="shared" si="43"/>
        <v/>
      </c>
    </row>
    <row r="2812" spans="1:7" s="172" customFormat="1" ht="15" customHeight="1" x14ac:dyDescent="0.25">
      <c r="A2812" s="835" t="s">
        <v>11000</v>
      </c>
      <c r="B2812" s="835" t="s">
        <v>10501</v>
      </c>
      <c r="C2812" s="835" t="s">
        <v>10501</v>
      </c>
      <c r="D2812" s="835" t="s">
        <v>11001</v>
      </c>
      <c r="E2812" s="835">
        <v>63</v>
      </c>
      <c r="F2812" s="836">
        <v>21</v>
      </c>
      <c r="G2812" s="202" t="str">
        <f t="shared" si="43"/>
        <v/>
      </c>
    </row>
    <row r="2813" spans="1:7" s="172" customFormat="1" ht="15" customHeight="1" x14ac:dyDescent="0.25">
      <c r="A2813" s="835" t="s">
        <v>10996</v>
      </c>
      <c r="B2813" s="835" t="s">
        <v>10501</v>
      </c>
      <c r="C2813" s="835" t="s">
        <v>10501</v>
      </c>
      <c r="D2813" s="835" t="s">
        <v>10997</v>
      </c>
      <c r="E2813" s="835">
        <v>63</v>
      </c>
      <c r="F2813" s="836">
        <v>24</v>
      </c>
      <c r="G2813" s="202" t="str">
        <f t="shared" si="43"/>
        <v/>
      </c>
    </row>
    <row r="2814" spans="1:7" s="172" customFormat="1" ht="15" customHeight="1" x14ac:dyDescent="0.25">
      <c r="A2814" s="835" t="s">
        <v>10998</v>
      </c>
      <c r="B2814" s="835" t="s">
        <v>10501</v>
      </c>
      <c r="C2814" s="835" t="s">
        <v>10501</v>
      </c>
      <c r="D2814" s="835" t="s">
        <v>10999</v>
      </c>
      <c r="E2814" s="835">
        <v>100</v>
      </c>
      <c r="F2814" s="836">
        <v>37</v>
      </c>
      <c r="G2814" s="202" t="str">
        <f t="shared" si="43"/>
        <v/>
      </c>
    </row>
    <row r="2815" spans="1:7" s="172" customFormat="1" ht="15" customHeight="1" x14ac:dyDescent="0.25">
      <c r="A2815" s="835" t="s">
        <v>11002</v>
      </c>
      <c r="B2815" s="835" t="s">
        <v>10501</v>
      </c>
      <c r="C2815" s="835" t="s">
        <v>10501</v>
      </c>
      <c r="D2815" s="835" t="s">
        <v>11003</v>
      </c>
      <c r="E2815" s="835">
        <v>100</v>
      </c>
      <c r="F2815" s="836">
        <v>0</v>
      </c>
      <c r="G2815" s="202" t="str">
        <f t="shared" si="43"/>
        <v/>
      </c>
    </row>
    <row r="2816" spans="1:7" s="172" customFormat="1" ht="15" customHeight="1" x14ac:dyDescent="0.25">
      <c r="A2816" s="835" t="s">
        <v>11002</v>
      </c>
      <c r="B2816" s="835" t="s">
        <v>10501</v>
      </c>
      <c r="C2816" s="835" t="s">
        <v>10501</v>
      </c>
      <c r="D2816" s="835" t="s">
        <v>11010</v>
      </c>
      <c r="E2816" s="835">
        <v>160</v>
      </c>
      <c r="F2816" s="836">
        <v>26</v>
      </c>
      <c r="G2816" s="202" t="str">
        <f t="shared" si="43"/>
        <v/>
      </c>
    </row>
    <row r="2817" spans="1:7" s="172" customFormat="1" ht="15" customHeight="1" x14ac:dyDescent="0.25">
      <c r="A2817" s="835" t="s">
        <v>11002</v>
      </c>
      <c r="B2817" s="835" t="s">
        <v>10501</v>
      </c>
      <c r="C2817" s="835" t="s">
        <v>10501</v>
      </c>
      <c r="D2817" s="835" t="s">
        <v>11011</v>
      </c>
      <c r="E2817" s="835">
        <v>100</v>
      </c>
      <c r="F2817" s="836">
        <v>6</v>
      </c>
      <c r="G2817" s="202" t="str">
        <f t="shared" si="43"/>
        <v/>
      </c>
    </row>
    <row r="2818" spans="1:7" s="172" customFormat="1" ht="15" customHeight="1" x14ac:dyDescent="0.25">
      <c r="A2818" s="835" t="s">
        <v>13245</v>
      </c>
      <c r="B2818" s="835" t="s">
        <v>10501</v>
      </c>
      <c r="C2818" s="835" t="s">
        <v>10501</v>
      </c>
      <c r="D2818" s="835" t="s">
        <v>11004</v>
      </c>
      <c r="E2818" s="835">
        <v>30</v>
      </c>
      <c r="F2818" s="836">
        <v>0</v>
      </c>
      <c r="G2818" s="202" t="str">
        <f t="shared" si="43"/>
        <v/>
      </c>
    </row>
    <row r="2819" spans="1:7" s="172" customFormat="1" ht="15" customHeight="1" x14ac:dyDescent="0.25">
      <c r="A2819" s="835" t="s">
        <v>13245</v>
      </c>
      <c r="B2819" s="835" t="s">
        <v>10501</v>
      </c>
      <c r="C2819" s="835" t="s">
        <v>10501</v>
      </c>
      <c r="D2819" s="835" t="s">
        <v>11005</v>
      </c>
      <c r="E2819" s="835">
        <v>60</v>
      </c>
      <c r="F2819" s="836">
        <v>0</v>
      </c>
      <c r="G2819" s="202" t="str">
        <f t="shared" si="43"/>
        <v/>
      </c>
    </row>
    <row r="2820" spans="1:7" s="172" customFormat="1" ht="15" customHeight="1" x14ac:dyDescent="0.25">
      <c r="A2820" s="835" t="s">
        <v>13245</v>
      </c>
      <c r="B2820" s="835" t="s">
        <v>10501</v>
      </c>
      <c r="C2820" s="835" t="s">
        <v>10501</v>
      </c>
      <c r="D2820" s="835" t="s">
        <v>11006</v>
      </c>
      <c r="E2820" s="835">
        <v>400</v>
      </c>
      <c r="F2820" s="836">
        <v>157</v>
      </c>
      <c r="G2820" s="202" t="str">
        <f t="shared" si="43"/>
        <v/>
      </c>
    </row>
    <row r="2821" spans="1:7" s="172" customFormat="1" ht="15" customHeight="1" x14ac:dyDescent="0.25">
      <c r="A2821" s="835" t="s">
        <v>13246</v>
      </c>
      <c r="B2821" s="835" t="s">
        <v>10501</v>
      </c>
      <c r="C2821" s="835" t="s">
        <v>10501</v>
      </c>
      <c r="D2821" s="835" t="s">
        <v>11007</v>
      </c>
      <c r="E2821" s="835">
        <v>160</v>
      </c>
      <c r="F2821" s="836">
        <v>36</v>
      </c>
      <c r="G2821" s="202" t="str">
        <f t="shared" si="43"/>
        <v/>
      </c>
    </row>
    <row r="2822" spans="1:7" s="172" customFormat="1" ht="15" customHeight="1" x14ac:dyDescent="0.25">
      <c r="A2822" s="835" t="s">
        <v>10994</v>
      </c>
      <c r="B2822" s="835" t="s">
        <v>10501</v>
      </c>
      <c r="C2822" s="835" t="s">
        <v>10501</v>
      </c>
      <c r="D2822" s="835" t="s">
        <v>10995</v>
      </c>
      <c r="E2822" s="835">
        <v>250</v>
      </c>
      <c r="F2822" s="836">
        <v>74</v>
      </c>
      <c r="G2822" s="202" t="str">
        <f t="shared" si="43"/>
        <v/>
      </c>
    </row>
    <row r="2823" spans="1:7" s="172" customFormat="1" ht="15" customHeight="1" x14ac:dyDescent="0.25">
      <c r="A2823" s="835" t="s">
        <v>10992</v>
      </c>
      <c r="B2823" s="835" t="s">
        <v>10501</v>
      </c>
      <c r="C2823" s="835" t="s">
        <v>10501</v>
      </c>
      <c r="D2823" s="835" t="s">
        <v>10993</v>
      </c>
      <c r="E2823" s="835">
        <v>30</v>
      </c>
      <c r="F2823" s="836">
        <v>0</v>
      </c>
      <c r="G2823" s="202" t="str">
        <f t="shared" si="43"/>
        <v/>
      </c>
    </row>
    <row r="2824" spans="1:7" s="172" customFormat="1" ht="15" customHeight="1" x14ac:dyDescent="0.25">
      <c r="A2824" s="835" t="s">
        <v>11025</v>
      </c>
      <c r="B2824" s="835" t="s">
        <v>10501</v>
      </c>
      <c r="C2824" s="835" t="s">
        <v>10501</v>
      </c>
      <c r="D2824" s="835" t="s">
        <v>11026</v>
      </c>
      <c r="E2824" s="835">
        <v>20</v>
      </c>
      <c r="F2824" s="836">
        <v>0</v>
      </c>
      <c r="G2824" s="202" t="str">
        <f t="shared" si="43"/>
        <v/>
      </c>
    </row>
    <row r="2825" spans="1:7" s="172" customFormat="1" ht="15" customHeight="1" x14ac:dyDescent="0.25">
      <c r="A2825" s="835" t="s">
        <v>13244</v>
      </c>
      <c r="B2825" s="835" t="s">
        <v>10501</v>
      </c>
      <c r="C2825" s="835" t="s">
        <v>10501</v>
      </c>
      <c r="D2825" s="835" t="s">
        <v>11015</v>
      </c>
      <c r="E2825" s="835">
        <v>100</v>
      </c>
      <c r="F2825" s="836">
        <v>0</v>
      </c>
      <c r="G2825" s="202" t="str">
        <f t="shared" si="43"/>
        <v/>
      </c>
    </row>
    <row r="2826" spans="1:7" s="172" customFormat="1" ht="15" customHeight="1" x14ac:dyDescent="0.25">
      <c r="A2826" s="835" t="s">
        <v>13244</v>
      </c>
      <c r="B2826" s="835" t="s">
        <v>10501</v>
      </c>
      <c r="C2826" s="835" t="s">
        <v>10501</v>
      </c>
      <c r="D2826" s="835" t="s">
        <v>11016</v>
      </c>
      <c r="E2826" s="835">
        <v>250</v>
      </c>
      <c r="F2826" s="836">
        <v>75</v>
      </c>
      <c r="G2826" s="202" t="str">
        <f t="shared" si="43"/>
        <v/>
      </c>
    </row>
    <row r="2827" spans="1:7" s="172" customFormat="1" ht="15" customHeight="1" x14ac:dyDescent="0.25">
      <c r="A2827" s="835" t="s">
        <v>13244</v>
      </c>
      <c r="B2827" s="835" t="s">
        <v>10501</v>
      </c>
      <c r="C2827" s="835" t="s">
        <v>10501</v>
      </c>
      <c r="D2827" s="835" t="s">
        <v>11017</v>
      </c>
      <c r="E2827" s="835">
        <v>160</v>
      </c>
      <c r="F2827" s="836">
        <v>36</v>
      </c>
      <c r="G2827" s="202" t="str">
        <f t="shared" ref="G2827:G2890" si="44">IF(E2827=F2827,"не загружен","")</f>
        <v/>
      </c>
    </row>
    <row r="2828" spans="1:7" s="172" customFormat="1" ht="15" customHeight="1" x14ac:dyDescent="0.25">
      <c r="A2828" s="835" t="s">
        <v>13244</v>
      </c>
      <c r="B2828" s="835" t="s">
        <v>10501</v>
      </c>
      <c r="C2828" s="835" t="s">
        <v>10501</v>
      </c>
      <c r="D2828" s="835" t="s">
        <v>11018</v>
      </c>
      <c r="E2828" s="835">
        <v>100</v>
      </c>
      <c r="F2828" s="836">
        <v>0</v>
      </c>
      <c r="G2828" s="202" t="str">
        <f t="shared" si="44"/>
        <v/>
      </c>
    </row>
    <row r="2829" spans="1:7" s="172" customFormat="1" ht="15" customHeight="1" x14ac:dyDescent="0.25">
      <c r="A2829" s="835" t="s">
        <v>13244</v>
      </c>
      <c r="B2829" s="835" t="s">
        <v>10501</v>
      </c>
      <c r="C2829" s="835" t="s">
        <v>10501</v>
      </c>
      <c r="D2829" s="835" t="s">
        <v>11021</v>
      </c>
      <c r="E2829" s="835">
        <v>400</v>
      </c>
      <c r="F2829" s="836">
        <v>167</v>
      </c>
      <c r="G2829" s="202" t="str">
        <f t="shared" si="44"/>
        <v/>
      </c>
    </row>
    <row r="2830" spans="1:7" s="172" customFormat="1" ht="15" customHeight="1" x14ac:dyDescent="0.25">
      <c r="A2830" s="835" t="s">
        <v>13244</v>
      </c>
      <c r="B2830" s="835" t="s">
        <v>10501</v>
      </c>
      <c r="C2830" s="835" t="s">
        <v>10501</v>
      </c>
      <c r="D2830" s="835" t="s">
        <v>11024</v>
      </c>
      <c r="E2830" s="835">
        <v>160</v>
      </c>
      <c r="F2830" s="836">
        <v>37</v>
      </c>
      <c r="G2830" s="202" t="str">
        <f t="shared" si="44"/>
        <v/>
      </c>
    </row>
    <row r="2831" spans="1:7" s="172" customFormat="1" ht="15" customHeight="1" x14ac:dyDescent="0.25">
      <c r="A2831" s="835" t="s">
        <v>11019</v>
      </c>
      <c r="B2831" s="835" t="s">
        <v>10501</v>
      </c>
      <c r="C2831" s="835" t="s">
        <v>10501</v>
      </c>
      <c r="D2831" s="835" t="s">
        <v>11020</v>
      </c>
      <c r="E2831" s="835">
        <v>160</v>
      </c>
      <c r="F2831" s="836">
        <v>54</v>
      </c>
      <c r="G2831" s="202" t="str">
        <f t="shared" si="44"/>
        <v/>
      </c>
    </row>
    <row r="2832" spans="1:7" s="172" customFormat="1" ht="15" customHeight="1" x14ac:dyDescent="0.25">
      <c r="A2832" s="835" t="s">
        <v>11022</v>
      </c>
      <c r="B2832" s="835" t="s">
        <v>10501</v>
      </c>
      <c r="C2832" s="835" t="s">
        <v>10501</v>
      </c>
      <c r="D2832" s="835" t="s">
        <v>11023</v>
      </c>
      <c r="E2832" s="835">
        <v>100</v>
      </c>
      <c r="F2832" s="836">
        <v>14</v>
      </c>
      <c r="G2832" s="202" t="str">
        <f t="shared" si="44"/>
        <v/>
      </c>
    </row>
    <row r="2833" spans="1:7" s="172" customFormat="1" ht="15" customHeight="1" x14ac:dyDescent="0.25">
      <c r="A2833" s="835" t="s">
        <v>13244</v>
      </c>
      <c r="B2833" s="835" t="s">
        <v>10501</v>
      </c>
      <c r="C2833" s="835" t="s">
        <v>10501</v>
      </c>
      <c r="D2833" s="835" t="s">
        <v>11014</v>
      </c>
      <c r="E2833" s="835">
        <v>250</v>
      </c>
      <c r="F2833" s="836">
        <v>86</v>
      </c>
      <c r="G2833" s="202" t="str">
        <f t="shared" si="44"/>
        <v/>
      </c>
    </row>
    <row r="2834" spans="1:7" s="172" customFormat="1" ht="15" customHeight="1" x14ac:dyDescent="0.25">
      <c r="A2834" s="835" t="s">
        <v>10986</v>
      </c>
      <c r="B2834" s="835" t="s">
        <v>10501</v>
      </c>
      <c r="C2834" s="835" t="s">
        <v>10501</v>
      </c>
      <c r="D2834" s="835" t="s">
        <v>10987</v>
      </c>
      <c r="E2834" s="835">
        <v>160</v>
      </c>
      <c r="F2834" s="836">
        <v>37</v>
      </c>
      <c r="G2834" s="202" t="str">
        <f t="shared" si="44"/>
        <v/>
      </c>
    </row>
    <row r="2835" spans="1:7" s="172" customFormat="1" ht="15" customHeight="1" x14ac:dyDescent="0.25">
      <c r="A2835" s="835" t="s">
        <v>5199</v>
      </c>
      <c r="B2835" s="835" t="s">
        <v>10501</v>
      </c>
      <c r="C2835" s="835" t="s">
        <v>10501</v>
      </c>
      <c r="D2835" s="835" t="s">
        <v>10983</v>
      </c>
      <c r="E2835" s="835">
        <v>100</v>
      </c>
      <c r="F2835" s="836">
        <v>21</v>
      </c>
      <c r="G2835" s="202" t="str">
        <f t="shared" si="44"/>
        <v/>
      </c>
    </row>
    <row r="2836" spans="1:7" s="172" customFormat="1" ht="15" customHeight="1" x14ac:dyDescent="0.25">
      <c r="A2836" s="835" t="s">
        <v>5199</v>
      </c>
      <c r="B2836" s="835" t="s">
        <v>10501</v>
      </c>
      <c r="C2836" s="835" t="s">
        <v>10501</v>
      </c>
      <c r="D2836" s="835" t="s">
        <v>10991</v>
      </c>
      <c r="E2836" s="835">
        <v>250</v>
      </c>
      <c r="F2836" s="836">
        <v>88</v>
      </c>
      <c r="G2836" s="202" t="str">
        <f t="shared" si="44"/>
        <v/>
      </c>
    </row>
    <row r="2837" spans="1:7" s="172" customFormat="1" ht="15" customHeight="1" x14ac:dyDescent="0.25">
      <c r="A2837" s="835" t="s">
        <v>10984</v>
      </c>
      <c r="B2837" s="835" t="s">
        <v>10501</v>
      </c>
      <c r="C2837" s="835" t="s">
        <v>10501</v>
      </c>
      <c r="D2837" s="835" t="s">
        <v>10985</v>
      </c>
      <c r="E2837" s="835">
        <v>160</v>
      </c>
      <c r="F2837" s="836">
        <v>61</v>
      </c>
      <c r="G2837" s="202" t="str">
        <f t="shared" si="44"/>
        <v/>
      </c>
    </row>
    <row r="2838" spans="1:7" s="172" customFormat="1" ht="15" customHeight="1" x14ac:dyDescent="0.25">
      <c r="A2838" s="835" t="s">
        <v>10981</v>
      </c>
      <c r="B2838" s="835" t="s">
        <v>10501</v>
      </c>
      <c r="C2838" s="835" t="s">
        <v>10501</v>
      </c>
      <c r="D2838" s="835" t="s">
        <v>10982</v>
      </c>
      <c r="E2838" s="835">
        <v>160</v>
      </c>
      <c r="F2838" s="836">
        <v>34</v>
      </c>
      <c r="G2838" s="202" t="str">
        <f t="shared" si="44"/>
        <v/>
      </c>
    </row>
    <row r="2839" spans="1:7" s="172" customFormat="1" ht="15" customHeight="1" x14ac:dyDescent="0.25">
      <c r="A2839" s="835" t="s">
        <v>13244</v>
      </c>
      <c r="B2839" s="835" t="s">
        <v>10501</v>
      </c>
      <c r="C2839" s="835" t="s">
        <v>10501</v>
      </c>
      <c r="D2839" s="835" t="s">
        <v>10980</v>
      </c>
      <c r="E2839" s="835">
        <v>100</v>
      </c>
      <c r="F2839" s="836">
        <v>26</v>
      </c>
      <c r="G2839" s="202" t="str">
        <f t="shared" si="44"/>
        <v/>
      </c>
    </row>
    <row r="2840" spans="1:7" s="172" customFormat="1" ht="15" customHeight="1" x14ac:dyDescent="0.25">
      <c r="A2840" s="835" t="s">
        <v>13244</v>
      </c>
      <c r="B2840" s="835" t="s">
        <v>10501</v>
      </c>
      <c r="C2840" s="835" t="s">
        <v>10501</v>
      </c>
      <c r="D2840" s="835" t="s">
        <v>10990</v>
      </c>
      <c r="E2840" s="835">
        <v>100</v>
      </c>
      <c r="F2840" s="836">
        <v>2</v>
      </c>
      <c r="G2840" s="202" t="str">
        <f t="shared" si="44"/>
        <v/>
      </c>
    </row>
    <row r="2841" spans="1:7" s="172" customFormat="1" ht="15" customHeight="1" x14ac:dyDescent="0.25">
      <c r="A2841" s="835" t="s">
        <v>10988</v>
      </c>
      <c r="B2841" s="835" t="s">
        <v>10501</v>
      </c>
      <c r="C2841" s="835" t="s">
        <v>10501</v>
      </c>
      <c r="D2841" s="835" t="s">
        <v>10989</v>
      </c>
      <c r="E2841" s="835">
        <v>100</v>
      </c>
      <c r="F2841" s="836">
        <v>8</v>
      </c>
      <c r="G2841" s="202" t="str">
        <f t="shared" si="44"/>
        <v/>
      </c>
    </row>
    <row r="2842" spans="1:7" s="172" customFormat="1" ht="15" customHeight="1" x14ac:dyDescent="0.25">
      <c r="A2842" s="835" t="s">
        <v>10954</v>
      </c>
      <c r="B2842" s="835" t="s">
        <v>10501</v>
      </c>
      <c r="C2842" s="835" t="s">
        <v>10501</v>
      </c>
      <c r="D2842" s="835" t="s">
        <v>10979</v>
      </c>
      <c r="E2842" s="835">
        <v>100</v>
      </c>
      <c r="F2842" s="836">
        <v>66</v>
      </c>
      <c r="G2842" s="202" t="str">
        <f t="shared" si="44"/>
        <v/>
      </c>
    </row>
    <row r="2843" spans="1:7" s="172" customFormat="1" ht="15" customHeight="1" x14ac:dyDescent="0.25">
      <c r="A2843" s="835" t="s">
        <v>10967</v>
      </c>
      <c r="B2843" s="835" t="s">
        <v>10501</v>
      </c>
      <c r="C2843" s="835" t="s">
        <v>10501</v>
      </c>
      <c r="D2843" s="835" t="s">
        <v>10968</v>
      </c>
      <c r="E2843" s="835">
        <v>160</v>
      </c>
      <c r="F2843" s="836">
        <v>47</v>
      </c>
      <c r="G2843" s="202" t="str">
        <f t="shared" si="44"/>
        <v/>
      </c>
    </row>
    <row r="2844" spans="1:7" s="172" customFormat="1" ht="15" customHeight="1" x14ac:dyDescent="0.25">
      <c r="A2844" s="835" t="s">
        <v>10967</v>
      </c>
      <c r="B2844" s="835" t="s">
        <v>10501</v>
      </c>
      <c r="C2844" s="835" t="s">
        <v>10501</v>
      </c>
      <c r="D2844" s="835" t="s">
        <v>10969</v>
      </c>
      <c r="E2844" s="835">
        <v>160</v>
      </c>
      <c r="F2844" s="836">
        <v>55</v>
      </c>
      <c r="G2844" s="202" t="str">
        <f t="shared" si="44"/>
        <v/>
      </c>
    </row>
    <row r="2845" spans="1:7" s="172" customFormat="1" ht="15" customHeight="1" x14ac:dyDescent="0.25">
      <c r="A2845" s="835" t="s">
        <v>10967</v>
      </c>
      <c r="B2845" s="835" t="s">
        <v>10501</v>
      </c>
      <c r="C2845" s="835" t="s">
        <v>10501</v>
      </c>
      <c r="D2845" s="835" t="s">
        <v>10970</v>
      </c>
      <c r="E2845" s="835">
        <v>250</v>
      </c>
      <c r="F2845" s="836">
        <v>70</v>
      </c>
      <c r="G2845" s="202" t="str">
        <f t="shared" si="44"/>
        <v/>
      </c>
    </row>
    <row r="2846" spans="1:7" s="172" customFormat="1" ht="15" customHeight="1" x14ac:dyDescent="0.25">
      <c r="A2846" s="835" t="s">
        <v>4529</v>
      </c>
      <c r="B2846" s="835" t="s">
        <v>10501</v>
      </c>
      <c r="C2846" s="835" t="s">
        <v>10501</v>
      </c>
      <c r="D2846" s="835" t="s">
        <v>10977</v>
      </c>
      <c r="E2846" s="835">
        <v>40</v>
      </c>
      <c r="F2846" s="836">
        <v>2</v>
      </c>
      <c r="G2846" s="202" t="str">
        <f t="shared" si="44"/>
        <v/>
      </c>
    </row>
    <row r="2847" spans="1:7" s="172" customFormat="1" ht="15" customHeight="1" x14ac:dyDescent="0.25">
      <c r="A2847" s="835" t="s">
        <v>10971</v>
      </c>
      <c r="B2847" s="835" t="s">
        <v>10501</v>
      </c>
      <c r="C2847" s="835" t="s">
        <v>10501</v>
      </c>
      <c r="D2847" s="835" t="s">
        <v>10972</v>
      </c>
      <c r="E2847" s="835">
        <v>100</v>
      </c>
      <c r="F2847" s="836">
        <v>11</v>
      </c>
      <c r="G2847" s="202" t="str">
        <f t="shared" si="44"/>
        <v/>
      </c>
    </row>
    <row r="2848" spans="1:7" s="172" customFormat="1" ht="15" customHeight="1" x14ac:dyDescent="0.25">
      <c r="A2848" s="835" t="s">
        <v>10975</v>
      </c>
      <c r="B2848" s="835" t="s">
        <v>10501</v>
      </c>
      <c r="C2848" s="835" t="s">
        <v>10501</v>
      </c>
      <c r="D2848" s="835" t="s">
        <v>10976</v>
      </c>
      <c r="E2848" s="835">
        <v>63</v>
      </c>
      <c r="F2848" s="836">
        <v>14</v>
      </c>
      <c r="G2848" s="202" t="str">
        <f t="shared" si="44"/>
        <v/>
      </c>
    </row>
    <row r="2849" spans="1:7" s="172" customFormat="1" ht="15" customHeight="1" x14ac:dyDescent="0.25">
      <c r="A2849" s="835" t="s">
        <v>13243</v>
      </c>
      <c r="B2849" s="835" t="s">
        <v>10501</v>
      </c>
      <c r="C2849" s="835" t="s">
        <v>10501</v>
      </c>
      <c r="D2849" s="835" t="s">
        <v>10978</v>
      </c>
      <c r="E2849" s="835">
        <v>100</v>
      </c>
      <c r="F2849" s="836">
        <v>0</v>
      </c>
      <c r="G2849" s="202" t="str">
        <f t="shared" si="44"/>
        <v/>
      </c>
    </row>
    <row r="2850" spans="1:7" s="172" customFormat="1" ht="15" customHeight="1" x14ac:dyDescent="0.25">
      <c r="A2850" s="835" t="s">
        <v>10973</v>
      </c>
      <c r="B2850" s="835" t="s">
        <v>10501</v>
      </c>
      <c r="C2850" s="835" t="s">
        <v>10501</v>
      </c>
      <c r="D2850" s="835" t="s">
        <v>10974</v>
      </c>
      <c r="E2850" s="835">
        <v>30</v>
      </c>
      <c r="F2850" s="836">
        <v>6</v>
      </c>
      <c r="G2850" s="202" t="str">
        <f t="shared" si="44"/>
        <v/>
      </c>
    </row>
    <row r="2851" spans="1:7" s="172" customFormat="1" ht="15" customHeight="1" x14ac:dyDescent="0.25">
      <c r="A2851" s="835" t="s">
        <v>10965</v>
      </c>
      <c r="B2851" s="835" t="s">
        <v>10501</v>
      </c>
      <c r="C2851" s="835" t="s">
        <v>10501</v>
      </c>
      <c r="D2851" s="835" t="s">
        <v>10966</v>
      </c>
      <c r="E2851" s="835">
        <v>160</v>
      </c>
      <c r="F2851" s="836">
        <v>10</v>
      </c>
      <c r="G2851" s="202" t="str">
        <f t="shared" si="44"/>
        <v/>
      </c>
    </row>
    <row r="2852" spans="1:7" s="172" customFormat="1" ht="15" customHeight="1" x14ac:dyDescent="0.25">
      <c r="A2852" s="835" t="s">
        <v>10956</v>
      </c>
      <c r="B2852" s="835" t="s">
        <v>10501</v>
      </c>
      <c r="C2852" s="835" t="s">
        <v>10501</v>
      </c>
      <c r="D2852" s="835" t="s">
        <v>10957</v>
      </c>
      <c r="E2852" s="835">
        <v>160</v>
      </c>
      <c r="F2852" s="836">
        <v>59</v>
      </c>
      <c r="G2852" s="202" t="str">
        <f t="shared" si="44"/>
        <v/>
      </c>
    </row>
    <row r="2853" spans="1:7" s="172" customFormat="1" ht="15" customHeight="1" x14ac:dyDescent="0.25">
      <c r="A2853" s="835" t="s">
        <v>10954</v>
      </c>
      <c r="B2853" s="835" t="s">
        <v>10501</v>
      </c>
      <c r="C2853" s="835" t="s">
        <v>10501</v>
      </c>
      <c r="D2853" s="835" t="s">
        <v>10955</v>
      </c>
      <c r="E2853" s="835">
        <v>250</v>
      </c>
      <c r="F2853" s="836">
        <v>169</v>
      </c>
      <c r="G2853" s="202" t="str">
        <f t="shared" si="44"/>
        <v/>
      </c>
    </row>
    <row r="2854" spans="1:7" s="172" customFormat="1" ht="15" customHeight="1" x14ac:dyDescent="0.25">
      <c r="A2854" s="835" t="s">
        <v>10954</v>
      </c>
      <c r="B2854" s="835" t="s">
        <v>10501</v>
      </c>
      <c r="C2854" s="835" t="s">
        <v>10501</v>
      </c>
      <c r="D2854" s="835" t="s">
        <v>10960</v>
      </c>
      <c r="E2854" s="835">
        <v>180</v>
      </c>
      <c r="F2854" s="836">
        <v>35</v>
      </c>
      <c r="G2854" s="202" t="str">
        <f t="shared" si="44"/>
        <v/>
      </c>
    </row>
    <row r="2855" spans="1:7" s="172" customFormat="1" ht="15" customHeight="1" x14ac:dyDescent="0.25">
      <c r="A2855" s="835" t="s">
        <v>10954</v>
      </c>
      <c r="B2855" s="835" t="s">
        <v>10501</v>
      </c>
      <c r="C2855" s="835" t="s">
        <v>10501</v>
      </c>
      <c r="D2855" s="835" t="s">
        <v>10961</v>
      </c>
      <c r="E2855" s="835">
        <v>100</v>
      </c>
      <c r="F2855" s="836">
        <v>24</v>
      </c>
      <c r="G2855" s="202" t="str">
        <f t="shared" si="44"/>
        <v/>
      </c>
    </row>
    <row r="2856" spans="1:7" s="172" customFormat="1" ht="15" customHeight="1" x14ac:dyDescent="0.25">
      <c r="A2856" s="835" t="s">
        <v>10958</v>
      </c>
      <c r="B2856" s="835" t="s">
        <v>10501</v>
      </c>
      <c r="C2856" s="835" t="s">
        <v>10501</v>
      </c>
      <c r="D2856" s="835" t="s">
        <v>10959</v>
      </c>
      <c r="E2856" s="835">
        <v>100</v>
      </c>
      <c r="F2856" s="836">
        <v>14</v>
      </c>
      <c r="G2856" s="202" t="str">
        <f t="shared" si="44"/>
        <v/>
      </c>
    </row>
    <row r="2857" spans="1:7" s="172" customFormat="1" ht="15" customHeight="1" x14ac:dyDescent="0.25">
      <c r="A2857" s="835" t="s">
        <v>10958</v>
      </c>
      <c r="B2857" s="835" t="s">
        <v>10501</v>
      </c>
      <c r="C2857" s="835" t="s">
        <v>10501</v>
      </c>
      <c r="D2857" s="835" t="s">
        <v>10962</v>
      </c>
      <c r="E2857" s="835">
        <v>100</v>
      </c>
      <c r="F2857" s="836">
        <v>75</v>
      </c>
      <c r="G2857" s="202" t="str">
        <f t="shared" si="44"/>
        <v/>
      </c>
    </row>
    <row r="2858" spans="1:7" s="172" customFormat="1" ht="15" customHeight="1" x14ac:dyDescent="0.25">
      <c r="A2858" s="835" t="s">
        <v>10963</v>
      </c>
      <c r="B2858" s="835" t="s">
        <v>10501</v>
      </c>
      <c r="C2858" s="835" t="s">
        <v>10501</v>
      </c>
      <c r="D2858" s="835" t="s">
        <v>10964</v>
      </c>
      <c r="E2858" s="835">
        <v>250</v>
      </c>
      <c r="F2858" s="836">
        <v>87</v>
      </c>
      <c r="G2858" s="202" t="str">
        <f t="shared" si="44"/>
        <v/>
      </c>
    </row>
    <row r="2859" spans="1:7" s="172" customFormat="1" ht="15" customHeight="1" x14ac:dyDescent="0.25">
      <c r="A2859" s="835" t="s">
        <v>16968</v>
      </c>
      <c r="B2859" s="835" t="s">
        <v>10501</v>
      </c>
      <c r="C2859" s="835" t="s">
        <v>10501</v>
      </c>
      <c r="D2859" s="835" t="s">
        <v>19847</v>
      </c>
      <c r="E2859" s="835">
        <v>160</v>
      </c>
      <c r="F2859" s="836">
        <v>108</v>
      </c>
      <c r="G2859" s="202" t="str">
        <f t="shared" si="44"/>
        <v/>
      </c>
    </row>
    <row r="2860" spans="1:7" s="172" customFormat="1" ht="15" customHeight="1" x14ac:dyDescent="0.25">
      <c r="A2860" s="835" t="s">
        <v>10928</v>
      </c>
      <c r="B2860" s="835" t="s">
        <v>10501</v>
      </c>
      <c r="C2860" s="835" t="s">
        <v>10501</v>
      </c>
      <c r="D2860" s="835" t="s">
        <v>10929</v>
      </c>
      <c r="E2860" s="835">
        <v>30</v>
      </c>
      <c r="F2860" s="836">
        <v>0</v>
      </c>
      <c r="G2860" s="202" t="str">
        <f t="shared" si="44"/>
        <v/>
      </c>
    </row>
    <row r="2861" spans="1:7" s="172" customFormat="1" ht="15" customHeight="1" x14ac:dyDescent="0.25">
      <c r="A2861" s="835" t="s">
        <v>10930</v>
      </c>
      <c r="B2861" s="835" t="s">
        <v>10501</v>
      </c>
      <c r="C2861" s="835" t="s">
        <v>10501</v>
      </c>
      <c r="D2861" s="835" t="s">
        <v>10931</v>
      </c>
      <c r="E2861" s="835">
        <v>100</v>
      </c>
      <c r="F2861" s="836">
        <v>26</v>
      </c>
      <c r="G2861" s="202" t="str">
        <f t="shared" si="44"/>
        <v/>
      </c>
    </row>
    <row r="2862" spans="1:7" s="172" customFormat="1" ht="15" customHeight="1" x14ac:dyDescent="0.25">
      <c r="A2862" s="835" t="s">
        <v>10932</v>
      </c>
      <c r="B2862" s="835" t="s">
        <v>10501</v>
      </c>
      <c r="C2862" s="835" t="s">
        <v>10501</v>
      </c>
      <c r="D2862" s="835" t="s">
        <v>10933</v>
      </c>
      <c r="E2862" s="835">
        <v>100</v>
      </c>
      <c r="F2862" s="836">
        <v>31</v>
      </c>
      <c r="G2862" s="202" t="str">
        <f t="shared" si="44"/>
        <v/>
      </c>
    </row>
    <row r="2863" spans="1:7" s="172" customFormat="1" ht="15" customHeight="1" x14ac:dyDescent="0.25">
      <c r="A2863" s="835" t="s">
        <v>13242</v>
      </c>
      <c r="B2863" s="835" t="s">
        <v>10501</v>
      </c>
      <c r="C2863" s="835" t="s">
        <v>10501</v>
      </c>
      <c r="D2863" s="835" t="s">
        <v>10925</v>
      </c>
      <c r="E2863" s="835">
        <v>160</v>
      </c>
      <c r="F2863" s="836">
        <v>50</v>
      </c>
      <c r="G2863" s="202" t="str">
        <f t="shared" si="44"/>
        <v/>
      </c>
    </row>
    <row r="2864" spans="1:7" s="172" customFormat="1" ht="15" customHeight="1" x14ac:dyDescent="0.25">
      <c r="A2864" s="835" t="s">
        <v>13242</v>
      </c>
      <c r="B2864" s="835" t="s">
        <v>10501</v>
      </c>
      <c r="C2864" s="835" t="s">
        <v>10501</v>
      </c>
      <c r="D2864" s="835" t="s">
        <v>10926</v>
      </c>
      <c r="E2864" s="835">
        <v>160</v>
      </c>
      <c r="F2864" s="836">
        <v>17</v>
      </c>
      <c r="G2864" s="202" t="str">
        <f t="shared" si="44"/>
        <v/>
      </c>
    </row>
    <row r="2865" spans="1:7" s="172" customFormat="1" ht="15" customHeight="1" x14ac:dyDescent="0.25">
      <c r="A2865" s="835" t="s">
        <v>13242</v>
      </c>
      <c r="B2865" s="835" t="s">
        <v>10501</v>
      </c>
      <c r="C2865" s="835" t="s">
        <v>10501</v>
      </c>
      <c r="D2865" s="835" t="s">
        <v>10927</v>
      </c>
      <c r="E2865" s="835">
        <v>160</v>
      </c>
      <c r="F2865" s="836">
        <v>31</v>
      </c>
      <c r="G2865" s="202" t="str">
        <f t="shared" si="44"/>
        <v/>
      </c>
    </row>
    <row r="2866" spans="1:7" s="172" customFormat="1" ht="15" customHeight="1" x14ac:dyDescent="0.25">
      <c r="A2866" s="835" t="s">
        <v>10923</v>
      </c>
      <c r="B2866" s="835" t="s">
        <v>10501</v>
      </c>
      <c r="C2866" s="835" t="s">
        <v>10501</v>
      </c>
      <c r="D2866" s="835" t="s">
        <v>10924</v>
      </c>
      <c r="E2866" s="835">
        <v>30</v>
      </c>
      <c r="F2866" s="836">
        <v>6</v>
      </c>
      <c r="G2866" s="202" t="str">
        <f t="shared" si="44"/>
        <v/>
      </c>
    </row>
    <row r="2867" spans="1:7" s="172" customFormat="1" ht="15" customHeight="1" x14ac:dyDescent="0.25">
      <c r="A2867" s="835" t="s">
        <v>10911</v>
      </c>
      <c r="B2867" s="835" t="s">
        <v>10501</v>
      </c>
      <c r="C2867" s="835" t="s">
        <v>10501</v>
      </c>
      <c r="D2867" s="835" t="s">
        <v>10912</v>
      </c>
      <c r="E2867" s="835">
        <v>400</v>
      </c>
      <c r="F2867" s="836">
        <v>76</v>
      </c>
      <c r="G2867" s="202" t="str">
        <f t="shared" si="44"/>
        <v/>
      </c>
    </row>
    <row r="2868" spans="1:7" s="172" customFormat="1" ht="15" customHeight="1" x14ac:dyDescent="0.25">
      <c r="A2868" s="835" t="s">
        <v>10911</v>
      </c>
      <c r="B2868" s="835" t="s">
        <v>10501</v>
      </c>
      <c r="C2868" s="835" t="s">
        <v>10501</v>
      </c>
      <c r="D2868" s="835" t="s">
        <v>10913</v>
      </c>
      <c r="E2868" s="835">
        <v>160</v>
      </c>
      <c r="F2868" s="836">
        <v>20</v>
      </c>
      <c r="G2868" s="202" t="str">
        <f t="shared" si="44"/>
        <v/>
      </c>
    </row>
    <row r="2869" spans="1:7" s="172" customFormat="1" ht="15" customHeight="1" x14ac:dyDescent="0.25">
      <c r="A2869" s="835" t="s">
        <v>10911</v>
      </c>
      <c r="B2869" s="835" t="s">
        <v>10501</v>
      </c>
      <c r="C2869" s="835" t="s">
        <v>10501</v>
      </c>
      <c r="D2869" s="835" t="s">
        <v>10914</v>
      </c>
      <c r="E2869" s="835">
        <v>180</v>
      </c>
      <c r="F2869" s="836">
        <v>53</v>
      </c>
      <c r="G2869" s="202" t="str">
        <f t="shared" si="44"/>
        <v/>
      </c>
    </row>
    <row r="2870" spans="1:7" s="172" customFormat="1" ht="15" customHeight="1" x14ac:dyDescent="0.25">
      <c r="A2870" s="835" t="s">
        <v>10911</v>
      </c>
      <c r="B2870" s="835" t="s">
        <v>10501</v>
      </c>
      <c r="C2870" s="835" t="s">
        <v>10501</v>
      </c>
      <c r="D2870" s="835" t="s">
        <v>10921</v>
      </c>
      <c r="E2870" s="835">
        <v>250</v>
      </c>
      <c r="F2870" s="836">
        <v>178</v>
      </c>
      <c r="G2870" s="202" t="str">
        <f t="shared" si="44"/>
        <v/>
      </c>
    </row>
    <row r="2871" spans="1:7" s="172" customFormat="1" ht="15" customHeight="1" x14ac:dyDescent="0.25">
      <c r="A2871" s="835" t="s">
        <v>10911</v>
      </c>
      <c r="B2871" s="835" t="s">
        <v>10501</v>
      </c>
      <c r="C2871" s="835" t="s">
        <v>10501</v>
      </c>
      <c r="D2871" s="835" t="s">
        <v>10922</v>
      </c>
      <c r="E2871" s="835">
        <v>250</v>
      </c>
      <c r="F2871" s="836">
        <v>119</v>
      </c>
      <c r="G2871" s="202" t="str">
        <f t="shared" si="44"/>
        <v/>
      </c>
    </row>
    <row r="2872" spans="1:7" s="172" customFormat="1" ht="15" customHeight="1" x14ac:dyDescent="0.25">
      <c r="A2872" s="835" t="s">
        <v>10917</v>
      </c>
      <c r="B2872" s="835" t="s">
        <v>10501</v>
      </c>
      <c r="C2872" s="835" t="s">
        <v>10501</v>
      </c>
      <c r="D2872" s="835" t="s">
        <v>10918</v>
      </c>
      <c r="E2872" s="835">
        <v>63</v>
      </c>
      <c r="F2872" s="836">
        <v>10</v>
      </c>
      <c r="G2872" s="202" t="str">
        <f t="shared" si="44"/>
        <v/>
      </c>
    </row>
    <row r="2873" spans="1:7" s="172" customFormat="1" ht="15" customHeight="1" x14ac:dyDescent="0.25">
      <c r="A2873" s="835" t="s">
        <v>10919</v>
      </c>
      <c r="B2873" s="835" t="s">
        <v>10501</v>
      </c>
      <c r="C2873" s="835" t="s">
        <v>10501</v>
      </c>
      <c r="D2873" s="835" t="s">
        <v>10920</v>
      </c>
      <c r="E2873" s="835">
        <v>30</v>
      </c>
      <c r="F2873" s="836">
        <v>1</v>
      </c>
      <c r="G2873" s="202" t="str">
        <f t="shared" si="44"/>
        <v/>
      </c>
    </row>
    <row r="2874" spans="1:7" s="172" customFormat="1" ht="15" customHeight="1" x14ac:dyDescent="0.25">
      <c r="A2874" s="835" t="s">
        <v>10915</v>
      </c>
      <c r="B2874" s="835" t="s">
        <v>10501</v>
      </c>
      <c r="C2874" s="835" t="s">
        <v>10501</v>
      </c>
      <c r="D2874" s="835" t="s">
        <v>10916</v>
      </c>
      <c r="E2874" s="835">
        <v>63</v>
      </c>
      <c r="F2874" s="836">
        <v>12</v>
      </c>
      <c r="G2874" s="202" t="str">
        <f t="shared" si="44"/>
        <v/>
      </c>
    </row>
    <row r="2875" spans="1:7" s="172" customFormat="1" ht="15" customHeight="1" x14ac:dyDescent="0.25">
      <c r="A2875" s="835" t="s">
        <v>10936</v>
      </c>
      <c r="B2875" s="835" t="s">
        <v>10501</v>
      </c>
      <c r="C2875" s="835" t="s">
        <v>10501</v>
      </c>
      <c r="D2875" s="835" t="s">
        <v>10937</v>
      </c>
      <c r="E2875" s="835">
        <v>50</v>
      </c>
      <c r="F2875" s="836">
        <v>0</v>
      </c>
      <c r="G2875" s="202" t="str">
        <f t="shared" si="44"/>
        <v/>
      </c>
    </row>
    <row r="2876" spans="1:7" s="172" customFormat="1" ht="15" customHeight="1" x14ac:dyDescent="0.25">
      <c r="A2876" s="835" t="s">
        <v>10943</v>
      </c>
      <c r="B2876" s="835" t="s">
        <v>10501</v>
      </c>
      <c r="C2876" s="835" t="s">
        <v>10501</v>
      </c>
      <c r="D2876" s="835" t="s">
        <v>10944</v>
      </c>
      <c r="E2876" s="835">
        <v>63</v>
      </c>
      <c r="F2876" s="836">
        <v>13</v>
      </c>
      <c r="G2876" s="202" t="str">
        <f t="shared" si="44"/>
        <v/>
      </c>
    </row>
    <row r="2877" spans="1:7" s="172" customFormat="1" ht="15" customHeight="1" x14ac:dyDescent="0.25">
      <c r="A2877" s="835" t="s">
        <v>10943</v>
      </c>
      <c r="B2877" s="835" t="s">
        <v>10501</v>
      </c>
      <c r="C2877" s="835" t="s">
        <v>10501</v>
      </c>
      <c r="D2877" s="835" t="s">
        <v>10953</v>
      </c>
      <c r="E2877" s="835">
        <v>160</v>
      </c>
      <c r="F2877" s="836">
        <v>24</v>
      </c>
      <c r="G2877" s="202" t="str">
        <f t="shared" si="44"/>
        <v/>
      </c>
    </row>
    <row r="2878" spans="1:7" s="172" customFormat="1" ht="15" customHeight="1" x14ac:dyDescent="0.25">
      <c r="A2878" s="835" t="s">
        <v>10948</v>
      </c>
      <c r="B2878" s="835" t="s">
        <v>10501</v>
      </c>
      <c r="C2878" s="835" t="s">
        <v>10501</v>
      </c>
      <c r="D2878" s="835" t="s">
        <v>10949</v>
      </c>
      <c r="E2878" s="835">
        <v>30</v>
      </c>
      <c r="F2878" s="836">
        <v>0</v>
      </c>
      <c r="G2878" s="202" t="str">
        <f t="shared" si="44"/>
        <v/>
      </c>
    </row>
    <row r="2879" spans="1:7" s="172" customFormat="1" ht="15" customHeight="1" x14ac:dyDescent="0.25">
      <c r="A2879" s="835" t="s">
        <v>10945</v>
      </c>
      <c r="B2879" s="835" t="s">
        <v>10501</v>
      </c>
      <c r="C2879" s="835" t="s">
        <v>10501</v>
      </c>
      <c r="D2879" s="835" t="s">
        <v>10946</v>
      </c>
      <c r="E2879" s="835">
        <v>160</v>
      </c>
      <c r="F2879" s="836">
        <v>53</v>
      </c>
      <c r="G2879" s="202" t="str">
        <f t="shared" si="44"/>
        <v/>
      </c>
    </row>
    <row r="2880" spans="1:7" s="172" customFormat="1" ht="15" customHeight="1" x14ac:dyDescent="0.25">
      <c r="A2880" s="835" t="s">
        <v>10945</v>
      </c>
      <c r="B2880" s="835" t="s">
        <v>10501</v>
      </c>
      <c r="C2880" s="835" t="s">
        <v>10501</v>
      </c>
      <c r="D2880" s="835" t="s">
        <v>10947</v>
      </c>
      <c r="E2880" s="835">
        <v>250</v>
      </c>
      <c r="F2880" s="836">
        <v>192</v>
      </c>
      <c r="G2880" s="202" t="str">
        <f t="shared" si="44"/>
        <v/>
      </c>
    </row>
    <row r="2881" spans="1:7" s="172" customFormat="1" ht="15" customHeight="1" x14ac:dyDescent="0.25">
      <c r="A2881" s="835" t="s">
        <v>4845</v>
      </c>
      <c r="B2881" s="835" t="s">
        <v>10501</v>
      </c>
      <c r="C2881" s="835" t="s">
        <v>10501</v>
      </c>
      <c r="D2881" s="835" t="s">
        <v>10950</v>
      </c>
      <c r="E2881" s="835">
        <v>250</v>
      </c>
      <c r="F2881" s="836">
        <v>150</v>
      </c>
      <c r="G2881" s="202" t="str">
        <f t="shared" si="44"/>
        <v/>
      </c>
    </row>
    <row r="2882" spans="1:7" s="172" customFormat="1" ht="15" customHeight="1" x14ac:dyDescent="0.25">
      <c r="A2882" s="835" t="s">
        <v>10951</v>
      </c>
      <c r="B2882" s="835" t="s">
        <v>10501</v>
      </c>
      <c r="C2882" s="835" t="s">
        <v>10501</v>
      </c>
      <c r="D2882" s="835" t="s">
        <v>10952</v>
      </c>
      <c r="E2882" s="835">
        <v>100</v>
      </c>
      <c r="F2882" s="836">
        <v>2</v>
      </c>
      <c r="G2882" s="202" t="str">
        <f t="shared" si="44"/>
        <v/>
      </c>
    </row>
    <row r="2883" spans="1:7" s="172" customFormat="1" ht="15" customHeight="1" x14ac:dyDescent="0.25">
      <c r="A2883" s="835" t="s">
        <v>10938</v>
      </c>
      <c r="B2883" s="835" t="s">
        <v>10501</v>
      </c>
      <c r="C2883" s="835" t="s">
        <v>10501</v>
      </c>
      <c r="D2883" s="835" t="s">
        <v>10939</v>
      </c>
      <c r="E2883" s="835">
        <v>100</v>
      </c>
      <c r="F2883" s="836">
        <v>24</v>
      </c>
      <c r="G2883" s="202" t="str">
        <f t="shared" si="44"/>
        <v/>
      </c>
    </row>
    <row r="2884" spans="1:7" s="172" customFormat="1" ht="15" customHeight="1" x14ac:dyDescent="0.25">
      <c r="A2884" s="835" t="s">
        <v>10938</v>
      </c>
      <c r="B2884" s="835" t="s">
        <v>10501</v>
      </c>
      <c r="C2884" s="835" t="s">
        <v>10501</v>
      </c>
      <c r="D2884" s="823" t="s">
        <v>10940</v>
      </c>
      <c r="E2884" s="823">
        <v>400</v>
      </c>
      <c r="F2884" s="838">
        <v>244</v>
      </c>
      <c r="G2884" s="202" t="str">
        <f t="shared" si="44"/>
        <v/>
      </c>
    </row>
    <row r="2885" spans="1:7" s="172" customFormat="1" ht="15" customHeight="1" x14ac:dyDescent="0.25">
      <c r="A2885" s="835" t="s">
        <v>10941</v>
      </c>
      <c r="B2885" s="835" t="s">
        <v>10501</v>
      </c>
      <c r="C2885" s="835" t="s">
        <v>10501</v>
      </c>
      <c r="D2885" s="823" t="s">
        <v>10942</v>
      </c>
      <c r="E2885" s="823">
        <v>100</v>
      </c>
      <c r="F2885" s="838">
        <v>34</v>
      </c>
      <c r="G2885" s="202" t="str">
        <f t="shared" si="44"/>
        <v/>
      </c>
    </row>
    <row r="2886" spans="1:7" s="172" customFormat="1" ht="15" customHeight="1" x14ac:dyDescent="0.25">
      <c r="A2886" s="835" t="s">
        <v>10934</v>
      </c>
      <c r="B2886" s="835" t="s">
        <v>10501</v>
      </c>
      <c r="C2886" s="835" t="s">
        <v>10501</v>
      </c>
      <c r="D2886" s="823" t="s">
        <v>10935</v>
      </c>
      <c r="E2886" s="823">
        <v>63</v>
      </c>
      <c r="F2886" s="838">
        <v>0</v>
      </c>
      <c r="G2886" s="202" t="str">
        <f t="shared" si="44"/>
        <v/>
      </c>
    </row>
    <row r="2887" spans="1:7" s="172" customFormat="1" ht="15" customHeight="1" x14ac:dyDescent="0.25">
      <c r="A2887" s="835" t="s">
        <v>17716</v>
      </c>
      <c r="B2887" s="835" t="s">
        <v>10501</v>
      </c>
      <c r="C2887" s="835" t="s">
        <v>10501</v>
      </c>
      <c r="D2887" s="835" t="s">
        <v>18156</v>
      </c>
      <c r="E2887" s="835">
        <v>2000</v>
      </c>
      <c r="F2887" s="836">
        <v>985</v>
      </c>
      <c r="G2887" s="202" t="str">
        <f t="shared" si="44"/>
        <v/>
      </c>
    </row>
    <row r="2888" spans="1:7" s="172" customFormat="1" ht="15" customHeight="1" x14ac:dyDescent="0.25">
      <c r="A2888" s="835" t="s">
        <v>17716</v>
      </c>
      <c r="B2888" s="835" t="s">
        <v>10501</v>
      </c>
      <c r="C2888" s="835" t="s">
        <v>10501</v>
      </c>
      <c r="D2888" s="835" t="s">
        <v>18155</v>
      </c>
      <c r="E2888" s="835">
        <v>800</v>
      </c>
      <c r="F2888" s="836">
        <v>376</v>
      </c>
      <c r="G2888" s="202" t="str">
        <f t="shared" si="44"/>
        <v/>
      </c>
    </row>
    <row r="2889" spans="1:7" s="172" customFormat="1" ht="15" customHeight="1" x14ac:dyDescent="0.25">
      <c r="A2889" s="835" t="s">
        <v>10738</v>
      </c>
      <c r="B2889" s="835" t="s">
        <v>10501</v>
      </c>
      <c r="C2889" s="835" t="s">
        <v>10501</v>
      </c>
      <c r="D2889" s="835" t="s">
        <v>10739</v>
      </c>
      <c r="E2889" s="835">
        <v>100</v>
      </c>
      <c r="F2889" s="836">
        <v>0</v>
      </c>
      <c r="G2889" s="202" t="str">
        <f t="shared" si="44"/>
        <v/>
      </c>
    </row>
    <row r="2890" spans="1:7" s="172" customFormat="1" ht="15" customHeight="1" x14ac:dyDescent="0.25">
      <c r="A2890" s="835" t="s">
        <v>10741</v>
      </c>
      <c r="B2890" s="835" t="s">
        <v>10501</v>
      </c>
      <c r="C2890" s="835" t="s">
        <v>10501</v>
      </c>
      <c r="D2890" s="835" t="s">
        <v>10740</v>
      </c>
      <c r="E2890" s="835">
        <v>250</v>
      </c>
      <c r="F2890" s="836">
        <v>24</v>
      </c>
      <c r="G2890" s="202" t="str">
        <f t="shared" si="44"/>
        <v/>
      </c>
    </row>
    <row r="2891" spans="1:7" s="172" customFormat="1" ht="15" customHeight="1" x14ac:dyDescent="0.25">
      <c r="A2891" s="835" t="s">
        <v>10741</v>
      </c>
      <c r="B2891" s="835" t="s">
        <v>10501</v>
      </c>
      <c r="C2891" s="835" t="s">
        <v>10501</v>
      </c>
      <c r="D2891" s="835" t="s">
        <v>10742</v>
      </c>
      <c r="E2891" s="835">
        <v>100</v>
      </c>
      <c r="F2891" s="836">
        <v>8</v>
      </c>
      <c r="G2891" s="202" t="str">
        <f t="shared" ref="G2891:G2954" si="45">IF(E2891=F2891,"не загружен","")</f>
        <v/>
      </c>
    </row>
    <row r="2892" spans="1:7" s="172" customFormat="1" ht="15" customHeight="1" x14ac:dyDescent="0.25">
      <c r="A2892" s="835" t="s">
        <v>10732</v>
      </c>
      <c r="B2892" s="835" t="s">
        <v>10501</v>
      </c>
      <c r="C2892" s="835" t="s">
        <v>10501</v>
      </c>
      <c r="D2892" s="835" t="s">
        <v>10733</v>
      </c>
      <c r="E2892" s="835">
        <v>40</v>
      </c>
      <c r="F2892" s="836">
        <v>5</v>
      </c>
      <c r="G2892" s="202" t="str">
        <f t="shared" si="45"/>
        <v/>
      </c>
    </row>
    <row r="2893" spans="1:7" s="172" customFormat="1" ht="15" customHeight="1" x14ac:dyDescent="0.25">
      <c r="A2893" s="835" t="s">
        <v>10734</v>
      </c>
      <c r="B2893" s="835" t="s">
        <v>10501</v>
      </c>
      <c r="C2893" s="835" t="s">
        <v>10501</v>
      </c>
      <c r="D2893" s="835" t="s">
        <v>10735</v>
      </c>
      <c r="E2893" s="835">
        <v>63</v>
      </c>
      <c r="F2893" s="836">
        <v>9</v>
      </c>
      <c r="G2893" s="202" t="str">
        <f t="shared" si="45"/>
        <v/>
      </c>
    </row>
    <row r="2894" spans="1:7" s="172" customFormat="1" ht="15" customHeight="1" x14ac:dyDescent="0.25">
      <c r="A2894" s="835" t="s">
        <v>4330</v>
      </c>
      <c r="B2894" s="835" t="s">
        <v>10501</v>
      </c>
      <c r="C2894" s="835" t="s">
        <v>10501</v>
      </c>
      <c r="D2894" s="835" t="s">
        <v>10728</v>
      </c>
      <c r="E2894" s="835">
        <v>160</v>
      </c>
      <c r="F2894" s="836">
        <v>45</v>
      </c>
      <c r="G2894" s="202" t="str">
        <f t="shared" si="45"/>
        <v/>
      </c>
    </row>
    <row r="2895" spans="1:7" s="172" customFormat="1" ht="15" customHeight="1" x14ac:dyDescent="0.25">
      <c r="A2895" s="835" t="s">
        <v>4330</v>
      </c>
      <c r="B2895" s="835" t="s">
        <v>10501</v>
      </c>
      <c r="C2895" s="835" t="s">
        <v>10501</v>
      </c>
      <c r="D2895" s="835" t="s">
        <v>10729</v>
      </c>
      <c r="E2895" s="835">
        <v>400</v>
      </c>
      <c r="F2895" s="836">
        <v>119</v>
      </c>
      <c r="G2895" s="202" t="str">
        <f t="shared" si="45"/>
        <v/>
      </c>
    </row>
    <row r="2896" spans="1:7" s="172" customFormat="1" ht="15" customHeight="1" x14ac:dyDescent="0.25">
      <c r="A2896" s="835" t="s">
        <v>4330</v>
      </c>
      <c r="B2896" s="835" t="s">
        <v>10501</v>
      </c>
      <c r="C2896" s="835" t="s">
        <v>10501</v>
      </c>
      <c r="D2896" s="835" t="s">
        <v>10730</v>
      </c>
      <c r="E2896" s="835">
        <v>100</v>
      </c>
      <c r="F2896" s="836">
        <v>26</v>
      </c>
      <c r="G2896" s="202" t="str">
        <f t="shared" si="45"/>
        <v/>
      </c>
    </row>
    <row r="2897" spans="1:7" s="172" customFormat="1" ht="15" customHeight="1" x14ac:dyDescent="0.25">
      <c r="A2897" s="835" t="s">
        <v>4330</v>
      </c>
      <c r="B2897" s="835" t="s">
        <v>10501</v>
      </c>
      <c r="C2897" s="835" t="s">
        <v>10501</v>
      </c>
      <c r="D2897" s="835" t="s">
        <v>10731</v>
      </c>
      <c r="E2897" s="835">
        <v>250</v>
      </c>
      <c r="F2897" s="836">
        <v>178</v>
      </c>
      <c r="G2897" s="202" t="str">
        <f t="shared" si="45"/>
        <v/>
      </c>
    </row>
    <row r="2898" spans="1:7" s="172" customFormat="1" ht="15" customHeight="1" x14ac:dyDescent="0.25">
      <c r="A2898" s="835" t="s">
        <v>4330</v>
      </c>
      <c r="B2898" s="835" t="s">
        <v>10501</v>
      </c>
      <c r="C2898" s="835" t="s">
        <v>10501</v>
      </c>
      <c r="D2898" s="835" t="s">
        <v>10743</v>
      </c>
      <c r="E2898" s="835">
        <v>400</v>
      </c>
      <c r="F2898" s="836">
        <v>117</v>
      </c>
      <c r="G2898" s="202" t="str">
        <f t="shared" si="45"/>
        <v/>
      </c>
    </row>
    <row r="2899" spans="1:7" s="172" customFormat="1" ht="15" customHeight="1" x14ac:dyDescent="0.25">
      <c r="A2899" s="835" t="s">
        <v>4330</v>
      </c>
      <c r="B2899" s="835" t="s">
        <v>10501</v>
      </c>
      <c r="C2899" s="835" t="s">
        <v>10501</v>
      </c>
      <c r="D2899" s="835" t="s">
        <v>10744</v>
      </c>
      <c r="E2899" s="835">
        <v>63</v>
      </c>
      <c r="F2899" s="836">
        <v>15</v>
      </c>
      <c r="G2899" s="202" t="str">
        <f t="shared" si="45"/>
        <v/>
      </c>
    </row>
    <row r="2900" spans="1:7" s="172" customFormat="1" ht="15" customHeight="1" x14ac:dyDescent="0.25">
      <c r="A2900" s="835" t="s">
        <v>10736</v>
      </c>
      <c r="B2900" s="835" t="s">
        <v>10501</v>
      </c>
      <c r="C2900" s="835" t="s">
        <v>10501</v>
      </c>
      <c r="D2900" s="835" t="s">
        <v>10737</v>
      </c>
      <c r="E2900" s="835">
        <v>160</v>
      </c>
      <c r="F2900" s="836">
        <v>41</v>
      </c>
      <c r="G2900" s="202" t="str">
        <f t="shared" si="45"/>
        <v/>
      </c>
    </row>
    <row r="2901" spans="1:7" s="172" customFormat="1" ht="15" customHeight="1" x14ac:dyDescent="0.25">
      <c r="A2901" s="835" t="s">
        <v>10736</v>
      </c>
      <c r="B2901" s="835" t="s">
        <v>10501</v>
      </c>
      <c r="C2901" s="835" t="s">
        <v>10501</v>
      </c>
      <c r="D2901" s="835" t="s">
        <v>10745</v>
      </c>
      <c r="E2901" s="835">
        <v>100</v>
      </c>
      <c r="F2901" s="836">
        <v>30</v>
      </c>
      <c r="G2901" s="202" t="str">
        <f t="shared" si="45"/>
        <v/>
      </c>
    </row>
    <row r="2902" spans="1:7" s="172" customFormat="1" ht="15" customHeight="1" x14ac:dyDescent="0.25">
      <c r="A2902" s="835" t="s">
        <v>16993</v>
      </c>
      <c r="B2902" s="835" t="s">
        <v>10501</v>
      </c>
      <c r="C2902" s="835" t="s">
        <v>10501</v>
      </c>
      <c r="D2902" s="835" t="s">
        <v>19699</v>
      </c>
      <c r="E2902" s="835">
        <v>63</v>
      </c>
      <c r="F2902" s="836">
        <v>41</v>
      </c>
      <c r="G2902" s="202" t="str">
        <f t="shared" si="45"/>
        <v/>
      </c>
    </row>
    <row r="2903" spans="1:7" s="172" customFormat="1" ht="15" customHeight="1" x14ac:dyDescent="0.25">
      <c r="A2903" s="835" t="s">
        <v>10819</v>
      </c>
      <c r="B2903" s="835" t="s">
        <v>10501</v>
      </c>
      <c r="C2903" s="835" t="s">
        <v>10501</v>
      </c>
      <c r="D2903" s="835" t="s">
        <v>10820</v>
      </c>
      <c r="E2903" s="835">
        <v>100</v>
      </c>
      <c r="F2903" s="836">
        <v>17</v>
      </c>
      <c r="G2903" s="202" t="str">
        <f t="shared" si="45"/>
        <v/>
      </c>
    </row>
    <row r="2904" spans="1:7" s="172" customFormat="1" ht="15" customHeight="1" x14ac:dyDescent="0.25">
      <c r="A2904" s="835" t="s">
        <v>10812</v>
      </c>
      <c r="B2904" s="835" t="s">
        <v>10501</v>
      </c>
      <c r="C2904" s="835" t="s">
        <v>10501</v>
      </c>
      <c r="D2904" s="835" t="s">
        <v>10813</v>
      </c>
      <c r="E2904" s="835">
        <v>100</v>
      </c>
      <c r="F2904" s="836">
        <v>13</v>
      </c>
      <c r="G2904" s="202" t="str">
        <f t="shared" si="45"/>
        <v/>
      </c>
    </row>
    <row r="2905" spans="1:7" s="172" customFormat="1" ht="15" customHeight="1" x14ac:dyDescent="0.25">
      <c r="A2905" s="835" t="s">
        <v>10812</v>
      </c>
      <c r="B2905" s="835" t="s">
        <v>10501</v>
      </c>
      <c r="C2905" s="835" t="s">
        <v>10501</v>
      </c>
      <c r="D2905" s="835" t="s">
        <v>10814</v>
      </c>
      <c r="E2905" s="835">
        <v>100</v>
      </c>
      <c r="F2905" s="836">
        <v>34</v>
      </c>
      <c r="G2905" s="202" t="str">
        <f t="shared" si="45"/>
        <v/>
      </c>
    </row>
    <row r="2906" spans="1:7" s="172" customFormat="1" ht="15" customHeight="1" x14ac:dyDescent="0.25">
      <c r="A2906" s="835" t="s">
        <v>10746</v>
      </c>
      <c r="B2906" s="835" t="s">
        <v>10501</v>
      </c>
      <c r="C2906" s="835" t="s">
        <v>10501</v>
      </c>
      <c r="D2906" s="835" t="s">
        <v>10800</v>
      </c>
      <c r="E2906" s="835">
        <v>160</v>
      </c>
      <c r="F2906" s="836">
        <v>33</v>
      </c>
      <c r="G2906" s="202" t="str">
        <f t="shared" si="45"/>
        <v/>
      </c>
    </row>
    <row r="2907" spans="1:7" s="172" customFormat="1" ht="15" customHeight="1" x14ac:dyDescent="0.25">
      <c r="A2907" s="835" t="s">
        <v>10807</v>
      </c>
      <c r="B2907" s="835" t="s">
        <v>10501</v>
      </c>
      <c r="C2907" s="835" t="s">
        <v>10501</v>
      </c>
      <c r="D2907" s="835" t="s">
        <v>10808</v>
      </c>
      <c r="E2907" s="835">
        <v>63</v>
      </c>
      <c r="F2907" s="836">
        <v>14</v>
      </c>
      <c r="G2907" s="202" t="str">
        <f t="shared" si="45"/>
        <v/>
      </c>
    </row>
    <row r="2908" spans="1:7" s="172" customFormat="1" ht="15" customHeight="1" x14ac:dyDescent="0.25">
      <c r="A2908" s="835" t="s">
        <v>10810</v>
      </c>
      <c r="B2908" s="835" t="s">
        <v>10501</v>
      </c>
      <c r="C2908" s="835" t="s">
        <v>10501</v>
      </c>
      <c r="D2908" s="835" t="s">
        <v>10811</v>
      </c>
      <c r="E2908" s="835">
        <v>63</v>
      </c>
      <c r="F2908" s="836">
        <v>24</v>
      </c>
      <c r="G2908" s="202" t="str">
        <f t="shared" si="45"/>
        <v/>
      </c>
    </row>
    <row r="2909" spans="1:7" s="172" customFormat="1" ht="15" customHeight="1" x14ac:dyDescent="0.25">
      <c r="A2909" s="835" t="s">
        <v>13224</v>
      </c>
      <c r="B2909" s="835" t="s">
        <v>10501</v>
      </c>
      <c r="C2909" s="835" t="s">
        <v>10501</v>
      </c>
      <c r="D2909" s="835" t="s">
        <v>10803</v>
      </c>
      <c r="E2909" s="835">
        <v>20</v>
      </c>
      <c r="F2909" s="836">
        <v>0</v>
      </c>
      <c r="G2909" s="202" t="str">
        <f t="shared" si="45"/>
        <v/>
      </c>
    </row>
    <row r="2910" spans="1:7" s="172" customFormat="1" ht="15" customHeight="1" x14ac:dyDescent="0.25">
      <c r="A2910" s="835" t="s">
        <v>13224</v>
      </c>
      <c r="B2910" s="835" t="s">
        <v>10501</v>
      </c>
      <c r="C2910" s="835" t="s">
        <v>10501</v>
      </c>
      <c r="D2910" s="835" t="s">
        <v>10804</v>
      </c>
      <c r="E2910" s="835">
        <v>100</v>
      </c>
      <c r="F2910" s="836">
        <v>7</v>
      </c>
      <c r="G2910" s="202" t="str">
        <f t="shared" si="45"/>
        <v/>
      </c>
    </row>
    <row r="2911" spans="1:7" s="172" customFormat="1" ht="15" customHeight="1" x14ac:dyDescent="0.25">
      <c r="A2911" s="835" t="s">
        <v>10805</v>
      </c>
      <c r="B2911" s="835" t="s">
        <v>10501</v>
      </c>
      <c r="C2911" s="835" t="s">
        <v>10501</v>
      </c>
      <c r="D2911" s="835" t="s">
        <v>10806</v>
      </c>
      <c r="E2911" s="835">
        <v>63</v>
      </c>
      <c r="F2911" s="836">
        <v>12</v>
      </c>
      <c r="G2911" s="202" t="str">
        <f t="shared" si="45"/>
        <v/>
      </c>
    </row>
    <row r="2912" spans="1:7" s="172" customFormat="1" ht="15" customHeight="1" x14ac:dyDescent="0.25">
      <c r="A2912" s="835" t="s">
        <v>5235</v>
      </c>
      <c r="B2912" s="835" t="s">
        <v>10501</v>
      </c>
      <c r="C2912" s="835" t="s">
        <v>10501</v>
      </c>
      <c r="D2912" s="835" t="s">
        <v>10809</v>
      </c>
      <c r="E2912" s="835">
        <v>100</v>
      </c>
      <c r="F2912" s="836">
        <v>12</v>
      </c>
      <c r="G2912" s="202" t="str">
        <f t="shared" si="45"/>
        <v/>
      </c>
    </row>
    <row r="2913" spans="1:7" s="172" customFormat="1" ht="15" customHeight="1" x14ac:dyDescent="0.25">
      <c r="A2913" s="835" t="s">
        <v>10817</v>
      </c>
      <c r="B2913" s="835" t="s">
        <v>10501</v>
      </c>
      <c r="C2913" s="835" t="s">
        <v>10501</v>
      </c>
      <c r="D2913" s="823" t="s">
        <v>10818</v>
      </c>
      <c r="E2913" s="823">
        <v>63</v>
      </c>
      <c r="F2913" s="838">
        <v>11</v>
      </c>
      <c r="G2913" s="202" t="str">
        <f t="shared" si="45"/>
        <v/>
      </c>
    </row>
    <row r="2914" spans="1:7" s="172" customFormat="1" ht="15" customHeight="1" x14ac:dyDescent="0.25">
      <c r="A2914" s="835" t="s">
        <v>10801</v>
      </c>
      <c r="B2914" s="835" t="s">
        <v>10501</v>
      </c>
      <c r="C2914" s="835" t="s">
        <v>10501</v>
      </c>
      <c r="D2914" s="835" t="s">
        <v>10802</v>
      </c>
      <c r="E2914" s="835">
        <v>50</v>
      </c>
      <c r="F2914" s="836">
        <v>2</v>
      </c>
      <c r="G2914" s="202" t="str">
        <f t="shared" si="45"/>
        <v/>
      </c>
    </row>
    <row r="2915" spans="1:7" s="172" customFormat="1" ht="15" customHeight="1" x14ac:dyDescent="0.25">
      <c r="A2915" s="835" t="s">
        <v>13228</v>
      </c>
      <c r="B2915" s="835" t="s">
        <v>10501</v>
      </c>
      <c r="C2915" s="835" t="s">
        <v>10501</v>
      </c>
      <c r="D2915" s="823" t="s">
        <v>10798</v>
      </c>
      <c r="E2915" s="823">
        <v>100</v>
      </c>
      <c r="F2915" s="838">
        <v>24</v>
      </c>
      <c r="G2915" s="202" t="str">
        <f t="shared" si="45"/>
        <v/>
      </c>
    </row>
    <row r="2916" spans="1:7" s="172" customFormat="1" ht="15" customHeight="1" x14ac:dyDescent="0.25">
      <c r="A2916" s="835" t="s">
        <v>13227</v>
      </c>
      <c r="B2916" s="835" t="s">
        <v>10501</v>
      </c>
      <c r="C2916" s="835" t="s">
        <v>10501</v>
      </c>
      <c r="D2916" s="835" t="s">
        <v>10790</v>
      </c>
      <c r="E2916" s="835">
        <v>250</v>
      </c>
      <c r="F2916" s="836">
        <v>54</v>
      </c>
      <c r="G2916" s="202" t="str">
        <f t="shared" si="45"/>
        <v/>
      </c>
    </row>
    <row r="2917" spans="1:7" s="172" customFormat="1" ht="15" customHeight="1" x14ac:dyDescent="0.25">
      <c r="A2917" s="835" t="s">
        <v>13227</v>
      </c>
      <c r="B2917" s="835" t="s">
        <v>10501</v>
      </c>
      <c r="C2917" s="835" t="s">
        <v>10501</v>
      </c>
      <c r="D2917" s="835" t="s">
        <v>10791</v>
      </c>
      <c r="E2917" s="835">
        <v>250</v>
      </c>
      <c r="F2917" s="836">
        <v>55</v>
      </c>
      <c r="G2917" s="202" t="str">
        <f t="shared" si="45"/>
        <v/>
      </c>
    </row>
    <row r="2918" spans="1:7" s="172" customFormat="1" ht="15" customHeight="1" x14ac:dyDescent="0.25">
      <c r="A2918" s="835" t="s">
        <v>13227</v>
      </c>
      <c r="B2918" s="835" t="s">
        <v>10501</v>
      </c>
      <c r="C2918" s="835" t="s">
        <v>10501</v>
      </c>
      <c r="D2918" s="835" t="s">
        <v>10792</v>
      </c>
      <c r="E2918" s="835">
        <v>100</v>
      </c>
      <c r="F2918" s="836">
        <v>24</v>
      </c>
      <c r="G2918" s="202" t="str">
        <f t="shared" si="45"/>
        <v/>
      </c>
    </row>
    <row r="2919" spans="1:7" s="172" customFormat="1" ht="15" customHeight="1" x14ac:dyDescent="0.25">
      <c r="A2919" s="835" t="s">
        <v>13227</v>
      </c>
      <c r="B2919" s="835" t="s">
        <v>10501</v>
      </c>
      <c r="C2919" s="835" t="s">
        <v>10501</v>
      </c>
      <c r="D2919" s="835" t="s">
        <v>10793</v>
      </c>
      <c r="E2919" s="835">
        <v>250</v>
      </c>
      <c r="F2919" s="836">
        <v>175</v>
      </c>
      <c r="G2919" s="202" t="str">
        <f t="shared" si="45"/>
        <v/>
      </c>
    </row>
    <row r="2920" spans="1:7" s="172" customFormat="1" ht="15" customHeight="1" x14ac:dyDescent="0.25">
      <c r="A2920" s="835" t="s">
        <v>10794</v>
      </c>
      <c r="B2920" s="835" t="s">
        <v>10501</v>
      </c>
      <c r="C2920" s="835" t="s">
        <v>10501</v>
      </c>
      <c r="D2920" s="835" t="s">
        <v>10795</v>
      </c>
      <c r="E2920" s="835">
        <v>160</v>
      </c>
      <c r="F2920" s="836">
        <v>26</v>
      </c>
      <c r="G2920" s="202" t="str">
        <f t="shared" si="45"/>
        <v/>
      </c>
    </row>
    <row r="2921" spans="1:7" s="172" customFormat="1" ht="15" customHeight="1" x14ac:dyDescent="0.25">
      <c r="A2921" s="835" t="s">
        <v>10796</v>
      </c>
      <c r="B2921" s="835" t="s">
        <v>10501</v>
      </c>
      <c r="C2921" s="835" t="s">
        <v>10501</v>
      </c>
      <c r="D2921" s="835" t="s">
        <v>10797</v>
      </c>
      <c r="E2921" s="835">
        <v>40</v>
      </c>
      <c r="F2921" s="836">
        <v>0</v>
      </c>
      <c r="G2921" s="202" t="str">
        <f t="shared" si="45"/>
        <v/>
      </c>
    </row>
    <row r="2922" spans="1:7" s="172" customFormat="1" ht="15" customHeight="1" x14ac:dyDescent="0.25">
      <c r="A2922" s="835" t="s">
        <v>10815</v>
      </c>
      <c r="B2922" s="835" t="s">
        <v>10501</v>
      </c>
      <c r="C2922" s="835" t="s">
        <v>10501</v>
      </c>
      <c r="D2922" s="835" t="s">
        <v>10816</v>
      </c>
      <c r="E2922" s="835">
        <v>20</v>
      </c>
      <c r="F2922" s="836">
        <v>0</v>
      </c>
      <c r="G2922" s="202" t="str">
        <f t="shared" si="45"/>
        <v/>
      </c>
    </row>
    <row r="2923" spans="1:7" s="172" customFormat="1" ht="15" customHeight="1" x14ac:dyDescent="0.25">
      <c r="A2923" s="835" t="s">
        <v>10787</v>
      </c>
      <c r="B2923" s="835" t="s">
        <v>10501</v>
      </c>
      <c r="C2923" s="835" t="s">
        <v>10501</v>
      </c>
      <c r="D2923" s="835" t="s">
        <v>10788</v>
      </c>
      <c r="E2923" s="835">
        <v>160</v>
      </c>
      <c r="F2923" s="836">
        <v>58</v>
      </c>
      <c r="G2923" s="202" t="str">
        <f t="shared" si="45"/>
        <v/>
      </c>
    </row>
    <row r="2924" spans="1:7" s="172" customFormat="1" ht="15" customHeight="1" x14ac:dyDescent="0.25">
      <c r="A2924" s="835" t="s">
        <v>10787</v>
      </c>
      <c r="B2924" s="835" t="s">
        <v>10501</v>
      </c>
      <c r="C2924" s="835" t="s">
        <v>10501</v>
      </c>
      <c r="D2924" s="835" t="s">
        <v>10789</v>
      </c>
      <c r="E2924" s="835">
        <v>400</v>
      </c>
      <c r="F2924" s="836">
        <v>91</v>
      </c>
      <c r="G2924" s="202" t="str">
        <f t="shared" si="45"/>
        <v/>
      </c>
    </row>
    <row r="2925" spans="1:7" s="172" customFormat="1" ht="15" customHeight="1" x14ac:dyDescent="0.25">
      <c r="A2925" s="835" t="s">
        <v>10787</v>
      </c>
      <c r="B2925" s="835" t="s">
        <v>10501</v>
      </c>
      <c r="C2925" s="835" t="s">
        <v>10501</v>
      </c>
      <c r="D2925" s="835" t="s">
        <v>10799</v>
      </c>
      <c r="E2925" s="835">
        <v>100</v>
      </c>
      <c r="F2925" s="836">
        <v>27</v>
      </c>
      <c r="G2925" s="202" t="str">
        <f t="shared" si="45"/>
        <v/>
      </c>
    </row>
    <row r="2926" spans="1:7" s="172" customFormat="1" ht="15" customHeight="1" x14ac:dyDescent="0.25">
      <c r="A2926" s="835" t="s">
        <v>10783</v>
      </c>
      <c r="B2926" s="835" t="s">
        <v>10501</v>
      </c>
      <c r="C2926" s="835" t="s">
        <v>10501</v>
      </c>
      <c r="D2926" s="835" t="s">
        <v>10784</v>
      </c>
      <c r="E2926" s="835">
        <v>160</v>
      </c>
      <c r="F2926" s="836">
        <v>24</v>
      </c>
      <c r="G2926" s="202" t="str">
        <f t="shared" si="45"/>
        <v/>
      </c>
    </row>
    <row r="2927" spans="1:7" s="172" customFormat="1" ht="15" customHeight="1" x14ac:dyDescent="0.25">
      <c r="A2927" s="835" t="s">
        <v>10785</v>
      </c>
      <c r="B2927" s="835" t="s">
        <v>10501</v>
      </c>
      <c r="C2927" s="835" t="s">
        <v>10501</v>
      </c>
      <c r="D2927" s="835" t="s">
        <v>10786</v>
      </c>
      <c r="E2927" s="835">
        <v>160</v>
      </c>
      <c r="F2927" s="836">
        <v>68</v>
      </c>
      <c r="G2927" s="202" t="str">
        <f t="shared" si="45"/>
        <v/>
      </c>
    </row>
    <row r="2928" spans="1:7" s="172" customFormat="1" ht="15" customHeight="1" x14ac:dyDescent="0.25">
      <c r="A2928" s="835" t="s">
        <v>10746</v>
      </c>
      <c r="B2928" s="835" t="s">
        <v>10501</v>
      </c>
      <c r="C2928" s="835" t="s">
        <v>10501</v>
      </c>
      <c r="D2928" s="835" t="s">
        <v>10779</v>
      </c>
      <c r="E2928" s="835">
        <v>160</v>
      </c>
      <c r="F2928" s="836">
        <v>28</v>
      </c>
      <c r="G2928" s="202" t="str">
        <f t="shared" si="45"/>
        <v/>
      </c>
    </row>
    <row r="2929" spans="1:7" s="172" customFormat="1" ht="15" customHeight="1" x14ac:dyDescent="0.25">
      <c r="A2929" s="835" t="s">
        <v>10746</v>
      </c>
      <c r="B2929" s="835" t="s">
        <v>10501</v>
      </c>
      <c r="C2929" s="835" t="s">
        <v>10501</v>
      </c>
      <c r="D2929" s="835" t="s">
        <v>10780</v>
      </c>
      <c r="E2929" s="835">
        <v>250</v>
      </c>
      <c r="F2929" s="836">
        <v>50</v>
      </c>
      <c r="G2929" s="202" t="str">
        <f t="shared" si="45"/>
        <v/>
      </c>
    </row>
    <row r="2930" spans="1:7" s="172" customFormat="1" ht="15" customHeight="1" x14ac:dyDescent="0.25">
      <c r="A2930" s="835" t="s">
        <v>10746</v>
      </c>
      <c r="B2930" s="835" t="s">
        <v>10501</v>
      </c>
      <c r="C2930" s="835" t="s">
        <v>10501</v>
      </c>
      <c r="D2930" s="835" t="s">
        <v>10781</v>
      </c>
      <c r="E2930" s="835">
        <v>250</v>
      </c>
      <c r="F2930" s="836">
        <v>55</v>
      </c>
      <c r="G2930" s="202" t="str">
        <f t="shared" si="45"/>
        <v/>
      </c>
    </row>
    <row r="2931" spans="1:7" s="172" customFormat="1" ht="15" customHeight="1" x14ac:dyDescent="0.25">
      <c r="A2931" s="835" t="s">
        <v>10746</v>
      </c>
      <c r="B2931" s="835" t="s">
        <v>10501</v>
      </c>
      <c r="C2931" s="835" t="s">
        <v>10501</v>
      </c>
      <c r="D2931" s="835" t="s">
        <v>10782</v>
      </c>
      <c r="E2931" s="835">
        <v>250</v>
      </c>
      <c r="F2931" s="836">
        <v>45</v>
      </c>
      <c r="G2931" s="202" t="str">
        <f t="shared" si="45"/>
        <v/>
      </c>
    </row>
    <row r="2932" spans="1:7" s="172" customFormat="1" ht="15" customHeight="1" x14ac:dyDescent="0.25">
      <c r="A2932" s="835" t="s">
        <v>10703</v>
      </c>
      <c r="B2932" s="835" t="s">
        <v>10501</v>
      </c>
      <c r="C2932" s="835" t="s">
        <v>10501</v>
      </c>
      <c r="D2932" s="835" t="s">
        <v>10768</v>
      </c>
      <c r="E2932" s="835">
        <v>160</v>
      </c>
      <c r="F2932" s="836">
        <v>59</v>
      </c>
      <c r="G2932" s="202" t="str">
        <f t="shared" si="45"/>
        <v/>
      </c>
    </row>
    <row r="2933" spans="1:7" s="172" customFormat="1" ht="15" customHeight="1" x14ac:dyDescent="0.25">
      <c r="A2933" s="835" t="s">
        <v>10703</v>
      </c>
      <c r="B2933" s="835" t="s">
        <v>10501</v>
      </c>
      <c r="C2933" s="835" t="s">
        <v>10501</v>
      </c>
      <c r="D2933" s="835" t="s">
        <v>10769</v>
      </c>
      <c r="E2933" s="835">
        <v>250</v>
      </c>
      <c r="F2933" s="836">
        <v>49</v>
      </c>
      <c r="G2933" s="202" t="str">
        <f t="shared" si="45"/>
        <v/>
      </c>
    </row>
    <row r="2934" spans="1:7" s="172" customFormat="1" ht="15" customHeight="1" x14ac:dyDescent="0.25">
      <c r="A2934" s="835" t="s">
        <v>10766</v>
      </c>
      <c r="B2934" s="835" t="s">
        <v>10501</v>
      </c>
      <c r="C2934" s="835" t="s">
        <v>10501</v>
      </c>
      <c r="D2934" s="835" t="s">
        <v>10767</v>
      </c>
      <c r="E2934" s="835">
        <v>250</v>
      </c>
      <c r="F2934" s="836">
        <v>70</v>
      </c>
      <c r="G2934" s="202" t="str">
        <f t="shared" si="45"/>
        <v/>
      </c>
    </row>
    <row r="2935" spans="1:7" s="172" customFormat="1" ht="15" customHeight="1" x14ac:dyDescent="0.25">
      <c r="A2935" s="835" t="s">
        <v>13225</v>
      </c>
      <c r="B2935" s="835" t="s">
        <v>10501</v>
      </c>
      <c r="C2935" s="835" t="s">
        <v>10501</v>
      </c>
      <c r="D2935" s="835" t="s">
        <v>10765</v>
      </c>
      <c r="E2935" s="835">
        <v>250</v>
      </c>
      <c r="F2935" s="836">
        <v>50</v>
      </c>
      <c r="G2935" s="202" t="str">
        <f t="shared" si="45"/>
        <v/>
      </c>
    </row>
    <row r="2936" spans="1:7" s="172" customFormat="1" ht="15" customHeight="1" x14ac:dyDescent="0.25">
      <c r="A2936" s="835" t="s">
        <v>13226</v>
      </c>
      <c r="B2936" s="835" t="s">
        <v>10501</v>
      </c>
      <c r="C2936" s="835" t="s">
        <v>10501</v>
      </c>
      <c r="D2936" s="835" t="s">
        <v>10770</v>
      </c>
      <c r="E2936" s="835">
        <v>400</v>
      </c>
      <c r="F2936" s="836">
        <v>249</v>
      </c>
      <c r="G2936" s="202" t="str">
        <f t="shared" si="45"/>
        <v/>
      </c>
    </row>
    <row r="2937" spans="1:7" s="172" customFormat="1" ht="15" customHeight="1" x14ac:dyDescent="0.25">
      <c r="A2937" s="835" t="s">
        <v>10703</v>
      </c>
      <c r="B2937" s="835" t="s">
        <v>10501</v>
      </c>
      <c r="C2937" s="835" t="s">
        <v>10501</v>
      </c>
      <c r="D2937" s="835" t="s">
        <v>19698</v>
      </c>
      <c r="E2937" s="835">
        <v>400</v>
      </c>
      <c r="F2937" s="836">
        <v>312</v>
      </c>
      <c r="G2937" s="202" t="str">
        <f t="shared" si="45"/>
        <v/>
      </c>
    </row>
    <row r="2938" spans="1:7" s="172" customFormat="1" ht="15" customHeight="1" x14ac:dyDescent="0.25">
      <c r="A2938" s="835" t="s">
        <v>10751</v>
      </c>
      <c r="B2938" s="835" t="s">
        <v>10501</v>
      </c>
      <c r="C2938" s="835" t="s">
        <v>10501</v>
      </c>
      <c r="D2938" s="835" t="s">
        <v>10752</v>
      </c>
      <c r="E2938" s="835">
        <v>400</v>
      </c>
      <c r="F2938" s="836">
        <v>86</v>
      </c>
      <c r="G2938" s="202" t="str">
        <f t="shared" si="45"/>
        <v/>
      </c>
    </row>
    <row r="2939" spans="1:7" s="172" customFormat="1" ht="15" customHeight="1" x14ac:dyDescent="0.25">
      <c r="A2939" s="835" t="s">
        <v>10751</v>
      </c>
      <c r="B2939" s="835" t="s">
        <v>10501</v>
      </c>
      <c r="C2939" s="835" t="s">
        <v>10501</v>
      </c>
      <c r="D2939" s="835" t="s">
        <v>10753</v>
      </c>
      <c r="E2939" s="835">
        <v>100</v>
      </c>
      <c r="F2939" s="836">
        <v>4</v>
      </c>
      <c r="G2939" s="202" t="str">
        <f t="shared" si="45"/>
        <v/>
      </c>
    </row>
    <row r="2940" spans="1:7" s="172" customFormat="1" ht="15" customHeight="1" x14ac:dyDescent="0.25">
      <c r="A2940" s="835" t="s">
        <v>10756</v>
      </c>
      <c r="B2940" s="835" t="s">
        <v>10501</v>
      </c>
      <c r="C2940" s="835" t="s">
        <v>10501</v>
      </c>
      <c r="D2940" s="835" t="s">
        <v>10757</v>
      </c>
      <c r="E2940" s="835">
        <v>63</v>
      </c>
      <c r="F2940" s="836">
        <v>9</v>
      </c>
      <c r="G2940" s="202" t="str">
        <f t="shared" si="45"/>
        <v/>
      </c>
    </row>
    <row r="2941" spans="1:7" s="172" customFormat="1" ht="15" customHeight="1" x14ac:dyDescent="0.25">
      <c r="A2941" s="835" t="s">
        <v>13224</v>
      </c>
      <c r="B2941" s="835" t="s">
        <v>10501</v>
      </c>
      <c r="C2941" s="835" t="s">
        <v>10501</v>
      </c>
      <c r="D2941" s="835" t="s">
        <v>10754</v>
      </c>
      <c r="E2941" s="835">
        <v>400</v>
      </c>
      <c r="F2941" s="836">
        <v>130</v>
      </c>
      <c r="G2941" s="202" t="str">
        <f t="shared" si="45"/>
        <v/>
      </c>
    </row>
    <row r="2942" spans="1:7" s="172" customFormat="1" ht="15" customHeight="1" x14ac:dyDescent="0.25">
      <c r="A2942" s="835" t="s">
        <v>13224</v>
      </c>
      <c r="B2942" s="835" t="s">
        <v>10501</v>
      </c>
      <c r="C2942" s="835" t="s">
        <v>10501</v>
      </c>
      <c r="D2942" s="835" t="s">
        <v>10755</v>
      </c>
      <c r="E2942" s="835">
        <v>100</v>
      </c>
      <c r="F2942" s="836">
        <v>34</v>
      </c>
      <c r="G2942" s="202" t="str">
        <f t="shared" si="45"/>
        <v/>
      </c>
    </row>
    <row r="2943" spans="1:7" s="172" customFormat="1" ht="15" customHeight="1" x14ac:dyDescent="0.25">
      <c r="A2943" s="835" t="s">
        <v>4498</v>
      </c>
      <c r="B2943" s="835" t="s">
        <v>10501</v>
      </c>
      <c r="C2943" s="835" t="s">
        <v>10501</v>
      </c>
      <c r="D2943" s="835" t="s">
        <v>10748</v>
      </c>
      <c r="E2943" s="835">
        <v>63</v>
      </c>
      <c r="F2943" s="836">
        <v>13</v>
      </c>
      <c r="G2943" s="202" t="str">
        <f t="shared" si="45"/>
        <v/>
      </c>
    </row>
    <row r="2944" spans="1:7" s="172" customFormat="1" ht="15" customHeight="1" x14ac:dyDescent="0.25">
      <c r="A2944" s="835" t="s">
        <v>10758</v>
      </c>
      <c r="B2944" s="835" t="s">
        <v>10501</v>
      </c>
      <c r="C2944" s="835" t="s">
        <v>10501</v>
      </c>
      <c r="D2944" s="835" t="s">
        <v>10759</v>
      </c>
      <c r="E2944" s="835">
        <v>63</v>
      </c>
      <c r="F2944" s="836">
        <v>11</v>
      </c>
      <c r="G2944" s="202" t="str">
        <f t="shared" si="45"/>
        <v/>
      </c>
    </row>
    <row r="2945" spans="1:7" s="172" customFormat="1" ht="15" customHeight="1" x14ac:dyDescent="0.25">
      <c r="A2945" s="835" t="s">
        <v>10758</v>
      </c>
      <c r="B2945" s="835" t="s">
        <v>10501</v>
      </c>
      <c r="C2945" s="835" t="s">
        <v>10501</v>
      </c>
      <c r="D2945" s="835" t="s">
        <v>10760</v>
      </c>
      <c r="E2945" s="835">
        <v>250</v>
      </c>
      <c r="F2945" s="836">
        <v>192</v>
      </c>
      <c r="G2945" s="202" t="str">
        <f t="shared" si="45"/>
        <v/>
      </c>
    </row>
    <row r="2946" spans="1:7" s="172" customFormat="1" ht="15" customHeight="1" x14ac:dyDescent="0.25">
      <c r="A2946" s="835" t="s">
        <v>10758</v>
      </c>
      <c r="B2946" s="835" t="s">
        <v>10501</v>
      </c>
      <c r="C2946" s="835" t="s">
        <v>10501</v>
      </c>
      <c r="D2946" s="835" t="s">
        <v>10761</v>
      </c>
      <c r="E2946" s="835">
        <v>160</v>
      </c>
      <c r="F2946" s="836">
        <v>30</v>
      </c>
      <c r="G2946" s="202" t="str">
        <f t="shared" si="45"/>
        <v/>
      </c>
    </row>
    <row r="2947" spans="1:7" s="172" customFormat="1" ht="15" customHeight="1" x14ac:dyDescent="0.25">
      <c r="A2947" s="835" t="s">
        <v>10762</v>
      </c>
      <c r="B2947" s="835" t="s">
        <v>10501</v>
      </c>
      <c r="C2947" s="835" t="s">
        <v>10501</v>
      </c>
      <c r="D2947" s="835" t="s">
        <v>10763</v>
      </c>
      <c r="E2947" s="835">
        <v>160</v>
      </c>
      <c r="F2947" s="836">
        <v>57</v>
      </c>
      <c r="G2947" s="202" t="str">
        <f t="shared" si="45"/>
        <v/>
      </c>
    </row>
    <row r="2948" spans="1:7" s="172" customFormat="1" ht="15" customHeight="1" x14ac:dyDescent="0.25">
      <c r="A2948" s="835" t="s">
        <v>10762</v>
      </c>
      <c r="B2948" s="835" t="s">
        <v>10501</v>
      </c>
      <c r="C2948" s="835" t="s">
        <v>10501</v>
      </c>
      <c r="D2948" s="835" t="s">
        <v>10764</v>
      </c>
      <c r="E2948" s="835">
        <v>30</v>
      </c>
      <c r="F2948" s="836">
        <v>0</v>
      </c>
      <c r="G2948" s="202" t="str">
        <f t="shared" si="45"/>
        <v/>
      </c>
    </row>
    <row r="2949" spans="1:7" s="172" customFormat="1" ht="15" customHeight="1" x14ac:dyDescent="0.25">
      <c r="A2949" s="835" t="s">
        <v>10749</v>
      </c>
      <c r="B2949" s="835" t="s">
        <v>10501</v>
      </c>
      <c r="C2949" s="835" t="s">
        <v>10501</v>
      </c>
      <c r="D2949" s="835" t="s">
        <v>10750</v>
      </c>
      <c r="E2949" s="835">
        <v>160</v>
      </c>
      <c r="F2949" s="836">
        <v>67</v>
      </c>
      <c r="G2949" s="202" t="str">
        <f t="shared" si="45"/>
        <v/>
      </c>
    </row>
    <row r="2950" spans="1:7" s="172" customFormat="1" ht="15" customHeight="1" x14ac:dyDescent="0.25">
      <c r="A2950" s="835" t="s">
        <v>19191</v>
      </c>
      <c r="B2950" s="835" t="s">
        <v>10501</v>
      </c>
      <c r="C2950" s="835" t="s">
        <v>10501</v>
      </c>
      <c r="D2950" s="835" t="s">
        <v>19192</v>
      </c>
      <c r="E2950" s="835">
        <v>100</v>
      </c>
      <c r="F2950" s="836">
        <v>34</v>
      </c>
      <c r="G2950" s="202" t="str">
        <f t="shared" si="45"/>
        <v/>
      </c>
    </row>
    <row r="2951" spans="1:7" s="172" customFormat="1" ht="15" customHeight="1" x14ac:dyDescent="0.25">
      <c r="A2951" s="835" t="s">
        <v>10746</v>
      </c>
      <c r="B2951" s="835" t="s">
        <v>10501</v>
      </c>
      <c r="C2951" s="835" t="s">
        <v>10501</v>
      </c>
      <c r="D2951" s="835" t="s">
        <v>10747</v>
      </c>
      <c r="E2951" s="835">
        <v>160</v>
      </c>
      <c r="F2951" s="836">
        <v>34</v>
      </c>
      <c r="G2951" s="202" t="str">
        <f t="shared" si="45"/>
        <v/>
      </c>
    </row>
    <row r="2952" spans="1:7" s="172" customFormat="1" ht="15" customHeight="1" x14ac:dyDescent="0.25">
      <c r="A2952" s="835" t="s">
        <v>10771</v>
      </c>
      <c r="B2952" s="835" t="s">
        <v>10501</v>
      </c>
      <c r="C2952" s="835" t="s">
        <v>10501</v>
      </c>
      <c r="D2952" s="835" t="s">
        <v>10772</v>
      </c>
      <c r="E2952" s="835">
        <v>30</v>
      </c>
      <c r="F2952" s="836">
        <v>0</v>
      </c>
      <c r="G2952" s="202" t="str">
        <f t="shared" si="45"/>
        <v/>
      </c>
    </row>
    <row r="2953" spans="1:7" s="172" customFormat="1" ht="15" customHeight="1" x14ac:dyDescent="0.25">
      <c r="A2953" s="835" t="s">
        <v>10703</v>
      </c>
      <c r="B2953" s="835" t="s">
        <v>10501</v>
      </c>
      <c r="C2953" s="835" t="s">
        <v>10501</v>
      </c>
      <c r="D2953" s="835" t="s">
        <v>10775</v>
      </c>
      <c r="E2953" s="835">
        <v>400</v>
      </c>
      <c r="F2953" s="836">
        <v>211</v>
      </c>
      <c r="G2953" s="202" t="str">
        <f t="shared" si="45"/>
        <v/>
      </c>
    </row>
    <row r="2954" spans="1:7" s="172" customFormat="1" ht="15" customHeight="1" x14ac:dyDescent="0.25">
      <c r="A2954" s="835" t="s">
        <v>10703</v>
      </c>
      <c r="B2954" s="835" t="s">
        <v>10501</v>
      </c>
      <c r="C2954" s="835" t="s">
        <v>10501</v>
      </c>
      <c r="D2954" s="835" t="s">
        <v>10776</v>
      </c>
      <c r="E2954" s="835">
        <v>320</v>
      </c>
      <c r="F2954" s="836">
        <v>142</v>
      </c>
      <c r="G2954" s="202" t="str">
        <f t="shared" si="45"/>
        <v/>
      </c>
    </row>
    <row r="2955" spans="1:7" s="172" customFormat="1" ht="15" customHeight="1" x14ac:dyDescent="0.25">
      <c r="A2955" s="835" t="s">
        <v>10777</v>
      </c>
      <c r="B2955" s="835" t="s">
        <v>10501</v>
      </c>
      <c r="C2955" s="835" t="s">
        <v>10501</v>
      </c>
      <c r="D2955" s="835" t="s">
        <v>10778</v>
      </c>
      <c r="E2955" s="835">
        <v>160</v>
      </c>
      <c r="F2955" s="836">
        <v>33</v>
      </c>
      <c r="G2955" s="202" t="str">
        <f t="shared" ref="G2955:G3018" si="46">IF(E2955=F2955,"не загружен","")</f>
        <v/>
      </c>
    </row>
    <row r="2956" spans="1:7" s="172" customFormat="1" ht="15" customHeight="1" x14ac:dyDescent="0.25">
      <c r="A2956" s="835" t="s">
        <v>10773</v>
      </c>
      <c r="B2956" s="835" t="s">
        <v>10501</v>
      </c>
      <c r="C2956" s="835" t="s">
        <v>10501</v>
      </c>
      <c r="D2956" s="835" t="s">
        <v>10774</v>
      </c>
      <c r="E2956" s="835">
        <v>160</v>
      </c>
      <c r="F2956" s="836">
        <v>63</v>
      </c>
      <c r="G2956" s="202" t="str">
        <f t="shared" si="46"/>
        <v/>
      </c>
    </row>
    <row r="2957" spans="1:7" s="172" customFormat="1" ht="15" customHeight="1" x14ac:dyDescent="0.25">
      <c r="A2957" s="835" t="s">
        <v>10860</v>
      </c>
      <c r="B2957" s="835" t="s">
        <v>10501</v>
      </c>
      <c r="C2957" s="835" t="s">
        <v>10501</v>
      </c>
      <c r="D2957" s="835" t="s">
        <v>10861</v>
      </c>
      <c r="E2957" s="835">
        <v>63</v>
      </c>
      <c r="F2957" s="836">
        <v>3</v>
      </c>
      <c r="G2957" s="202" t="str">
        <f t="shared" si="46"/>
        <v/>
      </c>
    </row>
    <row r="2958" spans="1:7" s="172" customFormat="1" ht="15" customHeight="1" x14ac:dyDescent="0.25">
      <c r="A2958" s="835" t="s">
        <v>10860</v>
      </c>
      <c r="B2958" s="835" t="s">
        <v>10501</v>
      </c>
      <c r="C2958" s="835" t="s">
        <v>10501</v>
      </c>
      <c r="D2958" s="835" t="s">
        <v>10862</v>
      </c>
      <c r="E2958" s="835">
        <v>160</v>
      </c>
      <c r="F2958" s="836">
        <v>6</v>
      </c>
      <c r="G2958" s="202" t="str">
        <f t="shared" si="46"/>
        <v/>
      </c>
    </row>
    <row r="2959" spans="1:7" s="172" customFormat="1" ht="15" customHeight="1" x14ac:dyDescent="0.25">
      <c r="A2959" s="835" t="s">
        <v>10858</v>
      </c>
      <c r="B2959" s="835" t="s">
        <v>10501</v>
      </c>
      <c r="C2959" s="835" t="s">
        <v>10501</v>
      </c>
      <c r="D2959" s="835" t="s">
        <v>10859</v>
      </c>
      <c r="E2959" s="835">
        <v>63</v>
      </c>
      <c r="F2959" s="836">
        <v>10</v>
      </c>
      <c r="G2959" s="202" t="str">
        <f t="shared" si="46"/>
        <v/>
      </c>
    </row>
    <row r="2960" spans="1:7" s="172" customFormat="1" ht="15" customHeight="1" x14ac:dyDescent="0.25">
      <c r="A2960" s="835" t="s">
        <v>13231</v>
      </c>
      <c r="B2960" s="835" t="s">
        <v>10501</v>
      </c>
      <c r="C2960" s="835" t="s">
        <v>10501</v>
      </c>
      <c r="D2960" s="835" t="s">
        <v>10852</v>
      </c>
      <c r="E2960" s="835">
        <v>25</v>
      </c>
      <c r="F2960" s="836">
        <v>0</v>
      </c>
      <c r="G2960" s="202" t="str">
        <f t="shared" si="46"/>
        <v/>
      </c>
    </row>
    <row r="2961" spans="1:7" s="172" customFormat="1" ht="15" customHeight="1" x14ac:dyDescent="0.25">
      <c r="A2961" s="835" t="s">
        <v>10854</v>
      </c>
      <c r="B2961" s="835" t="s">
        <v>10501</v>
      </c>
      <c r="C2961" s="835" t="s">
        <v>10501</v>
      </c>
      <c r="D2961" s="835" t="s">
        <v>10855</v>
      </c>
      <c r="E2961" s="835">
        <v>250</v>
      </c>
      <c r="F2961" s="836">
        <v>125</v>
      </c>
      <c r="G2961" s="202" t="str">
        <f t="shared" si="46"/>
        <v/>
      </c>
    </row>
    <row r="2962" spans="1:7" s="172" customFormat="1" ht="15" customHeight="1" x14ac:dyDescent="0.25">
      <c r="A2962" s="835" t="s">
        <v>10856</v>
      </c>
      <c r="B2962" s="835" t="s">
        <v>10501</v>
      </c>
      <c r="C2962" s="835" t="s">
        <v>10501</v>
      </c>
      <c r="D2962" s="835" t="s">
        <v>10857</v>
      </c>
      <c r="E2962" s="835">
        <v>160</v>
      </c>
      <c r="F2962" s="836">
        <v>61</v>
      </c>
      <c r="G2962" s="202" t="str">
        <f t="shared" si="46"/>
        <v/>
      </c>
    </row>
    <row r="2963" spans="1:7" s="172" customFormat="1" ht="15" customHeight="1" x14ac:dyDescent="0.25">
      <c r="A2963" s="835" t="s">
        <v>13232</v>
      </c>
      <c r="B2963" s="835" t="s">
        <v>10501</v>
      </c>
      <c r="C2963" s="835" t="s">
        <v>10501</v>
      </c>
      <c r="D2963" s="835" t="s">
        <v>10853</v>
      </c>
      <c r="E2963" s="835">
        <v>400</v>
      </c>
      <c r="F2963" s="836">
        <v>94</v>
      </c>
      <c r="G2963" s="202" t="str">
        <f t="shared" si="46"/>
        <v/>
      </c>
    </row>
    <row r="2964" spans="1:7" s="172" customFormat="1" ht="15" customHeight="1" x14ac:dyDescent="0.25">
      <c r="A2964" s="835" t="s">
        <v>10850</v>
      </c>
      <c r="B2964" s="835" t="s">
        <v>10501</v>
      </c>
      <c r="C2964" s="835" t="s">
        <v>10501</v>
      </c>
      <c r="D2964" s="835" t="s">
        <v>10851</v>
      </c>
      <c r="E2964" s="835">
        <v>40</v>
      </c>
      <c r="F2964" s="836">
        <v>3</v>
      </c>
      <c r="G2964" s="202" t="str">
        <f t="shared" si="46"/>
        <v/>
      </c>
    </row>
    <row r="2965" spans="1:7" s="172" customFormat="1" ht="15" customHeight="1" x14ac:dyDescent="0.25">
      <c r="A2965" s="835" t="s">
        <v>10845</v>
      </c>
      <c r="B2965" s="835" t="s">
        <v>10501</v>
      </c>
      <c r="C2965" s="835" t="s">
        <v>10501</v>
      </c>
      <c r="D2965" s="835" t="s">
        <v>10846</v>
      </c>
      <c r="E2965" s="835">
        <v>400</v>
      </c>
      <c r="F2965" s="836">
        <v>183</v>
      </c>
      <c r="G2965" s="202" t="str">
        <f t="shared" si="46"/>
        <v/>
      </c>
    </row>
    <row r="2966" spans="1:7" s="172" customFormat="1" ht="15" customHeight="1" x14ac:dyDescent="0.25">
      <c r="A2966" s="835" t="s">
        <v>10845</v>
      </c>
      <c r="B2966" s="835" t="s">
        <v>10501</v>
      </c>
      <c r="C2966" s="835" t="s">
        <v>10501</v>
      </c>
      <c r="D2966" s="835" t="s">
        <v>10847</v>
      </c>
      <c r="E2966" s="835">
        <v>250</v>
      </c>
      <c r="F2966" s="836">
        <v>66</v>
      </c>
      <c r="G2966" s="202" t="str">
        <f t="shared" si="46"/>
        <v/>
      </c>
    </row>
    <row r="2967" spans="1:7" s="172" customFormat="1" ht="15" customHeight="1" x14ac:dyDescent="0.25">
      <c r="A2967" s="835" t="s">
        <v>10848</v>
      </c>
      <c r="B2967" s="835" t="s">
        <v>10501</v>
      </c>
      <c r="C2967" s="835" t="s">
        <v>10501</v>
      </c>
      <c r="D2967" s="835" t="s">
        <v>10849</v>
      </c>
      <c r="E2967" s="835">
        <v>160</v>
      </c>
      <c r="F2967" s="836">
        <v>42</v>
      </c>
      <c r="G2967" s="202" t="str">
        <f t="shared" si="46"/>
        <v/>
      </c>
    </row>
    <row r="2968" spans="1:7" s="172" customFormat="1" ht="15" customHeight="1" x14ac:dyDescent="0.25">
      <c r="A2968" s="835" t="s">
        <v>10841</v>
      </c>
      <c r="B2968" s="835" t="s">
        <v>10501</v>
      </c>
      <c r="C2968" s="835" t="s">
        <v>10501</v>
      </c>
      <c r="D2968" s="835" t="s">
        <v>10842</v>
      </c>
      <c r="E2968" s="835">
        <v>160</v>
      </c>
      <c r="F2968" s="836">
        <v>30</v>
      </c>
      <c r="G2968" s="202" t="str">
        <f t="shared" si="46"/>
        <v/>
      </c>
    </row>
    <row r="2969" spans="1:7" s="172" customFormat="1" ht="15" customHeight="1" x14ac:dyDescent="0.25">
      <c r="A2969" s="835" t="s">
        <v>10841</v>
      </c>
      <c r="B2969" s="835" t="s">
        <v>10501</v>
      </c>
      <c r="C2969" s="835" t="s">
        <v>10501</v>
      </c>
      <c r="D2969" s="835" t="s">
        <v>10843</v>
      </c>
      <c r="E2969" s="835">
        <v>250</v>
      </c>
      <c r="F2969" s="836">
        <v>27</v>
      </c>
      <c r="G2969" s="202" t="str">
        <f t="shared" si="46"/>
        <v/>
      </c>
    </row>
    <row r="2970" spans="1:7" s="172" customFormat="1" ht="15" customHeight="1" x14ac:dyDescent="0.25">
      <c r="A2970" s="835" t="s">
        <v>10841</v>
      </c>
      <c r="B2970" s="835" t="s">
        <v>10501</v>
      </c>
      <c r="C2970" s="835" t="s">
        <v>10501</v>
      </c>
      <c r="D2970" s="835" t="s">
        <v>10844</v>
      </c>
      <c r="E2970" s="835">
        <v>100</v>
      </c>
      <c r="F2970" s="836">
        <v>19</v>
      </c>
      <c r="G2970" s="202" t="str">
        <f t="shared" si="46"/>
        <v/>
      </c>
    </row>
    <row r="2971" spans="1:7" s="172" customFormat="1" ht="15" customHeight="1" x14ac:dyDescent="0.25">
      <c r="A2971" s="835" t="s">
        <v>10837</v>
      </c>
      <c r="B2971" s="835" t="s">
        <v>10501</v>
      </c>
      <c r="C2971" s="835" t="s">
        <v>10501</v>
      </c>
      <c r="D2971" s="835" t="s">
        <v>10838</v>
      </c>
      <c r="E2971" s="835">
        <v>63</v>
      </c>
      <c r="F2971" s="836">
        <v>14</v>
      </c>
      <c r="G2971" s="202" t="str">
        <f t="shared" si="46"/>
        <v/>
      </c>
    </row>
    <row r="2972" spans="1:7" s="172" customFormat="1" ht="15" customHeight="1" x14ac:dyDescent="0.25">
      <c r="A2972" s="835" t="s">
        <v>10839</v>
      </c>
      <c r="B2972" s="835" t="s">
        <v>10501</v>
      </c>
      <c r="C2972" s="835" t="s">
        <v>10501</v>
      </c>
      <c r="D2972" s="835" t="s">
        <v>10840</v>
      </c>
      <c r="E2972" s="835">
        <v>60</v>
      </c>
      <c r="F2972" s="836">
        <v>10</v>
      </c>
      <c r="G2972" s="202" t="str">
        <f t="shared" si="46"/>
        <v/>
      </c>
    </row>
    <row r="2973" spans="1:7" s="172" customFormat="1" ht="15" customHeight="1" x14ac:dyDescent="0.25">
      <c r="A2973" s="835" t="s">
        <v>13230</v>
      </c>
      <c r="B2973" s="835" t="s">
        <v>10822</v>
      </c>
      <c r="C2973" s="835" t="s">
        <v>10501</v>
      </c>
      <c r="D2973" s="835" t="s">
        <v>10825</v>
      </c>
      <c r="E2973" s="835">
        <v>250</v>
      </c>
      <c r="F2973" s="836">
        <v>87</v>
      </c>
      <c r="G2973" s="202" t="str">
        <f t="shared" si="46"/>
        <v/>
      </c>
    </row>
    <row r="2974" spans="1:7" s="172" customFormat="1" ht="15" customHeight="1" x14ac:dyDescent="0.25">
      <c r="A2974" s="835" t="s">
        <v>10821</v>
      </c>
      <c r="B2974" s="835" t="s">
        <v>10822</v>
      </c>
      <c r="C2974" s="835" t="s">
        <v>10501</v>
      </c>
      <c r="D2974" s="835" t="s">
        <v>10823</v>
      </c>
      <c r="E2974" s="835">
        <v>100</v>
      </c>
      <c r="F2974" s="836">
        <v>19</v>
      </c>
      <c r="G2974" s="202" t="str">
        <f t="shared" si="46"/>
        <v/>
      </c>
    </row>
    <row r="2975" spans="1:7" s="172" customFormat="1" ht="15" customHeight="1" x14ac:dyDescent="0.25">
      <c r="A2975" s="835" t="s">
        <v>4555</v>
      </c>
      <c r="B2975" s="835" t="s">
        <v>10822</v>
      </c>
      <c r="C2975" s="835" t="s">
        <v>10501</v>
      </c>
      <c r="D2975" s="835" t="s">
        <v>10834</v>
      </c>
      <c r="E2975" s="835">
        <v>160</v>
      </c>
      <c r="F2975" s="836">
        <v>68</v>
      </c>
      <c r="G2975" s="202" t="str">
        <f t="shared" si="46"/>
        <v/>
      </c>
    </row>
    <row r="2976" spans="1:7" s="172" customFormat="1" ht="15" customHeight="1" x14ac:dyDescent="0.25">
      <c r="A2976" s="835" t="s">
        <v>13229</v>
      </c>
      <c r="B2976" s="835" t="s">
        <v>10822</v>
      </c>
      <c r="C2976" s="835" t="s">
        <v>10501</v>
      </c>
      <c r="D2976" s="835" t="s">
        <v>10824</v>
      </c>
      <c r="E2976" s="835">
        <v>40</v>
      </c>
      <c r="F2976" s="836">
        <v>0</v>
      </c>
      <c r="G2976" s="202" t="str">
        <f t="shared" si="46"/>
        <v/>
      </c>
    </row>
    <row r="2977" spans="1:7" s="172" customFormat="1" ht="15" customHeight="1" x14ac:dyDescent="0.25">
      <c r="A2977" s="835" t="s">
        <v>10826</v>
      </c>
      <c r="B2977" s="835" t="s">
        <v>10822</v>
      </c>
      <c r="C2977" s="835" t="s">
        <v>10501</v>
      </c>
      <c r="D2977" s="835" t="s">
        <v>10827</v>
      </c>
      <c r="E2977" s="835">
        <v>100</v>
      </c>
      <c r="F2977" s="836">
        <v>18</v>
      </c>
      <c r="G2977" s="202" t="str">
        <f t="shared" si="46"/>
        <v/>
      </c>
    </row>
    <row r="2978" spans="1:7" s="172" customFormat="1" ht="15" customHeight="1" x14ac:dyDescent="0.25">
      <c r="A2978" s="835" t="s">
        <v>10828</v>
      </c>
      <c r="B2978" s="835" t="s">
        <v>10822</v>
      </c>
      <c r="C2978" s="835" t="s">
        <v>10501</v>
      </c>
      <c r="D2978" s="835" t="s">
        <v>10829</v>
      </c>
      <c r="E2978" s="835">
        <v>100</v>
      </c>
      <c r="F2978" s="836">
        <v>10</v>
      </c>
      <c r="G2978" s="202" t="str">
        <f t="shared" si="46"/>
        <v/>
      </c>
    </row>
    <row r="2979" spans="1:7" s="172" customFormat="1" ht="15" customHeight="1" x14ac:dyDescent="0.25">
      <c r="A2979" s="835" t="s">
        <v>10830</v>
      </c>
      <c r="B2979" s="835" t="s">
        <v>10822</v>
      </c>
      <c r="C2979" s="835" t="s">
        <v>10501</v>
      </c>
      <c r="D2979" s="835" t="s">
        <v>10831</v>
      </c>
      <c r="E2979" s="835">
        <v>400</v>
      </c>
      <c r="F2979" s="836">
        <v>178</v>
      </c>
      <c r="G2979" s="202" t="str">
        <f t="shared" si="46"/>
        <v/>
      </c>
    </row>
    <row r="2980" spans="1:7" s="172" customFormat="1" ht="15" customHeight="1" x14ac:dyDescent="0.25">
      <c r="A2980" s="835" t="s">
        <v>10830</v>
      </c>
      <c r="B2980" s="835" t="s">
        <v>10822</v>
      </c>
      <c r="C2980" s="835" t="s">
        <v>10501</v>
      </c>
      <c r="D2980" s="835" t="s">
        <v>10832</v>
      </c>
      <c r="E2980" s="835">
        <v>160</v>
      </c>
      <c r="F2980" s="836">
        <v>58</v>
      </c>
      <c r="G2980" s="202" t="str">
        <f t="shared" si="46"/>
        <v/>
      </c>
    </row>
    <row r="2981" spans="1:7" s="172" customFormat="1" ht="15" customHeight="1" x14ac:dyDescent="0.25">
      <c r="A2981" s="835" t="s">
        <v>4551</v>
      </c>
      <c r="B2981" s="835" t="s">
        <v>10822</v>
      </c>
      <c r="C2981" s="835" t="s">
        <v>10501</v>
      </c>
      <c r="D2981" s="835" t="s">
        <v>10833</v>
      </c>
      <c r="E2981" s="835">
        <v>63</v>
      </c>
      <c r="F2981" s="836">
        <v>0</v>
      </c>
      <c r="G2981" s="202" t="str">
        <f t="shared" si="46"/>
        <v/>
      </c>
    </row>
    <row r="2982" spans="1:7" s="172" customFormat="1" ht="15" customHeight="1" x14ac:dyDescent="0.25">
      <c r="A2982" s="835" t="s">
        <v>10835</v>
      </c>
      <c r="B2982" s="835" t="s">
        <v>10822</v>
      </c>
      <c r="C2982" s="835" t="s">
        <v>10501</v>
      </c>
      <c r="D2982" s="835" t="s">
        <v>10836</v>
      </c>
      <c r="E2982" s="835">
        <v>100</v>
      </c>
      <c r="F2982" s="836">
        <v>26</v>
      </c>
      <c r="G2982" s="202" t="str">
        <f t="shared" si="46"/>
        <v/>
      </c>
    </row>
    <row r="2983" spans="1:7" s="172" customFormat="1" ht="15" customHeight="1" x14ac:dyDescent="0.25">
      <c r="A2983" s="835" t="s">
        <v>10613</v>
      </c>
      <c r="B2983" s="835" t="s">
        <v>10501</v>
      </c>
      <c r="C2983" s="835" t="s">
        <v>10501</v>
      </c>
      <c r="D2983" s="835" t="s">
        <v>10614</v>
      </c>
      <c r="E2983" s="835">
        <v>63</v>
      </c>
      <c r="F2983" s="836">
        <v>0</v>
      </c>
      <c r="G2983" s="202" t="str">
        <f t="shared" si="46"/>
        <v/>
      </c>
    </row>
    <row r="2984" spans="1:7" s="172" customFormat="1" ht="15" customHeight="1" x14ac:dyDescent="0.25">
      <c r="A2984" s="835" t="s">
        <v>10602</v>
      </c>
      <c r="B2984" s="835" t="s">
        <v>10501</v>
      </c>
      <c r="C2984" s="835" t="s">
        <v>10501</v>
      </c>
      <c r="D2984" s="835" t="s">
        <v>10612</v>
      </c>
      <c r="E2984" s="835">
        <v>630</v>
      </c>
      <c r="F2984" s="836">
        <v>507</v>
      </c>
      <c r="G2984" s="202" t="str">
        <f t="shared" si="46"/>
        <v/>
      </c>
    </row>
    <row r="2985" spans="1:7" s="172" customFormat="1" ht="15" customHeight="1" x14ac:dyDescent="0.25">
      <c r="A2985" s="835" t="s">
        <v>10607</v>
      </c>
      <c r="B2985" s="835" t="s">
        <v>10501</v>
      </c>
      <c r="C2985" s="835" t="s">
        <v>10501</v>
      </c>
      <c r="D2985" s="835" t="s">
        <v>10615</v>
      </c>
      <c r="E2985" s="835">
        <v>100</v>
      </c>
      <c r="F2985" s="836">
        <v>26</v>
      </c>
      <c r="G2985" s="202" t="str">
        <f t="shared" si="46"/>
        <v/>
      </c>
    </row>
    <row r="2986" spans="1:7" s="172" customFormat="1" ht="15" customHeight="1" x14ac:dyDescent="0.25">
      <c r="A2986" s="835" t="s">
        <v>13220</v>
      </c>
      <c r="B2986" s="835" t="s">
        <v>10501</v>
      </c>
      <c r="C2986" s="835" t="s">
        <v>10501</v>
      </c>
      <c r="D2986" s="835" t="s">
        <v>10611</v>
      </c>
      <c r="E2986" s="835">
        <v>250</v>
      </c>
      <c r="F2986" s="836">
        <v>63</v>
      </c>
      <c r="G2986" s="202" t="str">
        <f t="shared" si="46"/>
        <v/>
      </c>
    </row>
    <row r="2987" spans="1:7" s="172" customFormat="1" ht="15" customHeight="1" x14ac:dyDescent="0.25">
      <c r="A2987" s="835" t="s">
        <v>10597</v>
      </c>
      <c r="B2987" s="835" t="s">
        <v>10501</v>
      </c>
      <c r="C2987" s="835" t="s">
        <v>10501</v>
      </c>
      <c r="D2987" s="835" t="s">
        <v>10598</v>
      </c>
      <c r="E2987" s="835">
        <v>100</v>
      </c>
      <c r="F2987" s="836">
        <v>18</v>
      </c>
      <c r="G2987" s="202" t="str">
        <f t="shared" si="46"/>
        <v/>
      </c>
    </row>
    <row r="2988" spans="1:7" s="172" customFormat="1" ht="15" customHeight="1" x14ac:dyDescent="0.25">
      <c r="A2988" s="835" t="s">
        <v>13219</v>
      </c>
      <c r="B2988" s="835" t="s">
        <v>10501</v>
      </c>
      <c r="C2988" s="835" t="s">
        <v>10501</v>
      </c>
      <c r="D2988" s="835" t="s">
        <v>10599</v>
      </c>
      <c r="E2988" s="835">
        <v>100</v>
      </c>
      <c r="F2988" s="836">
        <v>25</v>
      </c>
      <c r="G2988" s="202" t="str">
        <f t="shared" si="46"/>
        <v/>
      </c>
    </row>
    <row r="2989" spans="1:7" s="172" customFormat="1" ht="15" customHeight="1" x14ac:dyDescent="0.25">
      <c r="A2989" s="835" t="s">
        <v>10602</v>
      </c>
      <c r="B2989" s="835" t="s">
        <v>10501</v>
      </c>
      <c r="C2989" s="835" t="s">
        <v>10501</v>
      </c>
      <c r="D2989" s="835" t="s">
        <v>10603</v>
      </c>
      <c r="E2989" s="835">
        <v>160</v>
      </c>
      <c r="F2989" s="836">
        <v>37</v>
      </c>
      <c r="G2989" s="202" t="str">
        <f t="shared" si="46"/>
        <v/>
      </c>
    </row>
    <row r="2990" spans="1:7" s="172" customFormat="1" ht="15" customHeight="1" x14ac:dyDescent="0.25">
      <c r="A2990" s="835" t="s">
        <v>10602</v>
      </c>
      <c r="B2990" s="835" t="s">
        <v>10501</v>
      </c>
      <c r="C2990" s="835" t="s">
        <v>10501</v>
      </c>
      <c r="D2990" s="835" t="s">
        <v>10604</v>
      </c>
      <c r="E2990" s="835">
        <v>400</v>
      </c>
      <c r="F2990" s="836">
        <v>257</v>
      </c>
      <c r="G2990" s="202" t="str">
        <f t="shared" si="46"/>
        <v/>
      </c>
    </row>
    <row r="2991" spans="1:7" s="172" customFormat="1" ht="15" customHeight="1" x14ac:dyDescent="0.25">
      <c r="A2991" s="835" t="s">
        <v>10607</v>
      </c>
      <c r="B2991" s="835" t="s">
        <v>10501</v>
      </c>
      <c r="C2991" s="835" t="s">
        <v>10501</v>
      </c>
      <c r="D2991" s="835" t="s">
        <v>10608</v>
      </c>
      <c r="E2991" s="835">
        <v>250</v>
      </c>
      <c r="F2991" s="836">
        <v>85</v>
      </c>
      <c r="G2991" s="202" t="str">
        <f t="shared" si="46"/>
        <v/>
      </c>
    </row>
    <row r="2992" spans="1:7" s="172" customFormat="1" ht="15" customHeight="1" x14ac:dyDescent="0.25">
      <c r="A2992" s="835" t="s">
        <v>10607</v>
      </c>
      <c r="B2992" s="835" t="s">
        <v>10501</v>
      </c>
      <c r="C2992" s="835" t="s">
        <v>10501</v>
      </c>
      <c r="D2992" s="835" t="s">
        <v>10609</v>
      </c>
      <c r="E2992" s="835">
        <v>160</v>
      </c>
      <c r="F2992" s="836">
        <v>33</v>
      </c>
      <c r="G2992" s="202" t="str">
        <f t="shared" si="46"/>
        <v/>
      </c>
    </row>
    <row r="2993" spans="1:7" s="172" customFormat="1" ht="15" customHeight="1" x14ac:dyDescent="0.25">
      <c r="A2993" s="835" t="s">
        <v>10607</v>
      </c>
      <c r="B2993" s="835" t="s">
        <v>10501</v>
      </c>
      <c r="C2993" s="835" t="s">
        <v>10501</v>
      </c>
      <c r="D2993" s="835" t="s">
        <v>10610</v>
      </c>
      <c r="E2993" s="835">
        <v>63</v>
      </c>
      <c r="F2993" s="836">
        <v>14</v>
      </c>
      <c r="G2993" s="202" t="str">
        <f t="shared" si="46"/>
        <v/>
      </c>
    </row>
    <row r="2994" spans="1:7" s="172" customFormat="1" ht="15" customHeight="1" x14ac:dyDescent="0.25">
      <c r="A2994" s="835" t="s">
        <v>13218</v>
      </c>
      <c r="B2994" s="835" t="s">
        <v>10501</v>
      </c>
      <c r="C2994" s="835" t="s">
        <v>10501</v>
      </c>
      <c r="D2994" s="835" t="s">
        <v>10594</v>
      </c>
      <c r="E2994" s="835">
        <v>250</v>
      </c>
      <c r="F2994" s="836">
        <v>88</v>
      </c>
      <c r="G2994" s="202" t="str">
        <f t="shared" si="46"/>
        <v/>
      </c>
    </row>
    <row r="2995" spans="1:7" s="172" customFormat="1" ht="15" customHeight="1" x14ac:dyDescent="0.25">
      <c r="A2995" s="835" t="s">
        <v>10600</v>
      </c>
      <c r="B2995" s="835" t="s">
        <v>10501</v>
      </c>
      <c r="C2995" s="835" t="s">
        <v>10501</v>
      </c>
      <c r="D2995" s="835" t="s">
        <v>10593</v>
      </c>
      <c r="E2995" s="835">
        <v>63</v>
      </c>
      <c r="F2995" s="836">
        <v>16</v>
      </c>
      <c r="G2995" s="202" t="str">
        <f t="shared" si="46"/>
        <v/>
      </c>
    </row>
    <row r="2996" spans="1:7" s="172" customFormat="1" ht="15" customHeight="1" x14ac:dyDescent="0.25">
      <c r="A2996" s="835" t="s">
        <v>10600</v>
      </c>
      <c r="B2996" s="835" t="s">
        <v>10501</v>
      </c>
      <c r="C2996" s="835" t="s">
        <v>10501</v>
      </c>
      <c r="D2996" s="835" t="s">
        <v>10601</v>
      </c>
      <c r="E2996" s="835">
        <v>100</v>
      </c>
      <c r="F2996" s="836">
        <v>19</v>
      </c>
      <c r="G2996" s="202" t="str">
        <f t="shared" si="46"/>
        <v/>
      </c>
    </row>
    <row r="2997" spans="1:7" s="172" customFormat="1" ht="15" customHeight="1" x14ac:dyDescent="0.25">
      <c r="A2997" s="835" t="s">
        <v>10605</v>
      </c>
      <c r="B2997" s="835" t="s">
        <v>10501</v>
      </c>
      <c r="C2997" s="835" t="s">
        <v>10501</v>
      </c>
      <c r="D2997" s="835" t="s">
        <v>10606</v>
      </c>
      <c r="E2997" s="835">
        <v>20</v>
      </c>
      <c r="F2997" s="836">
        <v>0</v>
      </c>
      <c r="G2997" s="202" t="str">
        <f t="shared" si="46"/>
        <v/>
      </c>
    </row>
    <row r="2998" spans="1:7" s="172" customFormat="1" ht="15" customHeight="1" x14ac:dyDescent="0.25">
      <c r="A2998" s="835" t="s">
        <v>10595</v>
      </c>
      <c r="B2998" s="835" t="s">
        <v>10501</v>
      </c>
      <c r="C2998" s="835" t="s">
        <v>10501</v>
      </c>
      <c r="D2998" s="835" t="s">
        <v>10596</v>
      </c>
      <c r="E2998" s="835">
        <v>100</v>
      </c>
      <c r="F2998" s="836">
        <v>21</v>
      </c>
      <c r="G2998" s="202" t="str">
        <f t="shared" si="46"/>
        <v/>
      </c>
    </row>
    <row r="2999" spans="1:7" s="172" customFormat="1" ht="15" customHeight="1" x14ac:dyDescent="0.25">
      <c r="A2999" s="835" t="s">
        <v>10703</v>
      </c>
      <c r="B2999" s="835" t="s">
        <v>10501</v>
      </c>
      <c r="C2999" s="835" t="s">
        <v>10501</v>
      </c>
      <c r="D2999" s="835" t="s">
        <v>11100</v>
      </c>
      <c r="E2999" s="835">
        <v>400</v>
      </c>
      <c r="F2999" s="836">
        <v>175</v>
      </c>
      <c r="G2999" s="202" t="str">
        <f t="shared" si="46"/>
        <v/>
      </c>
    </row>
    <row r="3000" spans="1:7" s="172" customFormat="1" ht="15" customHeight="1" x14ac:dyDescent="0.25">
      <c r="A3000" s="835" t="s">
        <v>11101</v>
      </c>
      <c r="B3000" s="835" t="s">
        <v>10501</v>
      </c>
      <c r="C3000" s="835" t="s">
        <v>10501</v>
      </c>
      <c r="D3000" s="835" t="s">
        <v>11102</v>
      </c>
      <c r="E3000" s="835">
        <v>160</v>
      </c>
      <c r="F3000" s="836">
        <v>0</v>
      </c>
      <c r="G3000" s="202" t="str">
        <f t="shared" si="46"/>
        <v/>
      </c>
    </row>
    <row r="3001" spans="1:7" s="172" customFormat="1" ht="15" customHeight="1" x14ac:dyDescent="0.25">
      <c r="A3001" s="835" t="s">
        <v>11105</v>
      </c>
      <c r="B3001" s="835" t="s">
        <v>10501</v>
      </c>
      <c r="C3001" s="835" t="s">
        <v>10501</v>
      </c>
      <c r="D3001" s="835" t="s">
        <v>11106</v>
      </c>
      <c r="E3001" s="835">
        <v>20</v>
      </c>
      <c r="F3001" s="836">
        <v>0</v>
      </c>
      <c r="G3001" s="202" t="str">
        <f t="shared" si="46"/>
        <v/>
      </c>
    </row>
    <row r="3002" spans="1:7" s="172" customFormat="1" ht="15" customHeight="1" x14ac:dyDescent="0.25">
      <c r="A3002" s="835" t="s">
        <v>5305</v>
      </c>
      <c r="B3002" s="835" t="s">
        <v>10501</v>
      </c>
      <c r="C3002" s="835" t="s">
        <v>10501</v>
      </c>
      <c r="D3002" s="835" t="s">
        <v>11107</v>
      </c>
      <c r="E3002" s="835">
        <v>63</v>
      </c>
      <c r="F3002" s="836">
        <v>0</v>
      </c>
      <c r="G3002" s="202" t="str">
        <f t="shared" si="46"/>
        <v/>
      </c>
    </row>
    <row r="3003" spans="1:7" s="172" customFormat="1" ht="15" customHeight="1" x14ac:dyDescent="0.25">
      <c r="A3003" s="835" t="s">
        <v>11103</v>
      </c>
      <c r="B3003" s="835" t="s">
        <v>10501</v>
      </c>
      <c r="C3003" s="835" t="s">
        <v>10501</v>
      </c>
      <c r="D3003" s="835" t="s">
        <v>11104</v>
      </c>
      <c r="E3003" s="835">
        <v>25</v>
      </c>
      <c r="F3003" s="836">
        <v>0</v>
      </c>
      <c r="G3003" s="202" t="str">
        <f t="shared" si="46"/>
        <v/>
      </c>
    </row>
    <row r="3004" spans="1:7" s="172" customFormat="1" ht="15" customHeight="1" x14ac:dyDescent="0.25">
      <c r="A3004" s="835" t="s">
        <v>17717</v>
      </c>
      <c r="B3004" s="835" t="s">
        <v>10501</v>
      </c>
      <c r="C3004" s="835" t="s">
        <v>10501</v>
      </c>
      <c r="D3004" s="835" t="s">
        <v>18158</v>
      </c>
      <c r="E3004" s="835">
        <v>1000</v>
      </c>
      <c r="F3004" s="836">
        <v>615</v>
      </c>
      <c r="G3004" s="202" t="str">
        <f t="shared" si="46"/>
        <v/>
      </c>
    </row>
    <row r="3005" spans="1:7" s="172" customFormat="1" ht="15" customHeight="1" x14ac:dyDescent="0.25">
      <c r="A3005" s="835" t="s">
        <v>11175</v>
      </c>
      <c r="B3005" s="835" t="s">
        <v>10501</v>
      </c>
      <c r="C3005" s="835" t="s">
        <v>10501</v>
      </c>
      <c r="D3005" s="835" t="s">
        <v>11179</v>
      </c>
      <c r="E3005" s="835">
        <v>500</v>
      </c>
      <c r="F3005" s="836">
        <v>249</v>
      </c>
      <c r="G3005" s="202" t="str">
        <f t="shared" si="46"/>
        <v/>
      </c>
    </row>
    <row r="3006" spans="1:7" s="172" customFormat="1" ht="15" customHeight="1" x14ac:dyDescent="0.25">
      <c r="A3006" s="835" t="s">
        <v>11177</v>
      </c>
      <c r="B3006" s="835" t="s">
        <v>10501</v>
      </c>
      <c r="C3006" s="835" t="s">
        <v>10501</v>
      </c>
      <c r="D3006" s="835" t="s">
        <v>11178</v>
      </c>
      <c r="E3006" s="835">
        <v>160</v>
      </c>
      <c r="F3006" s="836">
        <v>124</v>
      </c>
      <c r="G3006" s="202" t="str">
        <f t="shared" si="46"/>
        <v/>
      </c>
    </row>
    <row r="3007" spans="1:7" s="172" customFormat="1" ht="15" customHeight="1" x14ac:dyDescent="0.25">
      <c r="A3007" s="835" t="s">
        <v>11175</v>
      </c>
      <c r="B3007" s="835" t="s">
        <v>10501</v>
      </c>
      <c r="C3007" s="835" t="s">
        <v>10501</v>
      </c>
      <c r="D3007" s="835" t="s">
        <v>11176</v>
      </c>
      <c r="E3007" s="835">
        <v>160</v>
      </c>
      <c r="F3007" s="836">
        <v>55</v>
      </c>
      <c r="G3007" s="202" t="str">
        <f t="shared" si="46"/>
        <v/>
      </c>
    </row>
    <row r="3008" spans="1:7" s="172" customFormat="1" ht="15" customHeight="1" x14ac:dyDescent="0.25">
      <c r="A3008" s="835" t="s">
        <v>19193</v>
      </c>
      <c r="B3008" s="835" t="s">
        <v>10501</v>
      </c>
      <c r="C3008" s="835" t="s">
        <v>10501</v>
      </c>
      <c r="D3008" s="835" t="s">
        <v>19194</v>
      </c>
      <c r="E3008" s="835">
        <v>160</v>
      </c>
      <c r="F3008" s="836">
        <v>61</v>
      </c>
      <c r="G3008" s="202" t="str">
        <f t="shared" si="46"/>
        <v/>
      </c>
    </row>
    <row r="3009" spans="1:7" s="172" customFormat="1" ht="15" customHeight="1" x14ac:dyDescent="0.25">
      <c r="A3009" s="835" t="s">
        <v>10712</v>
      </c>
      <c r="B3009" s="835" t="s">
        <v>10501</v>
      </c>
      <c r="C3009" s="835" t="s">
        <v>10501</v>
      </c>
      <c r="D3009" s="835" t="s">
        <v>10727</v>
      </c>
      <c r="E3009" s="835">
        <v>160</v>
      </c>
      <c r="F3009" s="836">
        <v>55</v>
      </c>
      <c r="G3009" s="202" t="str">
        <f t="shared" si="46"/>
        <v/>
      </c>
    </row>
    <row r="3010" spans="1:7" s="172" customFormat="1" ht="15" customHeight="1" x14ac:dyDescent="0.25">
      <c r="A3010" s="835" t="s">
        <v>10718</v>
      </c>
      <c r="B3010" s="835" t="s">
        <v>10501</v>
      </c>
      <c r="C3010" s="835" t="s">
        <v>10501</v>
      </c>
      <c r="D3010" s="835" t="s">
        <v>10719</v>
      </c>
      <c r="E3010" s="835">
        <v>100</v>
      </c>
      <c r="F3010" s="836">
        <v>72</v>
      </c>
      <c r="G3010" s="202" t="str">
        <f t="shared" si="46"/>
        <v/>
      </c>
    </row>
    <row r="3011" spans="1:7" s="172" customFormat="1" ht="15" customHeight="1" x14ac:dyDescent="0.25">
      <c r="A3011" s="835" t="s">
        <v>10718</v>
      </c>
      <c r="B3011" s="835" t="s">
        <v>10501</v>
      </c>
      <c r="C3011" s="835" t="s">
        <v>10501</v>
      </c>
      <c r="D3011" s="835" t="s">
        <v>10720</v>
      </c>
      <c r="E3011" s="835">
        <v>63</v>
      </c>
      <c r="F3011" s="836">
        <v>36</v>
      </c>
      <c r="G3011" s="202" t="str">
        <f t="shared" si="46"/>
        <v/>
      </c>
    </row>
    <row r="3012" spans="1:7" s="172" customFormat="1" ht="15" customHeight="1" x14ac:dyDescent="0.25">
      <c r="A3012" s="835" t="s">
        <v>10716</v>
      </c>
      <c r="B3012" s="835" t="s">
        <v>10501</v>
      </c>
      <c r="C3012" s="835" t="s">
        <v>10501</v>
      </c>
      <c r="D3012" s="835" t="s">
        <v>10717</v>
      </c>
      <c r="E3012" s="835">
        <v>160</v>
      </c>
      <c r="F3012" s="836">
        <v>112</v>
      </c>
      <c r="G3012" s="202" t="str">
        <f t="shared" si="46"/>
        <v/>
      </c>
    </row>
    <row r="3013" spans="1:7" s="172" customFormat="1" ht="15" customHeight="1" x14ac:dyDescent="0.25">
      <c r="A3013" s="835" t="s">
        <v>10724</v>
      </c>
      <c r="B3013" s="835" t="s">
        <v>10501</v>
      </c>
      <c r="C3013" s="835" t="s">
        <v>10501</v>
      </c>
      <c r="D3013" s="835" t="s">
        <v>10725</v>
      </c>
      <c r="E3013" s="835">
        <v>20</v>
      </c>
      <c r="F3013" s="836">
        <v>0</v>
      </c>
      <c r="G3013" s="202" t="str">
        <f t="shared" si="46"/>
        <v/>
      </c>
    </row>
    <row r="3014" spans="1:7" s="172" customFormat="1" ht="15" customHeight="1" x14ac:dyDescent="0.25">
      <c r="A3014" s="835" t="s">
        <v>10724</v>
      </c>
      <c r="B3014" s="835" t="s">
        <v>10501</v>
      </c>
      <c r="C3014" s="835" t="s">
        <v>10501</v>
      </c>
      <c r="D3014" s="835" t="s">
        <v>10726</v>
      </c>
      <c r="E3014" s="835">
        <v>100</v>
      </c>
      <c r="F3014" s="836">
        <v>33</v>
      </c>
      <c r="G3014" s="202" t="str">
        <f t="shared" si="46"/>
        <v/>
      </c>
    </row>
    <row r="3015" spans="1:7" s="172" customFormat="1" ht="15" customHeight="1" x14ac:dyDescent="0.25">
      <c r="A3015" s="835" t="s">
        <v>10721</v>
      </c>
      <c r="B3015" s="835" t="s">
        <v>10501</v>
      </c>
      <c r="C3015" s="835" t="s">
        <v>10501</v>
      </c>
      <c r="D3015" s="835" t="s">
        <v>10722</v>
      </c>
      <c r="E3015" s="835">
        <v>160</v>
      </c>
      <c r="F3015" s="836">
        <v>116</v>
      </c>
      <c r="G3015" s="202" t="str">
        <f t="shared" si="46"/>
        <v/>
      </c>
    </row>
    <row r="3016" spans="1:7" s="172" customFormat="1" ht="15" customHeight="1" x14ac:dyDescent="0.25">
      <c r="A3016" s="835" t="s">
        <v>10721</v>
      </c>
      <c r="B3016" s="835" t="s">
        <v>10501</v>
      </c>
      <c r="C3016" s="835" t="s">
        <v>10501</v>
      </c>
      <c r="D3016" s="835" t="s">
        <v>10723</v>
      </c>
      <c r="E3016" s="835">
        <v>160</v>
      </c>
      <c r="F3016" s="836">
        <v>116</v>
      </c>
      <c r="G3016" s="202" t="str">
        <f t="shared" si="46"/>
        <v/>
      </c>
    </row>
    <row r="3017" spans="1:7" s="172" customFormat="1" ht="15" customHeight="1" x14ac:dyDescent="0.25">
      <c r="A3017" s="835" t="s">
        <v>10714</v>
      </c>
      <c r="B3017" s="835" t="s">
        <v>10501</v>
      </c>
      <c r="C3017" s="835" t="s">
        <v>10501</v>
      </c>
      <c r="D3017" s="835" t="s">
        <v>10715</v>
      </c>
      <c r="E3017" s="835">
        <v>250</v>
      </c>
      <c r="F3017" s="836">
        <v>196</v>
      </c>
      <c r="G3017" s="202" t="str">
        <f t="shared" si="46"/>
        <v/>
      </c>
    </row>
    <row r="3018" spans="1:7" s="172" customFormat="1" ht="15" customHeight="1" x14ac:dyDescent="0.25">
      <c r="A3018" s="835" t="s">
        <v>10712</v>
      </c>
      <c r="B3018" s="835" t="s">
        <v>10501</v>
      </c>
      <c r="C3018" s="835" t="s">
        <v>10501</v>
      </c>
      <c r="D3018" s="835" t="s">
        <v>10713</v>
      </c>
      <c r="E3018" s="835">
        <v>250</v>
      </c>
      <c r="F3018" s="836">
        <v>79</v>
      </c>
      <c r="G3018" s="202" t="str">
        <f t="shared" si="46"/>
        <v/>
      </c>
    </row>
    <row r="3019" spans="1:7" s="172" customFormat="1" ht="15" customHeight="1" x14ac:dyDescent="0.25">
      <c r="A3019" s="835" t="s">
        <v>10710</v>
      </c>
      <c r="B3019" s="835" t="s">
        <v>10501</v>
      </c>
      <c r="C3019" s="835" t="s">
        <v>10501</v>
      </c>
      <c r="D3019" s="835" t="s">
        <v>10711</v>
      </c>
      <c r="E3019" s="835">
        <v>63</v>
      </c>
      <c r="F3019" s="836">
        <v>9</v>
      </c>
      <c r="G3019" s="202" t="str">
        <f t="shared" ref="G3019:G3096" si="47">IF(E3019=F3019,"не загружен","")</f>
        <v/>
      </c>
    </row>
    <row r="3020" spans="1:7" s="172" customFormat="1" ht="15" customHeight="1" x14ac:dyDescent="0.25">
      <c r="A3020" s="835" t="s">
        <v>11149</v>
      </c>
      <c r="B3020" s="835" t="s">
        <v>10501</v>
      </c>
      <c r="C3020" s="835" t="s">
        <v>10501</v>
      </c>
      <c r="D3020" s="835" t="s">
        <v>11150</v>
      </c>
      <c r="E3020" s="835">
        <v>160</v>
      </c>
      <c r="F3020" s="836">
        <v>18</v>
      </c>
      <c r="G3020" s="202" t="str">
        <f t="shared" si="47"/>
        <v/>
      </c>
    </row>
    <row r="3021" spans="1:7" s="172" customFormat="1" ht="15" customHeight="1" x14ac:dyDescent="0.25">
      <c r="A3021" s="835" t="s">
        <v>11149</v>
      </c>
      <c r="B3021" s="835" t="s">
        <v>10501</v>
      </c>
      <c r="C3021" s="835" t="s">
        <v>10501</v>
      </c>
      <c r="D3021" s="835" t="s">
        <v>11151</v>
      </c>
      <c r="E3021" s="835">
        <v>160</v>
      </c>
      <c r="F3021" s="836">
        <v>71</v>
      </c>
      <c r="G3021" s="202" t="str">
        <f t="shared" si="47"/>
        <v/>
      </c>
    </row>
    <row r="3022" spans="1:7" s="172" customFormat="1" ht="15" customHeight="1" x14ac:dyDescent="0.25">
      <c r="A3022" s="835" t="s">
        <v>11149</v>
      </c>
      <c r="B3022" s="835" t="s">
        <v>10501</v>
      </c>
      <c r="C3022" s="835" t="s">
        <v>10501</v>
      </c>
      <c r="D3022" s="835" t="s">
        <v>11152</v>
      </c>
      <c r="E3022" s="835">
        <v>250</v>
      </c>
      <c r="F3022" s="836">
        <v>100</v>
      </c>
      <c r="G3022" s="202" t="str">
        <f t="shared" si="47"/>
        <v/>
      </c>
    </row>
    <row r="3023" spans="1:7" s="172" customFormat="1" ht="15" customHeight="1" x14ac:dyDescent="0.25">
      <c r="A3023" s="835" t="s">
        <v>11149</v>
      </c>
      <c r="B3023" s="835" t="s">
        <v>10501</v>
      </c>
      <c r="C3023" s="835" t="s">
        <v>10501</v>
      </c>
      <c r="D3023" s="835" t="s">
        <v>11153</v>
      </c>
      <c r="E3023" s="835">
        <v>160</v>
      </c>
      <c r="F3023" s="836">
        <v>92</v>
      </c>
      <c r="G3023" s="202" t="str">
        <f t="shared" si="47"/>
        <v/>
      </c>
    </row>
    <row r="3024" spans="1:7" s="172" customFormat="1" ht="15" customHeight="1" x14ac:dyDescent="0.25">
      <c r="A3024" s="835" t="s">
        <v>11149</v>
      </c>
      <c r="B3024" s="835" t="s">
        <v>10501</v>
      </c>
      <c r="C3024" s="835" t="s">
        <v>10501</v>
      </c>
      <c r="D3024" s="835" t="s">
        <v>11154</v>
      </c>
      <c r="E3024" s="835">
        <v>400</v>
      </c>
      <c r="F3024" s="836">
        <v>150</v>
      </c>
      <c r="G3024" s="202" t="str">
        <f t="shared" si="47"/>
        <v/>
      </c>
    </row>
    <row r="3025" spans="1:7" s="172" customFormat="1" ht="15" customHeight="1" x14ac:dyDescent="0.25">
      <c r="A3025" s="835" t="s">
        <v>11149</v>
      </c>
      <c r="B3025" s="835" t="s">
        <v>10501</v>
      </c>
      <c r="C3025" s="835" t="s">
        <v>10501</v>
      </c>
      <c r="D3025" s="835" t="s">
        <v>11155</v>
      </c>
      <c r="E3025" s="835">
        <v>180</v>
      </c>
      <c r="F3025" s="836">
        <v>54</v>
      </c>
      <c r="G3025" s="202" t="str">
        <f t="shared" si="47"/>
        <v/>
      </c>
    </row>
    <row r="3026" spans="1:7" s="172" customFormat="1" ht="15" customHeight="1" x14ac:dyDescent="0.25">
      <c r="A3026" s="835" t="s">
        <v>11149</v>
      </c>
      <c r="B3026" s="835" t="s">
        <v>10501</v>
      </c>
      <c r="C3026" s="835" t="s">
        <v>10501</v>
      </c>
      <c r="D3026" s="835" t="s">
        <v>11156</v>
      </c>
      <c r="E3026" s="835">
        <v>250</v>
      </c>
      <c r="F3026" s="836">
        <v>151</v>
      </c>
      <c r="G3026" s="202" t="str">
        <f t="shared" si="47"/>
        <v/>
      </c>
    </row>
    <row r="3027" spans="1:7" s="172" customFormat="1" ht="15" customHeight="1" x14ac:dyDescent="0.25">
      <c r="A3027" s="835" t="s">
        <v>10906</v>
      </c>
      <c r="B3027" s="835" t="s">
        <v>10501</v>
      </c>
      <c r="C3027" s="835" t="s">
        <v>10501</v>
      </c>
      <c r="D3027" s="835" t="s">
        <v>10907</v>
      </c>
      <c r="E3027" s="835">
        <v>400</v>
      </c>
      <c r="F3027" s="836">
        <v>136</v>
      </c>
      <c r="G3027" s="202" t="str">
        <f t="shared" si="47"/>
        <v/>
      </c>
    </row>
    <row r="3028" spans="1:7" s="172" customFormat="1" ht="15" customHeight="1" x14ac:dyDescent="0.25">
      <c r="A3028" s="835" t="s">
        <v>13241</v>
      </c>
      <c r="B3028" s="835" t="s">
        <v>10501</v>
      </c>
      <c r="C3028" s="835" t="s">
        <v>10501</v>
      </c>
      <c r="D3028" s="835" t="s">
        <v>10905</v>
      </c>
      <c r="E3028" s="835">
        <v>100</v>
      </c>
      <c r="F3028" s="836">
        <v>14</v>
      </c>
      <c r="G3028" s="202" t="str">
        <f t="shared" si="47"/>
        <v/>
      </c>
    </row>
    <row r="3029" spans="1:7" s="172" customFormat="1" ht="15" customHeight="1" x14ac:dyDescent="0.25">
      <c r="A3029" s="835" t="s">
        <v>13241</v>
      </c>
      <c r="B3029" s="835" t="s">
        <v>10501</v>
      </c>
      <c r="C3029" s="835" t="s">
        <v>10501</v>
      </c>
      <c r="D3029" s="835" t="s">
        <v>10908</v>
      </c>
      <c r="E3029" s="835">
        <v>160</v>
      </c>
      <c r="F3029" s="836">
        <v>113</v>
      </c>
      <c r="G3029" s="202" t="str">
        <f t="shared" si="47"/>
        <v/>
      </c>
    </row>
    <row r="3030" spans="1:7" s="172" customFormat="1" ht="15" customHeight="1" x14ac:dyDescent="0.25">
      <c r="A3030" s="835" t="s">
        <v>13239</v>
      </c>
      <c r="B3030" s="835" t="s">
        <v>10501</v>
      </c>
      <c r="C3030" s="835" t="s">
        <v>10501</v>
      </c>
      <c r="D3030" s="835" t="s">
        <v>10900</v>
      </c>
      <c r="E3030" s="835">
        <v>100</v>
      </c>
      <c r="F3030" s="836">
        <v>27</v>
      </c>
      <c r="G3030" s="202" t="str">
        <f t="shared" si="47"/>
        <v/>
      </c>
    </row>
    <row r="3031" spans="1:7" s="172" customFormat="1" ht="15" customHeight="1" x14ac:dyDescent="0.25">
      <c r="A3031" s="835" t="s">
        <v>10901</v>
      </c>
      <c r="B3031" s="835" t="s">
        <v>10501</v>
      </c>
      <c r="C3031" s="835" t="s">
        <v>10501</v>
      </c>
      <c r="D3031" s="835" t="s">
        <v>10902</v>
      </c>
      <c r="E3031" s="835">
        <v>100</v>
      </c>
      <c r="F3031" s="836">
        <v>76</v>
      </c>
      <c r="G3031" s="202" t="str">
        <f t="shared" si="47"/>
        <v/>
      </c>
    </row>
    <row r="3032" spans="1:7" s="172" customFormat="1" ht="15" customHeight="1" x14ac:dyDescent="0.25">
      <c r="A3032" s="835" t="s">
        <v>10901</v>
      </c>
      <c r="B3032" s="835" t="s">
        <v>10501</v>
      </c>
      <c r="C3032" s="835" t="s">
        <v>10501</v>
      </c>
      <c r="D3032" s="835" t="s">
        <v>10903</v>
      </c>
      <c r="E3032" s="835">
        <v>100</v>
      </c>
      <c r="F3032" s="836">
        <v>18</v>
      </c>
      <c r="G3032" s="202" t="str">
        <f t="shared" si="47"/>
        <v/>
      </c>
    </row>
    <row r="3033" spans="1:7" s="172" customFormat="1" ht="15" customHeight="1" x14ac:dyDescent="0.25">
      <c r="A3033" s="835" t="s">
        <v>10909</v>
      </c>
      <c r="B3033" s="835" t="s">
        <v>10501</v>
      </c>
      <c r="C3033" s="835" t="s">
        <v>10501</v>
      </c>
      <c r="D3033" s="835" t="s">
        <v>10910</v>
      </c>
      <c r="E3033" s="835">
        <v>63</v>
      </c>
      <c r="F3033" s="836">
        <v>18</v>
      </c>
      <c r="G3033" s="202" t="str">
        <f t="shared" si="47"/>
        <v/>
      </c>
    </row>
    <row r="3034" spans="1:7" s="172" customFormat="1" ht="15" customHeight="1" x14ac:dyDescent="0.25">
      <c r="A3034" s="835" t="s">
        <v>13236</v>
      </c>
      <c r="B3034" s="835" t="s">
        <v>10501</v>
      </c>
      <c r="C3034" s="835" t="s">
        <v>10501</v>
      </c>
      <c r="D3034" s="835" t="s">
        <v>10899</v>
      </c>
      <c r="E3034" s="835">
        <v>100</v>
      </c>
      <c r="F3034" s="836">
        <v>18</v>
      </c>
      <c r="G3034" s="202" t="str">
        <f t="shared" si="47"/>
        <v/>
      </c>
    </row>
    <row r="3035" spans="1:7" s="172" customFormat="1" ht="15" customHeight="1" x14ac:dyDescent="0.25">
      <c r="A3035" s="835" t="s">
        <v>13240</v>
      </c>
      <c r="B3035" s="835" t="s">
        <v>10501</v>
      </c>
      <c r="C3035" s="835" t="s">
        <v>10501</v>
      </c>
      <c r="D3035" s="835" t="s">
        <v>10904</v>
      </c>
      <c r="E3035" s="835">
        <v>20</v>
      </c>
      <c r="F3035" s="836">
        <v>0</v>
      </c>
      <c r="G3035" s="202" t="str">
        <f t="shared" si="47"/>
        <v/>
      </c>
    </row>
    <row r="3036" spans="1:7" s="172" customFormat="1" ht="15" customHeight="1" x14ac:dyDescent="0.25">
      <c r="A3036" s="835" t="s">
        <v>4595</v>
      </c>
      <c r="B3036" s="835" t="s">
        <v>10501</v>
      </c>
      <c r="C3036" s="835" t="s">
        <v>10501</v>
      </c>
      <c r="D3036" s="835" t="s">
        <v>10874</v>
      </c>
      <c r="E3036" s="835">
        <v>60</v>
      </c>
      <c r="F3036" s="836">
        <v>1</v>
      </c>
      <c r="G3036" s="202" t="str">
        <f t="shared" si="47"/>
        <v/>
      </c>
    </row>
    <row r="3037" spans="1:7" s="172" customFormat="1" ht="15" customHeight="1" x14ac:dyDescent="0.25">
      <c r="A3037" s="835" t="s">
        <v>5231</v>
      </c>
      <c r="B3037" s="835" t="s">
        <v>10501</v>
      </c>
      <c r="C3037" s="835" t="s">
        <v>10501</v>
      </c>
      <c r="D3037" s="835" t="s">
        <v>10875</v>
      </c>
      <c r="E3037" s="835">
        <v>160</v>
      </c>
      <c r="F3037" s="836">
        <v>35</v>
      </c>
      <c r="G3037" s="202" t="str">
        <f t="shared" si="47"/>
        <v/>
      </c>
    </row>
    <row r="3038" spans="1:7" s="172" customFormat="1" ht="15" customHeight="1" x14ac:dyDescent="0.25">
      <c r="A3038" s="835" t="s">
        <v>10876</v>
      </c>
      <c r="B3038" s="835" t="s">
        <v>10501</v>
      </c>
      <c r="C3038" s="835" t="s">
        <v>10501</v>
      </c>
      <c r="D3038" s="835" t="s">
        <v>10877</v>
      </c>
      <c r="E3038" s="835">
        <v>160</v>
      </c>
      <c r="F3038" s="836">
        <v>83</v>
      </c>
      <c r="G3038" s="202" t="str">
        <f t="shared" si="47"/>
        <v/>
      </c>
    </row>
    <row r="3039" spans="1:7" s="172" customFormat="1" ht="15" customHeight="1" x14ac:dyDescent="0.25">
      <c r="A3039" s="835" t="s">
        <v>10876</v>
      </c>
      <c r="B3039" s="835" t="s">
        <v>10501</v>
      </c>
      <c r="C3039" s="835" t="s">
        <v>10501</v>
      </c>
      <c r="D3039" s="835" t="s">
        <v>10878</v>
      </c>
      <c r="E3039" s="835">
        <v>63</v>
      </c>
      <c r="F3039" s="836">
        <v>8</v>
      </c>
      <c r="G3039" s="202" t="str">
        <f t="shared" si="47"/>
        <v/>
      </c>
    </row>
    <row r="3040" spans="1:7" s="172" customFormat="1" ht="15" customHeight="1" x14ac:dyDescent="0.25">
      <c r="A3040" s="835" t="s">
        <v>10883</v>
      </c>
      <c r="B3040" s="835" t="s">
        <v>10501</v>
      </c>
      <c r="C3040" s="835" t="s">
        <v>10501</v>
      </c>
      <c r="D3040" s="835" t="s">
        <v>10884</v>
      </c>
      <c r="E3040" s="835">
        <v>63</v>
      </c>
      <c r="F3040" s="836">
        <v>17</v>
      </c>
      <c r="G3040" s="202" t="str">
        <f t="shared" si="47"/>
        <v/>
      </c>
    </row>
    <row r="3041" spans="1:7" s="172" customFormat="1" ht="15" customHeight="1" x14ac:dyDescent="0.25">
      <c r="A3041" s="835" t="s">
        <v>10885</v>
      </c>
      <c r="B3041" s="835" t="s">
        <v>10501</v>
      </c>
      <c r="C3041" s="835" t="s">
        <v>10501</v>
      </c>
      <c r="D3041" s="835" t="s">
        <v>10886</v>
      </c>
      <c r="E3041" s="835">
        <v>100</v>
      </c>
      <c r="F3041" s="836">
        <v>14</v>
      </c>
      <c r="G3041" s="202" t="str">
        <f t="shared" si="47"/>
        <v/>
      </c>
    </row>
    <row r="3042" spans="1:7" s="172" customFormat="1" ht="15" customHeight="1" x14ac:dyDescent="0.25">
      <c r="A3042" s="835" t="s">
        <v>13237</v>
      </c>
      <c r="B3042" s="835" t="s">
        <v>10501</v>
      </c>
      <c r="C3042" s="835" t="s">
        <v>10501</v>
      </c>
      <c r="D3042" s="835" t="s">
        <v>10887</v>
      </c>
      <c r="E3042" s="835">
        <v>30</v>
      </c>
      <c r="F3042" s="836">
        <v>0</v>
      </c>
      <c r="G3042" s="202" t="str">
        <f t="shared" si="47"/>
        <v/>
      </c>
    </row>
    <row r="3043" spans="1:7" s="172" customFormat="1" ht="15" customHeight="1" x14ac:dyDescent="0.25">
      <c r="A3043" s="835" t="s">
        <v>13238</v>
      </c>
      <c r="B3043" s="835" t="s">
        <v>10501</v>
      </c>
      <c r="C3043" s="835" t="s">
        <v>10501</v>
      </c>
      <c r="D3043" s="835" t="s">
        <v>10890</v>
      </c>
      <c r="E3043" s="835">
        <v>30</v>
      </c>
      <c r="F3043" s="836">
        <v>0</v>
      </c>
      <c r="G3043" s="202" t="str">
        <f t="shared" si="47"/>
        <v/>
      </c>
    </row>
    <row r="3044" spans="1:7" s="172" customFormat="1" ht="15" customHeight="1" x14ac:dyDescent="0.25">
      <c r="A3044" s="835" t="s">
        <v>10879</v>
      </c>
      <c r="B3044" s="835" t="s">
        <v>10501</v>
      </c>
      <c r="C3044" s="835" t="s">
        <v>10501</v>
      </c>
      <c r="D3044" s="835" t="s">
        <v>10880</v>
      </c>
      <c r="E3044" s="835">
        <v>160</v>
      </c>
      <c r="F3044" s="836">
        <v>64</v>
      </c>
      <c r="G3044" s="202" t="str">
        <f t="shared" si="47"/>
        <v/>
      </c>
    </row>
    <row r="3045" spans="1:7" s="172" customFormat="1" ht="15" customHeight="1" x14ac:dyDescent="0.25">
      <c r="A3045" s="835" t="s">
        <v>10888</v>
      </c>
      <c r="B3045" s="835" t="s">
        <v>10501</v>
      </c>
      <c r="C3045" s="835" t="s">
        <v>10501</v>
      </c>
      <c r="D3045" s="835" t="s">
        <v>10889</v>
      </c>
      <c r="E3045" s="835">
        <v>160</v>
      </c>
      <c r="F3045" s="836">
        <v>56</v>
      </c>
      <c r="G3045" s="202" t="str">
        <f t="shared" si="47"/>
        <v/>
      </c>
    </row>
    <row r="3046" spans="1:7" s="172" customFormat="1" ht="15" customHeight="1" x14ac:dyDescent="0.25">
      <c r="A3046" s="835" t="s">
        <v>10881</v>
      </c>
      <c r="B3046" s="835" t="s">
        <v>10501</v>
      </c>
      <c r="C3046" s="835" t="s">
        <v>10501</v>
      </c>
      <c r="D3046" s="835" t="s">
        <v>10882</v>
      </c>
      <c r="E3046" s="835">
        <v>160</v>
      </c>
      <c r="F3046" s="836">
        <v>70</v>
      </c>
      <c r="G3046" s="202" t="str">
        <f t="shared" si="47"/>
        <v/>
      </c>
    </row>
    <row r="3047" spans="1:7" s="172" customFormat="1" ht="15" customHeight="1" x14ac:dyDescent="0.25">
      <c r="A3047" s="835" t="s">
        <v>13236</v>
      </c>
      <c r="B3047" s="835" t="s">
        <v>10501</v>
      </c>
      <c r="C3047" s="835" t="s">
        <v>10501</v>
      </c>
      <c r="D3047" s="835" t="s">
        <v>10871</v>
      </c>
      <c r="E3047" s="835">
        <v>160</v>
      </c>
      <c r="F3047" s="836">
        <v>24</v>
      </c>
      <c r="G3047" s="202" t="str">
        <f t="shared" si="47"/>
        <v/>
      </c>
    </row>
    <row r="3048" spans="1:7" s="172" customFormat="1" ht="15" customHeight="1" x14ac:dyDescent="0.25">
      <c r="A3048" s="835" t="s">
        <v>13236</v>
      </c>
      <c r="B3048" s="835" t="s">
        <v>10501</v>
      </c>
      <c r="C3048" s="835" t="s">
        <v>10501</v>
      </c>
      <c r="D3048" s="835" t="s">
        <v>10872</v>
      </c>
      <c r="E3048" s="835">
        <v>250</v>
      </c>
      <c r="F3048" s="836">
        <v>94</v>
      </c>
      <c r="G3048" s="202" t="str">
        <f t="shared" si="47"/>
        <v/>
      </c>
    </row>
    <row r="3049" spans="1:7" s="172" customFormat="1" ht="15" customHeight="1" x14ac:dyDescent="0.25">
      <c r="A3049" s="835" t="s">
        <v>13236</v>
      </c>
      <c r="B3049" s="835" t="s">
        <v>10501</v>
      </c>
      <c r="C3049" s="835" t="s">
        <v>10501</v>
      </c>
      <c r="D3049" s="835" t="s">
        <v>10873</v>
      </c>
      <c r="E3049" s="835">
        <v>100</v>
      </c>
      <c r="F3049" s="836">
        <v>5</v>
      </c>
      <c r="G3049" s="202" t="str">
        <f t="shared" si="47"/>
        <v/>
      </c>
    </row>
    <row r="3050" spans="1:7" s="172" customFormat="1" ht="15" customHeight="1" x14ac:dyDescent="0.25">
      <c r="A3050" s="835" t="s">
        <v>10895</v>
      </c>
      <c r="B3050" s="835" t="s">
        <v>10501</v>
      </c>
      <c r="C3050" s="835" t="s">
        <v>10501</v>
      </c>
      <c r="D3050" s="835" t="s">
        <v>10896</v>
      </c>
      <c r="E3050" s="835">
        <v>30</v>
      </c>
      <c r="F3050" s="836">
        <v>2</v>
      </c>
      <c r="G3050" s="202" t="str">
        <f t="shared" si="47"/>
        <v/>
      </c>
    </row>
    <row r="3051" spans="1:7" s="172" customFormat="1" ht="15" customHeight="1" x14ac:dyDescent="0.25">
      <c r="A3051" s="835" t="s">
        <v>5199</v>
      </c>
      <c r="B3051" s="835" t="s">
        <v>10501</v>
      </c>
      <c r="C3051" s="835" t="s">
        <v>10501</v>
      </c>
      <c r="D3051" s="835" t="s">
        <v>10897</v>
      </c>
      <c r="E3051" s="835">
        <v>160</v>
      </c>
      <c r="F3051" s="836">
        <v>77</v>
      </c>
      <c r="G3051" s="202" t="str">
        <f t="shared" si="47"/>
        <v/>
      </c>
    </row>
    <row r="3052" spans="1:7" s="172" customFormat="1" ht="15" customHeight="1" x14ac:dyDescent="0.25">
      <c r="A3052" s="835" t="s">
        <v>5199</v>
      </c>
      <c r="B3052" s="835" t="s">
        <v>10501</v>
      </c>
      <c r="C3052" s="835" t="s">
        <v>10501</v>
      </c>
      <c r="D3052" s="835" t="s">
        <v>10898</v>
      </c>
      <c r="E3052" s="835">
        <v>400</v>
      </c>
      <c r="F3052" s="836">
        <v>89</v>
      </c>
      <c r="G3052" s="202" t="str">
        <f t="shared" si="47"/>
        <v/>
      </c>
    </row>
    <row r="3053" spans="1:7" s="172" customFormat="1" ht="15" customHeight="1" x14ac:dyDescent="0.25">
      <c r="A3053" s="835" t="s">
        <v>10891</v>
      </c>
      <c r="B3053" s="835" t="s">
        <v>10501</v>
      </c>
      <c r="C3053" s="835" t="s">
        <v>10501</v>
      </c>
      <c r="D3053" s="835" t="s">
        <v>10892</v>
      </c>
      <c r="E3053" s="835">
        <v>30</v>
      </c>
      <c r="F3053" s="836">
        <v>0</v>
      </c>
      <c r="G3053" s="202" t="str">
        <f t="shared" si="47"/>
        <v/>
      </c>
    </row>
    <row r="3054" spans="1:7" s="172" customFormat="1" ht="15" customHeight="1" x14ac:dyDescent="0.25">
      <c r="A3054" s="835" t="s">
        <v>10893</v>
      </c>
      <c r="B3054" s="835" t="s">
        <v>10501</v>
      </c>
      <c r="C3054" s="835" t="s">
        <v>10501</v>
      </c>
      <c r="D3054" s="835" t="s">
        <v>10894</v>
      </c>
      <c r="E3054" s="835">
        <v>63</v>
      </c>
      <c r="F3054" s="836">
        <v>24</v>
      </c>
      <c r="G3054" s="202" t="str">
        <f t="shared" si="47"/>
        <v/>
      </c>
    </row>
    <row r="3055" spans="1:7" s="172" customFormat="1" ht="15" customHeight="1" x14ac:dyDescent="0.25">
      <c r="A3055" s="835" t="s">
        <v>13223</v>
      </c>
      <c r="B3055" s="835" t="s">
        <v>10501</v>
      </c>
      <c r="C3055" s="835" t="s">
        <v>10501</v>
      </c>
      <c r="D3055" s="835" t="s">
        <v>10691</v>
      </c>
      <c r="E3055" s="835">
        <v>1260</v>
      </c>
      <c r="F3055" s="836">
        <v>342</v>
      </c>
      <c r="G3055" s="202" t="str">
        <f t="shared" si="47"/>
        <v/>
      </c>
    </row>
    <row r="3056" spans="1:7" s="172" customFormat="1" ht="15" customHeight="1" x14ac:dyDescent="0.25">
      <c r="A3056" s="835" t="s">
        <v>10703</v>
      </c>
      <c r="B3056" s="835" t="s">
        <v>10501</v>
      </c>
      <c r="C3056" s="835" t="s">
        <v>10501</v>
      </c>
      <c r="D3056" s="835" t="s">
        <v>10704</v>
      </c>
      <c r="E3056" s="835">
        <v>100</v>
      </c>
      <c r="F3056" s="836">
        <v>12</v>
      </c>
      <c r="G3056" s="202" t="str">
        <f t="shared" si="47"/>
        <v/>
      </c>
    </row>
    <row r="3057" spans="1:7" s="172" customFormat="1" ht="15" customHeight="1" x14ac:dyDescent="0.25">
      <c r="A3057" s="835" t="s">
        <v>10697</v>
      </c>
      <c r="B3057" s="835" t="s">
        <v>10501</v>
      </c>
      <c r="C3057" s="835" t="s">
        <v>10501</v>
      </c>
      <c r="D3057" s="835" t="s">
        <v>10698</v>
      </c>
      <c r="E3057" s="835">
        <v>100</v>
      </c>
      <c r="F3057" s="836">
        <v>78</v>
      </c>
      <c r="G3057" s="202" t="str">
        <f t="shared" si="47"/>
        <v/>
      </c>
    </row>
    <row r="3058" spans="1:7" s="172" customFormat="1" ht="15" customHeight="1" x14ac:dyDescent="0.25">
      <c r="A3058" s="835" t="s">
        <v>10706</v>
      </c>
      <c r="B3058" s="835" t="s">
        <v>10501</v>
      </c>
      <c r="C3058" s="835" t="s">
        <v>10501</v>
      </c>
      <c r="D3058" s="835" t="s">
        <v>10707</v>
      </c>
      <c r="E3058" s="835">
        <v>400</v>
      </c>
      <c r="F3058" s="836">
        <v>101</v>
      </c>
      <c r="G3058" s="202" t="str">
        <f t="shared" si="47"/>
        <v/>
      </c>
    </row>
    <row r="3059" spans="1:7" s="172" customFormat="1" ht="15" customHeight="1" x14ac:dyDescent="0.25">
      <c r="A3059" s="835" t="s">
        <v>10699</v>
      </c>
      <c r="B3059" s="835" t="s">
        <v>10501</v>
      </c>
      <c r="C3059" s="835" t="s">
        <v>10501</v>
      </c>
      <c r="D3059" s="835" t="s">
        <v>10700</v>
      </c>
      <c r="E3059" s="835">
        <v>100</v>
      </c>
      <c r="F3059" s="836">
        <v>12</v>
      </c>
      <c r="G3059" s="202" t="str">
        <f t="shared" si="47"/>
        <v/>
      </c>
    </row>
    <row r="3060" spans="1:7" s="172" customFormat="1" ht="15" customHeight="1" x14ac:dyDescent="0.25">
      <c r="A3060" s="835" t="s">
        <v>10699</v>
      </c>
      <c r="B3060" s="835" t="s">
        <v>10501</v>
      </c>
      <c r="C3060" s="835" t="s">
        <v>10501</v>
      </c>
      <c r="D3060" s="835" t="s">
        <v>10701</v>
      </c>
      <c r="E3060" s="835">
        <v>160</v>
      </c>
      <c r="F3060" s="836">
        <v>115</v>
      </c>
      <c r="G3060" s="202" t="str">
        <f t="shared" si="47"/>
        <v/>
      </c>
    </row>
    <row r="3061" spans="1:7" s="172" customFormat="1" ht="15" customHeight="1" x14ac:dyDescent="0.25">
      <c r="A3061" s="835" t="s">
        <v>10699</v>
      </c>
      <c r="B3061" s="835" t="s">
        <v>10501</v>
      </c>
      <c r="C3061" s="835" t="s">
        <v>10501</v>
      </c>
      <c r="D3061" s="835" t="s">
        <v>10702</v>
      </c>
      <c r="E3061" s="835">
        <v>250</v>
      </c>
      <c r="F3061" s="836">
        <v>60</v>
      </c>
      <c r="G3061" s="202" t="str">
        <f t="shared" si="47"/>
        <v/>
      </c>
    </row>
    <row r="3062" spans="1:7" s="172" customFormat="1" ht="15" customHeight="1" x14ac:dyDescent="0.25">
      <c r="A3062" s="835" t="s">
        <v>5196</v>
      </c>
      <c r="B3062" s="835" t="s">
        <v>10501</v>
      </c>
      <c r="C3062" s="835" t="s">
        <v>10501</v>
      </c>
      <c r="D3062" s="835" t="s">
        <v>10705</v>
      </c>
      <c r="E3062" s="835">
        <v>160</v>
      </c>
      <c r="F3062" s="836">
        <v>20</v>
      </c>
      <c r="G3062" s="202"/>
    </row>
    <row r="3063" spans="1:7" s="172" customFormat="1" ht="15" customHeight="1" x14ac:dyDescent="0.25">
      <c r="A3063" s="835" t="s">
        <v>4330</v>
      </c>
      <c r="B3063" s="835" t="s">
        <v>10501</v>
      </c>
      <c r="C3063" s="835" t="s">
        <v>10501</v>
      </c>
      <c r="D3063" s="835" t="s">
        <v>10694</v>
      </c>
      <c r="E3063" s="835">
        <v>160</v>
      </c>
      <c r="F3063" s="836">
        <v>10</v>
      </c>
      <c r="G3063" s="202"/>
    </row>
    <row r="3064" spans="1:7" s="172" customFormat="1" ht="15" customHeight="1" x14ac:dyDescent="0.25">
      <c r="A3064" s="835" t="s">
        <v>4330</v>
      </c>
      <c r="B3064" s="835" t="s">
        <v>10501</v>
      </c>
      <c r="C3064" s="835" t="s">
        <v>10501</v>
      </c>
      <c r="D3064" s="835" t="s">
        <v>10695</v>
      </c>
      <c r="E3064" s="835">
        <v>160</v>
      </c>
      <c r="F3064" s="836">
        <v>34</v>
      </c>
      <c r="G3064" s="202"/>
    </row>
    <row r="3065" spans="1:7" s="172" customFormat="1" ht="15" customHeight="1" x14ac:dyDescent="0.25">
      <c r="A3065" s="835" t="s">
        <v>4330</v>
      </c>
      <c r="B3065" s="835" t="s">
        <v>10501</v>
      </c>
      <c r="C3065" s="835" t="s">
        <v>10501</v>
      </c>
      <c r="D3065" s="835" t="s">
        <v>10696</v>
      </c>
      <c r="E3065" s="835">
        <v>160</v>
      </c>
      <c r="F3065" s="836">
        <v>52</v>
      </c>
      <c r="G3065" s="202"/>
    </row>
    <row r="3066" spans="1:7" s="172" customFormat="1" ht="15" customHeight="1" x14ac:dyDescent="0.25">
      <c r="A3066" s="835" t="s">
        <v>10692</v>
      </c>
      <c r="B3066" s="835" t="s">
        <v>10501</v>
      </c>
      <c r="C3066" s="835" t="s">
        <v>10501</v>
      </c>
      <c r="D3066" s="835" t="s">
        <v>10693</v>
      </c>
      <c r="E3066" s="835">
        <v>250</v>
      </c>
      <c r="F3066" s="836">
        <v>8</v>
      </c>
      <c r="G3066" s="202"/>
    </row>
    <row r="3067" spans="1:7" s="172" customFormat="1" ht="15" customHeight="1" x14ac:dyDescent="0.25">
      <c r="A3067" s="835" t="s">
        <v>10708</v>
      </c>
      <c r="B3067" s="835" t="s">
        <v>10501</v>
      </c>
      <c r="C3067" s="835" t="s">
        <v>10501</v>
      </c>
      <c r="D3067" s="835" t="s">
        <v>10709</v>
      </c>
      <c r="E3067" s="835">
        <v>100</v>
      </c>
      <c r="F3067" s="836">
        <v>0</v>
      </c>
      <c r="G3067" s="202"/>
    </row>
    <row r="3068" spans="1:7" s="172" customFormat="1" ht="15" customHeight="1" x14ac:dyDescent="0.25">
      <c r="A3068" s="835" t="s">
        <v>17717</v>
      </c>
      <c r="B3068" s="835" t="s">
        <v>10501</v>
      </c>
      <c r="C3068" s="835" t="s">
        <v>10501</v>
      </c>
      <c r="D3068" s="835" t="s">
        <v>18157</v>
      </c>
      <c r="E3068" s="835">
        <v>2000</v>
      </c>
      <c r="F3068" s="836">
        <v>1149</v>
      </c>
      <c r="G3068" s="202" t="str">
        <f t="shared" si="47"/>
        <v/>
      </c>
    </row>
    <row r="3069" spans="1:7" s="172" customFormat="1" ht="15" customHeight="1" x14ac:dyDescent="0.25">
      <c r="A3069" s="835" t="s">
        <v>11098</v>
      </c>
      <c r="B3069" s="835" t="s">
        <v>10501</v>
      </c>
      <c r="C3069" s="835" t="s">
        <v>10501</v>
      </c>
      <c r="D3069" s="835" t="s">
        <v>11099</v>
      </c>
      <c r="E3069" s="835">
        <v>500</v>
      </c>
      <c r="F3069" s="836">
        <v>307</v>
      </c>
      <c r="G3069" s="202" t="str">
        <f t="shared" si="47"/>
        <v/>
      </c>
    </row>
    <row r="3070" spans="1:7" s="172" customFormat="1" ht="15" customHeight="1" x14ac:dyDescent="0.25">
      <c r="A3070" s="835" t="s">
        <v>13215</v>
      </c>
      <c r="B3070" s="835" t="s">
        <v>10501</v>
      </c>
      <c r="C3070" s="835" t="s">
        <v>10501</v>
      </c>
      <c r="D3070" s="835" t="s">
        <v>10558</v>
      </c>
      <c r="E3070" s="835">
        <v>320</v>
      </c>
      <c r="F3070" s="836">
        <v>48</v>
      </c>
      <c r="G3070" s="202" t="str">
        <f t="shared" si="47"/>
        <v/>
      </c>
    </row>
    <row r="3071" spans="1:7" s="172" customFormat="1" ht="15" customHeight="1" x14ac:dyDescent="0.25">
      <c r="A3071" s="835" t="s">
        <v>13215</v>
      </c>
      <c r="B3071" s="835" t="s">
        <v>10501</v>
      </c>
      <c r="C3071" s="835" t="s">
        <v>10501</v>
      </c>
      <c r="D3071" s="835" t="s">
        <v>10559</v>
      </c>
      <c r="E3071" s="835">
        <v>250</v>
      </c>
      <c r="F3071" s="836">
        <v>121</v>
      </c>
      <c r="G3071" s="202" t="str">
        <f t="shared" si="47"/>
        <v/>
      </c>
    </row>
    <row r="3072" spans="1:7" s="172" customFormat="1" ht="15" customHeight="1" x14ac:dyDescent="0.25">
      <c r="A3072" s="835" t="s">
        <v>10569</v>
      </c>
      <c r="B3072" s="835" t="s">
        <v>10501</v>
      </c>
      <c r="C3072" s="835" t="s">
        <v>10501</v>
      </c>
      <c r="D3072" s="835" t="s">
        <v>10570</v>
      </c>
      <c r="E3072" s="835">
        <v>500</v>
      </c>
      <c r="F3072" s="836">
        <v>169</v>
      </c>
      <c r="G3072" s="202" t="str">
        <f t="shared" si="47"/>
        <v/>
      </c>
    </row>
    <row r="3073" spans="1:7" s="172" customFormat="1" ht="15" customHeight="1" x14ac:dyDescent="0.25">
      <c r="A3073" s="835" t="s">
        <v>10569</v>
      </c>
      <c r="B3073" s="835" t="s">
        <v>10501</v>
      </c>
      <c r="C3073" s="835" t="s">
        <v>10501</v>
      </c>
      <c r="D3073" s="835" t="s">
        <v>10571</v>
      </c>
      <c r="E3073" s="835">
        <v>400</v>
      </c>
      <c r="F3073" s="836">
        <v>77</v>
      </c>
      <c r="G3073" s="202" t="str">
        <f t="shared" si="47"/>
        <v/>
      </c>
    </row>
    <row r="3074" spans="1:7" s="172" customFormat="1" ht="15" customHeight="1" x14ac:dyDescent="0.25">
      <c r="A3074" s="835" t="s">
        <v>10564</v>
      </c>
      <c r="B3074" s="835" t="s">
        <v>10501</v>
      </c>
      <c r="C3074" s="835" t="s">
        <v>10501</v>
      </c>
      <c r="D3074" s="835" t="s">
        <v>10565</v>
      </c>
      <c r="E3074" s="835">
        <v>400</v>
      </c>
      <c r="F3074" s="836">
        <v>10</v>
      </c>
      <c r="G3074" s="202" t="str">
        <f t="shared" si="47"/>
        <v/>
      </c>
    </row>
    <row r="3075" spans="1:7" s="172" customFormat="1" ht="15" customHeight="1" x14ac:dyDescent="0.25">
      <c r="A3075" s="835" t="s">
        <v>10564</v>
      </c>
      <c r="B3075" s="835" t="s">
        <v>10501</v>
      </c>
      <c r="C3075" s="835" t="s">
        <v>10501</v>
      </c>
      <c r="D3075" s="835" t="s">
        <v>10566</v>
      </c>
      <c r="E3075" s="835">
        <v>400</v>
      </c>
      <c r="F3075" s="836">
        <v>14</v>
      </c>
      <c r="G3075" s="202" t="str">
        <f t="shared" si="47"/>
        <v/>
      </c>
    </row>
    <row r="3076" spans="1:7" s="172" customFormat="1" ht="15" customHeight="1" x14ac:dyDescent="0.25">
      <c r="A3076" s="835" t="s">
        <v>10564</v>
      </c>
      <c r="B3076" s="835" t="s">
        <v>10501</v>
      </c>
      <c r="C3076" s="835" t="s">
        <v>10501</v>
      </c>
      <c r="D3076" s="835" t="s">
        <v>10567</v>
      </c>
      <c r="E3076" s="835">
        <v>100</v>
      </c>
      <c r="F3076" s="836">
        <v>23</v>
      </c>
      <c r="G3076" s="202" t="str">
        <f t="shared" si="47"/>
        <v/>
      </c>
    </row>
    <row r="3077" spans="1:7" s="172" customFormat="1" ht="15" customHeight="1" x14ac:dyDescent="0.25">
      <c r="A3077" s="835" t="s">
        <v>10564</v>
      </c>
      <c r="B3077" s="835" t="s">
        <v>10501</v>
      </c>
      <c r="C3077" s="835" t="s">
        <v>10501</v>
      </c>
      <c r="D3077" s="835" t="s">
        <v>10568</v>
      </c>
      <c r="E3077" s="835">
        <v>63</v>
      </c>
      <c r="F3077" s="836">
        <v>17</v>
      </c>
      <c r="G3077" s="202" t="str">
        <f t="shared" si="47"/>
        <v/>
      </c>
    </row>
    <row r="3078" spans="1:7" s="172" customFormat="1" ht="15" customHeight="1" x14ac:dyDescent="0.25">
      <c r="A3078" s="835" t="s">
        <v>10562</v>
      </c>
      <c r="B3078" s="835" t="s">
        <v>10501</v>
      </c>
      <c r="C3078" s="835" t="s">
        <v>10501</v>
      </c>
      <c r="D3078" s="835" t="s">
        <v>10563</v>
      </c>
      <c r="E3078" s="835">
        <v>100</v>
      </c>
      <c r="F3078" s="836">
        <v>0</v>
      </c>
      <c r="G3078" s="202" t="str">
        <f t="shared" si="47"/>
        <v/>
      </c>
    </row>
    <row r="3079" spans="1:7" s="172" customFormat="1" ht="15" customHeight="1" x14ac:dyDescent="0.25">
      <c r="A3079" s="835" t="s">
        <v>13216</v>
      </c>
      <c r="B3079" s="835" t="s">
        <v>10501</v>
      </c>
      <c r="C3079" s="835" t="s">
        <v>10501</v>
      </c>
      <c r="D3079" s="835" t="s">
        <v>10560</v>
      </c>
      <c r="E3079" s="835">
        <v>160</v>
      </c>
      <c r="F3079" s="836">
        <v>35</v>
      </c>
      <c r="G3079" s="202" t="str">
        <f t="shared" si="47"/>
        <v/>
      </c>
    </row>
    <row r="3080" spans="1:7" s="172" customFormat="1" ht="15" customHeight="1" x14ac:dyDescent="0.25">
      <c r="A3080" s="835" t="s">
        <v>13216</v>
      </c>
      <c r="B3080" s="835" t="s">
        <v>10501</v>
      </c>
      <c r="C3080" s="835" t="s">
        <v>10501</v>
      </c>
      <c r="D3080" s="835" t="s">
        <v>10561</v>
      </c>
      <c r="E3080" s="835">
        <v>160</v>
      </c>
      <c r="F3080" s="836">
        <v>18</v>
      </c>
      <c r="G3080" s="202" t="str">
        <f t="shared" si="47"/>
        <v/>
      </c>
    </row>
    <row r="3081" spans="1:7" s="172" customFormat="1" ht="15" customHeight="1" x14ac:dyDescent="0.25">
      <c r="A3081" s="835" t="s">
        <v>13223</v>
      </c>
      <c r="B3081" s="835" t="s">
        <v>10501</v>
      </c>
      <c r="C3081" s="835" t="s">
        <v>10501</v>
      </c>
      <c r="D3081" s="835" t="s">
        <v>11349</v>
      </c>
      <c r="E3081" s="835">
        <v>1260</v>
      </c>
      <c r="F3081" s="836">
        <v>648</v>
      </c>
      <c r="G3081" s="202" t="str">
        <f t="shared" si="47"/>
        <v/>
      </c>
    </row>
    <row r="3082" spans="1:7" s="172" customFormat="1" ht="15" customHeight="1" x14ac:dyDescent="0.25">
      <c r="A3082" s="835" t="s">
        <v>13223</v>
      </c>
      <c r="B3082" s="835" t="s">
        <v>10501</v>
      </c>
      <c r="C3082" s="835" t="s">
        <v>10501</v>
      </c>
      <c r="D3082" s="835" t="s">
        <v>11350</v>
      </c>
      <c r="E3082" s="835">
        <v>1260</v>
      </c>
      <c r="F3082" s="836">
        <v>620</v>
      </c>
      <c r="G3082" s="202" t="str">
        <f t="shared" si="47"/>
        <v/>
      </c>
    </row>
    <row r="3083" spans="1:7" s="172" customFormat="1" ht="15" customHeight="1" x14ac:dyDescent="0.25">
      <c r="A3083" s="835" t="s">
        <v>13223</v>
      </c>
      <c r="B3083" s="835" t="s">
        <v>10501</v>
      </c>
      <c r="C3083" s="835" t="s">
        <v>10501</v>
      </c>
      <c r="D3083" s="835" t="s">
        <v>11351</v>
      </c>
      <c r="E3083" s="835">
        <v>1260</v>
      </c>
      <c r="F3083" s="836">
        <v>598</v>
      </c>
      <c r="G3083" s="202" t="str">
        <f t="shared" si="47"/>
        <v/>
      </c>
    </row>
    <row r="3084" spans="1:7" s="172" customFormat="1" ht="15" customHeight="1" x14ac:dyDescent="0.25">
      <c r="A3084" s="835" t="s">
        <v>20195</v>
      </c>
      <c r="B3084" s="835" t="s">
        <v>10501</v>
      </c>
      <c r="C3084" s="835" t="s">
        <v>10501</v>
      </c>
      <c r="D3084" s="835" t="s">
        <v>20196</v>
      </c>
      <c r="E3084" s="835">
        <v>63</v>
      </c>
      <c r="F3084" s="836">
        <v>56</v>
      </c>
      <c r="G3084" s="202"/>
    </row>
    <row r="3085" spans="1:7" s="172" customFormat="1" ht="15" customHeight="1" x14ac:dyDescent="0.25">
      <c r="A3085" s="835" t="s">
        <v>20197</v>
      </c>
      <c r="B3085" s="835" t="s">
        <v>10501</v>
      </c>
      <c r="C3085" s="835" t="s">
        <v>10501</v>
      </c>
      <c r="D3085" s="835" t="s">
        <v>20198</v>
      </c>
      <c r="E3085" s="835">
        <v>400</v>
      </c>
      <c r="F3085" s="836">
        <v>356</v>
      </c>
      <c r="G3085" s="202"/>
    </row>
    <row r="3086" spans="1:7" s="172" customFormat="1" ht="15" customHeight="1" x14ac:dyDescent="0.25">
      <c r="A3086" s="835" t="s">
        <v>20199</v>
      </c>
      <c r="B3086" s="835" t="s">
        <v>10501</v>
      </c>
      <c r="C3086" s="835" t="s">
        <v>10501</v>
      </c>
      <c r="D3086" s="835" t="s">
        <v>20200</v>
      </c>
      <c r="E3086" s="835">
        <v>63</v>
      </c>
      <c r="F3086" s="836">
        <v>56</v>
      </c>
      <c r="G3086" s="202"/>
    </row>
    <row r="3087" spans="1:7" s="172" customFormat="1" ht="15" customHeight="1" x14ac:dyDescent="0.25">
      <c r="A3087" s="835" t="s">
        <v>17717</v>
      </c>
      <c r="B3087" s="835" t="s">
        <v>10501</v>
      </c>
      <c r="C3087" s="835" t="s">
        <v>10501</v>
      </c>
      <c r="D3087" s="835" t="s">
        <v>20201</v>
      </c>
      <c r="E3087" s="835">
        <v>630</v>
      </c>
      <c r="F3087" s="836">
        <v>560</v>
      </c>
      <c r="G3087" s="202"/>
    </row>
    <row r="3088" spans="1:7" s="172" customFormat="1" ht="15" customHeight="1" x14ac:dyDescent="0.25">
      <c r="A3088" s="835" t="s">
        <v>20202</v>
      </c>
      <c r="B3088" s="835" t="s">
        <v>10501</v>
      </c>
      <c r="C3088" s="835" t="s">
        <v>10501</v>
      </c>
      <c r="D3088" s="835" t="s">
        <v>20203</v>
      </c>
      <c r="E3088" s="835">
        <v>250</v>
      </c>
      <c r="F3088" s="836">
        <v>222</v>
      </c>
      <c r="G3088" s="202"/>
    </row>
    <row r="3089" spans="1:7" s="172" customFormat="1" ht="15" customHeight="1" x14ac:dyDescent="0.25">
      <c r="A3089" s="835" t="s">
        <v>20204</v>
      </c>
      <c r="B3089" s="835" t="s">
        <v>10501</v>
      </c>
      <c r="C3089" s="835" t="s">
        <v>10501</v>
      </c>
      <c r="D3089" s="835" t="s">
        <v>20205</v>
      </c>
      <c r="E3089" s="835">
        <v>100</v>
      </c>
      <c r="F3089" s="836">
        <v>100</v>
      </c>
      <c r="G3089" s="202"/>
    </row>
    <row r="3090" spans="1:7" s="172" customFormat="1" ht="15" customHeight="1" x14ac:dyDescent="0.25">
      <c r="A3090" s="835" t="s">
        <v>20206</v>
      </c>
      <c r="B3090" s="835" t="s">
        <v>10501</v>
      </c>
      <c r="C3090" s="835" t="s">
        <v>10501</v>
      </c>
      <c r="D3090" s="835" t="s">
        <v>20207</v>
      </c>
      <c r="E3090" s="835">
        <v>400</v>
      </c>
      <c r="F3090" s="836">
        <v>356</v>
      </c>
      <c r="G3090" s="202"/>
    </row>
    <row r="3091" spans="1:7" s="172" customFormat="1" ht="15" customHeight="1" x14ac:dyDescent="0.25">
      <c r="A3091" s="835" t="s">
        <v>20208</v>
      </c>
      <c r="B3091" s="835" t="s">
        <v>10501</v>
      </c>
      <c r="C3091" s="835" t="s">
        <v>10501</v>
      </c>
      <c r="D3091" s="835" t="s">
        <v>20209</v>
      </c>
      <c r="E3091" s="835">
        <v>63</v>
      </c>
      <c r="F3091" s="836">
        <v>56</v>
      </c>
      <c r="G3091" s="202"/>
    </row>
    <row r="3092" spans="1:7" s="172" customFormat="1" ht="15" customHeight="1" x14ac:dyDescent="0.25">
      <c r="A3092" s="835" t="s">
        <v>6003</v>
      </c>
      <c r="B3092" s="835" t="s">
        <v>5781</v>
      </c>
      <c r="C3092" s="835" t="s">
        <v>5781</v>
      </c>
      <c r="D3092" s="835" t="s">
        <v>6004</v>
      </c>
      <c r="E3092" s="835">
        <v>30</v>
      </c>
      <c r="F3092" s="836">
        <v>0</v>
      </c>
      <c r="G3092" s="202" t="str">
        <f t="shared" si="47"/>
        <v/>
      </c>
    </row>
    <row r="3093" spans="1:7" s="172" customFormat="1" ht="15" customHeight="1" x14ac:dyDescent="0.25">
      <c r="A3093" s="835" t="s">
        <v>12459</v>
      </c>
      <c r="B3093" s="835" t="s">
        <v>5781</v>
      </c>
      <c r="C3093" s="835" t="s">
        <v>5781</v>
      </c>
      <c r="D3093" s="835" t="s">
        <v>5811</v>
      </c>
      <c r="E3093" s="835">
        <v>250</v>
      </c>
      <c r="F3093" s="836">
        <v>32</v>
      </c>
      <c r="G3093" s="202" t="str">
        <f t="shared" si="47"/>
        <v/>
      </c>
    </row>
    <row r="3094" spans="1:7" s="172" customFormat="1" ht="15" customHeight="1" x14ac:dyDescent="0.25">
      <c r="A3094" s="835" t="s">
        <v>12485</v>
      </c>
      <c r="B3094" s="835" t="s">
        <v>5781</v>
      </c>
      <c r="C3094" s="835" t="s">
        <v>5781</v>
      </c>
      <c r="D3094" s="835" t="s">
        <v>6115</v>
      </c>
      <c r="E3094" s="835">
        <v>63</v>
      </c>
      <c r="F3094" s="836">
        <v>55</v>
      </c>
      <c r="G3094" s="202" t="str">
        <f t="shared" si="47"/>
        <v/>
      </c>
    </row>
    <row r="3095" spans="1:7" s="172" customFormat="1" ht="15" customHeight="1" x14ac:dyDescent="0.25">
      <c r="A3095" s="835" t="s">
        <v>12462</v>
      </c>
      <c r="B3095" s="835" t="s">
        <v>5781</v>
      </c>
      <c r="C3095" s="835" t="s">
        <v>5781</v>
      </c>
      <c r="D3095" s="835" t="s">
        <v>5825</v>
      </c>
      <c r="E3095" s="835">
        <v>250</v>
      </c>
      <c r="F3095" s="836">
        <v>24</v>
      </c>
      <c r="G3095" s="202" t="str">
        <f t="shared" si="47"/>
        <v/>
      </c>
    </row>
    <row r="3096" spans="1:7" s="172" customFormat="1" ht="15" customHeight="1" x14ac:dyDescent="0.25">
      <c r="A3096" s="835" t="s">
        <v>12479</v>
      </c>
      <c r="B3096" s="835" t="s">
        <v>5781</v>
      </c>
      <c r="C3096" s="835" t="s">
        <v>5781</v>
      </c>
      <c r="D3096" s="835" t="s">
        <v>6048</v>
      </c>
      <c r="E3096" s="835">
        <v>250</v>
      </c>
      <c r="F3096" s="836">
        <v>21</v>
      </c>
      <c r="G3096" s="202" t="str">
        <f t="shared" si="47"/>
        <v/>
      </c>
    </row>
    <row r="3097" spans="1:7" s="172" customFormat="1" ht="15" customHeight="1" x14ac:dyDescent="0.25">
      <c r="A3097" s="835" t="s">
        <v>12479</v>
      </c>
      <c r="B3097" s="835" t="s">
        <v>5781</v>
      </c>
      <c r="C3097" s="835" t="s">
        <v>5781</v>
      </c>
      <c r="D3097" s="835" t="s">
        <v>6049</v>
      </c>
      <c r="E3097" s="835">
        <v>250</v>
      </c>
      <c r="F3097" s="836">
        <v>11</v>
      </c>
      <c r="G3097" s="202" t="str">
        <f t="shared" ref="G3097:G3160" si="48">IF(E3097=F3097,"не загружен","")</f>
        <v/>
      </c>
    </row>
    <row r="3098" spans="1:7" s="172" customFormat="1" ht="15" customHeight="1" x14ac:dyDescent="0.25">
      <c r="A3098" s="835" t="s">
        <v>12479</v>
      </c>
      <c r="B3098" s="835" t="s">
        <v>5781</v>
      </c>
      <c r="C3098" s="835" t="s">
        <v>5781</v>
      </c>
      <c r="D3098" s="835" t="s">
        <v>6050</v>
      </c>
      <c r="E3098" s="835">
        <v>160</v>
      </c>
      <c r="F3098" s="836">
        <v>84</v>
      </c>
      <c r="G3098" s="202" t="str">
        <f t="shared" si="48"/>
        <v/>
      </c>
    </row>
    <row r="3099" spans="1:7" s="172" customFormat="1" ht="15" customHeight="1" x14ac:dyDescent="0.25">
      <c r="A3099" s="835" t="s">
        <v>5780</v>
      </c>
      <c r="B3099" s="835" t="s">
        <v>5781</v>
      </c>
      <c r="C3099" s="835" t="s">
        <v>5781</v>
      </c>
      <c r="D3099" s="835" t="s">
        <v>5782</v>
      </c>
      <c r="E3099" s="835">
        <v>160</v>
      </c>
      <c r="F3099" s="836">
        <v>12</v>
      </c>
      <c r="G3099" s="202" t="str">
        <f t="shared" si="48"/>
        <v/>
      </c>
    </row>
    <row r="3100" spans="1:7" s="172" customFormat="1" ht="15" customHeight="1" x14ac:dyDescent="0.25">
      <c r="A3100" s="835" t="s">
        <v>12501</v>
      </c>
      <c r="B3100" s="835" t="s">
        <v>5781</v>
      </c>
      <c r="C3100" s="835" t="s">
        <v>5781</v>
      </c>
      <c r="D3100" s="835" t="s">
        <v>6261</v>
      </c>
      <c r="E3100" s="835">
        <v>100</v>
      </c>
      <c r="F3100" s="836">
        <v>12</v>
      </c>
      <c r="G3100" s="202" t="str">
        <f t="shared" si="48"/>
        <v/>
      </c>
    </row>
    <row r="3101" spans="1:7" s="172" customFormat="1" ht="15" customHeight="1" x14ac:dyDescent="0.25">
      <c r="A3101" s="835" t="s">
        <v>5835</v>
      </c>
      <c r="B3101" s="835" t="s">
        <v>5781</v>
      </c>
      <c r="C3101" s="835" t="s">
        <v>5781</v>
      </c>
      <c r="D3101" s="835" t="s">
        <v>5836</v>
      </c>
      <c r="E3101" s="835">
        <v>160</v>
      </c>
      <c r="F3101" s="836">
        <v>13</v>
      </c>
      <c r="G3101" s="202" t="str">
        <f t="shared" si="48"/>
        <v/>
      </c>
    </row>
    <row r="3102" spans="1:7" s="172" customFormat="1" ht="15" customHeight="1" x14ac:dyDescent="0.25">
      <c r="A3102" s="835" t="s">
        <v>6219</v>
      </c>
      <c r="B3102" s="835" t="s">
        <v>5781</v>
      </c>
      <c r="C3102" s="835" t="s">
        <v>5781</v>
      </c>
      <c r="D3102" s="835" t="s">
        <v>6220</v>
      </c>
      <c r="E3102" s="835">
        <v>30</v>
      </c>
      <c r="F3102" s="836">
        <v>2</v>
      </c>
      <c r="G3102" s="202" t="str">
        <f t="shared" si="48"/>
        <v/>
      </c>
    </row>
    <row r="3103" spans="1:7" s="172" customFormat="1" ht="15" customHeight="1" x14ac:dyDescent="0.25">
      <c r="A3103" s="835" t="s">
        <v>6099</v>
      </c>
      <c r="B3103" s="835" t="s">
        <v>5781</v>
      </c>
      <c r="C3103" s="835" t="s">
        <v>5781</v>
      </c>
      <c r="D3103" s="835" t="s">
        <v>6100</v>
      </c>
      <c r="E3103" s="835">
        <v>100</v>
      </c>
      <c r="F3103" s="836">
        <v>19</v>
      </c>
      <c r="G3103" s="202" t="str">
        <f t="shared" si="48"/>
        <v/>
      </c>
    </row>
    <row r="3104" spans="1:7" s="172" customFormat="1" ht="15" customHeight="1" x14ac:dyDescent="0.25">
      <c r="A3104" s="835" t="s">
        <v>6099</v>
      </c>
      <c r="B3104" s="835" t="s">
        <v>5781</v>
      </c>
      <c r="C3104" s="835" t="s">
        <v>5781</v>
      </c>
      <c r="D3104" s="835" t="s">
        <v>6101</v>
      </c>
      <c r="E3104" s="835">
        <v>160</v>
      </c>
      <c r="F3104" s="836">
        <v>30</v>
      </c>
      <c r="G3104" s="202" t="str">
        <f t="shared" si="48"/>
        <v/>
      </c>
    </row>
    <row r="3105" spans="1:7" s="172" customFormat="1" ht="15" customHeight="1" x14ac:dyDescent="0.25">
      <c r="A3105" s="835" t="s">
        <v>3023</v>
      </c>
      <c r="B3105" s="835" t="s">
        <v>5781</v>
      </c>
      <c r="C3105" s="835" t="s">
        <v>5781</v>
      </c>
      <c r="D3105" s="835" t="s">
        <v>5817</v>
      </c>
      <c r="E3105" s="835">
        <v>30</v>
      </c>
      <c r="F3105" s="836">
        <v>0</v>
      </c>
      <c r="G3105" s="202" t="str">
        <f t="shared" si="48"/>
        <v/>
      </c>
    </row>
    <row r="3106" spans="1:7" s="172" customFormat="1" ht="15" customHeight="1" x14ac:dyDescent="0.25">
      <c r="A3106" s="835" t="s">
        <v>5637</v>
      </c>
      <c r="B3106" s="835" t="s">
        <v>5781</v>
      </c>
      <c r="C3106" s="835" t="s">
        <v>5781</v>
      </c>
      <c r="D3106" s="835" t="s">
        <v>5783</v>
      </c>
      <c r="E3106" s="835">
        <v>250</v>
      </c>
      <c r="F3106" s="836">
        <v>93</v>
      </c>
      <c r="G3106" s="202" t="str">
        <f t="shared" si="48"/>
        <v/>
      </c>
    </row>
    <row r="3107" spans="1:7" s="172" customFormat="1" ht="15" customHeight="1" x14ac:dyDescent="0.25">
      <c r="A3107" s="835" t="s">
        <v>5637</v>
      </c>
      <c r="B3107" s="835" t="s">
        <v>5781</v>
      </c>
      <c r="C3107" s="835" t="s">
        <v>5781</v>
      </c>
      <c r="D3107" s="835" t="s">
        <v>5784</v>
      </c>
      <c r="E3107" s="835">
        <v>63</v>
      </c>
      <c r="F3107" s="836">
        <v>24</v>
      </c>
      <c r="G3107" s="202" t="str">
        <f t="shared" si="48"/>
        <v/>
      </c>
    </row>
    <row r="3108" spans="1:7" s="172" customFormat="1" ht="15" customHeight="1" x14ac:dyDescent="0.25">
      <c r="A3108" s="835" t="s">
        <v>5637</v>
      </c>
      <c r="B3108" s="835" t="s">
        <v>5781</v>
      </c>
      <c r="C3108" s="835" t="s">
        <v>5781</v>
      </c>
      <c r="D3108" s="835" t="s">
        <v>5785</v>
      </c>
      <c r="E3108" s="835">
        <v>160</v>
      </c>
      <c r="F3108" s="836">
        <v>135</v>
      </c>
      <c r="G3108" s="202" t="str">
        <f t="shared" si="48"/>
        <v/>
      </c>
    </row>
    <row r="3109" spans="1:7" s="172" customFormat="1" ht="15" customHeight="1" x14ac:dyDescent="0.25">
      <c r="A3109" s="835" t="s">
        <v>5637</v>
      </c>
      <c r="B3109" s="835" t="s">
        <v>5781</v>
      </c>
      <c r="C3109" s="835" t="s">
        <v>5781</v>
      </c>
      <c r="D3109" s="835" t="s">
        <v>5804</v>
      </c>
      <c r="E3109" s="835">
        <v>400</v>
      </c>
      <c r="F3109" s="836">
        <v>252</v>
      </c>
      <c r="G3109" s="202" t="str">
        <f t="shared" si="48"/>
        <v/>
      </c>
    </row>
    <row r="3110" spans="1:7" s="172" customFormat="1" ht="15" customHeight="1" x14ac:dyDescent="0.25">
      <c r="A3110" s="835" t="s">
        <v>5893</v>
      </c>
      <c r="B3110" s="835" t="s">
        <v>5781</v>
      </c>
      <c r="C3110" s="835" t="s">
        <v>5781</v>
      </c>
      <c r="D3110" s="835" t="s">
        <v>5894</v>
      </c>
      <c r="E3110" s="835">
        <v>30</v>
      </c>
      <c r="F3110" s="836">
        <v>4</v>
      </c>
      <c r="G3110" s="202" t="str">
        <f t="shared" si="48"/>
        <v/>
      </c>
    </row>
    <row r="3111" spans="1:7" s="172" customFormat="1" ht="15" customHeight="1" x14ac:dyDescent="0.25">
      <c r="A3111" s="835" t="s">
        <v>4159</v>
      </c>
      <c r="B3111" s="835" t="s">
        <v>5781</v>
      </c>
      <c r="C3111" s="835" t="s">
        <v>5781</v>
      </c>
      <c r="D3111" s="835" t="s">
        <v>5883</v>
      </c>
      <c r="E3111" s="835">
        <v>250</v>
      </c>
      <c r="F3111" s="836">
        <v>121</v>
      </c>
      <c r="G3111" s="202" t="str">
        <f t="shared" si="48"/>
        <v/>
      </c>
    </row>
    <row r="3112" spans="1:7" s="172" customFormat="1" ht="15" customHeight="1" x14ac:dyDescent="0.25">
      <c r="A3112" s="835" t="s">
        <v>5842</v>
      </c>
      <c r="B3112" s="835" t="s">
        <v>5781</v>
      </c>
      <c r="C3112" s="835" t="s">
        <v>5781</v>
      </c>
      <c r="D3112" s="835" t="s">
        <v>5843</v>
      </c>
      <c r="E3112" s="835">
        <v>160</v>
      </c>
      <c r="F3112" s="836">
        <v>132</v>
      </c>
      <c r="G3112" s="202" t="str">
        <f t="shared" si="48"/>
        <v/>
      </c>
    </row>
    <row r="3113" spans="1:7" s="172" customFormat="1" ht="15" customHeight="1" x14ac:dyDescent="0.25">
      <c r="A3113" s="835" t="s">
        <v>5842</v>
      </c>
      <c r="B3113" s="835" t="s">
        <v>5781</v>
      </c>
      <c r="C3113" s="835" t="s">
        <v>5781</v>
      </c>
      <c r="D3113" s="835" t="s">
        <v>5854</v>
      </c>
      <c r="E3113" s="835">
        <v>250</v>
      </c>
      <c r="F3113" s="836">
        <v>102</v>
      </c>
      <c r="G3113" s="202" t="str">
        <f t="shared" si="48"/>
        <v/>
      </c>
    </row>
    <row r="3114" spans="1:7" s="172" customFormat="1" ht="15" customHeight="1" x14ac:dyDescent="0.25">
      <c r="A3114" s="835" t="s">
        <v>5842</v>
      </c>
      <c r="B3114" s="835" t="s">
        <v>5781</v>
      </c>
      <c r="C3114" s="835" t="s">
        <v>5781</v>
      </c>
      <c r="D3114" s="835" t="s">
        <v>5855</v>
      </c>
      <c r="E3114" s="835">
        <v>60</v>
      </c>
      <c r="F3114" s="836">
        <v>0</v>
      </c>
      <c r="G3114" s="202" t="str">
        <f t="shared" si="48"/>
        <v/>
      </c>
    </row>
    <row r="3115" spans="1:7" s="172" customFormat="1" ht="15" customHeight="1" x14ac:dyDescent="0.25">
      <c r="A3115" s="835" t="s">
        <v>5842</v>
      </c>
      <c r="B3115" s="835" t="s">
        <v>5781</v>
      </c>
      <c r="C3115" s="835" t="s">
        <v>5781</v>
      </c>
      <c r="D3115" s="835" t="s">
        <v>5859</v>
      </c>
      <c r="E3115" s="835">
        <v>250</v>
      </c>
      <c r="F3115" s="836">
        <v>194</v>
      </c>
      <c r="G3115" s="202" t="str">
        <f t="shared" si="48"/>
        <v/>
      </c>
    </row>
    <row r="3116" spans="1:7" s="172" customFormat="1" ht="15" customHeight="1" x14ac:dyDescent="0.25">
      <c r="A3116" s="835" t="s">
        <v>5842</v>
      </c>
      <c r="B3116" s="835" t="s">
        <v>5781</v>
      </c>
      <c r="C3116" s="835" t="s">
        <v>5781</v>
      </c>
      <c r="D3116" s="835" t="s">
        <v>5860</v>
      </c>
      <c r="E3116" s="835">
        <v>630</v>
      </c>
      <c r="F3116" s="836">
        <v>578</v>
      </c>
      <c r="G3116" s="202" t="str">
        <f t="shared" si="48"/>
        <v/>
      </c>
    </row>
    <row r="3117" spans="1:7" s="172" customFormat="1" ht="15" customHeight="1" x14ac:dyDescent="0.25">
      <c r="A3117" s="835" t="s">
        <v>5910</v>
      </c>
      <c r="B3117" s="835" t="s">
        <v>5781</v>
      </c>
      <c r="C3117" s="835" t="s">
        <v>5781</v>
      </c>
      <c r="D3117" s="835" t="s">
        <v>5911</v>
      </c>
      <c r="E3117" s="835">
        <v>100</v>
      </c>
      <c r="F3117" s="836">
        <v>44</v>
      </c>
      <c r="G3117" s="202" t="str">
        <f t="shared" si="48"/>
        <v/>
      </c>
    </row>
    <row r="3118" spans="1:7" s="172" customFormat="1" ht="15" customHeight="1" x14ac:dyDescent="0.25">
      <c r="A3118" s="835" t="s">
        <v>6200</v>
      </c>
      <c r="B3118" s="835" t="s">
        <v>5781</v>
      </c>
      <c r="C3118" s="835" t="s">
        <v>5781</v>
      </c>
      <c r="D3118" s="835" t="s">
        <v>6201</v>
      </c>
      <c r="E3118" s="835">
        <v>160</v>
      </c>
      <c r="F3118" s="836">
        <v>52</v>
      </c>
      <c r="G3118" s="202" t="str">
        <f t="shared" si="48"/>
        <v/>
      </c>
    </row>
    <row r="3119" spans="1:7" s="172" customFormat="1" ht="15" customHeight="1" x14ac:dyDescent="0.25">
      <c r="A3119" s="835" t="s">
        <v>5964</v>
      </c>
      <c r="B3119" s="835" t="s">
        <v>5781</v>
      </c>
      <c r="C3119" s="835" t="s">
        <v>5781</v>
      </c>
      <c r="D3119" s="835" t="s">
        <v>5965</v>
      </c>
      <c r="E3119" s="835">
        <v>63</v>
      </c>
      <c r="F3119" s="836">
        <v>9</v>
      </c>
      <c r="G3119" s="202" t="str">
        <f t="shared" si="48"/>
        <v/>
      </c>
    </row>
    <row r="3120" spans="1:7" s="172" customFormat="1" ht="15" customHeight="1" x14ac:dyDescent="0.25">
      <c r="A3120" s="835" t="s">
        <v>5857</v>
      </c>
      <c r="B3120" s="835" t="s">
        <v>5781</v>
      </c>
      <c r="C3120" s="835" t="s">
        <v>5781</v>
      </c>
      <c r="D3120" s="835" t="s">
        <v>5858</v>
      </c>
      <c r="E3120" s="835">
        <v>160</v>
      </c>
      <c r="F3120" s="836">
        <v>15</v>
      </c>
      <c r="G3120" s="202" t="str">
        <f t="shared" si="48"/>
        <v/>
      </c>
    </row>
    <row r="3121" spans="1:7" s="172" customFormat="1" ht="15" customHeight="1" x14ac:dyDescent="0.25">
      <c r="A3121" s="835" t="s">
        <v>6064</v>
      </c>
      <c r="B3121" s="835" t="s">
        <v>5781</v>
      </c>
      <c r="C3121" s="835" t="s">
        <v>5781</v>
      </c>
      <c r="D3121" s="835" t="s">
        <v>6065</v>
      </c>
      <c r="E3121" s="835">
        <v>100</v>
      </c>
      <c r="F3121" s="836">
        <v>34</v>
      </c>
      <c r="G3121" s="202" t="str">
        <f t="shared" si="48"/>
        <v/>
      </c>
    </row>
    <row r="3122" spans="1:7" s="172" customFormat="1" ht="15" customHeight="1" x14ac:dyDescent="0.25">
      <c r="A3122" s="835" t="s">
        <v>6146</v>
      </c>
      <c r="B3122" s="835" t="s">
        <v>5781</v>
      </c>
      <c r="C3122" s="835" t="s">
        <v>5781</v>
      </c>
      <c r="D3122" s="835" t="s">
        <v>6147</v>
      </c>
      <c r="E3122" s="835">
        <v>250</v>
      </c>
      <c r="F3122" s="836">
        <v>129</v>
      </c>
      <c r="G3122" s="202" t="str">
        <f t="shared" si="48"/>
        <v/>
      </c>
    </row>
    <row r="3123" spans="1:7" s="172" customFormat="1" ht="15" customHeight="1" x14ac:dyDescent="0.25">
      <c r="A3123" s="835" t="s">
        <v>6146</v>
      </c>
      <c r="B3123" s="835" t="s">
        <v>5781</v>
      </c>
      <c r="C3123" s="835" t="s">
        <v>5781</v>
      </c>
      <c r="D3123" s="835" t="s">
        <v>6148</v>
      </c>
      <c r="E3123" s="835">
        <v>160</v>
      </c>
      <c r="F3123" s="836">
        <v>129</v>
      </c>
      <c r="G3123" s="202" t="str">
        <f t="shared" si="48"/>
        <v/>
      </c>
    </row>
    <row r="3124" spans="1:7" s="172" customFormat="1" ht="15" customHeight="1" x14ac:dyDescent="0.25">
      <c r="A3124" s="835" t="s">
        <v>6146</v>
      </c>
      <c r="B3124" s="835" t="s">
        <v>5781</v>
      </c>
      <c r="C3124" s="835" t="s">
        <v>5781</v>
      </c>
      <c r="D3124" s="835" t="s">
        <v>6149</v>
      </c>
      <c r="E3124" s="835">
        <v>250</v>
      </c>
      <c r="F3124" s="836">
        <v>240</v>
      </c>
      <c r="G3124" s="202" t="str">
        <f t="shared" si="48"/>
        <v/>
      </c>
    </row>
    <row r="3125" spans="1:7" s="172" customFormat="1" ht="15" customHeight="1" x14ac:dyDescent="0.25">
      <c r="A3125" s="835" t="s">
        <v>6146</v>
      </c>
      <c r="B3125" s="835" t="s">
        <v>5781</v>
      </c>
      <c r="C3125" s="835" t="s">
        <v>5781</v>
      </c>
      <c r="D3125" s="835" t="s">
        <v>6150</v>
      </c>
      <c r="E3125" s="835">
        <v>250</v>
      </c>
      <c r="F3125" s="836">
        <v>201</v>
      </c>
      <c r="G3125" s="202" t="str">
        <f t="shared" si="48"/>
        <v/>
      </c>
    </row>
    <row r="3126" spans="1:7" s="172" customFormat="1" ht="15" customHeight="1" x14ac:dyDescent="0.25">
      <c r="A3126" s="835" t="s">
        <v>6125</v>
      </c>
      <c r="B3126" s="835" t="s">
        <v>5781</v>
      </c>
      <c r="C3126" s="835" t="s">
        <v>5781</v>
      </c>
      <c r="D3126" s="835" t="s">
        <v>6126</v>
      </c>
      <c r="E3126" s="835">
        <v>160</v>
      </c>
      <c r="F3126" s="836">
        <v>79</v>
      </c>
      <c r="G3126" s="202" t="str">
        <f t="shared" si="48"/>
        <v/>
      </c>
    </row>
    <row r="3127" spans="1:7" s="172" customFormat="1" ht="15" customHeight="1" x14ac:dyDescent="0.25">
      <c r="A3127" s="835" t="s">
        <v>6215</v>
      </c>
      <c r="B3127" s="835" t="s">
        <v>5781</v>
      </c>
      <c r="C3127" s="835" t="s">
        <v>5781</v>
      </c>
      <c r="D3127" s="835" t="s">
        <v>6216</v>
      </c>
      <c r="E3127" s="835">
        <v>100</v>
      </c>
      <c r="F3127" s="836">
        <v>27</v>
      </c>
      <c r="G3127" s="202" t="str">
        <f t="shared" si="48"/>
        <v/>
      </c>
    </row>
    <row r="3128" spans="1:7" s="172" customFormat="1" ht="15" customHeight="1" x14ac:dyDescent="0.25">
      <c r="A3128" s="835" t="s">
        <v>6095</v>
      </c>
      <c r="B3128" s="835" t="s">
        <v>5781</v>
      </c>
      <c r="C3128" s="835" t="s">
        <v>5781</v>
      </c>
      <c r="D3128" s="835" t="s">
        <v>6096</v>
      </c>
      <c r="E3128" s="835">
        <v>100</v>
      </c>
      <c r="F3128" s="836">
        <v>32</v>
      </c>
      <c r="G3128" s="202" t="str">
        <f t="shared" si="48"/>
        <v/>
      </c>
    </row>
    <row r="3129" spans="1:7" s="172" customFormat="1" ht="15" customHeight="1" x14ac:dyDescent="0.25">
      <c r="A3129" s="835" t="s">
        <v>12480</v>
      </c>
      <c r="B3129" s="835" t="s">
        <v>5781</v>
      </c>
      <c r="C3129" s="835" t="s">
        <v>5781</v>
      </c>
      <c r="D3129" s="835" t="s">
        <v>6070</v>
      </c>
      <c r="E3129" s="835">
        <v>100</v>
      </c>
      <c r="F3129" s="836">
        <v>34</v>
      </c>
      <c r="G3129" s="202" t="str">
        <f t="shared" si="48"/>
        <v/>
      </c>
    </row>
    <row r="3130" spans="1:7" s="172" customFormat="1" ht="15" customHeight="1" x14ac:dyDescent="0.25">
      <c r="A3130" s="835" t="s">
        <v>6067</v>
      </c>
      <c r="B3130" s="835" t="s">
        <v>5781</v>
      </c>
      <c r="C3130" s="835" t="s">
        <v>5781</v>
      </c>
      <c r="D3130" s="835" t="s">
        <v>6068</v>
      </c>
      <c r="E3130" s="835">
        <v>100</v>
      </c>
      <c r="F3130" s="836">
        <v>2</v>
      </c>
      <c r="G3130" s="202" t="str">
        <f t="shared" si="48"/>
        <v/>
      </c>
    </row>
    <row r="3131" spans="1:7" s="172" customFormat="1" ht="15" customHeight="1" x14ac:dyDescent="0.25">
      <c r="A3131" s="835" t="s">
        <v>6080</v>
      </c>
      <c r="B3131" s="835" t="s">
        <v>5781</v>
      </c>
      <c r="C3131" s="835" t="s">
        <v>5781</v>
      </c>
      <c r="D3131" s="835" t="s">
        <v>6081</v>
      </c>
      <c r="E3131" s="835">
        <v>63</v>
      </c>
      <c r="F3131" s="836">
        <v>3</v>
      </c>
      <c r="G3131" s="202" t="str">
        <f t="shared" si="48"/>
        <v/>
      </c>
    </row>
    <row r="3132" spans="1:7" s="172" customFormat="1" ht="15" customHeight="1" x14ac:dyDescent="0.25">
      <c r="A3132" s="835" t="s">
        <v>6071</v>
      </c>
      <c r="B3132" s="835" t="s">
        <v>5781</v>
      </c>
      <c r="C3132" s="835" t="s">
        <v>5781</v>
      </c>
      <c r="D3132" s="835" t="s">
        <v>6072</v>
      </c>
      <c r="E3132" s="835">
        <v>100</v>
      </c>
      <c r="F3132" s="836">
        <v>39</v>
      </c>
      <c r="G3132" s="202" t="str">
        <f t="shared" si="48"/>
        <v/>
      </c>
    </row>
    <row r="3133" spans="1:7" s="172" customFormat="1" ht="15" customHeight="1" x14ac:dyDescent="0.25">
      <c r="A3133" s="835" t="s">
        <v>6204</v>
      </c>
      <c r="B3133" s="835" t="s">
        <v>5781</v>
      </c>
      <c r="C3133" s="835" t="s">
        <v>5781</v>
      </c>
      <c r="D3133" s="835" t="s">
        <v>6205</v>
      </c>
      <c r="E3133" s="835">
        <v>250</v>
      </c>
      <c r="F3133" s="836">
        <v>183</v>
      </c>
      <c r="G3133" s="202" t="str">
        <f t="shared" si="48"/>
        <v/>
      </c>
    </row>
    <row r="3134" spans="1:7" s="172" customFormat="1" ht="15" customHeight="1" x14ac:dyDescent="0.25">
      <c r="A3134" s="835" t="s">
        <v>6204</v>
      </c>
      <c r="B3134" s="835" t="s">
        <v>5781</v>
      </c>
      <c r="C3134" s="835" t="s">
        <v>5781</v>
      </c>
      <c r="D3134" s="835" t="s">
        <v>6206</v>
      </c>
      <c r="E3134" s="835">
        <v>160</v>
      </c>
      <c r="F3134" s="836">
        <v>35</v>
      </c>
      <c r="G3134" s="202" t="str">
        <f t="shared" si="48"/>
        <v/>
      </c>
    </row>
    <row r="3135" spans="1:7" s="172" customFormat="1" ht="15" customHeight="1" x14ac:dyDescent="0.25">
      <c r="A3135" s="835" t="s">
        <v>5821</v>
      </c>
      <c r="B3135" s="835" t="s">
        <v>5781</v>
      </c>
      <c r="C3135" s="835" t="s">
        <v>5781</v>
      </c>
      <c r="D3135" s="835" t="s">
        <v>5822</v>
      </c>
      <c r="E3135" s="835">
        <v>40</v>
      </c>
      <c r="F3135" s="836">
        <v>2</v>
      </c>
      <c r="G3135" s="202" t="str">
        <f t="shared" si="48"/>
        <v/>
      </c>
    </row>
    <row r="3136" spans="1:7" s="172" customFormat="1" ht="15" customHeight="1" x14ac:dyDescent="0.25">
      <c r="A3136" s="835" t="s">
        <v>5821</v>
      </c>
      <c r="B3136" s="835" t="s">
        <v>5781</v>
      </c>
      <c r="C3136" s="835" t="s">
        <v>5781</v>
      </c>
      <c r="D3136" s="835" t="s">
        <v>5823</v>
      </c>
      <c r="E3136" s="835">
        <v>63</v>
      </c>
      <c r="F3136" s="836">
        <v>1</v>
      </c>
      <c r="G3136" s="202" t="str">
        <f t="shared" si="48"/>
        <v/>
      </c>
    </row>
    <row r="3137" spans="1:7" s="172" customFormat="1" ht="15" customHeight="1" x14ac:dyDescent="0.25">
      <c r="A3137" s="835" t="s">
        <v>5821</v>
      </c>
      <c r="B3137" s="835" t="s">
        <v>5781</v>
      </c>
      <c r="C3137" s="835" t="s">
        <v>5781</v>
      </c>
      <c r="D3137" s="835" t="s">
        <v>5826</v>
      </c>
      <c r="E3137" s="835">
        <v>40</v>
      </c>
      <c r="F3137" s="836">
        <v>1</v>
      </c>
      <c r="G3137" s="202" t="str">
        <f t="shared" si="48"/>
        <v/>
      </c>
    </row>
    <row r="3138" spans="1:7" s="172" customFormat="1" ht="15" customHeight="1" x14ac:dyDescent="0.25">
      <c r="A3138" s="835" t="s">
        <v>12482</v>
      </c>
      <c r="B3138" s="835" t="s">
        <v>5781</v>
      </c>
      <c r="C3138" s="835" t="s">
        <v>5781</v>
      </c>
      <c r="D3138" s="835" t="s">
        <v>6091</v>
      </c>
      <c r="E3138" s="835">
        <v>100</v>
      </c>
      <c r="F3138" s="836">
        <v>0</v>
      </c>
      <c r="G3138" s="202" t="str">
        <f t="shared" si="48"/>
        <v/>
      </c>
    </row>
    <row r="3139" spans="1:7" s="172" customFormat="1" ht="15" customHeight="1" x14ac:dyDescent="0.25">
      <c r="A3139" s="835" t="s">
        <v>12464</v>
      </c>
      <c r="B3139" s="835" t="s">
        <v>5781</v>
      </c>
      <c r="C3139" s="835" t="s">
        <v>5781</v>
      </c>
      <c r="D3139" s="835" t="s">
        <v>5882</v>
      </c>
      <c r="E3139" s="835">
        <v>100</v>
      </c>
      <c r="F3139" s="836">
        <v>0</v>
      </c>
      <c r="G3139" s="202" t="str">
        <f t="shared" si="48"/>
        <v/>
      </c>
    </row>
    <row r="3140" spans="1:7" s="172" customFormat="1" ht="15" customHeight="1" x14ac:dyDescent="0.25">
      <c r="A3140" s="835" t="s">
        <v>6029</v>
      </c>
      <c r="B3140" s="835" t="s">
        <v>5781</v>
      </c>
      <c r="C3140" s="835" t="s">
        <v>5781</v>
      </c>
      <c r="D3140" s="835" t="s">
        <v>6030</v>
      </c>
      <c r="E3140" s="835">
        <v>250</v>
      </c>
      <c r="F3140" s="836">
        <v>131</v>
      </c>
      <c r="G3140" s="202" t="str">
        <f t="shared" si="48"/>
        <v/>
      </c>
    </row>
    <row r="3141" spans="1:7" s="172" customFormat="1" ht="15" customHeight="1" x14ac:dyDescent="0.25">
      <c r="A3141" s="835" t="s">
        <v>6029</v>
      </c>
      <c r="B3141" s="835" t="s">
        <v>5781</v>
      </c>
      <c r="C3141" s="835" t="s">
        <v>5781</v>
      </c>
      <c r="D3141" s="835" t="s">
        <v>6031</v>
      </c>
      <c r="E3141" s="835">
        <v>160</v>
      </c>
      <c r="F3141" s="836">
        <v>27</v>
      </c>
      <c r="G3141" s="202" t="str">
        <f t="shared" si="48"/>
        <v/>
      </c>
    </row>
    <row r="3142" spans="1:7" s="172" customFormat="1" ht="15" customHeight="1" x14ac:dyDescent="0.25">
      <c r="A3142" s="835" t="s">
        <v>6029</v>
      </c>
      <c r="B3142" s="835" t="s">
        <v>5781</v>
      </c>
      <c r="C3142" s="835" t="s">
        <v>5781</v>
      </c>
      <c r="D3142" s="835" t="s">
        <v>6032</v>
      </c>
      <c r="E3142" s="835">
        <v>400</v>
      </c>
      <c r="F3142" s="836">
        <v>299</v>
      </c>
      <c r="G3142" s="202" t="str">
        <f t="shared" si="48"/>
        <v/>
      </c>
    </row>
    <row r="3143" spans="1:7" s="172" customFormat="1" ht="15" customHeight="1" x14ac:dyDescent="0.25">
      <c r="A3143" s="835" t="s">
        <v>6029</v>
      </c>
      <c r="B3143" s="835" t="s">
        <v>5781</v>
      </c>
      <c r="C3143" s="835" t="s">
        <v>5781</v>
      </c>
      <c r="D3143" s="835" t="s">
        <v>6055</v>
      </c>
      <c r="E3143" s="835">
        <v>160</v>
      </c>
      <c r="F3143" s="836">
        <v>11</v>
      </c>
      <c r="G3143" s="202" t="str">
        <f t="shared" si="48"/>
        <v/>
      </c>
    </row>
    <row r="3144" spans="1:7" s="172" customFormat="1" ht="15" customHeight="1" x14ac:dyDescent="0.25">
      <c r="A3144" s="835" t="s">
        <v>6029</v>
      </c>
      <c r="B3144" s="835" t="s">
        <v>5781</v>
      </c>
      <c r="C3144" s="835" t="s">
        <v>5781</v>
      </c>
      <c r="D3144" s="835" t="s">
        <v>6066</v>
      </c>
      <c r="E3144" s="835">
        <v>400</v>
      </c>
      <c r="F3144" s="836">
        <v>262</v>
      </c>
      <c r="G3144" s="202" t="str">
        <f t="shared" si="48"/>
        <v/>
      </c>
    </row>
    <row r="3145" spans="1:7" s="172" customFormat="1" ht="15" customHeight="1" x14ac:dyDescent="0.25">
      <c r="A3145" s="835" t="s">
        <v>6158</v>
      </c>
      <c r="B3145" s="835" t="s">
        <v>5781</v>
      </c>
      <c r="C3145" s="835" t="s">
        <v>5781</v>
      </c>
      <c r="D3145" s="835" t="s">
        <v>6159</v>
      </c>
      <c r="E3145" s="835">
        <v>160</v>
      </c>
      <c r="F3145" s="836">
        <v>29</v>
      </c>
      <c r="G3145" s="202" t="str">
        <f t="shared" si="48"/>
        <v/>
      </c>
    </row>
    <row r="3146" spans="1:7" s="172" customFormat="1" ht="15" customHeight="1" x14ac:dyDescent="0.25">
      <c r="A3146" s="835" t="s">
        <v>6259</v>
      </c>
      <c r="B3146" s="835" t="s">
        <v>5781</v>
      </c>
      <c r="C3146" s="835" t="s">
        <v>5781</v>
      </c>
      <c r="D3146" s="835" t="s">
        <v>6260</v>
      </c>
      <c r="E3146" s="835">
        <v>160</v>
      </c>
      <c r="F3146" s="836">
        <v>81</v>
      </c>
      <c r="G3146" s="202" t="str">
        <f t="shared" si="48"/>
        <v/>
      </c>
    </row>
    <row r="3147" spans="1:7" s="172" customFormat="1" ht="15" customHeight="1" x14ac:dyDescent="0.25">
      <c r="A3147" s="835" t="s">
        <v>5819</v>
      </c>
      <c r="B3147" s="835" t="s">
        <v>5781</v>
      </c>
      <c r="C3147" s="835" t="s">
        <v>5781</v>
      </c>
      <c r="D3147" s="835" t="s">
        <v>5820</v>
      </c>
      <c r="E3147" s="835">
        <v>100</v>
      </c>
      <c r="F3147" s="836">
        <v>3</v>
      </c>
      <c r="G3147" s="202" t="str">
        <f t="shared" si="48"/>
        <v/>
      </c>
    </row>
    <row r="3148" spans="1:7" s="172" customFormat="1" ht="15" customHeight="1" x14ac:dyDescent="0.25">
      <c r="A3148" s="835" t="s">
        <v>6226</v>
      </c>
      <c r="B3148" s="835" t="s">
        <v>5781</v>
      </c>
      <c r="C3148" s="835" t="s">
        <v>5781</v>
      </c>
      <c r="D3148" s="835" t="s">
        <v>6227</v>
      </c>
      <c r="E3148" s="835">
        <v>100</v>
      </c>
      <c r="F3148" s="836">
        <v>14</v>
      </c>
      <c r="G3148" s="202" t="str">
        <f t="shared" si="48"/>
        <v/>
      </c>
    </row>
    <row r="3149" spans="1:7" s="172" customFormat="1" ht="15" customHeight="1" x14ac:dyDescent="0.25">
      <c r="A3149" s="835" t="s">
        <v>2557</v>
      </c>
      <c r="B3149" s="835" t="s">
        <v>5781</v>
      </c>
      <c r="C3149" s="835" t="s">
        <v>5781</v>
      </c>
      <c r="D3149" s="835" t="s">
        <v>5798</v>
      </c>
      <c r="E3149" s="835">
        <v>250</v>
      </c>
      <c r="F3149" s="836">
        <v>88</v>
      </c>
      <c r="G3149" s="202" t="str">
        <f t="shared" si="48"/>
        <v/>
      </c>
    </row>
    <row r="3150" spans="1:7" s="172" customFormat="1" ht="15" customHeight="1" x14ac:dyDescent="0.25">
      <c r="A3150" s="835" t="s">
        <v>2557</v>
      </c>
      <c r="B3150" s="835" t="s">
        <v>5781</v>
      </c>
      <c r="C3150" s="835" t="s">
        <v>5781</v>
      </c>
      <c r="D3150" s="835" t="s">
        <v>6019</v>
      </c>
      <c r="E3150" s="835">
        <v>400</v>
      </c>
      <c r="F3150" s="836">
        <v>251</v>
      </c>
      <c r="G3150" s="202" t="str">
        <f t="shared" si="48"/>
        <v/>
      </c>
    </row>
    <row r="3151" spans="1:7" s="172" customFormat="1" ht="15" customHeight="1" x14ac:dyDescent="0.25">
      <c r="A3151" s="835" t="s">
        <v>2557</v>
      </c>
      <c r="B3151" s="835" t="s">
        <v>5781</v>
      </c>
      <c r="C3151" s="835" t="s">
        <v>5781</v>
      </c>
      <c r="D3151" s="835" t="s">
        <v>6020</v>
      </c>
      <c r="E3151" s="835">
        <v>250</v>
      </c>
      <c r="F3151" s="836">
        <v>76</v>
      </c>
      <c r="G3151" s="202" t="str">
        <f t="shared" si="48"/>
        <v/>
      </c>
    </row>
    <row r="3152" spans="1:7" s="172" customFormat="1" ht="15" customHeight="1" x14ac:dyDescent="0.25">
      <c r="A3152" s="835" t="s">
        <v>2557</v>
      </c>
      <c r="B3152" s="835" t="s">
        <v>5781</v>
      </c>
      <c r="C3152" s="835" t="s">
        <v>5781</v>
      </c>
      <c r="D3152" s="835" t="s">
        <v>6021</v>
      </c>
      <c r="E3152" s="835">
        <v>250</v>
      </c>
      <c r="F3152" s="836">
        <v>93</v>
      </c>
      <c r="G3152" s="202" t="str">
        <f t="shared" si="48"/>
        <v/>
      </c>
    </row>
    <row r="3153" spans="1:7" s="172" customFormat="1" ht="15" customHeight="1" x14ac:dyDescent="0.25">
      <c r="A3153" s="835" t="s">
        <v>2557</v>
      </c>
      <c r="B3153" s="835" t="s">
        <v>5781</v>
      </c>
      <c r="C3153" s="835" t="s">
        <v>5781</v>
      </c>
      <c r="D3153" s="835" t="s">
        <v>6022</v>
      </c>
      <c r="E3153" s="835">
        <v>500</v>
      </c>
      <c r="F3153" s="836">
        <v>248</v>
      </c>
      <c r="G3153" s="202" t="str">
        <f t="shared" si="48"/>
        <v/>
      </c>
    </row>
    <row r="3154" spans="1:7" s="172" customFormat="1" ht="15" customHeight="1" x14ac:dyDescent="0.25">
      <c r="A3154" s="835" t="s">
        <v>2557</v>
      </c>
      <c r="B3154" s="835" t="s">
        <v>5781</v>
      </c>
      <c r="C3154" s="835" t="s">
        <v>5781</v>
      </c>
      <c r="D3154" s="835" t="s">
        <v>6023</v>
      </c>
      <c r="E3154" s="835">
        <v>250</v>
      </c>
      <c r="F3154" s="836">
        <v>88</v>
      </c>
      <c r="G3154" s="202" t="str">
        <f t="shared" si="48"/>
        <v/>
      </c>
    </row>
    <row r="3155" spans="1:7" s="172" customFormat="1" ht="15" customHeight="1" x14ac:dyDescent="0.25">
      <c r="A3155" s="835" t="s">
        <v>6249</v>
      </c>
      <c r="B3155" s="835" t="s">
        <v>5781</v>
      </c>
      <c r="C3155" s="835" t="s">
        <v>5781</v>
      </c>
      <c r="D3155" s="835" t="s">
        <v>6250</v>
      </c>
      <c r="E3155" s="835">
        <v>160</v>
      </c>
      <c r="F3155" s="836">
        <v>0</v>
      </c>
      <c r="G3155" s="202" t="str">
        <f t="shared" si="48"/>
        <v/>
      </c>
    </row>
    <row r="3156" spans="1:7" s="172" customFormat="1" ht="15" customHeight="1" x14ac:dyDescent="0.25">
      <c r="A3156" s="835" t="s">
        <v>5793</v>
      </c>
      <c r="B3156" s="835" t="s">
        <v>5781</v>
      </c>
      <c r="C3156" s="835" t="s">
        <v>5781</v>
      </c>
      <c r="D3156" s="835" t="s">
        <v>5794</v>
      </c>
      <c r="E3156" s="835">
        <v>100</v>
      </c>
      <c r="F3156" s="836">
        <v>78</v>
      </c>
      <c r="G3156" s="202" t="str">
        <f t="shared" si="48"/>
        <v/>
      </c>
    </row>
    <row r="3157" spans="1:7" s="172" customFormat="1" ht="15" customHeight="1" x14ac:dyDescent="0.25">
      <c r="A3157" s="835" t="s">
        <v>12472</v>
      </c>
      <c r="B3157" s="835" t="s">
        <v>5781</v>
      </c>
      <c r="C3157" s="835" t="s">
        <v>5781</v>
      </c>
      <c r="D3157" s="835" t="s">
        <v>5942</v>
      </c>
      <c r="E3157" s="835">
        <v>100</v>
      </c>
      <c r="F3157" s="836">
        <v>0</v>
      </c>
      <c r="G3157" s="202" t="str">
        <f t="shared" si="48"/>
        <v/>
      </c>
    </row>
    <row r="3158" spans="1:7" s="172" customFormat="1" ht="15" customHeight="1" x14ac:dyDescent="0.25">
      <c r="A3158" s="835" t="s">
        <v>5982</v>
      </c>
      <c r="B3158" s="835" t="s">
        <v>5781</v>
      </c>
      <c r="C3158" s="835" t="s">
        <v>5781</v>
      </c>
      <c r="D3158" s="835" t="s">
        <v>5983</v>
      </c>
      <c r="E3158" s="835">
        <v>100</v>
      </c>
      <c r="F3158" s="836">
        <v>5</v>
      </c>
      <c r="G3158" s="202" t="str">
        <f t="shared" si="48"/>
        <v/>
      </c>
    </row>
    <row r="3159" spans="1:7" s="172" customFormat="1" ht="15" customHeight="1" x14ac:dyDescent="0.25">
      <c r="A3159" s="835" t="s">
        <v>5982</v>
      </c>
      <c r="B3159" s="835" t="s">
        <v>5781</v>
      </c>
      <c r="C3159" s="835" t="s">
        <v>5781</v>
      </c>
      <c r="D3159" s="835" t="s">
        <v>5984</v>
      </c>
      <c r="E3159" s="835">
        <v>250</v>
      </c>
      <c r="F3159" s="836">
        <v>122</v>
      </c>
      <c r="G3159" s="202" t="str">
        <f t="shared" si="48"/>
        <v/>
      </c>
    </row>
    <row r="3160" spans="1:7" s="172" customFormat="1" ht="15" customHeight="1" x14ac:dyDescent="0.25">
      <c r="A3160" s="835" t="s">
        <v>6184</v>
      </c>
      <c r="B3160" s="835" t="s">
        <v>5781</v>
      </c>
      <c r="C3160" s="835" t="s">
        <v>5781</v>
      </c>
      <c r="D3160" s="835" t="s">
        <v>6185</v>
      </c>
      <c r="E3160" s="835">
        <v>100</v>
      </c>
      <c r="F3160" s="836">
        <v>21</v>
      </c>
      <c r="G3160" s="202" t="str">
        <f t="shared" si="48"/>
        <v/>
      </c>
    </row>
    <row r="3161" spans="1:7" s="172" customFormat="1" ht="15" customHeight="1" x14ac:dyDescent="0.25">
      <c r="A3161" s="835" t="s">
        <v>6184</v>
      </c>
      <c r="B3161" s="835" t="s">
        <v>5781</v>
      </c>
      <c r="C3161" s="835" t="s">
        <v>5781</v>
      </c>
      <c r="D3161" s="835" t="s">
        <v>6186</v>
      </c>
      <c r="E3161" s="835">
        <v>100</v>
      </c>
      <c r="F3161" s="836">
        <v>1</v>
      </c>
      <c r="G3161" s="202" t="str">
        <f t="shared" ref="G3161:G3224" si="49">IF(E3161=F3161,"не загружен","")</f>
        <v/>
      </c>
    </row>
    <row r="3162" spans="1:7" s="172" customFormat="1" ht="15" customHeight="1" x14ac:dyDescent="0.25">
      <c r="A3162" s="835" t="s">
        <v>12486</v>
      </c>
      <c r="B3162" s="835" t="s">
        <v>5781</v>
      </c>
      <c r="C3162" s="835" t="s">
        <v>5781</v>
      </c>
      <c r="D3162" s="835" t="s">
        <v>6116</v>
      </c>
      <c r="E3162" s="835">
        <v>30</v>
      </c>
      <c r="F3162" s="836">
        <v>1</v>
      </c>
      <c r="G3162" s="202" t="str">
        <f t="shared" si="49"/>
        <v/>
      </c>
    </row>
    <row r="3163" spans="1:7" s="172" customFormat="1" ht="15" customHeight="1" x14ac:dyDescent="0.25">
      <c r="A3163" s="835" t="s">
        <v>6093</v>
      </c>
      <c r="B3163" s="835" t="s">
        <v>5781</v>
      </c>
      <c r="C3163" s="835" t="s">
        <v>5781</v>
      </c>
      <c r="D3163" s="835" t="s">
        <v>6094</v>
      </c>
      <c r="E3163" s="835">
        <v>160</v>
      </c>
      <c r="F3163" s="836">
        <v>15</v>
      </c>
      <c r="G3163" s="202" t="str">
        <f t="shared" si="49"/>
        <v/>
      </c>
    </row>
    <row r="3164" spans="1:7" s="172" customFormat="1" ht="15" customHeight="1" x14ac:dyDescent="0.25">
      <c r="A3164" s="835" t="s">
        <v>5779</v>
      </c>
      <c r="B3164" s="835" t="s">
        <v>5781</v>
      </c>
      <c r="C3164" s="835" t="s">
        <v>5781</v>
      </c>
      <c r="D3164" s="835" t="s">
        <v>5914</v>
      </c>
      <c r="E3164" s="835">
        <v>160</v>
      </c>
      <c r="F3164" s="836">
        <v>80</v>
      </c>
      <c r="G3164" s="202" t="str">
        <f t="shared" si="49"/>
        <v/>
      </c>
    </row>
    <row r="3165" spans="1:7" s="172" customFormat="1" ht="15" customHeight="1" x14ac:dyDescent="0.25">
      <c r="A3165" s="835" t="s">
        <v>3095</v>
      </c>
      <c r="B3165" s="835" t="s">
        <v>5781</v>
      </c>
      <c r="C3165" s="835" t="s">
        <v>5781</v>
      </c>
      <c r="D3165" s="835" t="s">
        <v>5890</v>
      </c>
      <c r="E3165" s="835">
        <v>160</v>
      </c>
      <c r="F3165" s="836">
        <v>94</v>
      </c>
      <c r="G3165" s="202" t="str">
        <f t="shared" si="49"/>
        <v/>
      </c>
    </row>
    <row r="3166" spans="1:7" s="172" customFormat="1" ht="15" customHeight="1" x14ac:dyDescent="0.25">
      <c r="A3166" s="835" t="s">
        <v>3095</v>
      </c>
      <c r="B3166" s="835" t="s">
        <v>5781</v>
      </c>
      <c r="C3166" s="835" t="s">
        <v>5781</v>
      </c>
      <c r="D3166" s="835" t="s">
        <v>5891</v>
      </c>
      <c r="E3166" s="835">
        <v>250</v>
      </c>
      <c r="F3166" s="836">
        <v>103</v>
      </c>
      <c r="G3166" s="202" t="str">
        <f t="shared" si="49"/>
        <v/>
      </c>
    </row>
    <row r="3167" spans="1:7" s="172" customFormat="1" ht="15" customHeight="1" x14ac:dyDescent="0.25">
      <c r="A3167" s="835" t="s">
        <v>3095</v>
      </c>
      <c r="B3167" s="835" t="s">
        <v>5781</v>
      </c>
      <c r="C3167" s="835" t="s">
        <v>5781</v>
      </c>
      <c r="D3167" s="835" t="s">
        <v>5892</v>
      </c>
      <c r="E3167" s="835">
        <v>250</v>
      </c>
      <c r="F3167" s="836">
        <v>129</v>
      </c>
      <c r="G3167" s="202" t="str">
        <f t="shared" si="49"/>
        <v/>
      </c>
    </row>
    <row r="3168" spans="1:7" s="172" customFormat="1" ht="15" customHeight="1" x14ac:dyDescent="0.25">
      <c r="A3168" s="835" t="s">
        <v>3095</v>
      </c>
      <c r="B3168" s="835" t="s">
        <v>5781</v>
      </c>
      <c r="C3168" s="835" t="s">
        <v>5781</v>
      </c>
      <c r="D3168" s="835" t="s">
        <v>5895</v>
      </c>
      <c r="E3168" s="835">
        <v>63</v>
      </c>
      <c r="F3168" s="836">
        <v>23</v>
      </c>
      <c r="G3168" s="202" t="str">
        <f t="shared" si="49"/>
        <v/>
      </c>
    </row>
    <row r="3169" spans="1:7" s="172" customFormat="1" ht="15" customHeight="1" x14ac:dyDescent="0.25">
      <c r="A3169" s="835" t="s">
        <v>3095</v>
      </c>
      <c r="B3169" s="835" t="s">
        <v>5781</v>
      </c>
      <c r="C3169" s="835" t="s">
        <v>5781</v>
      </c>
      <c r="D3169" s="835" t="s">
        <v>5900</v>
      </c>
      <c r="E3169" s="835">
        <v>160</v>
      </c>
      <c r="F3169" s="836">
        <v>54</v>
      </c>
      <c r="G3169" s="202" t="str">
        <f t="shared" si="49"/>
        <v/>
      </c>
    </row>
    <row r="3170" spans="1:7" s="172" customFormat="1" ht="15" customHeight="1" x14ac:dyDescent="0.25">
      <c r="A3170" s="835" t="s">
        <v>3095</v>
      </c>
      <c r="B3170" s="835" t="s">
        <v>5781</v>
      </c>
      <c r="C3170" s="835" t="s">
        <v>5781</v>
      </c>
      <c r="D3170" s="835" t="s">
        <v>5909</v>
      </c>
      <c r="E3170" s="835">
        <v>63</v>
      </c>
      <c r="F3170" s="836">
        <v>4</v>
      </c>
      <c r="G3170" s="202" t="str">
        <f t="shared" si="49"/>
        <v/>
      </c>
    </row>
    <row r="3171" spans="1:7" s="172" customFormat="1" ht="15" customHeight="1" x14ac:dyDescent="0.25">
      <c r="A3171" s="835" t="s">
        <v>6073</v>
      </c>
      <c r="B3171" s="835" t="s">
        <v>5781</v>
      </c>
      <c r="C3171" s="835" t="s">
        <v>5781</v>
      </c>
      <c r="D3171" s="835" t="s">
        <v>6074</v>
      </c>
      <c r="E3171" s="835">
        <v>100</v>
      </c>
      <c r="F3171" s="836">
        <v>41</v>
      </c>
      <c r="G3171" s="202" t="str">
        <f t="shared" si="49"/>
        <v/>
      </c>
    </row>
    <row r="3172" spans="1:7" s="172" customFormat="1" ht="15" customHeight="1" x14ac:dyDescent="0.25">
      <c r="A3172" s="835" t="s">
        <v>4869</v>
      </c>
      <c r="B3172" s="835" t="s">
        <v>5781</v>
      </c>
      <c r="C3172" s="835" t="s">
        <v>5781</v>
      </c>
      <c r="D3172" s="835" t="s">
        <v>6225</v>
      </c>
      <c r="E3172" s="835">
        <v>100</v>
      </c>
      <c r="F3172" s="836">
        <v>49</v>
      </c>
      <c r="G3172" s="202" t="str">
        <f t="shared" si="49"/>
        <v/>
      </c>
    </row>
    <row r="3173" spans="1:7" s="172" customFormat="1" ht="15" customHeight="1" x14ac:dyDescent="0.25">
      <c r="A3173" s="835" t="s">
        <v>6262</v>
      </c>
      <c r="B3173" s="835" t="s">
        <v>5781</v>
      </c>
      <c r="C3173" s="835" t="s">
        <v>5781</v>
      </c>
      <c r="D3173" s="835" t="s">
        <v>6263</v>
      </c>
      <c r="E3173" s="835">
        <v>25</v>
      </c>
      <c r="F3173" s="836">
        <v>1</v>
      </c>
      <c r="G3173" s="202" t="str">
        <f t="shared" si="49"/>
        <v/>
      </c>
    </row>
    <row r="3174" spans="1:7" s="172" customFormat="1" ht="15" customHeight="1" x14ac:dyDescent="0.25">
      <c r="A3174" s="835" t="s">
        <v>3294</v>
      </c>
      <c r="B3174" s="835" t="s">
        <v>5781</v>
      </c>
      <c r="C3174" s="835" t="s">
        <v>5781</v>
      </c>
      <c r="D3174" s="835" t="s">
        <v>6028</v>
      </c>
      <c r="E3174" s="835">
        <v>100</v>
      </c>
      <c r="F3174" s="836">
        <v>0</v>
      </c>
      <c r="G3174" s="202" t="str">
        <f t="shared" si="49"/>
        <v/>
      </c>
    </row>
    <row r="3175" spans="1:7" s="172" customFormat="1" ht="15" customHeight="1" x14ac:dyDescent="0.25">
      <c r="A3175" s="835" t="s">
        <v>3294</v>
      </c>
      <c r="B3175" s="835" t="s">
        <v>5781</v>
      </c>
      <c r="C3175" s="835" t="s">
        <v>5781</v>
      </c>
      <c r="D3175" s="835" t="s">
        <v>6134</v>
      </c>
      <c r="E3175" s="835">
        <v>100</v>
      </c>
      <c r="F3175" s="836">
        <v>0</v>
      </c>
      <c r="G3175" s="202" t="str">
        <f t="shared" si="49"/>
        <v/>
      </c>
    </row>
    <row r="3176" spans="1:7" s="172" customFormat="1" ht="15" customHeight="1" x14ac:dyDescent="0.25">
      <c r="A3176" s="835" t="s">
        <v>12496</v>
      </c>
      <c r="B3176" s="835" t="s">
        <v>5781</v>
      </c>
      <c r="C3176" s="835" t="s">
        <v>5781</v>
      </c>
      <c r="D3176" s="835" t="s">
        <v>6246</v>
      </c>
      <c r="E3176" s="835">
        <v>160</v>
      </c>
      <c r="F3176" s="836">
        <v>59</v>
      </c>
      <c r="G3176" s="202" t="str">
        <f t="shared" si="49"/>
        <v/>
      </c>
    </row>
    <row r="3177" spans="1:7" s="172" customFormat="1" ht="15" customHeight="1" x14ac:dyDescent="0.25">
      <c r="A3177" s="835" t="s">
        <v>12492</v>
      </c>
      <c r="B3177" s="835" t="s">
        <v>5781</v>
      </c>
      <c r="C3177" s="835" t="s">
        <v>5781</v>
      </c>
      <c r="D3177" s="835" t="s">
        <v>6222</v>
      </c>
      <c r="E3177" s="835">
        <v>100</v>
      </c>
      <c r="F3177" s="836">
        <v>0</v>
      </c>
      <c r="G3177" s="202" t="str">
        <f t="shared" si="49"/>
        <v/>
      </c>
    </row>
    <row r="3178" spans="1:7" s="172" customFormat="1" ht="15" customHeight="1" x14ac:dyDescent="0.25">
      <c r="A3178" s="835" t="s">
        <v>5936</v>
      </c>
      <c r="B3178" s="835" t="s">
        <v>5781</v>
      </c>
      <c r="C3178" s="835" t="s">
        <v>5781</v>
      </c>
      <c r="D3178" s="835" t="s">
        <v>5937</v>
      </c>
      <c r="E3178" s="835">
        <v>30</v>
      </c>
      <c r="F3178" s="836">
        <v>2</v>
      </c>
      <c r="G3178" s="202" t="str">
        <f t="shared" si="49"/>
        <v/>
      </c>
    </row>
    <row r="3179" spans="1:7" s="172" customFormat="1" ht="15" customHeight="1" x14ac:dyDescent="0.25">
      <c r="A3179" s="835" t="s">
        <v>6211</v>
      </c>
      <c r="B3179" s="835" t="s">
        <v>5781</v>
      </c>
      <c r="C3179" s="835" t="s">
        <v>5781</v>
      </c>
      <c r="D3179" s="835" t="s">
        <v>6212</v>
      </c>
      <c r="E3179" s="835">
        <v>100</v>
      </c>
      <c r="F3179" s="836">
        <v>24</v>
      </c>
      <c r="G3179" s="202" t="str">
        <f t="shared" si="49"/>
        <v/>
      </c>
    </row>
    <row r="3180" spans="1:7" s="172" customFormat="1" ht="15" customHeight="1" x14ac:dyDescent="0.25">
      <c r="A3180" s="835" t="s">
        <v>5873</v>
      </c>
      <c r="B3180" s="835" t="s">
        <v>5781</v>
      </c>
      <c r="C3180" s="835" t="s">
        <v>5781</v>
      </c>
      <c r="D3180" s="835" t="s">
        <v>5874</v>
      </c>
      <c r="E3180" s="835">
        <v>160</v>
      </c>
      <c r="F3180" s="836">
        <v>0</v>
      </c>
      <c r="G3180" s="202" t="str">
        <f t="shared" si="49"/>
        <v/>
      </c>
    </row>
    <row r="3181" spans="1:7" s="172" customFormat="1" ht="15" customHeight="1" x14ac:dyDescent="0.25">
      <c r="A3181" s="835" t="s">
        <v>6170</v>
      </c>
      <c r="B3181" s="835" t="s">
        <v>5781</v>
      </c>
      <c r="C3181" s="835" t="s">
        <v>5781</v>
      </c>
      <c r="D3181" s="835" t="s">
        <v>6171</v>
      </c>
      <c r="E3181" s="835">
        <v>63</v>
      </c>
      <c r="F3181" s="836">
        <v>39</v>
      </c>
      <c r="G3181" s="202" t="str">
        <f t="shared" si="49"/>
        <v/>
      </c>
    </row>
    <row r="3182" spans="1:7" s="172" customFormat="1" ht="15" customHeight="1" x14ac:dyDescent="0.25">
      <c r="A3182" s="835" t="s">
        <v>6209</v>
      </c>
      <c r="B3182" s="835" t="s">
        <v>5781</v>
      </c>
      <c r="C3182" s="835" t="s">
        <v>5781</v>
      </c>
      <c r="D3182" s="835" t="s">
        <v>6210</v>
      </c>
      <c r="E3182" s="835">
        <v>20</v>
      </c>
      <c r="F3182" s="836">
        <v>5</v>
      </c>
      <c r="G3182" s="202" t="str">
        <f t="shared" si="49"/>
        <v/>
      </c>
    </row>
    <row r="3183" spans="1:7" s="172" customFormat="1" ht="15" customHeight="1" x14ac:dyDescent="0.25">
      <c r="A3183" s="835" t="s">
        <v>6213</v>
      </c>
      <c r="B3183" s="835" t="s">
        <v>5781</v>
      </c>
      <c r="C3183" s="835" t="s">
        <v>5781</v>
      </c>
      <c r="D3183" s="835" t="s">
        <v>6214</v>
      </c>
      <c r="E3183" s="835">
        <v>30</v>
      </c>
      <c r="F3183" s="836">
        <v>2</v>
      </c>
      <c r="G3183" s="202" t="str">
        <f t="shared" si="49"/>
        <v/>
      </c>
    </row>
    <row r="3184" spans="1:7" s="172" customFormat="1" ht="15" customHeight="1" x14ac:dyDescent="0.25">
      <c r="A3184" s="835" t="s">
        <v>6187</v>
      </c>
      <c r="B3184" s="835" t="s">
        <v>5781</v>
      </c>
      <c r="C3184" s="835" t="s">
        <v>5781</v>
      </c>
      <c r="D3184" s="835" t="s">
        <v>6188</v>
      </c>
      <c r="E3184" s="835">
        <v>160</v>
      </c>
      <c r="F3184" s="836">
        <v>0</v>
      </c>
      <c r="G3184" s="202" t="str">
        <f t="shared" si="49"/>
        <v/>
      </c>
    </row>
    <row r="3185" spans="1:7" s="172" customFormat="1" ht="15" customHeight="1" x14ac:dyDescent="0.25">
      <c r="A3185" s="835" t="s">
        <v>12490</v>
      </c>
      <c r="B3185" s="835" t="s">
        <v>5781</v>
      </c>
      <c r="C3185" s="835" t="s">
        <v>5781</v>
      </c>
      <c r="D3185" s="835" t="s">
        <v>6155</v>
      </c>
      <c r="E3185" s="835">
        <v>60</v>
      </c>
      <c r="F3185" s="836">
        <v>4</v>
      </c>
      <c r="G3185" s="202" t="str">
        <f t="shared" si="49"/>
        <v/>
      </c>
    </row>
    <row r="3186" spans="1:7" s="172" customFormat="1" ht="15" customHeight="1" x14ac:dyDescent="0.25">
      <c r="A3186" s="835" t="s">
        <v>6239</v>
      </c>
      <c r="B3186" s="835" t="s">
        <v>5781</v>
      </c>
      <c r="C3186" s="835" t="s">
        <v>5781</v>
      </c>
      <c r="D3186" s="835" t="s">
        <v>6240</v>
      </c>
      <c r="E3186" s="835">
        <v>30</v>
      </c>
      <c r="F3186" s="836">
        <v>2</v>
      </c>
      <c r="G3186" s="202" t="str">
        <f t="shared" si="49"/>
        <v/>
      </c>
    </row>
    <row r="3187" spans="1:7" s="172" customFormat="1" ht="15" customHeight="1" x14ac:dyDescent="0.25">
      <c r="A3187" s="835" t="s">
        <v>5969</v>
      </c>
      <c r="B3187" s="835" t="s">
        <v>5781</v>
      </c>
      <c r="C3187" s="835" t="s">
        <v>5781</v>
      </c>
      <c r="D3187" s="835" t="s">
        <v>5970</v>
      </c>
      <c r="E3187" s="835">
        <v>63</v>
      </c>
      <c r="F3187" s="836">
        <v>8</v>
      </c>
      <c r="G3187" s="202" t="str">
        <f t="shared" si="49"/>
        <v/>
      </c>
    </row>
    <row r="3188" spans="1:7" s="172" customFormat="1" ht="15" customHeight="1" x14ac:dyDescent="0.25">
      <c r="A3188" s="835" t="s">
        <v>5805</v>
      </c>
      <c r="B3188" s="835" t="s">
        <v>5781</v>
      </c>
      <c r="C3188" s="835" t="s">
        <v>5781</v>
      </c>
      <c r="D3188" s="835" t="s">
        <v>5806</v>
      </c>
      <c r="E3188" s="835">
        <v>400</v>
      </c>
      <c r="F3188" s="836">
        <v>199</v>
      </c>
      <c r="G3188" s="202" t="str">
        <f t="shared" si="49"/>
        <v/>
      </c>
    </row>
    <row r="3189" spans="1:7" s="172" customFormat="1" ht="15" customHeight="1" x14ac:dyDescent="0.25">
      <c r="A3189" s="835" t="s">
        <v>5805</v>
      </c>
      <c r="B3189" s="835" t="s">
        <v>5781</v>
      </c>
      <c r="C3189" s="835" t="s">
        <v>5781</v>
      </c>
      <c r="D3189" s="835" t="s">
        <v>5807</v>
      </c>
      <c r="E3189" s="835">
        <v>400</v>
      </c>
      <c r="F3189" s="836">
        <v>231</v>
      </c>
      <c r="G3189" s="202" t="str">
        <f t="shared" si="49"/>
        <v/>
      </c>
    </row>
    <row r="3190" spans="1:7" s="172" customFormat="1" ht="15" customHeight="1" x14ac:dyDescent="0.25">
      <c r="A3190" s="835" t="s">
        <v>5805</v>
      </c>
      <c r="B3190" s="835" t="s">
        <v>5781</v>
      </c>
      <c r="C3190" s="835" t="s">
        <v>5781</v>
      </c>
      <c r="D3190" s="835" t="s">
        <v>5829</v>
      </c>
      <c r="E3190" s="835">
        <v>100</v>
      </c>
      <c r="F3190" s="836">
        <v>11</v>
      </c>
      <c r="G3190" s="202" t="str">
        <f t="shared" si="49"/>
        <v/>
      </c>
    </row>
    <row r="3191" spans="1:7" s="172" customFormat="1" ht="15" customHeight="1" x14ac:dyDescent="0.25">
      <c r="A3191" s="835" t="s">
        <v>5805</v>
      </c>
      <c r="B3191" s="835" t="s">
        <v>5781</v>
      </c>
      <c r="C3191" s="835" t="s">
        <v>5781</v>
      </c>
      <c r="D3191" s="835" t="s">
        <v>5830</v>
      </c>
      <c r="E3191" s="835">
        <v>250</v>
      </c>
      <c r="F3191" s="836">
        <v>117</v>
      </c>
      <c r="G3191" s="202" t="str">
        <f t="shared" si="49"/>
        <v/>
      </c>
    </row>
    <row r="3192" spans="1:7" s="172" customFormat="1" ht="15" customHeight="1" x14ac:dyDescent="0.25">
      <c r="A3192" s="835" t="s">
        <v>5805</v>
      </c>
      <c r="B3192" s="835" t="s">
        <v>5781</v>
      </c>
      <c r="C3192" s="835" t="s">
        <v>5781</v>
      </c>
      <c r="D3192" s="835" t="s">
        <v>5831</v>
      </c>
      <c r="E3192" s="835">
        <v>160</v>
      </c>
      <c r="F3192" s="836">
        <v>69</v>
      </c>
      <c r="G3192" s="202" t="str">
        <f t="shared" si="49"/>
        <v/>
      </c>
    </row>
    <row r="3193" spans="1:7" s="172" customFormat="1" ht="15" customHeight="1" x14ac:dyDescent="0.25">
      <c r="A3193" s="835" t="s">
        <v>5805</v>
      </c>
      <c r="B3193" s="835" t="s">
        <v>5781</v>
      </c>
      <c r="C3193" s="835" t="s">
        <v>5781</v>
      </c>
      <c r="D3193" s="835" t="s">
        <v>5832</v>
      </c>
      <c r="E3193" s="835">
        <v>250</v>
      </c>
      <c r="F3193" s="836">
        <v>131</v>
      </c>
      <c r="G3193" s="202" t="str">
        <f t="shared" si="49"/>
        <v/>
      </c>
    </row>
    <row r="3194" spans="1:7" s="172" customFormat="1" ht="15" customHeight="1" x14ac:dyDescent="0.25">
      <c r="A3194" s="835" t="s">
        <v>5805</v>
      </c>
      <c r="B3194" s="835" t="s">
        <v>5781</v>
      </c>
      <c r="C3194" s="835" t="s">
        <v>5781</v>
      </c>
      <c r="D3194" s="835" t="s">
        <v>5839</v>
      </c>
      <c r="E3194" s="835">
        <v>500</v>
      </c>
      <c r="F3194" s="836">
        <v>249</v>
      </c>
      <c r="G3194" s="202" t="str">
        <f t="shared" si="49"/>
        <v/>
      </c>
    </row>
    <row r="3195" spans="1:7" s="172" customFormat="1" ht="15" customHeight="1" x14ac:dyDescent="0.25">
      <c r="A3195" s="835" t="s">
        <v>5805</v>
      </c>
      <c r="B3195" s="835" t="s">
        <v>5781</v>
      </c>
      <c r="C3195" s="835" t="s">
        <v>5781</v>
      </c>
      <c r="D3195" s="835" t="s">
        <v>5840</v>
      </c>
      <c r="E3195" s="835">
        <v>20</v>
      </c>
      <c r="F3195" s="836">
        <v>12</v>
      </c>
      <c r="G3195" s="202" t="str">
        <f t="shared" si="49"/>
        <v/>
      </c>
    </row>
    <row r="3196" spans="1:7" s="172" customFormat="1" ht="15" customHeight="1" x14ac:dyDescent="0.25">
      <c r="A3196" s="835" t="s">
        <v>6235</v>
      </c>
      <c r="B3196" s="835" t="s">
        <v>5781</v>
      </c>
      <c r="C3196" s="835" t="s">
        <v>5781</v>
      </c>
      <c r="D3196" s="835" t="s">
        <v>6236</v>
      </c>
      <c r="E3196" s="835">
        <v>60</v>
      </c>
      <c r="F3196" s="836">
        <v>0</v>
      </c>
      <c r="G3196" s="202" t="str">
        <f t="shared" si="49"/>
        <v/>
      </c>
    </row>
    <row r="3197" spans="1:7" s="172" customFormat="1" ht="15" customHeight="1" x14ac:dyDescent="0.25">
      <c r="A3197" s="835" t="s">
        <v>5915</v>
      </c>
      <c r="B3197" s="835" t="s">
        <v>5781</v>
      </c>
      <c r="C3197" s="835" t="s">
        <v>5781</v>
      </c>
      <c r="D3197" s="835" t="s">
        <v>5916</v>
      </c>
      <c r="E3197" s="835">
        <v>100</v>
      </c>
      <c r="F3197" s="836">
        <v>31</v>
      </c>
      <c r="G3197" s="202" t="str">
        <f t="shared" si="49"/>
        <v/>
      </c>
    </row>
    <row r="3198" spans="1:7" s="172" customFormat="1" ht="15" customHeight="1" x14ac:dyDescent="0.25">
      <c r="A3198" s="835" t="s">
        <v>6167</v>
      </c>
      <c r="B3198" s="835" t="s">
        <v>5781</v>
      </c>
      <c r="C3198" s="835" t="s">
        <v>5781</v>
      </c>
      <c r="D3198" s="835" t="s">
        <v>6168</v>
      </c>
      <c r="E3198" s="835">
        <v>100</v>
      </c>
      <c r="F3198" s="836">
        <v>84</v>
      </c>
      <c r="G3198" s="202" t="str">
        <f t="shared" si="49"/>
        <v/>
      </c>
    </row>
    <row r="3199" spans="1:7" s="172" customFormat="1" ht="15" customHeight="1" x14ac:dyDescent="0.25">
      <c r="A3199" s="835" t="s">
        <v>6167</v>
      </c>
      <c r="B3199" s="835" t="s">
        <v>5781</v>
      </c>
      <c r="C3199" s="835" t="s">
        <v>5781</v>
      </c>
      <c r="D3199" s="835" t="s">
        <v>6169</v>
      </c>
      <c r="E3199" s="835">
        <v>400</v>
      </c>
      <c r="F3199" s="836">
        <v>376</v>
      </c>
      <c r="G3199" s="202" t="str">
        <f t="shared" si="49"/>
        <v/>
      </c>
    </row>
    <row r="3200" spans="1:7" s="172" customFormat="1" ht="15" customHeight="1" x14ac:dyDescent="0.25">
      <c r="A3200" s="835" t="s">
        <v>6167</v>
      </c>
      <c r="B3200" s="835" t="s">
        <v>5781</v>
      </c>
      <c r="C3200" s="835" t="s">
        <v>5781</v>
      </c>
      <c r="D3200" s="835" t="s">
        <v>6181</v>
      </c>
      <c r="E3200" s="835">
        <v>100</v>
      </c>
      <c r="F3200" s="836">
        <v>68</v>
      </c>
      <c r="G3200" s="202" t="str">
        <f t="shared" si="49"/>
        <v/>
      </c>
    </row>
    <row r="3201" spans="1:7" s="172" customFormat="1" ht="15" customHeight="1" x14ac:dyDescent="0.25">
      <c r="A3201" s="835" t="s">
        <v>6167</v>
      </c>
      <c r="B3201" s="835" t="s">
        <v>5781</v>
      </c>
      <c r="C3201" s="835" t="s">
        <v>5781</v>
      </c>
      <c r="D3201" s="835" t="s">
        <v>6183</v>
      </c>
      <c r="E3201" s="835">
        <v>160</v>
      </c>
      <c r="F3201" s="836">
        <v>123</v>
      </c>
      <c r="G3201" s="202" t="str">
        <f t="shared" si="49"/>
        <v/>
      </c>
    </row>
    <row r="3202" spans="1:7" s="172" customFormat="1" ht="15" customHeight="1" x14ac:dyDescent="0.25">
      <c r="A3202" s="835" t="s">
        <v>12457</v>
      </c>
      <c r="B3202" s="835" t="s">
        <v>5781</v>
      </c>
      <c r="C3202" s="835" t="s">
        <v>5781</v>
      </c>
      <c r="D3202" s="835" t="s">
        <v>5799</v>
      </c>
      <c r="E3202" s="835">
        <v>100</v>
      </c>
      <c r="F3202" s="836">
        <v>0</v>
      </c>
      <c r="G3202" s="202" t="str">
        <f t="shared" si="49"/>
        <v/>
      </c>
    </row>
    <row r="3203" spans="1:7" s="172" customFormat="1" ht="15" customHeight="1" x14ac:dyDescent="0.25">
      <c r="A3203" s="835" t="s">
        <v>5971</v>
      </c>
      <c r="B3203" s="835" t="s">
        <v>5781</v>
      </c>
      <c r="C3203" s="835" t="s">
        <v>5781</v>
      </c>
      <c r="D3203" s="835" t="s">
        <v>5972</v>
      </c>
      <c r="E3203" s="835">
        <v>40</v>
      </c>
      <c r="F3203" s="836">
        <v>12</v>
      </c>
      <c r="G3203" s="202" t="str">
        <f t="shared" si="49"/>
        <v/>
      </c>
    </row>
    <row r="3204" spans="1:7" s="172" customFormat="1" ht="15" customHeight="1" x14ac:dyDescent="0.25">
      <c r="A3204" s="835" t="s">
        <v>12487</v>
      </c>
      <c r="B3204" s="835" t="s">
        <v>5781</v>
      </c>
      <c r="C3204" s="835" t="s">
        <v>5781</v>
      </c>
      <c r="D3204" s="835" t="s">
        <v>6132</v>
      </c>
      <c r="E3204" s="835">
        <v>100</v>
      </c>
      <c r="F3204" s="836">
        <v>40</v>
      </c>
      <c r="G3204" s="202" t="str">
        <f t="shared" si="49"/>
        <v/>
      </c>
    </row>
    <row r="3205" spans="1:7" s="172" customFormat="1" ht="15" customHeight="1" x14ac:dyDescent="0.25">
      <c r="A3205" s="835" t="s">
        <v>12499</v>
      </c>
      <c r="B3205" s="835" t="s">
        <v>5781</v>
      </c>
      <c r="C3205" s="835" t="s">
        <v>5781</v>
      </c>
      <c r="D3205" s="835" t="s">
        <v>6255</v>
      </c>
      <c r="E3205" s="835">
        <v>100</v>
      </c>
      <c r="F3205" s="836">
        <v>12</v>
      </c>
      <c r="G3205" s="202" t="str">
        <f t="shared" si="49"/>
        <v/>
      </c>
    </row>
    <row r="3206" spans="1:7" s="172" customFormat="1" ht="15" customHeight="1" x14ac:dyDescent="0.25">
      <c r="A3206" s="835" t="s">
        <v>5912</v>
      </c>
      <c r="B3206" s="835" t="s">
        <v>5781</v>
      </c>
      <c r="C3206" s="835" t="s">
        <v>5781</v>
      </c>
      <c r="D3206" s="835" t="s">
        <v>5913</v>
      </c>
      <c r="E3206" s="835">
        <v>60</v>
      </c>
      <c r="F3206" s="836">
        <v>0</v>
      </c>
      <c r="G3206" s="202" t="str">
        <f t="shared" si="49"/>
        <v/>
      </c>
    </row>
    <row r="3207" spans="1:7" s="172" customFormat="1" ht="15" customHeight="1" x14ac:dyDescent="0.25">
      <c r="A3207" s="835" t="s">
        <v>6117</v>
      </c>
      <c r="B3207" s="835" t="s">
        <v>5781</v>
      </c>
      <c r="C3207" s="835" t="s">
        <v>5781</v>
      </c>
      <c r="D3207" s="835" t="s">
        <v>6118</v>
      </c>
      <c r="E3207" s="835">
        <v>40</v>
      </c>
      <c r="F3207" s="836">
        <v>16</v>
      </c>
      <c r="G3207" s="202" t="str">
        <f t="shared" si="49"/>
        <v/>
      </c>
    </row>
    <row r="3208" spans="1:7" s="172" customFormat="1" ht="15" customHeight="1" x14ac:dyDescent="0.25">
      <c r="A3208" s="835" t="s">
        <v>6143</v>
      </c>
      <c r="B3208" s="835" t="s">
        <v>5781</v>
      </c>
      <c r="C3208" s="835" t="s">
        <v>5781</v>
      </c>
      <c r="D3208" s="835" t="s">
        <v>6144</v>
      </c>
      <c r="E3208" s="835">
        <v>20</v>
      </c>
      <c r="F3208" s="836">
        <v>0</v>
      </c>
      <c r="G3208" s="202" t="str">
        <f t="shared" si="49"/>
        <v/>
      </c>
    </row>
    <row r="3209" spans="1:7" s="172" customFormat="1" ht="15" customHeight="1" x14ac:dyDescent="0.25">
      <c r="A3209" s="835" t="s">
        <v>6037</v>
      </c>
      <c r="B3209" s="835" t="s">
        <v>5781</v>
      </c>
      <c r="C3209" s="835" t="s">
        <v>5781</v>
      </c>
      <c r="D3209" s="835" t="s">
        <v>6038</v>
      </c>
      <c r="E3209" s="835">
        <v>100</v>
      </c>
      <c r="F3209" s="836">
        <v>17</v>
      </c>
      <c r="G3209" s="202" t="str">
        <f t="shared" si="49"/>
        <v/>
      </c>
    </row>
    <row r="3210" spans="1:7" s="172" customFormat="1" ht="15" customHeight="1" x14ac:dyDescent="0.25">
      <c r="A3210" s="835" t="s">
        <v>6009</v>
      </c>
      <c r="B3210" s="835" t="s">
        <v>5781</v>
      </c>
      <c r="C3210" s="835" t="s">
        <v>5781</v>
      </c>
      <c r="D3210" s="835" t="s">
        <v>6010</v>
      </c>
      <c r="E3210" s="835">
        <v>63</v>
      </c>
      <c r="F3210" s="836">
        <v>0</v>
      </c>
      <c r="G3210" s="202" t="str">
        <f t="shared" si="49"/>
        <v/>
      </c>
    </row>
    <row r="3211" spans="1:7" s="172" customFormat="1" ht="15" customHeight="1" x14ac:dyDescent="0.25">
      <c r="A3211" s="835" t="s">
        <v>2575</v>
      </c>
      <c r="B3211" s="835" t="s">
        <v>5781</v>
      </c>
      <c r="C3211" s="835" t="s">
        <v>5781</v>
      </c>
      <c r="D3211" s="835" t="s">
        <v>5808</v>
      </c>
      <c r="E3211" s="835">
        <v>30</v>
      </c>
      <c r="F3211" s="836">
        <v>1</v>
      </c>
      <c r="G3211" s="202" t="str">
        <f t="shared" si="49"/>
        <v/>
      </c>
    </row>
    <row r="3212" spans="1:7" s="172" customFormat="1" ht="15" customHeight="1" x14ac:dyDescent="0.25">
      <c r="A3212" s="835" t="s">
        <v>5815</v>
      </c>
      <c r="B3212" s="835" t="s">
        <v>5781</v>
      </c>
      <c r="C3212" s="835" t="s">
        <v>5781</v>
      </c>
      <c r="D3212" s="835" t="s">
        <v>5816</v>
      </c>
      <c r="E3212" s="835">
        <v>30</v>
      </c>
      <c r="F3212" s="836">
        <v>0</v>
      </c>
      <c r="G3212" s="202" t="str">
        <f t="shared" si="49"/>
        <v/>
      </c>
    </row>
    <row r="3213" spans="1:7" s="172" customFormat="1" ht="15" customHeight="1" x14ac:dyDescent="0.25">
      <c r="A3213" s="835" t="s">
        <v>12498</v>
      </c>
      <c r="B3213" s="835" t="s">
        <v>5781</v>
      </c>
      <c r="C3213" s="835" t="s">
        <v>5781</v>
      </c>
      <c r="D3213" s="835" t="s">
        <v>6254</v>
      </c>
      <c r="E3213" s="835">
        <v>100</v>
      </c>
      <c r="F3213" s="836">
        <v>0</v>
      </c>
      <c r="G3213" s="202" t="str">
        <f t="shared" si="49"/>
        <v/>
      </c>
    </row>
    <row r="3214" spans="1:7" s="172" customFormat="1" ht="15" customHeight="1" x14ac:dyDescent="0.25">
      <c r="A3214" s="835" t="s">
        <v>12503</v>
      </c>
      <c r="B3214" s="835" t="s">
        <v>5781</v>
      </c>
      <c r="C3214" s="835" t="s">
        <v>5781</v>
      </c>
      <c r="D3214" s="835" t="s">
        <v>6277</v>
      </c>
      <c r="E3214" s="835">
        <v>250</v>
      </c>
      <c r="F3214" s="836">
        <v>181</v>
      </c>
      <c r="G3214" s="202" t="str">
        <f t="shared" si="49"/>
        <v/>
      </c>
    </row>
    <row r="3215" spans="1:7" s="172" customFormat="1" ht="15" customHeight="1" x14ac:dyDescent="0.25">
      <c r="A3215" s="835" t="s">
        <v>12473</v>
      </c>
      <c r="B3215" s="835" t="s">
        <v>5781</v>
      </c>
      <c r="C3215" s="835" t="s">
        <v>5781</v>
      </c>
      <c r="D3215" s="835" t="s">
        <v>5960</v>
      </c>
      <c r="E3215" s="835">
        <v>100</v>
      </c>
      <c r="F3215" s="836">
        <v>3</v>
      </c>
      <c r="G3215" s="202" t="str">
        <f t="shared" si="49"/>
        <v/>
      </c>
    </row>
    <row r="3216" spans="1:7" s="172" customFormat="1" ht="15" customHeight="1" x14ac:dyDescent="0.25">
      <c r="A3216" s="835" t="s">
        <v>6274</v>
      </c>
      <c r="B3216" s="835" t="s">
        <v>5781</v>
      </c>
      <c r="C3216" s="835" t="s">
        <v>5781</v>
      </c>
      <c r="D3216" s="835" t="s">
        <v>6275</v>
      </c>
      <c r="E3216" s="835">
        <v>250</v>
      </c>
      <c r="F3216" s="836">
        <v>203</v>
      </c>
      <c r="G3216" s="202" t="str">
        <f t="shared" si="49"/>
        <v/>
      </c>
    </row>
    <row r="3217" spans="1:7" s="172" customFormat="1" ht="15" customHeight="1" x14ac:dyDescent="0.25">
      <c r="A3217" s="835" t="s">
        <v>12502</v>
      </c>
      <c r="B3217" s="835" t="s">
        <v>5781</v>
      </c>
      <c r="C3217" s="835" t="s">
        <v>5781</v>
      </c>
      <c r="D3217" s="835" t="s">
        <v>6276</v>
      </c>
      <c r="E3217" s="835">
        <v>250</v>
      </c>
      <c r="F3217" s="836">
        <v>35</v>
      </c>
      <c r="G3217" s="202" t="str">
        <f t="shared" si="49"/>
        <v/>
      </c>
    </row>
    <row r="3218" spans="1:7" s="172" customFormat="1" ht="15" customHeight="1" x14ac:dyDescent="0.25">
      <c r="A3218" s="835" t="s">
        <v>12491</v>
      </c>
      <c r="B3218" s="835" t="s">
        <v>5781</v>
      </c>
      <c r="C3218" s="835" t="s">
        <v>5781</v>
      </c>
      <c r="D3218" s="835" t="s">
        <v>6176</v>
      </c>
      <c r="E3218" s="835">
        <v>60</v>
      </c>
      <c r="F3218" s="836">
        <v>11</v>
      </c>
      <c r="G3218" s="202" t="str">
        <f t="shared" si="49"/>
        <v/>
      </c>
    </row>
    <row r="3219" spans="1:7" s="172" customFormat="1" ht="15" customHeight="1" x14ac:dyDescent="0.25">
      <c r="A3219" s="835" t="s">
        <v>3109</v>
      </c>
      <c r="B3219" s="835" t="s">
        <v>5781</v>
      </c>
      <c r="C3219" s="835" t="s">
        <v>5781</v>
      </c>
      <c r="D3219" s="835" t="s">
        <v>5786</v>
      </c>
      <c r="E3219" s="835">
        <v>63</v>
      </c>
      <c r="F3219" s="836">
        <v>13</v>
      </c>
      <c r="G3219" s="202" t="str">
        <f t="shared" si="49"/>
        <v/>
      </c>
    </row>
    <row r="3220" spans="1:7" s="172" customFormat="1" ht="15" customHeight="1" x14ac:dyDescent="0.25">
      <c r="A3220" s="835" t="s">
        <v>3143</v>
      </c>
      <c r="B3220" s="835" t="s">
        <v>5781</v>
      </c>
      <c r="C3220" s="835" t="s">
        <v>5781</v>
      </c>
      <c r="D3220" s="835" t="s">
        <v>6113</v>
      </c>
      <c r="E3220" s="835">
        <v>250</v>
      </c>
      <c r="F3220" s="836">
        <v>123</v>
      </c>
      <c r="G3220" s="202" t="str">
        <f t="shared" si="49"/>
        <v/>
      </c>
    </row>
    <row r="3221" spans="1:7" s="172" customFormat="1" ht="15" customHeight="1" x14ac:dyDescent="0.25">
      <c r="A3221" s="835" t="s">
        <v>12467</v>
      </c>
      <c r="B3221" s="835" t="s">
        <v>5781</v>
      </c>
      <c r="C3221" s="835" t="s">
        <v>5781</v>
      </c>
      <c r="D3221" s="835" t="s">
        <v>5899</v>
      </c>
      <c r="E3221" s="835">
        <v>60</v>
      </c>
      <c r="F3221" s="836">
        <v>0</v>
      </c>
      <c r="G3221" s="202" t="str">
        <f t="shared" si="49"/>
        <v/>
      </c>
    </row>
    <row r="3222" spans="1:7" s="172" customFormat="1" ht="15" customHeight="1" x14ac:dyDescent="0.25">
      <c r="A3222" s="835" t="s">
        <v>6285</v>
      </c>
      <c r="B3222" s="835" t="s">
        <v>5781</v>
      </c>
      <c r="C3222" s="835" t="s">
        <v>5781</v>
      </c>
      <c r="D3222" s="835" t="s">
        <v>6286</v>
      </c>
      <c r="E3222" s="835">
        <v>160</v>
      </c>
      <c r="F3222" s="836">
        <v>0</v>
      </c>
      <c r="G3222" s="202" t="str">
        <f t="shared" si="49"/>
        <v/>
      </c>
    </row>
    <row r="3223" spans="1:7" s="172" customFormat="1" ht="15" customHeight="1" x14ac:dyDescent="0.25">
      <c r="A3223" s="835" t="s">
        <v>12477</v>
      </c>
      <c r="B3223" s="835" t="s">
        <v>5781</v>
      </c>
      <c r="C3223" s="835" t="s">
        <v>5781</v>
      </c>
      <c r="D3223" s="835" t="s">
        <v>6011</v>
      </c>
      <c r="E3223" s="835">
        <v>30</v>
      </c>
      <c r="F3223" s="836">
        <v>2</v>
      </c>
      <c r="G3223" s="202" t="str">
        <f t="shared" si="49"/>
        <v/>
      </c>
    </row>
    <row r="3224" spans="1:7" s="172" customFormat="1" ht="15" customHeight="1" x14ac:dyDescent="0.25">
      <c r="A3224" s="835" t="s">
        <v>6177</v>
      </c>
      <c r="B3224" s="835" t="s">
        <v>5781</v>
      </c>
      <c r="C3224" s="835" t="s">
        <v>5781</v>
      </c>
      <c r="D3224" s="835" t="s">
        <v>6178</v>
      </c>
      <c r="E3224" s="835">
        <v>20</v>
      </c>
      <c r="F3224" s="836">
        <v>4</v>
      </c>
      <c r="G3224" s="202" t="str">
        <f t="shared" si="49"/>
        <v/>
      </c>
    </row>
    <row r="3225" spans="1:7" s="172" customFormat="1" ht="15" customHeight="1" x14ac:dyDescent="0.25">
      <c r="A3225" s="835" t="s">
        <v>12489</v>
      </c>
      <c r="B3225" s="835" t="s">
        <v>5781</v>
      </c>
      <c r="C3225" s="835" t="s">
        <v>5781</v>
      </c>
      <c r="D3225" s="835" t="s">
        <v>6137</v>
      </c>
      <c r="E3225" s="835">
        <v>100</v>
      </c>
      <c r="F3225" s="836">
        <v>35</v>
      </c>
      <c r="G3225" s="202" t="str">
        <f t="shared" ref="G3225:G3288" si="50">IF(E3225=F3225,"не загружен","")</f>
        <v/>
      </c>
    </row>
    <row r="3226" spans="1:7" s="172" customFormat="1" ht="15" customHeight="1" x14ac:dyDescent="0.25">
      <c r="A3226" s="835" t="s">
        <v>12488</v>
      </c>
      <c r="B3226" s="835" t="s">
        <v>5781</v>
      </c>
      <c r="C3226" s="835" t="s">
        <v>5781</v>
      </c>
      <c r="D3226" s="835" t="s">
        <v>6135</v>
      </c>
      <c r="E3226" s="835">
        <v>160</v>
      </c>
      <c r="F3226" s="836">
        <v>65</v>
      </c>
      <c r="G3226" s="202" t="str">
        <f t="shared" si="50"/>
        <v/>
      </c>
    </row>
    <row r="3227" spans="1:7" s="172" customFormat="1" ht="15" customHeight="1" x14ac:dyDescent="0.25">
      <c r="A3227" s="835" t="s">
        <v>5837</v>
      </c>
      <c r="B3227" s="835" t="s">
        <v>5781</v>
      </c>
      <c r="C3227" s="835" t="s">
        <v>5781</v>
      </c>
      <c r="D3227" s="835" t="s">
        <v>5838</v>
      </c>
      <c r="E3227" s="835">
        <v>63</v>
      </c>
      <c r="F3227" s="836">
        <v>10</v>
      </c>
      <c r="G3227" s="202" t="str">
        <f t="shared" si="50"/>
        <v/>
      </c>
    </row>
    <row r="3228" spans="1:7" s="172" customFormat="1" ht="15" customHeight="1" x14ac:dyDescent="0.25">
      <c r="A3228" s="835" t="s">
        <v>6153</v>
      </c>
      <c r="B3228" s="835" t="s">
        <v>5781</v>
      </c>
      <c r="C3228" s="835" t="s">
        <v>5781</v>
      </c>
      <c r="D3228" s="835" t="s">
        <v>6154</v>
      </c>
      <c r="E3228" s="835">
        <v>20</v>
      </c>
      <c r="F3228" s="836">
        <v>2</v>
      </c>
      <c r="G3228" s="202" t="str">
        <f t="shared" si="50"/>
        <v/>
      </c>
    </row>
    <row r="3229" spans="1:7" s="172" customFormat="1" ht="15" customHeight="1" x14ac:dyDescent="0.25">
      <c r="A3229" s="835" t="s">
        <v>6217</v>
      </c>
      <c r="B3229" s="835" t="s">
        <v>5781</v>
      </c>
      <c r="C3229" s="835" t="s">
        <v>5781</v>
      </c>
      <c r="D3229" s="835" t="s">
        <v>6218</v>
      </c>
      <c r="E3229" s="835">
        <v>30</v>
      </c>
      <c r="F3229" s="836">
        <v>0</v>
      </c>
      <c r="G3229" s="202" t="str">
        <f t="shared" si="50"/>
        <v/>
      </c>
    </row>
    <row r="3230" spans="1:7" s="172" customFormat="1" ht="15" customHeight="1" x14ac:dyDescent="0.25">
      <c r="A3230" s="835" t="s">
        <v>12471</v>
      </c>
      <c r="B3230" s="835" t="s">
        <v>5781</v>
      </c>
      <c r="C3230" s="835" t="s">
        <v>5781</v>
      </c>
      <c r="D3230" s="835" t="s">
        <v>5931</v>
      </c>
      <c r="E3230" s="835">
        <v>40</v>
      </c>
      <c r="F3230" s="836">
        <v>0</v>
      </c>
      <c r="G3230" s="202" t="str">
        <f t="shared" si="50"/>
        <v/>
      </c>
    </row>
    <row r="3231" spans="1:7" s="172" customFormat="1" ht="15" customHeight="1" x14ac:dyDescent="0.25">
      <c r="A3231" s="835" t="s">
        <v>6084</v>
      </c>
      <c r="B3231" s="835" t="s">
        <v>5781</v>
      </c>
      <c r="C3231" s="835" t="s">
        <v>5781</v>
      </c>
      <c r="D3231" s="835" t="s">
        <v>6085</v>
      </c>
      <c r="E3231" s="835">
        <v>160</v>
      </c>
      <c r="F3231" s="836">
        <v>10</v>
      </c>
      <c r="G3231" s="202" t="str">
        <f t="shared" si="50"/>
        <v/>
      </c>
    </row>
    <row r="3232" spans="1:7" s="172" customFormat="1" ht="15" customHeight="1" x14ac:dyDescent="0.25">
      <c r="A3232" s="835" t="s">
        <v>5897</v>
      </c>
      <c r="B3232" s="835" t="s">
        <v>5781</v>
      </c>
      <c r="C3232" s="835" t="s">
        <v>5781</v>
      </c>
      <c r="D3232" s="835" t="s">
        <v>5898</v>
      </c>
      <c r="E3232" s="835">
        <v>400</v>
      </c>
      <c r="F3232" s="836">
        <v>197</v>
      </c>
      <c r="G3232" s="202" t="str">
        <f t="shared" si="50"/>
        <v/>
      </c>
    </row>
    <row r="3233" spans="1:7" s="172" customFormat="1" ht="15" customHeight="1" x14ac:dyDescent="0.25">
      <c r="A3233" s="835" t="s">
        <v>12470</v>
      </c>
      <c r="B3233" s="835" t="s">
        <v>5781</v>
      </c>
      <c r="C3233" s="835" t="s">
        <v>5781</v>
      </c>
      <c r="D3233" s="835" t="s">
        <v>5930</v>
      </c>
      <c r="E3233" s="835">
        <v>100</v>
      </c>
      <c r="F3233" s="836">
        <v>6</v>
      </c>
      <c r="G3233" s="202" t="str">
        <f t="shared" si="50"/>
        <v/>
      </c>
    </row>
    <row r="3234" spans="1:7" s="172" customFormat="1" ht="15" customHeight="1" x14ac:dyDescent="0.25">
      <c r="A3234" s="835" t="s">
        <v>4834</v>
      </c>
      <c r="B3234" s="835" t="s">
        <v>5781</v>
      </c>
      <c r="C3234" s="835" t="s">
        <v>5781</v>
      </c>
      <c r="D3234" s="835" t="s">
        <v>5884</v>
      </c>
      <c r="E3234" s="835">
        <v>250</v>
      </c>
      <c r="F3234" s="836">
        <v>222</v>
      </c>
      <c r="G3234" s="202" t="str">
        <f t="shared" si="50"/>
        <v/>
      </c>
    </row>
    <row r="3235" spans="1:7" s="172" customFormat="1" ht="15" customHeight="1" x14ac:dyDescent="0.25">
      <c r="A3235" s="835" t="s">
        <v>4834</v>
      </c>
      <c r="B3235" s="835" t="s">
        <v>5781</v>
      </c>
      <c r="C3235" s="835" t="s">
        <v>5781</v>
      </c>
      <c r="D3235" s="835" t="s">
        <v>5885</v>
      </c>
      <c r="E3235" s="835">
        <v>100</v>
      </c>
      <c r="F3235" s="836">
        <v>32</v>
      </c>
      <c r="G3235" s="202" t="str">
        <f t="shared" si="50"/>
        <v/>
      </c>
    </row>
    <row r="3236" spans="1:7" s="172" customFormat="1" ht="15" customHeight="1" x14ac:dyDescent="0.25">
      <c r="A3236" s="835" t="s">
        <v>5906</v>
      </c>
      <c r="B3236" s="835" t="s">
        <v>5781</v>
      </c>
      <c r="C3236" s="835" t="s">
        <v>5781</v>
      </c>
      <c r="D3236" s="835" t="s">
        <v>5907</v>
      </c>
      <c r="E3236" s="835">
        <v>60</v>
      </c>
      <c r="F3236" s="836">
        <v>2</v>
      </c>
      <c r="G3236" s="202" t="str">
        <f t="shared" si="50"/>
        <v/>
      </c>
    </row>
    <row r="3237" spans="1:7" s="172" customFormat="1" ht="15" customHeight="1" x14ac:dyDescent="0.25">
      <c r="A3237" s="835" t="s">
        <v>6197</v>
      </c>
      <c r="B3237" s="835" t="s">
        <v>5781</v>
      </c>
      <c r="C3237" s="835" t="s">
        <v>5781</v>
      </c>
      <c r="D3237" s="835" t="s">
        <v>6198</v>
      </c>
      <c r="E3237" s="835">
        <v>160</v>
      </c>
      <c r="F3237" s="836">
        <v>11</v>
      </c>
      <c r="G3237" s="202" t="str">
        <f t="shared" si="50"/>
        <v/>
      </c>
    </row>
    <row r="3238" spans="1:7" s="172" customFormat="1" ht="15" customHeight="1" x14ac:dyDescent="0.25">
      <c r="A3238" s="835" t="s">
        <v>6197</v>
      </c>
      <c r="B3238" s="835" t="s">
        <v>5781</v>
      </c>
      <c r="C3238" s="835" t="s">
        <v>5781</v>
      </c>
      <c r="D3238" s="835" t="s">
        <v>6199</v>
      </c>
      <c r="E3238" s="835">
        <v>100</v>
      </c>
      <c r="F3238" s="836">
        <v>24</v>
      </c>
      <c r="G3238" s="202" t="str">
        <f t="shared" si="50"/>
        <v/>
      </c>
    </row>
    <row r="3239" spans="1:7" s="172" customFormat="1" ht="15" customHeight="1" x14ac:dyDescent="0.25">
      <c r="A3239" s="835" t="s">
        <v>5923</v>
      </c>
      <c r="B3239" s="835" t="s">
        <v>5781</v>
      </c>
      <c r="C3239" s="835" t="s">
        <v>5781</v>
      </c>
      <c r="D3239" s="835" t="s">
        <v>5924</v>
      </c>
      <c r="E3239" s="835">
        <v>40</v>
      </c>
      <c r="F3239" s="836">
        <v>1</v>
      </c>
      <c r="G3239" s="202" t="str">
        <f t="shared" si="50"/>
        <v/>
      </c>
    </row>
    <row r="3240" spans="1:7" s="172" customFormat="1" ht="15" customHeight="1" x14ac:dyDescent="0.25">
      <c r="A3240" s="835" t="s">
        <v>5863</v>
      </c>
      <c r="B3240" s="835" t="s">
        <v>5781</v>
      </c>
      <c r="C3240" s="835" t="s">
        <v>5781</v>
      </c>
      <c r="D3240" s="835" t="s">
        <v>5864</v>
      </c>
      <c r="E3240" s="835">
        <v>100</v>
      </c>
      <c r="F3240" s="836">
        <v>11</v>
      </c>
      <c r="G3240" s="202" t="str">
        <f t="shared" si="50"/>
        <v/>
      </c>
    </row>
    <row r="3241" spans="1:7" s="172" customFormat="1" ht="15" customHeight="1" x14ac:dyDescent="0.25">
      <c r="A3241" s="835" t="s">
        <v>12494</v>
      </c>
      <c r="B3241" s="835" t="s">
        <v>5781</v>
      </c>
      <c r="C3241" s="835" t="s">
        <v>5781</v>
      </c>
      <c r="D3241" s="835" t="s">
        <v>6237</v>
      </c>
      <c r="E3241" s="835">
        <v>100</v>
      </c>
      <c r="F3241" s="836">
        <v>12</v>
      </c>
      <c r="G3241" s="202" t="str">
        <f t="shared" si="50"/>
        <v/>
      </c>
    </row>
    <row r="3242" spans="1:7" s="172" customFormat="1" ht="15" customHeight="1" x14ac:dyDescent="0.25">
      <c r="A3242" s="835" t="s">
        <v>5973</v>
      </c>
      <c r="B3242" s="835" t="s">
        <v>5781</v>
      </c>
      <c r="C3242" s="835" t="s">
        <v>5781</v>
      </c>
      <c r="D3242" s="835" t="s">
        <v>5974</v>
      </c>
      <c r="E3242" s="835">
        <v>100</v>
      </c>
      <c r="F3242" s="836">
        <v>43</v>
      </c>
      <c r="G3242" s="202" t="str">
        <f t="shared" si="50"/>
        <v/>
      </c>
    </row>
    <row r="3243" spans="1:7" s="172" customFormat="1" ht="15" customHeight="1" x14ac:dyDescent="0.25">
      <c r="A3243" s="835" t="s">
        <v>6252</v>
      </c>
      <c r="B3243" s="835" t="s">
        <v>5781</v>
      </c>
      <c r="C3243" s="835" t="s">
        <v>5781</v>
      </c>
      <c r="D3243" s="835" t="s">
        <v>6253</v>
      </c>
      <c r="E3243" s="835">
        <v>160</v>
      </c>
      <c r="F3243" s="836">
        <v>83</v>
      </c>
      <c r="G3243" s="202" t="str">
        <f t="shared" si="50"/>
        <v/>
      </c>
    </row>
    <row r="3244" spans="1:7" s="172" customFormat="1" ht="15" customHeight="1" x14ac:dyDescent="0.25">
      <c r="A3244" s="835" t="s">
        <v>6252</v>
      </c>
      <c r="B3244" s="835" t="s">
        <v>5781</v>
      </c>
      <c r="C3244" s="835" t="s">
        <v>5781</v>
      </c>
      <c r="D3244" s="835" t="s">
        <v>6264</v>
      </c>
      <c r="E3244" s="835">
        <v>400</v>
      </c>
      <c r="F3244" s="836">
        <v>322</v>
      </c>
      <c r="G3244" s="202" t="str">
        <f t="shared" si="50"/>
        <v/>
      </c>
    </row>
    <row r="3245" spans="1:7" s="172" customFormat="1" ht="15" customHeight="1" x14ac:dyDescent="0.25">
      <c r="A3245" s="835" t="s">
        <v>6252</v>
      </c>
      <c r="B3245" s="835" t="s">
        <v>5781</v>
      </c>
      <c r="C3245" s="835" t="s">
        <v>5781</v>
      </c>
      <c r="D3245" s="835" t="s">
        <v>6273</v>
      </c>
      <c r="E3245" s="835">
        <v>160</v>
      </c>
      <c r="F3245" s="836">
        <v>101</v>
      </c>
      <c r="G3245" s="202" t="str">
        <f t="shared" si="50"/>
        <v/>
      </c>
    </row>
    <row r="3246" spans="1:7" s="172" customFormat="1" ht="15" customHeight="1" x14ac:dyDescent="0.25">
      <c r="A3246" s="835" t="s">
        <v>6252</v>
      </c>
      <c r="B3246" s="835" t="s">
        <v>5781</v>
      </c>
      <c r="C3246" s="835" t="s">
        <v>5781</v>
      </c>
      <c r="D3246" s="835" t="s">
        <v>6278</v>
      </c>
      <c r="E3246" s="835">
        <v>100</v>
      </c>
      <c r="F3246" s="836">
        <v>13</v>
      </c>
      <c r="G3246" s="202" t="str">
        <f t="shared" si="50"/>
        <v/>
      </c>
    </row>
    <row r="3247" spans="1:7" s="172" customFormat="1" ht="15" customHeight="1" x14ac:dyDescent="0.25">
      <c r="A3247" s="835" t="s">
        <v>6035</v>
      </c>
      <c r="B3247" s="835" t="s">
        <v>5781</v>
      </c>
      <c r="C3247" s="835" t="s">
        <v>5781</v>
      </c>
      <c r="D3247" s="835" t="s">
        <v>6036</v>
      </c>
      <c r="E3247" s="835">
        <v>100</v>
      </c>
      <c r="F3247" s="836">
        <v>74</v>
      </c>
      <c r="G3247" s="202" t="str">
        <f t="shared" si="50"/>
        <v/>
      </c>
    </row>
    <row r="3248" spans="1:7" s="172" customFormat="1" ht="15" customHeight="1" x14ac:dyDescent="0.25">
      <c r="A3248" s="835" t="s">
        <v>6190</v>
      </c>
      <c r="B3248" s="835" t="s">
        <v>5781</v>
      </c>
      <c r="C3248" s="835" t="s">
        <v>5781</v>
      </c>
      <c r="D3248" s="835" t="s">
        <v>6191</v>
      </c>
      <c r="E3248" s="835">
        <v>60</v>
      </c>
      <c r="F3248" s="836">
        <v>0</v>
      </c>
      <c r="G3248" s="202" t="str">
        <f t="shared" si="50"/>
        <v/>
      </c>
    </row>
    <row r="3249" spans="1:7" s="172" customFormat="1" ht="15" customHeight="1" x14ac:dyDescent="0.25">
      <c r="A3249" s="835" t="s">
        <v>6230</v>
      </c>
      <c r="B3249" s="835" t="s">
        <v>5781</v>
      </c>
      <c r="C3249" s="835" t="s">
        <v>5781</v>
      </c>
      <c r="D3249" s="835" t="s">
        <v>6192</v>
      </c>
      <c r="E3249" s="835">
        <v>250</v>
      </c>
      <c r="F3249" s="836">
        <v>39</v>
      </c>
      <c r="G3249" s="202" t="str">
        <f t="shared" si="50"/>
        <v/>
      </c>
    </row>
    <row r="3250" spans="1:7" s="172" customFormat="1" ht="15" customHeight="1" x14ac:dyDescent="0.25">
      <c r="A3250" s="835" t="s">
        <v>6156</v>
      </c>
      <c r="B3250" s="835" t="s">
        <v>5781</v>
      </c>
      <c r="C3250" s="835" t="s">
        <v>5781</v>
      </c>
      <c r="D3250" s="835" t="s">
        <v>6157</v>
      </c>
      <c r="E3250" s="835">
        <v>60</v>
      </c>
      <c r="F3250" s="836">
        <v>29</v>
      </c>
      <c r="G3250" s="202" t="str">
        <f t="shared" si="50"/>
        <v/>
      </c>
    </row>
    <row r="3251" spans="1:7" s="172" customFormat="1" ht="15" customHeight="1" x14ac:dyDescent="0.25">
      <c r="A3251" s="835" t="s">
        <v>5866</v>
      </c>
      <c r="B3251" s="835" t="s">
        <v>5781</v>
      </c>
      <c r="C3251" s="835" t="s">
        <v>5781</v>
      </c>
      <c r="D3251" s="835" t="s">
        <v>5867</v>
      </c>
      <c r="E3251" s="835">
        <v>20</v>
      </c>
      <c r="F3251" s="836">
        <v>0</v>
      </c>
      <c r="G3251" s="202" t="str">
        <f t="shared" si="50"/>
        <v/>
      </c>
    </row>
    <row r="3252" spans="1:7" s="172" customFormat="1" ht="15" customHeight="1" x14ac:dyDescent="0.25">
      <c r="A3252" s="835" t="s">
        <v>6039</v>
      </c>
      <c r="B3252" s="835" t="s">
        <v>5781</v>
      </c>
      <c r="C3252" s="835" t="s">
        <v>5781</v>
      </c>
      <c r="D3252" s="835" t="s">
        <v>6040</v>
      </c>
      <c r="E3252" s="835">
        <v>100</v>
      </c>
      <c r="F3252" s="836">
        <v>60</v>
      </c>
      <c r="G3252" s="202" t="str">
        <f t="shared" si="50"/>
        <v/>
      </c>
    </row>
    <row r="3253" spans="1:7" s="172" customFormat="1" ht="15" customHeight="1" x14ac:dyDescent="0.25">
      <c r="A3253" s="835" t="s">
        <v>6039</v>
      </c>
      <c r="B3253" s="835" t="s">
        <v>5781</v>
      </c>
      <c r="C3253" s="835" t="s">
        <v>5781</v>
      </c>
      <c r="D3253" s="835" t="s">
        <v>6041</v>
      </c>
      <c r="E3253" s="835">
        <v>63</v>
      </c>
      <c r="F3253" s="836">
        <v>49</v>
      </c>
      <c r="G3253" s="202" t="str">
        <f t="shared" si="50"/>
        <v/>
      </c>
    </row>
    <row r="3254" spans="1:7" s="172" customFormat="1" ht="15" customHeight="1" x14ac:dyDescent="0.25">
      <c r="A3254" s="835" t="s">
        <v>6120</v>
      </c>
      <c r="B3254" s="835" t="s">
        <v>5781</v>
      </c>
      <c r="C3254" s="835" t="s">
        <v>5781</v>
      </c>
      <c r="D3254" s="835" t="s">
        <v>6121</v>
      </c>
      <c r="E3254" s="835">
        <v>250</v>
      </c>
      <c r="F3254" s="836">
        <v>2</v>
      </c>
      <c r="G3254" s="202" t="str">
        <f t="shared" si="50"/>
        <v/>
      </c>
    </row>
    <row r="3255" spans="1:7" s="172" customFormat="1" ht="15" customHeight="1" x14ac:dyDescent="0.25">
      <c r="A3255" s="835" t="s">
        <v>12465</v>
      </c>
      <c r="B3255" s="835" t="s">
        <v>5781</v>
      </c>
      <c r="C3255" s="835" t="s">
        <v>5781</v>
      </c>
      <c r="D3255" s="835" t="s">
        <v>5889</v>
      </c>
      <c r="E3255" s="835">
        <v>63</v>
      </c>
      <c r="F3255" s="836">
        <v>12</v>
      </c>
      <c r="G3255" s="202" t="str">
        <f t="shared" si="50"/>
        <v/>
      </c>
    </row>
    <row r="3256" spans="1:7" s="172" customFormat="1" ht="15" customHeight="1" x14ac:dyDescent="0.25">
      <c r="A3256" s="835" t="s">
        <v>12474</v>
      </c>
      <c r="B3256" s="835" t="s">
        <v>5781</v>
      </c>
      <c r="C3256" s="835" t="s">
        <v>5781</v>
      </c>
      <c r="D3256" s="835" t="s">
        <v>5980</v>
      </c>
      <c r="E3256" s="835">
        <v>63</v>
      </c>
      <c r="F3256" s="836">
        <v>5</v>
      </c>
      <c r="G3256" s="202" t="str">
        <f t="shared" si="50"/>
        <v/>
      </c>
    </row>
    <row r="3257" spans="1:7" s="172" customFormat="1" ht="15" customHeight="1" x14ac:dyDescent="0.25">
      <c r="A3257" s="835" t="s">
        <v>5800</v>
      </c>
      <c r="B3257" s="835" t="s">
        <v>5781</v>
      </c>
      <c r="C3257" s="835" t="s">
        <v>5781</v>
      </c>
      <c r="D3257" s="835" t="s">
        <v>5801</v>
      </c>
      <c r="E3257" s="835">
        <v>160</v>
      </c>
      <c r="F3257" s="836">
        <v>6</v>
      </c>
      <c r="G3257" s="202" t="str">
        <f t="shared" si="50"/>
        <v/>
      </c>
    </row>
    <row r="3258" spans="1:7" s="172" customFormat="1" ht="15" customHeight="1" x14ac:dyDescent="0.25">
      <c r="A3258" s="835" t="s">
        <v>6172</v>
      </c>
      <c r="B3258" s="835" t="s">
        <v>5781</v>
      </c>
      <c r="C3258" s="835" t="s">
        <v>5781</v>
      </c>
      <c r="D3258" s="835" t="s">
        <v>6173</v>
      </c>
      <c r="E3258" s="835">
        <v>40</v>
      </c>
      <c r="F3258" s="836">
        <v>0</v>
      </c>
      <c r="G3258" s="202" t="str">
        <f t="shared" si="50"/>
        <v/>
      </c>
    </row>
    <row r="3259" spans="1:7" s="172" customFormat="1" ht="15" customHeight="1" x14ac:dyDescent="0.25">
      <c r="A3259" s="835" t="s">
        <v>12476</v>
      </c>
      <c r="B3259" s="835" t="s">
        <v>5781</v>
      </c>
      <c r="C3259" s="835" t="s">
        <v>5781</v>
      </c>
      <c r="D3259" s="835" t="s">
        <v>6005</v>
      </c>
      <c r="E3259" s="835">
        <v>100</v>
      </c>
      <c r="F3259" s="836">
        <v>0</v>
      </c>
      <c r="G3259" s="202" t="str">
        <f t="shared" si="50"/>
        <v/>
      </c>
    </row>
    <row r="3260" spans="1:7" s="172" customFormat="1" ht="15" customHeight="1" x14ac:dyDescent="0.25">
      <c r="A3260" s="835" t="s">
        <v>4095</v>
      </c>
      <c r="B3260" s="835" t="s">
        <v>5781</v>
      </c>
      <c r="C3260" s="835" t="s">
        <v>5781</v>
      </c>
      <c r="D3260" s="835" t="s">
        <v>5886</v>
      </c>
      <c r="E3260" s="835">
        <v>250</v>
      </c>
      <c r="F3260" s="836">
        <v>203</v>
      </c>
      <c r="G3260" s="202" t="str">
        <f t="shared" si="50"/>
        <v/>
      </c>
    </row>
    <row r="3261" spans="1:7" s="172" customFormat="1" ht="15" customHeight="1" x14ac:dyDescent="0.25">
      <c r="A3261" s="835" t="s">
        <v>3202</v>
      </c>
      <c r="B3261" s="835" t="s">
        <v>5781</v>
      </c>
      <c r="C3261" s="835" t="s">
        <v>5781</v>
      </c>
      <c r="D3261" s="835" t="s">
        <v>6123</v>
      </c>
      <c r="E3261" s="835">
        <v>60</v>
      </c>
      <c r="F3261" s="836">
        <v>0</v>
      </c>
      <c r="G3261" s="202" t="str">
        <f t="shared" si="50"/>
        <v/>
      </c>
    </row>
    <row r="3262" spans="1:7" s="172" customFormat="1" ht="15" customHeight="1" x14ac:dyDescent="0.25">
      <c r="A3262" s="835" t="s">
        <v>3202</v>
      </c>
      <c r="B3262" s="835" t="s">
        <v>5781</v>
      </c>
      <c r="C3262" s="835" t="s">
        <v>5781</v>
      </c>
      <c r="D3262" s="835" t="s">
        <v>6130</v>
      </c>
      <c r="E3262" s="835">
        <v>250</v>
      </c>
      <c r="F3262" s="836">
        <v>109</v>
      </c>
      <c r="G3262" s="202" t="str">
        <f t="shared" si="50"/>
        <v/>
      </c>
    </row>
    <row r="3263" spans="1:7" s="172" customFormat="1" ht="15" customHeight="1" x14ac:dyDescent="0.25">
      <c r="A3263" s="835" t="s">
        <v>4903</v>
      </c>
      <c r="B3263" s="835" t="s">
        <v>5781</v>
      </c>
      <c r="C3263" s="835" t="s">
        <v>5781</v>
      </c>
      <c r="D3263" s="835" t="s">
        <v>5901</v>
      </c>
      <c r="E3263" s="835">
        <v>100</v>
      </c>
      <c r="F3263" s="836">
        <v>22</v>
      </c>
      <c r="G3263" s="202" t="str">
        <f t="shared" si="50"/>
        <v/>
      </c>
    </row>
    <row r="3264" spans="1:7" s="172" customFormat="1" ht="15" customHeight="1" x14ac:dyDescent="0.25">
      <c r="A3264" s="835" t="s">
        <v>6243</v>
      </c>
      <c r="B3264" s="835" t="s">
        <v>5781</v>
      </c>
      <c r="C3264" s="835" t="s">
        <v>5781</v>
      </c>
      <c r="D3264" s="835" t="s">
        <v>6244</v>
      </c>
      <c r="E3264" s="835">
        <v>100</v>
      </c>
      <c r="F3264" s="836">
        <v>4</v>
      </c>
      <c r="G3264" s="202" t="str">
        <f t="shared" si="50"/>
        <v/>
      </c>
    </row>
    <row r="3265" spans="1:7" s="172" customFormat="1" ht="15" customHeight="1" x14ac:dyDescent="0.25">
      <c r="A3265" s="835" t="s">
        <v>6243</v>
      </c>
      <c r="B3265" s="835" t="s">
        <v>5781</v>
      </c>
      <c r="C3265" s="835" t="s">
        <v>5781</v>
      </c>
      <c r="D3265" s="835" t="s">
        <v>6247</v>
      </c>
      <c r="E3265" s="835">
        <v>100</v>
      </c>
      <c r="F3265" s="836">
        <v>23</v>
      </c>
      <c r="G3265" s="202" t="str">
        <f t="shared" si="50"/>
        <v/>
      </c>
    </row>
    <row r="3266" spans="1:7" s="172" customFormat="1" ht="15" customHeight="1" x14ac:dyDescent="0.25">
      <c r="A3266" s="835" t="s">
        <v>6056</v>
      </c>
      <c r="B3266" s="835" t="s">
        <v>5781</v>
      </c>
      <c r="C3266" s="835" t="s">
        <v>5781</v>
      </c>
      <c r="D3266" s="835" t="s">
        <v>6057</v>
      </c>
      <c r="E3266" s="835">
        <v>30</v>
      </c>
      <c r="F3266" s="836">
        <v>0</v>
      </c>
      <c r="G3266" s="202" t="str">
        <f t="shared" si="50"/>
        <v/>
      </c>
    </row>
    <row r="3267" spans="1:7" s="172" customFormat="1" ht="15" customHeight="1" x14ac:dyDescent="0.25">
      <c r="A3267" s="835" t="s">
        <v>6127</v>
      </c>
      <c r="B3267" s="835" t="s">
        <v>5781</v>
      </c>
      <c r="C3267" s="835" t="s">
        <v>5781</v>
      </c>
      <c r="D3267" s="835" t="s">
        <v>6128</v>
      </c>
      <c r="E3267" s="835">
        <v>250</v>
      </c>
      <c r="F3267" s="836">
        <v>142</v>
      </c>
      <c r="G3267" s="202" t="str">
        <f t="shared" si="50"/>
        <v/>
      </c>
    </row>
    <row r="3268" spans="1:7" s="172" customFormat="1" ht="15" customHeight="1" x14ac:dyDescent="0.25">
      <c r="A3268" s="835" t="s">
        <v>6127</v>
      </c>
      <c r="B3268" s="835" t="s">
        <v>5781</v>
      </c>
      <c r="C3268" s="835" t="s">
        <v>5781</v>
      </c>
      <c r="D3268" s="835" t="s">
        <v>6131</v>
      </c>
      <c r="E3268" s="835">
        <v>100</v>
      </c>
      <c r="F3268" s="836">
        <v>3</v>
      </c>
      <c r="G3268" s="202" t="str">
        <f t="shared" si="50"/>
        <v/>
      </c>
    </row>
    <row r="3269" spans="1:7" s="172" customFormat="1" ht="15" customHeight="1" x14ac:dyDescent="0.25">
      <c r="A3269" s="835" t="s">
        <v>12458</v>
      </c>
      <c r="B3269" s="835" t="s">
        <v>5781</v>
      </c>
      <c r="C3269" s="835" t="s">
        <v>5781</v>
      </c>
      <c r="D3269" s="835" t="s">
        <v>5802</v>
      </c>
      <c r="E3269" s="835">
        <v>100</v>
      </c>
      <c r="F3269" s="836">
        <v>0</v>
      </c>
      <c r="G3269" s="202" t="str">
        <f t="shared" si="50"/>
        <v/>
      </c>
    </row>
    <row r="3270" spans="1:7" s="172" customFormat="1" ht="15" customHeight="1" x14ac:dyDescent="0.25">
      <c r="A3270" s="835" t="s">
        <v>12481</v>
      </c>
      <c r="B3270" s="835" t="s">
        <v>5781</v>
      </c>
      <c r="C3270" s="835" t="s">
        <v>5781</v>
      </c>
      <c r="D3270" s="835" t="s">
        <v>6079</v>
      </c>
      <c r="E3270" s="835">
        <v>160</v>
      </c>
      <c r="F3270" s="836">
        <v>5</v>
      </c>
      <c r="G3270" s="202" t="str">
        <f t="shared" si="50"/>
        <v/>
      </c>
    </row>
    <row r="3271" spans="1:7" s="172" customFormat="1" ht="15" customHeight="1" x14ac:dyDescent="0.25">
      <c r="A3271" s="835" t="s">
        <v>6282</v>
      </c>
      <c r="B3271" s="835" t="s">
        <v>5781</v>
      </c>
      <c r="C3271" s="835" t="s">
        <v>5781</v>
      </c>
      <c r="D3271" s="835" t="s">
        <v>6283</v>
      </c>
      <c r="E3271" s="835">
        <v>250</v>
      </c>
      <c r="F3271" s="836">
        <v>69</v>
      </c>
      <c r="G3271" s="202" t="str">
        <f t="shared" si="50"/>
        <v/>
      </c>
    </row>
    <row r="3272" spans="1:7" s="172" customFormat="1" ht="15" customHeight="1" x14ac:dyDescent="0.25">
      <c r="A3272" s="835" t="s">
        <v>2739</v>
      </c>
      <c r="B3272" s="835" t="s">
        <v>5781</v>
      </c>
      <c r="C3272" s="835" t="s">
        <v>5781</v>
      </c>
      <c r="D3272" s="835" t="s">
        <v>5841</v>
      </c>
      <c r="E3272" s="835">
        <v>100</v>
      </c>
      <c r="F3272" s="836">
        <v>15</v>
      </c>
      <c r="G3272" s="202" t="str">
        <f t="shared" si="50"/>
        <v/>
      </c>
    </row>
    <row r="3273" spans="1:7" s="172" customFormat="1" ht="15" customHeight="1" x14ac:dyDescent="0.25">
      <c r="A3273" s="835" t="s">
        <v>6223</v>
      </c>
      <c r="B3273" s="835" t="s">
        <v>5781</v>
      </c>
      <c r="C3273" s="835" t="s">
        <v>5781</v>
      </c>
      <c r="D3273" s="835" t="s">
        <v>6224</v>
      </c>
      <c r="E3273" s="835">
        <v>100</v>
      </c>
      <c r="F3273" s="836">
        <v>45</v>
      </c>
      <c r="G3273" s="202" t="str">
        <f t="shared" si="50"/>
        <v/>
      </c>
    </row>
    <row r="3274" spans="1:7" s="172" customFormat="1" ht="15" customHeight="1" x14ac:dyDescent="0.25">
      <c r="A3274" s="835" t="s">
        <v>12468</v>
      </c>
      <c r="B3274" s="835" t="s">
        <v>5781</v>
      </c>
      <c r="C3274" s="835" t="s">
        <v>5781</v>
      </c>
      <c r="D3274" s="835" t="s">
        <v>5922</v>
      </c>
      <c r="E3274" s="835">
        <v>63</v>
      </c>
      <c r="F3274" s="836">
        <v>0</v>
      </c>
      <c r="G3274" s="202" t="str">
        <f t="shared" si="50"/>
        <v/>
      </c>
    </row>
    <row r="3275" spans="1:7" s="172" customFormat="1" ht="15" customHeight="1" x14ac:dyDescent="0.25">
      <c r="A3275" s="835" t="s">
        <v>12500</v>
      </c>
      <c r="B3275" s="835" t="s">
        <v>5781</v>
      </c>
      <c r="C3275" s="835" t="s">
        <v>5781</v>
      </c>
      <c r="D3275" s="835" t="s">
        <v>6258</v>
      </c>
      <c r="E3275" s="835">
        <v>63</v>
      </c>
      <c r="F3275" s="836">
        <v>0</v>
      </c>
      <c r="G3275" s="202" t="str">
        <f t="shared" si="50"/>
        <v/>
      </c>
    </row>
    <row r="3276" spans="1:7" s="172" customFormat="1" ht="15" customHeight="1" x14ac:dyDescent="0.25">
      <c r="A3276" s="835" t="s">
        <v>5833</v>
      </c>
      <c r="B3276" s="835" t="s">
        <v>5781</v>
      </c>
      <c r="C3276" s="835" t="s">
        <v>5781</v>
      </c>
      <c r="D3276" s="835" t="s">
        <v>5834</v>
      </c>
      <c r="E3276" s="835">
        <v>250</v>
      </c>
      <c r="F3276" s="836">
        <v>0</v>
      </c>
      <c r="G3276" s="202" t="str">
        <f t="shared" si="50"/>
        <v/>
      </c>
    </row>
    <row r="3277" spans="1:7" s="172" customFormat="1" ht="15" customHeight="1" x14ac:dyDescent="0.25">
      <c r="A3277" s="835" t="s">
        <v>6270</v>
      </c>
      <c r="B3277" s="835" t="s">
        <v>5781</v>
      </c>
      <c r="C3277" s="835" t="s">
        <v>5781</v>
      </c>
      <c r="D3277" s="835" t="s">
        <v>6271</v>
      </c>
      <c r="E3277" s="835">
        <v>60</v>
      </c>
      <c r="F3277" s="836">
        <v>5</v>
      </c>
      <c r="G3277" s="202" t="str">
        <f t="shared" si="50"/>
        <v/>
      </c>
    </row>
    <row r="3278" spans="1:7" s="172" customFormat="1" ht="15" customHeight="1" x14ac:dyDescent="0.25">
      <c r="A3278" s="835" t="s">
        <v>12484</v>
      </c>
      <c r="B3278" s="835" t="s">
        <v>5781</v>
      </c>
      <c r="C3278" s="835" t="s">
        <v>5781</v>
      </c>
      <c r="D3278" s="835" t="s">
        <v>6114</v>
      </c>
      <c r="E3278" s="835">
        <v>100</v>
      </c>
      <c r="F3278" s="836">
        <v>39</v>
      </c>
      <c r="G3278" s="202" t="str">
        <f t="shared" si="50"/>
        <v/>
      </c>
    </row>
    <row r="3279" spans="1:7" s="172" customFormat="1" ht="15" customHeight="1" x14ac:dyDescent="0.25">
      <c r="A3279" s="835" t="s">
        <v>5827</v>
      </c>
      <c r="B3279" s="835" t="s">
        <v>5781</v>
      </c>
      <c r="C3279" s="835" t="s">
        <v>5781</v>
      </c>
      <c r="D3279" s="835" t="s">
        <v>5828</v>
      </c>
      <c r="E3279" s="835">
        <v>100</v>
      </c>
      <c r="F3279" s="836">
        <v>2</v>
      </c>
      <c r="G3279" s="202" t="str">
        <f t="shared" si="50"/>
        <v/>
      </c>
    </row>
    <row r="3280" spans="1:7" s="172" customFormat="1" ht="15" customHeight="1" x14ac:dyDescent="0.25">
      <c r="A3280" s="835" t="s">
        <v>12461</v>
      </c>
      <c r="B3280" s="835" t="s">
        <v>5781</v>
      </c>
      <c r="C3280" s="835" t="s">
        <v>5781</v>
      </c>
      <c r="D3280" s="835" t="s">
        <v>5818</v>
      </c>
      <c r="E3280" s="835">
        <v>160</v>
      </c>
      <c r="F3280" s="836">
        <v>0</v>
      </c>
      <c r="G3280" s="202" t="str">
        <f t="shared" si="50"/>
        <v/>
      </c>
    </row>
    <row r="3281" spans="1:7" s="172" customFormat="1" ht="15" customHeight="1" x14ac:dyDescent="0.25">
      <c r="A3281" s="835" t="s">
        <v>12461</v>
      </c>
      <c r="B3281" s="835" t="s">
        <v>5781</v>
      </c>
      <c r="C3281" s="835" t="s">
        <v>5781</v>
      </c>
      <c r="D3281" s="835" t="s">
        <v>5824</v>
      </c>
      <c r="E3281" s="835">
        <v>63</v>
      </c>
      <c r="F3281" s="836">
        <v>0</v>
      </c>
      <c r="G3281" s="202" t="str">
        <f t="shared" si="50"/>
        <v/>
      </c>
    </row>
    <row r="3282" spans="1:7" s="172" customFormat="1" ht="15" customHeight="1" x14ac:dyDescent="0.25">
      <c r="A3282" s="835" t="s">
        <v>12463</v>
      </c>
      <c r="B3282" s="835" t="s">
        <v>5781</v>
      </c>
      <c r="C3282" s="835" t="s">
        <v>5781</v>
      </c>
      <c r="D3282" s="835" t="s">
        <v>5846</v>
      </c>
      <c r="E3282" s="835">
        <v>40</v>
      </c>
      <c r="F3282" s="836">
        <v>10</v>
      </c>
      <c r="G3282" s="202" t="str">
        <f t="shared" si="50"/>
        <v/>
      </c>
    </row>
    <row r="3283" spans="1:7" s="172" customFormat="1" ht="15" customHeight="1" x14ac:dyDescent="0.25">
      <c r="A3283" s="835" t="s">
        <v>5789</v>
      </c>
      <c r="B3283" s="835" t="s">
        <v>5781</v>
      </c>
      <c r="C3283" s="835" t="s">
        <v>5781</v>
      </c>
      <c r="D3283" s="835" t="s">
        <v>5790</v>
      </c>
      <c r="E3283" s="835">
        <v>100</v>
      </c>
      <c r="F3283" s="836">
        <v>15</v>
      </c>
      <c r="G3283" s="202" t="str">
        <f t="shared" si="50"/>
        <v/>
      </c>
    </row>
    <row r="3284" spans="1:7" s="172" customFormat="1" ht="15" customHeight="1" x14ac:dyDescent="0.25">
      <c r="A3284" s="835" t="s">
        <v>6241</v>
      </c>
      <c r="B3284" s="835" t="s">
        <v>5781</v>
      </c>
      <c r="C3284" s="835" t="s">
        <v>5781</v>
      </c>
      <c r="D3284" s="835" t="s">
        <v>6242</v>
      </c>
      <c r="E3284" s="835">
        <v>250</v>
      </c>
      <c r="F3284" s="836">
        <v>112</v>
      </c>
      <c r="G3284" s="202" t="str">
        <f t="shared" si="50"/>
        <v/>
      </c>
    </row>
    <row r="3285" spans="1:7" s="172" customFormat="1" ht="15" customHeight="1" x14ac:dyDescent="0.25">
      <c r="A3285" s="835" t="s">
        <v>6241</v>
      </c>
      <c r="B3285" s="835" t="s">
        <v>5781</v>
      </c>
      <c r="C3285" s="835" t="s">
        <v>5781</v>
      </c>
      <c r="D3285" s="835" t="s">
        <v>6245</v>
      </c>
      <c r="E3285" s="835">
        <v>250</v>
      </c>
      <c r="F3285" s="836">
        <v>79</v>
      </c>
      <c r="G3285" s="202" t="str">
        <f t="shared" si="50"/>
        <v/>
      </c>
    </row>
    <row r="3286" spans="1:7" s="172" customFormat="1" ht="15" customHeight="1" x14ac:dyDescent="0.25">
      <c r="A3286" s="835" t="s">
        <v>6241</v>
      </c>
      <c r="B3286" s="835" t="s">
        <v>5781</v>
      </c>
      <c r="C3286" s="835" t="s">
        <v>5781</v>
      </c>
      <c r="D3286" s="835" t="s">
        <v>6248</v>
      </c>
      <c r="E3286" s="835">
        <v>60</v>
      </c>
      <c r="F3286" s="836">
        <v>0</v>
      </c>
      <c r="G3286" s="202" t="str">
        <f t="shared" si="50"/>
        <v/>
      </c>
    </row>
    <row r="3287" spans="1:7" s="172" customFormat="1" ht="15" customHeight="1" x14ac:dyDescent="0.25">
      <c r="A3287" s="835" t="s">
        <v>5812</v>
      </c>
      <c r="B3287" s="835" t="s">
        <v>5781</v>
      </c>
      <c r="C3287" s="835" t="s">
        <v>5781</v>
      </c>
      <c r="D3287" s="835" t="s">
        <v>5813</v>
      </c>
      <c r="E3287" s="835">
        <v>100</v>
      </c>
      <c r="F3287" s="836">
        <v>7</v>
      </c>
      <c r="G3287" s="202" t="str">
        <f t="shared" si="50"/>
        <v/>
      </c>
    </row>
    <row r="3288" spans="1:7" s="172" customFormat="1" ht="15" customHeight="1" x14ac:dyDescent="0.25">
      <c r="A3288" s="835" t="s">
        <v>5967</v>
      </c>
      <c r="B3288" s="835" t="s">
        <v>5781</v>
      </c>
      <c r="C3288" s="835" t="s">
        <v>5781</v>
      </c>
      <c r="D3288" s="835" t="s">
        <v>5968</v>
      </c>
      <c r="E3288" s="835">
        <v>63</v>
      </c>
      <c r="F3288" s="836">
        <v>2</v>
      </c>
      <c r="G3288" s="202" t="str">
        <f t="shared" si="50"/>
        <v/>
      </c>
    </row>
    <row r="3289" spans="1:7" s="172" customFormat="1" ht="15" customHeight="1" x14ac:dyDescent="0.25">
      <c r="A3289" s="835" t="s">
        <v>5940</v>
      </c>
      <c r="B3289" s="835" t="s">
        <v>5781</v>
      </c>
      <c r="C3289" s="835" t="s">
        <v>5781</v>
      </c>
      <c r="D3289" s="835" t="s">
        <v>5941</v>
      </c>
      <c r="E3289" s="835">
        <v>160</v>
      </c>
      <c r="F3289" s="836">
        <v>63</v>
      </c>
      <c r="G3289" s="202" t="str">
        <f t="shared" ref="G3289:G3352" si="51">IF(E3289=F3289,"не загружен","")</f>
        <v/>
      </c>
    </row>
    <row r="3290" spans="1:7" s="172" customFormat="1" ht="15" customHeight="1" x14ac:dyDescent="0.25">
      <c r="A3290" s="835" t="s">
        <v>5940</v>
      </c>
      <c r="B3290" s="835" t="s">
        <v>5781</v>
      </c>
      <c r="C3290" s="835" t="s">
        <v>5781</v>
      </c>
      <c r="D3290" s="835" t="s">
        <v>5958</v>
      </c>
      <c r="E3290" s="835">
        <v>100</v>
      </c>
      <c r="F3290" s="836">
        <v>45</v>
      </c>
      <c r="G3290" s="202" t="str">
        <f t="shared" si="51"/>
        <v/>
      </c>
    </row>
    <row r="3291" spans="1:7" s="172" customFormat="1" ht="15" customHeight="1" x14ac:dyDescent="0.25">
      <c r="A3291" s="835" t="s">
        <v>5791</v>
      </c>
      <c r="B3291" s="835" t="s">
        <v>5781</v>
      </c>
      <c r="C3291" s="835" t="s">
        <v>5781</v>
      </c>
      <c r="D3291" s="835" t="s">
        <v>5792</v>
      </c>
      <c r="E3291" s="835">
        <v>63</v>
      </c>
      <c r="F3291" s="836">
        <v>29</v>
      </c>
      <c r="G3291" s="202" t="str">
        <f t="shared" si="51"/>
        <v/>
      </c>
    </row>
    <row r="3292" spans="1:7" s="172" customFormat="1" ht="15" customHeight="1" x14ac:dyDescent="0.25">
      <c r="A3292" s="835" t="s">
        <v>6193</v>
      </c>
      <c r="B3292" s="835" t="s">
        <v>5781</v>
      </c>
      <c r="C3292" s="835" t="s">
        <v>5781</v>
      </c>
      <c r="D3292" s="835" t="s">
        <v>6194</v>
      </c>
      <c r="E3292" s="835">
        <v>160</v>
      </c>
      <c r="F3292" s="836">
        <v>22</v>
      </c>
      <c r="G3292" s="202" t="str">
        <f t="shared" si="51"/>
        <v/>
      </c>
    </row>
    <row r="3293" spans="1:7" s="172" customFormat="1" ht="15" customHeight="1" x14ac:dyDescent="0.25">
      <c r="A3293" s="835" t="s">
        <v>6193</v>
      </c>
      <c r="B3293" s="835" t="s">
        <v>5781</v>
      </c>
      <c r="C3293" s="835" t="s">
        <v>5781</v>
      </c>
      <c r="D3293" s="835" t="s">
        <v>6195</v>
      </c>
      <c r="E3293" s="835">
        <v>250</v>
      </c>
      <c r="F3293" s="836">
        <v>163</v>
      </c>
      <c r="G3293" s="202" t="str">
        <f t="shared" si="51"/>
        <v/>
      </c>
    </row>
    <row r="3294" spans="1:7" s="172" customFormat="1" ht="15" customHeight="1" x14ac:dyDescent="0.25">
      <c r="A3294" s="835" t="s">
        <v>6193</v>
      </c>
      <c r="B3294" s="835" t="s">
        <v>5781</v>
      </c>
      <c r="C3294" s="835" t="s">
        <v>5781</v>
      </c>
      <c r="D3294" s="835" t="s">
        <v>6196</v>
      </c>
      <c r="E3294" s="835">
        <v>100</v>
      </c>
      <c r="F3294" s="836">
        <v>10</v>
      </c>
      <c r="G3294" s="202" t="str">
        <f t="shared" si="51"/>
        <v/>
      </c>
    </row>
    <row r="3295" spans="1:7" s="172" customFormat="1" ht="15" customHeight="1" x14ac:dyDescent="0.25">
      <c r="A3295" s="835" t="s">
        <v>12460</v>
      </c>
      <c r="B3295" s="835" t="s">
        <v>5781</v>
      </c>
      <c r="C3295" s="835" t="s">
        <v>5781</v>
      </c>
      <c r="D3295" s="835" t="s">
        <v>5814</v>
      </c>
      <c r="E3295" s="835">
        <v>100</v>
      </c>
      <c r="F3295" s="836">
        <v>0</v>
      </c>
      <c r="G3295" s="202" t="str">
        <f t="shared" si="51"/>
        <v/>
      </c>
    </row>
    <row r="3296" spans="1:7" s="172" customFormat="1" ht="15" customHeight="1" x14ac:dyDescent="0.25">
      <c r="A3296" s="835" t="s">
        <v>6097</v>
      </c>
      <c r="B3296" s="835" t="s">
        <v>5781</v>
      </c>
      <c r="C3296" s="835" t="s">
        <v>5781</v>
      </c>
      <c r="D3296" s="835" t="s">
        <v>6098</v>
      </c>
      <c r="E3296" s="835">
        <v>100</v>
      </c>
      <c r="F3296" s="836">
        <v>21</v>
      </c>
      <c r="G3296" s="202" t="str">
        <f t="shared" si="51"/>
        <v/>
      </c>
    </row>
    <row r="3297" spans="1:7" s="172" customFormat="1" ht="15" customHeight="1" x14ac:dyDescent="0.25">
      <c r="A3297" s="835" t="s">
        <v>6111</v>
      </c>
      <c r="B3297" s="835" t="s">
        <v>5781</v>
      </c>
      <c r="C3297" s="835" t="s">
        <v>5781</v>
      </c>
      <c r="D3297" s="835" t="s">
        <v>6112</v>
      </c>
      <c r="E3297" s="835">
        <v>30</v>
      </c>
      <c r="F3297" s="836">
        <v>2</v>
      </c>
      <c r="G3297" s="202" t="str">
        <f t="shared" si="51"/>
        <v/>
      </c>
    </row>
    <row r="3298" spans="1:7" s="172" customFormat="1" ht="15" customHeight="1" x14ac:dyDescent="0.25">
      <c r="A3298" s="835" t="s">
        <v>6111</v>
      </c>
      <c r="B3298" s="835" t="s">
        <v>5781</v>
      </c>
      <c r="C3298" s="835" t="s">
        <v>5781</v>
      </c>
      <c r="D3298" s="835" t="s">
        <v>6180</v>
      </c>
      <c r="E3298" s="835">
        <v>30</v>
      </c>
      <c r="F3298" s="836">
        <v>2</v>
      </c>
      <c r="G3298" s="202" t="str">
        <f t="shared" si="51"/>
        <v/>
      </c>
    </row>
    <row r="3299" spans="1:7" s="172" customFormat="1" ht="15" customHeight="1" x14ac:dyDescent="0.25">
      <c r="A3299" s="835" t="s">
        <v>6151</v>
      </c>
      <c r="B3299" s="835" t="s">
        <v>5781</v>
      </c>
      <c r="C3299" s="835" t="s">
        <v>5781</v>
      </c>
      <c r="D3299" s="835" t="s">
        <v>6152</v>
      </c>
      <c r="E3299" s="835">
        <v>30</v>
      </c>
      <c r="F3299" s="836">
        <v>10</v>
      </c>
      <c r="G3299" s="202" t="str">
        <f t="shared" si="51"/>
        <v/>
      </c>
    </row>
    <row r="3300" spans="1:7" s="172" customFormat="1" ht="15" customHeight="1" x14ac:dyDescent="0.25">
      <c r="A3300" s="835" t="s">
        <v>12469</v>
      </c>
      <c r="B3300" s="835" t="s">
        <v>5781</v>
      </c>
      <c r="C3300" s="835" t="s">
        <v>5781</v>
      </c>
      <c r="D3300" s="835" t="s">
        <v>5929</v>
      </c>
      <c r="E3300" s="835">
        <v>100</v>
      </c>
      <c r="F3300" s="836">
        <v>45</v>
      </c>
      <c r="G3300" s="202" t="str">
        <f t="shared" si="51"/>
        <v/>
      </c>
    </row>
    <row r="3301" spans="1:7" s="172" customFormat="1" ht="15" customHeight="1" x14ac:dyDescent="0.25">
      <c r="A3301" s="835" t="s">
        <v>5975</v>
      </c>
      <c r="B3301" s="835" t="s">
        <v>5781</v>
      </c>
      <c r="C3301" s="835" t="s">
        <v>5781</v>
      </c>
      <c r="D3301" s="835" t="s">
        <v>5976</v>
      </c>
      <c r="E3301" s="835">
        <v>160</v>
      </c>
      <c r="F3301" s="836">
        <v>88</v>
      </c>
      <c r="G3301" s="202" t="str">
        <f t="shared" si="51"/>
        <v/>
      </c>
    </row>
    <row r="3302" spans="1:7" s="172" customFormat="1" ht="15" customHeight="1" x14ac:dyDescent="0.25">
      <c r="A3302" s="835" t="s">
        <v>5975</v>
      </c>
      <c r="B3302" s="835" t="s">
        <v>5781</v>
      </c>
      <c r="C3302" s="835" t="s">
        <v>5781</v>
      </c>
      <c r="D3302" s="835" t="s">
        <v>6012</v>
      </c>
      <c r="E3302" s="835">
        <v>100</v>
      </c>
      <c r="F3302" s="836">
        <v>45</v>
      </c>
      <c r="G3302" s="202" t="str">
        <f t="shared" si="51"/>
        <v/>
      </c>
    </row>
    <row r="3303" spans="1:7" s="172" customFormat="1" ht="15" customHeight="1" x14ac:dyDescent="0.25">
      <c r="A3303" s="835" t="s">
        <v>6268</v>
      </c>
      <c r="B3303" s="835" t="s">
        <v>5781</v>
      </c>
      <c r="C3303" s="835" t="s">
        <v>5781</v>
      </c>
      <c r="D3303" s="835" t="s">
        <v>6269</v>
      </c>
      <c r="E3303" s="835">
        <v>30</v>
      </c>
      <c r="F3303" s="836">
        <v>5</v>
      </c>
      <c r="G3303" s="202" t="str">
        <f t="shared" si="51"/>
        <v/>
      </c>
    </row>
    <row r="3304" spans="1:7" s="172" customFormat="1" ht="15" customHeight="1" x14ac:dyDescent="0.25">
      <c r="A3304" s="835" t="s">
        <v>6102</v>
      </c>
      <c r="B3304" s="835" t="s">
        <v>5781</v>
      </c>
      <c r="C3304" s="835" t="s">
        <v>5781</v>
      </c>
      <c r="D3304" s="835" t="s">
        <v>6103</v>
      </c>
      <c r="E3304" s="835">
        <v>100</v>
      </c>
      <c r="F3304" s="836">
        <v>41</v>
      </c>
      <c r="G3304" s="202" t="str">
        <f t="shared" si="51"/>
        <v/>
      </c>
    </row>
    <row r="3305" spans="1:7" s="172" customFormat="1" ht="15" customHeight="1" x14ac:dyDescent="0.25">
      <c r="A3305" s="835" t="s">
        <v>6102</v>
      </c>
      <c r="B3305" s="835" t="s">
        <v>5781</v>
      </c>
      <c r="C3305" s="835" t="s">
        <v>5781</v>
      </c>
      <c r="D3305" s="835" t="s">
        <v>6104</v>
      </c>
      <c r="E3305" s="835">
        <v>250</v>
      </c>
      <c r="F3305" s="836">
        <v>172</v>
      </c>
      <c r="G3305" s="202" t="str">
        <f t="shared" si="51"/>
        <v/>
      </c>
    </row>
    <row r="3306" spans="1:7" s="172" customFormat="1" ht="15" customHeight="1" x14ac:dyDescent="0.25">
      <c r="A3306" s="835" t="s">
        <v>6102</v>
      </c>
      <c r="B3306" s="835" t="s">
        <v>5781</v>
      </c>
      <c r="C3306" s="835" t="s">
        <v>5781</v>
      </c>
      <c r="D3306" s="835" t="s">
        <v>6105</v>
      </c>
      <c r="E3306" s="835">
        <v>400</v>
      </c>
      <c r="F3306" s="836">
        <v>289</v>
      </c>
      <c r="G3306" s="202" t="str">
        <f t="shared" si="51"/>
        <v/>
      </c>
    </row>
    <row r="3307" spans="1:7" s="172" customFormat="1" ht="15" customHeight="1" x14ac:dyDescent="0.25">
      <c r="A3307" s="835" t="s">
        <v>5847</v>
      </c>
      <c r="B3307" s="835" t="s">
        <v>5781</v>
      </c>
      <c r="C3307" s="835" t="s">
        <v>5781</v>
      </c>
      <c r="D3307" s="835" t="s">
        <v>5848</v>
      </c>
      <c r="E3307" s="835">
        <v>160</v>
      </c>
      <c r="F3307" s="836">
        <v>42</v>
      </c>
      <c r="G3307" s="202" t="str">
        <f t="shared" si="51"/>
        <v/>
      </c>
    </row>
    <row r="3308" spans="1:7" s="172" customFormat="1" ht="15" customHeight="1" x14ac:dyDescent="0.25">
      <c r="A3308" s="835" t="s">
        <v>6000</v>
      </c>
      <c r="B3308" s="835" t="s">
        <v>5781</v>
      </c>
      <c r="C3308" s="835" t="s">
        <v>5781</v>
      </c>
      <c r="D3308" s="835" t="s">
        <v>6001</v>
      </c>
      <c r="E3308" s="835">
        <v>250</v>
      </c>
      <c r="F3308" s="836">
        <v>216</v>
      </c>
      <c r="G3308" s="202" t="str">
        <f t="shared" si="51"/>
        <v/>
      </c>
    </row>
    <row r="3309" spans="1:7" s="172" customFormat="1" ht="15" customHeight="1" x14ac:dyDescent="0.25">
      <c r="A3309" s="835" t="s">
        <v>6000</v>
      </c>
      <c r="B3309" s="835" t="s">
        <v>5781</v>
      </c>
      <c r="C3309" s="835" t="s">
        <v>5781</v>
      </c>
      <c r="D3309" s="835" t="s">
        <v>6002</v>
      </c>
      <c r="E3309" s="835">
        <v>100</v>
      </c>
      <c r="F3309" s="836">
        <v>0</v>
      </c>
      <c r="G3309" s="202" t="str">
        <f t="shared" si="51"/>
        <v/>
      </c>
    </row>
    <row r="3310" spans="1:7" s="172" customFormat="1" ht="15" customHeight="1" x14ac:dyDescent="0.25">
      <c r="A3310" s="835" t="s">
        <v>5534</v>
      </c>
      <c r="B3310" s="835" t="s">
        <v>5781</v>
      </c>
      <c r="C3310" s="835" t="s">
        <v>5781</v>
      </c>
      <c r="D3310" s="835" t="s">
        <v>6164</v>
      </c>
      <c r="E3310" s="835">
        <v>30</v>
      </c>
      <c r="F3310" s="836">
        <v>0</v>
      </c>
      <c r="G3310" s="202" t="str">
        <f t="shared" si="51"/>
        <v/>
      </c>
    </row>
    <row r="3311" spans="1:7" s="172" customFormat="1" ht="15" customHeight="1" x14ac:dyDescent="0.25">
      <c r="A3311" s="835" t="s">
        <v>12493</v>
      </c>
      <c r="B3311" s="835" t="s">
        <v>5781</v>
      </c>
      <c r="C3311" s="835" t="s">
        <v>5781</v>
      </c>
      <c r="D3311" s="835" t="s">
        <v>6233</v>
      </c>
      <c r="E3311" s="835">
        <v>160</v>
      </c>
      <c r="F3311" s="836">
        <v>0</v>
      </c>
      <c r="G3311" s="202" t="str">
        <f t="shared" si="51"/>
        <v/>
      </c>
    </row>
    <row r="3312" spans="1:7" s="172" customFormat="1" ht="15" customHeight="1" x14ac:dyDescent="0.25">
      <c r="A3312" s="835" t="s">
        <v>5904</v>
      </c>
      <c r="B3312" s="835" t="s">
        <v>5781</v>
      </c>
      <c r="C3312" s="835" t="s">
        <v>5781</v>
      </c>
      <c r="D3312" s="835" t="s">
        <v>5905</v>
      </c>
      <c r="E3312" s="835">
        <v>100</v>
      </c>
      <c r="F3312" s="836">
        <v>11</v>
      </c>
      <c r="G3312" s="202" t="str">
        <f t="shared" si="51"/>
        <v/>
      </c>
    </row>
    <row r="3313" spans="1:7" s="172" customFormat="1" ht="15" customHeight="1" x14ac:dyDescent="0.25">
      <c r="A3313" s="835" t="s">
        <v>6202</v>
      </c>
      <c r="B3313" s="835" t="s">
        <v>5781</v>
      </c>
      <c r="C3313" s="835" t="s">
        <v>5781</v>
      </c>
      <c r="D3313" s="835" t="s">
        <v>6203</v>
      </c>
      <c r="E3313" s="835">
        <v>100</v>
      </c>
      <c r="F3313" s="836">
        <v>23</v>
      </c>
      <c r="G3313" s="202" t="str">
        <f t="shared" si="51"/>
        <v/>
      </c>
    </row>
    <row r="3314" spans="1:7" s="172" customFormat="1" ht="15" customHeight="1" x14ac:dyDescent="0.25">
      <c r="A3314" s="835" t="s">
        <v>6075</v>
      </c>
      <c r="B3314" s="835" t="s">
        <v>5781</v>
      </c>
      <c r="C3314" s="835" t="s">
        <v>5781</v>
      </c>
      <c r="D3314" s="835" t="s">
        <v>6076</v>
      </c>
      <c r="E3314" s="835">
        <v>160</v>
      </c>
      <c r="F3314" s="836">
        <v>87</v>
      </c>
      <c r="G3314" s="202" t="str">
        <f t="shared" si="51"/>
        <v/>
      </c>
    </row>
    <row r="3315" spans="1:7" s="172" customFormat="1" ht="15" customHeight="1" x14ac:dyDescent="0.25">
      <c r="A3315" s="835" t="s">
        <v>6160</v>
      </c>
      <c r="B3315" s="835" t="s">
        <v>5781</v>
      </c>
      <c r="C3315" s="835" t="s">
        <v>5781</v>
      </c>
      <c r="D3315" s="835" t="s">
        <v>6161</v>
      </c>
      <c r="E3315" s="835">
        <v>20</v>
      </c>
      <c r="F3315" s="836">
        <v>3</v>
      </c>
      <c r="G3315" s="202" t="str">
        <f t="shared" si="51"/>
        <v/>
      </c>
    </row>
    <row r="3316" spans="1:7" s="172" customFormat="1" ht="15" customHeight="1" x14ac:dyDescent="0.25">
      <c r="A3316" s="835" t="s">
        <v>5927</v>
      </c>
      <c r="B3316" s="835" t="s">
        <v>5781</v>
      </c>
      <c r="C3316" s="835" t="s">
        <v>5781</v>
      </c>
      <c r="D3316" s="835" t="s">
        <v>5928</v>
      </c>
      <c r="E3316" s="835">
        <v>40</v>
      </c>
      <c r="F3316" s="836">
        <v>4</v>
      </c>
      <c r="G3316" s="202" t="str">
        <f t="shared" si="51"/>
        <v/>
      </c>
    </row>
    <row r="3317" spans="1:7" s="172" customFormat="1" ht="15" customHeight="1" x14ac:dyDescent="0.25">
      <c r="A3317" s="835" t="s">
        <v>6266</v>
      </c>
      <c r="B3317" s="835" t="s">
        <v>5781</v>
      </c>
      <c r="C3317" s="835" t="s">
        <v>5781</v>
      </c>
      <c r="D3317" s="835" t="s">
        <v>6267</v>
      </c>
      <c r="E3317" s="835">
        <v>40</v>
      </c>
      <c r="F3317" s="836">
        <v>1</v>
      </c>
      <c r="G3317" s="202" t="str">
        <f t="shared" si="51"/>
        <v/>
      </c>
    </row>
    <row r="3318" spans="1:7" s="172" customFormat="1" ht="15" customHeight="1" x14ac:dyDescent="0.25">
      <c r="A3318" s="835" t="s">
        <v>3135</v>
      </c>
      <c r="B3318" s="835" t="s">
        <v>5781</v>
      </c>
      <c r="C3318" s="835" t="s">
        <v>5781</v>
      </c>
      <c r="D3318" s="835" t="s">
        <v>5932</v>
      </c>
      <c r="E3318" s="835">
        <v>100</v>
      </c>
      <c r="F3318" s="836">
        <v>17</v>
      </c>
      <c r="G3318" s="202" t="str">
        <f t="shared" si="51"/>
        <v/>
      </c>
    </row>
    <row r="3319" spans="1:7" s="172" customFormat="1" ht="15" customHeight="1" x14ac:dyDescent="0.25">
      <c r="A3319" s="835" t="s">
        <v>3135</v>
      </c>
      <c r="B3319" s="835" t="s">
        <v>5781</v>
      </c>
      <c r="C3319" s="835" t="s">
        <v>5781</v>
      </c>
      <c r="D3319" s="835" t="s">
        <v>6179</v>
      </c>
      <c r="E3319" s="835">
        <v>160</v>
      </c>
      <c r="F3319" s="836">
        <v>115</v>
      </c>
      <c r="G3319" s="202" t="str">
        <f t="shared" si="51"/>
        <v/>
      </c>
    </row>
    <row r="3320" spans="1:7" s="172" customFormat="1" ht="15" customHeight="1" x14ac:dyDescent="0.25">
      <c r="A3320" s="835" t="s">
        <v>5962</v>
      </c>
      <c r="B3320" s="835" t="s">
        <v>5781</v>
      </c>
      <c r="C3320" s="835" t="s">
        <v>5781</v>
      </c>
      <c r="D3320" s="835" t="s">
        <v>5963</v>
      </c>
      <c r="E3320" s="835">
        <v>63</v>
      </c>
      <c r="F3320" s="836">
        <v>2</v>
      </c>
      <c r="G3320" s="202" t="str">
        <f t="shared" si="51"/>
        <v/>
      </c>
    </row>
    <row r="3321" spans="1:7" s="172" customFormat="1" ht="15" customHeight="1" x14ac:dyDescent="0.25">
      <c r="A3321" s="835" t="s">
        <v>12478</v>
      </c>
      <c r="B3321" s="835" t="s">
        <v>5781</v>
      </c>
      <c r="C3321" s="835" t="s">
        <v>5781</v>
      </c>
      <c r="D3321" s="835" t="s">
        <v>6018</v>
      </c>
      <c r="E3321" s="835">
        <v>100</v>
      </c>
      <c r="F3321" s="836">
        <v>49</v>
      </c>
      <c r="G3321" s="202" t="str">
        <f t="shared" si="51"/>
        <v/>
      </c>
    </row>
    <row r="3322" spans="1:7" s="172" customFormat="1" ht="15" customHeight="1" x14ac:dyDescent="0.25">
      <c r="A3322" s="835" t="s">
        <v>5869</v>
      </c>
      <c r="B3322" s="835" t="s">
        <v>5781</v>
      </c>
      <c r="C3322" s="835" t="s">
        <v>5781</v>
      </c>
      <c r="D3322" s="835" t="s">
        <v>5870</v>
      </c>
      <c r="E3322" s="835">
        <v>30</v>
      </c>
      <c r="F3322" s="836">
        <v>3</v>
      </c>
      <c r="G3322" s="202" t="str">
        <f t="shared" si="51"/>
        <v/>
      </c>
    </row>
    <row r="3323" spans="1:7" s="172" customFormat="1" ht="15" customHeight="1" x14ac:dyDescent="0.25">
      <c r="A3323" s="835" t="s">
        <v>5869</v>
      </c>
      <c r="B3323" s="835" t="s">
        <v>5781</v>
      </c>
      <c r="C3323" s="835" t="s">
        <v>5781</v>
      </c>
      <c r="D3323" s="835" t="s">
        <v>5871</v>
      </c>
      <c r="E3323" s="835">
        <v>63</v>
      </c>
      <c r="F3323" s="836">
        <v>5</v>
      </c>
      <c r="G3323" s="202" t="str">
        <f t="shared" si="51"/>
        <v/>
      </c>
    </row>
    <row r="3324" spans="1:7" s="172" customFormat="1" ht="15" customHeight="1" x14ac:dyDescent="0.25">
      <c r="A3324" s="835" t="s">
        <v>3284</v>
      </c>
      <c r="B3324" s="835" t="s">
        <v>5781</v>
      </c>
      <c r="C3324" s="835" t="s">
        <v>5781</v>
      </c>
      <c r="D3324" s="835" t="s">
        <v>5919</v>
      </c>
      <c r="E3324" s="835">
        <v>100</v>
      </c>
      <c r="F3324" s="836">
        <v>7</v>
      </c>
      <c r="G3324" s="202" t="str">
        <f t="shared" si="51"/>
        <v/>
      </c>
    </row>
    <row r="3325" spans="1:7" s="172" customFormat="1" ht="15" customHeight="1" x14ac:dyDescent="0.25">
      <c r="A3325" s="835" t="s">
        <v>5771</v>
      </c>
      <c r="B3325" s="835" t="s">
        <v>5781</v>
      </c>
      <c r="C3325" s="835" t="s">
        <v>5781</v>
      </c>
      <c r="D3325" s="835" t="s">
        <v>6136</v>
      </c>
      <c r="E3325" s="835">
        <v>100</v>
      </c>
      <c r="F3325" s="836">
        <v>20</v>
      </c>
      <c r="G3325" s="202" t="str">
        <f t="shared" si="51"/>
        <v/>
      </c>
    </row>
    <row r="3326" spans="1:7" s="172" customFormat="1" ht="15" customHeight="1" x14ac:dyDescent="0.25">
      <c r="A3326" s="835" t="s">
        <v>6109</v>
      </c>
      <c r="B3326" s="835" t="s">
        <v>5781</v>
      </c>
      <c r="C3326" s="835" t="s">
        <v>5781</v>
      </c>
      <c r="D3326" s="835" t="s">
        <v>6110</v>
      </c>
      <c r="E3326" s="835">
        <v>160</v>
      </c>
      <c r="F3326" s="836">
        <v>72</v>
      </c>
      <c r="G3326" s="202" t="str">
        <f t="shared" si="51"/>
        <v/>
      </c>
    </row>
    <row r="3327" spans="1:7" s="172" customFormat="1" ht="15" customHeight="1" x14ac:dyDescent="0.25">
      <c r="A3327" s="835" t="s">
        <v>5985</v>
      </c>
      <c r="B3327" s="835" t="s">
        <v>5781</v>
      </c>
      <c r="C3327" s="835" t="s">
        <v>5781</v>
      </c>
      <c r="D3327" s="835" t="s">
        <v>5986</v>
      </c>
      <c r="E3327" s="835">
        <v>100</v>
      </c>
      <c r="F3327" s="836">
        <v>0</v>
      </c>
      <c r="G3327" s="202" t="str">
        <f t="shared" si="51"/>
        <v/>
      </c>
    </row>
    <row r="3328" spans="1:7" s="172" customFormat="1" ht="15" customHeight="1" x14ac:dyDescent="0.25">
      <c r="A3328" s="835" t="s">
        <v>6207</v>
      </c>
      <c r="B3328" s="835" t="s">
        <v>5781</v>
      </c>
      <c r="C3328" s="835" t="s">
        <v>5781</v>
      </c>
      <c r="D3328" s="835" t="s">
        <v>6208</v>
      </c>
      <c r="E3328" s="835">
        <v>100</v>
      </c>
      <c r="F3328" s="836">
        <v>1</v>
      </c>
      <c r="G3328" s="202" t="str">
        <f t="shared" si="51"/>
        <v/>
      </c>
    </row>
    <row r="3329" spans="1:7" s="172" customFormat="1" ht="15" customHeight="1" x14ac:dyDescent="0.25">
      <c r="A3329" s="835" t="s">
        <v>5950</v>
      </c>
      <c r="B3329" s="835" t="s">
        <v>5781</v>
      </c>
      <c r="C3329" s="835" t="s">
        <v>5781</v>
      </c>
      <c r="D3329" s="835" t="s">
        <v>5951</v>
      </c>
      <c r="E3329" s="835">
        <v>30</v>
      </c>
      <c r="F3329" s="836">
        <v>9</v>
      </c>
      <c r="G3329" s="202" t="str">
        <f t="shared" si="51"/>
        <v/>
      </c>
    </row>
    <row r="3330" spans="1:7" s="172" customFormat="1" ht="15" customHeight="1" x14ac:dyDescent="0.25">
      <c r="A3330" s="835" t="s">
        <v>5938</v>
      </c>
      <c r="B3330" s="835" t="s">
        <v>5781</v>
      </c>
      <c r="C3330" s="835" t="s">
        <v>5781</v>
      </c>
      <c r="D3330" s="835" t="s">
        <v>5939</v>
      </c>
      <c r="E3330" s="835">
        <v>100</v>
      </c>
      <c r="F3330" s="836">
        <v>26</v>
      </c>
      <c r="G3330" s="202" t="str">
        <f t="shared" si="51"/>
        <v/>
      </c>
    </row>
    <row r="3331" spans="1:7" s="172" customFormat="1" ht="15" customHeight="1" x14ac:dyDescent="0.25">
      <c r="A3331" s="835" t="s">
        <v>12483</v>
      </c>
      <c r="B3331" s="835" t="s">
        <v>5781</v>
      </c>
      <c r="C3331" s="835" t="s">
        <v>5781</v>
      </c>
      <c r="D3331" s="835" t="s">
        <v>6106</v>
      </c>
      <c r="E3331" s="835">
        <v>250</v>
      </c>
      <c r="F3331" s="836">
        <v>141</v>
      </c>
      <c r="G3331" s="202" t="str">
        <f t="shared" si="51"/>
        <v/>
      </c>
    </row>
    <row r="3332" spans="1:7" s="172" customFormat="1" ht="15" customHeight="1" x14ac:dyDescent="0.25">
      <c r="A3332" s="835" t="s">
        <v>3220</v>
      </c>
      <c r="B3332" s="835" t="s">
        <v>5781</v>
      </c>
      <c r="C3332" s="835" t="s">
        <v>5781</v>
      </c>
      <c r="D3332" s="835" t="s">
        <v>6189</v>
      </c>
      <c r="E3332" s="835">
        <v>100</v>
      </c>
      <c r="F3332" s="836">
        <v>0</v>
      </c>
      <c r="G3332" s="202" t="str">
        <f t="shared" si="51"/>
        <v/>
      </c>
    </row>
    <row r="3333" spans="1:7" s="172" customFormat="1" ht="15" customHeight="1" x14ac:dyDescent="0.25">
      <c r="A3333" s="835" t="s">
        <v>3220</v>
      </c>
      <c r="B3333" s="835" t="s">
        <v>5781</v>
      </c>
      <c r="C3333" s="835" t="s">
        <v>5781</v>
      </c>
      <c r="D3333" s="835" t="s">
        <v>5933</v>
      </c>
      <c r="E3333" s="835">
        <v>100</v>
      </c>
      <c r="F3333" s="836">
        <v>7</v>
      </c>
      <c r="G3333" s="202" t="str">
        <f t="shared" si="51"/>
        <v/>
      </c>
    </row>
    <row r="3334" spans="1:7" s="172" customFormat="1" ht="15" customHeight="1" x14ac:dyDescent="0.25">
      <c r="A3334" s="835" t="s">
        <v>3220</v>
      </c>
      <c r="B3334" s="835" t="s">
        <v>5781</v>
      </c>
      <c r="C3334" s="835" t="s">
        <v>5781</v>
      </c>
      <c r="D3334" s="835" t="s">
        <v>6122</v>
      </c>
      <c r="E3334" s="835">
        <v>100</v>
      </c>
      <c r="F3334" s="836">
        <v>12</v>
      </c>
      <c r="G3334" s="202" t="str">
        <f t="shared" si="51"/>
        <v/>
      </c>
    </row>
    <row r="3335" spans="1:7" s="172" customFormat="1" ht="15" customHeight="1" x14ac:dyDescent="0.25">
      <c r="A3335" s="835" t="s">
        <v>3220</v>
      </c>
      <c r="B3335" s="835" t="s">
        <v>5781</v>
      </c>
      <c r="C3335" s="835" t="s">
        <v>5781</v>
      </c>
      <c r="D3335" s="835" t="s">
        <v>6124</v>
      </c>
      <c r="E3335" s="835">
        <v>60</v>
      </c>
      <c r="F3335" s="836">
        <v>0</v>
      </c>
      <c r="G3335" s="202" t="str">
        <f t="shared" si="51"/>
        <v/>
      </c>
    </row>
    <row r="3336" spans="1:7" s="172" customFormat="1" ht="15" customHeight="1" x14ac:dyDescent="0.25">
      <c r="A3336" s="835" t="s">
        <v>3220</v>
      </c>
      <c r="B3336" s="835" t="s">
        <v>5781</v>
      </c>
      <c r="C3336" s="835" t="s">
        <v>5781</v>
      </c>
      <c r="D3336" s="835" t="s">
        <v>6129</v>
      </c>
      <c r="E3336" s="835">
        <v>100</v>
      </c>
      <c r="F3336" s="836">
        <v>0</v>
      </c>
      <c r="G3336" s="202" t="str">
        <f t="shared" si="51"/>
        <v/>
      </c>
    </row>
    <row r="3337" spans="1:7" s="172" customFormat="1" ht="15" customHeight="1" x14ac:dyDescent="0.25">
      <c r="A3337" s="835" t="s">
        <v>6062</v>
      </c>
      <c r="B3337" s="835" t="s">
        <v>5781</v>
      </c>
      <c r="C3337" s="835" t="s">
        <v>5781</v>
      </c>
      <c r="D3337" s="835" t="s">
        <v>6063</v>
      </c>
      <c r="E3337" s="835">
        <v>100</v>
      </c>
      <c r="F3337" s="836">
        <v>49</v>
      </c>
      <c r="G3337" s="202" t="str">
        <f t="shared" si="51"/>
        <v/>
      </c>
    </row>
    <row r="3338" spans="1:7" s="172" customFormat="1" ht="15" customHeight="1" x14ac:dyDescent="0.25">
      <c r="A3338" s="835" t="s">
        <v>5920</v>
      </c>
      <c r="B3338" s="835" t="s">
        <v>5781</v>
      </c>
      <c r="C3338" s="835" t="s">
        <v>5781</v>
      </c>
      <c r="D3338" s="835" t="s">
        <v>5921</v>
      </c>
      <c r="E3338" s="835">
        <v>30</v>
      </c>
      <c r="F3338" s="836">
        <v>1</v>
      </c>
      <c r="G3338" s="202" t="str">
        <f t="shared" si="51"/>
        <v/>
      </c>
    </row>
    <row r="3339" spans="1:7" s="172" customFormat="1" ht="15" customHeight="1" x14ac:dyDescent="0.25">
      <c r="A3339" s="835" t="s">
        <v>6165</v>
      </c>
      <c r="B3339" s="835" t="s">
        <v>5781</v>
      </c>
      <c r="C3339" s="835" t="s">
        <v>5781</v>
      </c>
      <c r="D3339" s="835" t="s">
        <v>6166</v>
      </c>
      <c r="E3339" s="835">
        <v>160</v>
      </c>
      <c r="F3339" s="836">
        <v>125</v>
      </c>
      <c r="G3339" s="202" t="str">
        <f t="shared" si="51"/>
        <v/>
      </c>
    </row>
    <row r="3340" spans="1:7" s="172" customFormat="1" ht="15" customHeight="1" x14ac:dyDescent="0.25">
      <c r="A3340" s="835" t="s">
        <v>6058</v>
      </c>
      <c r="B3340" s="835" t="s">
        <v>5781</v>
      </c>
      <c r="C3340" s="835" t="s">
        <v>5781</v>
      </c>
      <c r="D3340" s="835" t="s">
        <v>6059</v>
      </c>
      <c r="E3340" s="835">
        <v>60</v>
      </c>
      <c r="F3340" s="836">
        <v>21</v>
      </c>
      <c r="G3340" s="202" t="str">
        <f t="shared" si="51"/>
        <v/>
      </c>
    </row>
    <row r="3341" spans="1:7" s="172" customFormat="1" ht="15" customHeight="1" x14ac:dyDescent="0.25">
      <c r="A3341" s="835" t="s">
        <v>6026</v>
      </c>
      <c r="B3341" s="835" t="s">
        <v>5781</v>
      </c>
      <c r="C3341" s="835" t="s">
        <v>5781</v>
      </c>
      <c r="D3341" s="835" t="s">
        <v>6027</v>
      </c>
      <c r="E3341" s="835">
        <v>160</v>
      </c>
      <c r="F3341" s="836">
        <v>56</v>
      </c>
      <c r="G3341" s="202" t="str">
        <f t="shared" si="51"/>
        <v/>
      </c>
    </row>
    <row r="3342" spans="1:7" s="172" customFormat="1" ht="15" customHeight="1" x14ac:dyDescent="0.25">
      <c r="A3342" s="835" t="s">
        <v>3130</v>
      </c>
      <c r="B3342" s="835" t="s">
        <v>5781</v>
      </c>
      <c r="C3342" s="835" t="s">
        <v>5781</v>
      </c>
      <c r="D3342" s="835" t="s">
        <v>5908</v>
      </c>
      <c r="E3342" s="835">
        <v>63</v>
      </c>
      <c r="F3342" s="836">
        <v>1</v>
      </c>
      <c r="G3342" s="202" t="str">
        <f t="shared" si="51"/>
        <v/>
      </c>
    </row>
    <row r="3343" spans="1:7" s="172" customFormat="1" ht="15" customHeight="1" x14ac:dyDescent="0.25">
      <c r="A3343" s="835" t="s">
        <v>3130</v>
      </c>
      <c r="B3343" s="835" t="s">
        <v>5781</v>
      </c>
      <c r="C3343" s="835" t="s">
        <v>5781</v>
      </c>
      <c r="D3343" s="835" t="s">
        <v>6092</v>
      </c>
      <c r="E3343" s="835">
        <v>60</v>
      </c>
      <c r="F3343" s="836">
        <v>1</v>
      </c>
      <c r="G3343" s="202" t="str">
        <f t="shared" si="51"/>
        <v/>
      </c>
    </row>
    <row r="3344" spans="1:7" s="172" customFormat="1" ht="15" customHeight="1" x14ac:dyDescent="0.25">
      <c r="A3344" s="835" t="s">
        <v>5736</v>
      </c>
      <c r="B3344" s="835" t="s">
        <v>5781</v>
      </c>
      <c r="C3344" s="835" t="s">
        <v>5781</v>
      </c>
      <c r="D3344" s="835" t="s">
        <v>6284</v>
      </c>
      <c r="E3344" s="835">
        <v>20</v>
      </c>
      <c r="F3344" s="836">
        <v>0</v>
      </c>
      <c r="G3344" s="202" t="str">
        <f t="shared" si="51"/>
        <v/>
      </c>
    </row>
    <row r="3345" spans="1:7" s="172" customFormat="1" ht="15" customHeight="1" x14ac:dyDescent="0.25">
      <c r="A3345" s="835" t="s">
        <v>5948</v>
      </c>
      <c r="B3345" s="835" t="s">
        <v>5781</v>
      </c>
      <c r="C3345" s="835" t="s">
        <v>5781</v>
      </c>
      <c r="D3345" s="835" t="s">
        <v>5949</v>
      </c>
      <c r="E3345" s="835">
        <v>60</v>
      </c>
      <c r="F3345" s="836">
        <v>2</v>
      </c>
      <c r="G3345" s="202" t="str">
        <f t="shared" si="51"/>
        <v/>
      </c>
    </row>
    <row r="3346" spans="1:7" s="172" customFormat="1" ht="15" customHeight="1" x14ac:dyDescent="0.25">
      <c r="A3346" s="835" t="s">
        <v>3424</v>
      </c>
      <c r="B3346" s="835" t="s">
        <v>5781</v>
      </c>
      <c r="C3346" s="835" t="s">
        <v>5781</v>
      </c>
      <c r="D3346" s="835" t="s">
        <v>6221</v>
      </c>
      <c r="E3346" s="835">
        <v>100</v>
      </c>
      <c r="F3346" s="836">
        <v>33</v>
      </c>
      <c r="G3346" s="202" t="str">
        <f t="shared" si="51"/>
        <v/>
      </c>
    </row>
    <row r="3347" spans="1:7" s="172" customFormat="1" ht="15" customHeight="1" x14ac:dyDescent="0.25">
      <c r="A3347" s="835" t="s">
        <v>3424</v>
      </c>
      <c r="B3347" s="835" t="s">
        <v>5781</v>
      </c>
      <c r="C3347" s="835" t="s">
        <v>5781</v>
      </c>
      <c r="D3347" s="835" t="s">
        <v>5856</v>
      </c>
      <c r="E3347" s="835">
        <v>63</v>
      </c>
      <c r="F3347" s="836">
        <v>9</v>
      </c>
      <c r="G3347" s="202" t="str">
        <f t="shared" si="51"/>
        <v/>
      </c>
    </row>
    <row r="3348" spans="1:7" s="172" customFormat="1" ht="15" customHeight="1" x14ac:dyDescent="0.25">
      <c r="A3348" s="835" t="s">
        <v>3424</v>
      </c>
      <c r="B3348" s="835" t="s">
        <v>5781</v>
      </c>
      <c r="C3348" s="835" t="s">
        <v>5781</v>
      </c>
      <c r="D3348" s="835" t="s">
        <v>6182</v>
      </c>
      <c r="E3348" s="835">
        <v>60</v>
      </c>
      <c r="F3348" s="836">
        <v>23</v>
      </c>
      <c r="G3348" s="202" t="str">
        <f t="shared" si="51"/>
        <v/>
      </c>
    </row>
    <row r="3349" spans="1:7" s="172" customFormat="1" ht="15" customHeight="1" x14ac:dyDescent="0.25">
      <c r="A3349" s="835" t="s">
        <v>5809</v>
      </c>
      <c r="B3349" s="835" t="s">
        <v>5781</v>
      </c>
      <c r="C3349" s="835" t="s">
        <v>5781</v>
      </c>
      <c r="D3349" s="835" t="s">
        <v>5810</v>
      </c>
      <c r="E3349" s="835">
        <v>250</v>
      </c>
      <c r="F3349" s="836">
        <v>180</v>
      </c>
      <c r="G3349" s="202" t="str">
        <f t="shared" si="51"/>
        <v/>
      </c>
    </row>
    <row r="3350" spans="1:7" s="172" customFormat="1" ht="15" customHeight="1" x14ac:dyDescent="0.25">
      <c r="A3350" s="835" t="s">
        <v>6107</v>
      </c>
      <c r="B3350" s="835" t="s">
        <v>5781</v>
      </c>
      <c r="C3350" s="835" t="s">
        <v>5781</v>
      </c>
      <c r="D3350" s="835" t="s">
        <v>6108</v>
      </c>
      <c r="E3350" s="835">
        <v>100</v>
      </c>
      <c r="F3350" s="836">
        <v>39</v>
      </c>
      <c r="G3350" s="202" t="str">
        <f t="shared" si="51"/>
        <v/>
      </c>
    </row>
    <row r="3351" spans="1:7" s="172" customFormat="1" ht="15" customHeight="1" x14ac:dyDescent="0.25">
      <c r="A3351" s="835" t="s">
        <v>5861</v>
      </c>
      <c r="B3351" s="835" t="s">
        <v>5781</v>
      </c>
      <c r="C3351" s="835" t="s">
        <v>5781</v>
      </c>
      <c r="D3351" s="835" t="s">
        <v>5862</v>
      </c>
      <c r="E3351" s="835">
        <v>100</v>
      </c>
      <c r="F3351" s="836">
        <v>12</v>
      </c>
      <c r="G3351" s="202" t="str">
        <f t="shared" si="51"/>
        <v/>
      </c>
    </row>
    <row r="3352" spans="1:7" s="172" customFormat="1" ht="15" customHeight="1" x14ac:dyDescent="0.25">
      <c r="A3352" s="835" t="s">
        <v>5861</v>
      </c>
      <c r="B3352" s="835" t="s">
        <v>5781</v>
      </c>
      <c r="C3352" s="835" t="s">
        <v>5781</v>
      </c>
      <c r="D3352" s="835" t="s">
        <v>5865</v>
      </c>
      <c r="E3352" s="835">
        <v>250</v>
      </c>
      <c r="F3352" s="836">
        <v>132</v>
      </c>
      <c r="G3352" s="202" t="str">
        <f t="shared" si="51"/>
        <v/>
      </c>
    </row>
    <row r="3353" spans="1:7" s="172" customFormat="1" ht="15" customHeight="1" x14ac:dyDescent="0.25">
      <c r="A3353" s="835" t="s">
        <v>5987</v>
      </c>
      <c r="B3353" s="835" t="s">
        <v>5781</v>
      </c>
      <c r="C3353" s="835" t="s">
        <v>5781</v>
      </c>
      <c r="D3353" s="835" t="s">
        <v>5988</v>
      </c>
      <c r="E3353" s="835">
        <v>100</v>
      </c>
      <c r="F3353" s="836">
        <v>1</v>
      </c>
      <c r="G3353" s="202" t="str">
        <f t="shared" ref="G3353:G3416" si="52">IF(E3353=F3353,"не загружен","")</f>
        <v/>
      </c>
    </row>
    <row r="3354" spans="1:7" s="172" customFormat="1" ht="15" customHeight="1" x14ac:dyDescent="0.25">
      <c r="A3354" s="835" t="s">
        <v>6007</v>
      </c>
      <c r="B3354" s="835" t="s">
        <v>5781</v>
      </c>
      <c r="C3354" s="835" t="s">
        <v>5781</v>
      </c>
      <c r="D3354" s="835" t="s">
        <v>6008</v>
      </c>
      <c r="E3354" s="835">
        <v>40</v>
      </c>
      <c r="F3354" s="836">
        <v>2</v>
      </c>
      <c r="G3354" s="202" t="str">
        <f t="shared" si="52"/>
        <v/>
      </c>
    </row>
    <row r="3355" spans="1:7" s="172" customFormat="1" ht="15" customHeight="1" x14ac:dyDescent="0.25">
      <c r="A3355" s="835" t="s">
        <v>6033</v>
      </c>
      <c r="B3355" s="835" t="s">
        <v>5781</v>
      </c>
      <c r="C3355" s="835" t="s">
        <v>5781</v>
      </c>
      <c r="D3355" s="835" t="s">
        <v>6034</v>
      </c>
      <c r="E3355" s="835">
        <v>100</v>
      </c>
      <c r="F3355" s="836">
        <v>9</v>
      </c>
      <c r="G3355" s="202" t="str">
        <f t="shared" si="52"/>
        <v/>
      </c>
    </row>
    <row r="3356" spans="1:7" s="172" customFormat="1" ht="15" customHeight="1" x14ac:dyDescent="0.25">
      <c r="A3356" s="835" t="s">
        <v>5852</v>
      </c>
      <c r="B3356" s="835" t="s">
        <v>5781</v>
      </c>
      <c r="C3356" s="835" t="s">
        <v>5781</v>
      </c>
      <c r="D3356" s="835" t="s">
        <v>5853</v>
      </c>
      <c r="E3356" s="835">
        <v>160</v>
      </c>
      <c r="F3356" s="836">
        <v>18</v>
      </c>
      <c r="G3356" s="202" t="str">
        <f t="shared" si="52"/>
        <v/>
      </c>
    </row>
    <row r="3357" spans="1:7" s="172" customFormat="1" ht="15" customHeight="1" x14ac:dyDescent="0.25">
      <c r="A3357" s="835" t="s">
        <v>6089</v>
      </c>
      <c r="B3357" s="835" t="s">
        <v>5781</v>
      </c>
      <c r="C3357" s="835" t="s">
        <v>5781</v>
      </c>
      <c r="D3357" s="835" t="s">
        <v>6090</v>
      </c>
      <c r="E3357" s="835">
        <v>30</v>
      </c>
      <c r="F3357" s="836">
        <v>0</v>
      </c>
      <c r="G3357" s="202" t="str">
        <f t="shared" si="52"/>
        <v/>
      </c>
    </row>
    <row r="3358" spans="1:7" s="172" customFormat="1" ht="15" customHeight="1" x14ac:dyDescent="0.25">
      <c r="A3358" s="835" t="s">
        <v>12475</v>
      </c>
      <c r="B3358" s="835" t="s">
        <v>5781</v>
      </c>
      <c r="C3358" s="835" t="s">
        <v>5781</v>
      </c>
      <c r="D3358" s="835" t="s">
        <v>5981</v>
      </c>
      <c r="E3358" s="835">
        <v>160</v>
      </c>
      <c r="F3358" s="836">
        <v>0</v>
      </c>
      <c r="G3358" s="202" t="str">
        <f t="shared" si="52"/>
        <v/>
      </c>
    </row>
    <row r="3359" spans="1:7" s="172" customFormat="1" ht="15" customHeight="1" x14ac:dyDescent="0.25">
      <c r="A3359" s="835" t="s">
        <v>6042</v>
      </c>
      <c r="B3359" s="835" t="s">
        <v>5781</v>
      </c>
      <c r="C3359" s="835" t="s">
        <v>5781</v>
      </c>
      <c r="D3359" s="835" t="s">
        <v>6043</v>
      </c>
      <c r="E3359" s="835">
        <v>100</v>
      </c>
      <c r="F3359" s="836">
        <v>63</v>
      </c>
      <c r="G3359" s="202" t="str">
        <f t="shared" si="52"/>
        <v/>
      </c>
    </row>
    <row r="3360" spans="1:7" s="172" customFormat="1" ht="15" customHeight="1" x14ac:dyDescent="0.25">
      <c r="A3360" s="835" t="s">
        <v>6042</v>
      </c>
      <c r="B3360" s="835" t="s">
        <v>5781</v>
      </c>
      <c r="C3360" s="835" t="s">
        <v>5781</v>
      </c>
      <c r="D3360" s="835" t="s">
        <v>6044</v>
      </c>
      <c r="E3360" s="835">
        <v>500</v>
      </c>
      <c r="F3360" s="836">
        <v>219</v>
      </c>
      <c r="G3360" s="202" t="str">
        <f t="shared" si="52"/>
        <v/>
      </c>
    </row>
    <row r="3361" spans="1:7" s="172" customFormat="1" ht="15" customHeight="1" x14ac:dyDescent="0.25">
      <c r="A3361" s="835" t="s">
        <v>6042</v>
      </c>
      <c r="B3361" s="835" t="s">
        <v>5781</v>
      </c>
      <c r="C3361" s="835" t="s">
        <v>5781</v>
      </c>
      <c r="D3361" s="835" t="s">
        <v>6045</v>
      </c>
      <c r="E3361" s="835">
        <v>100</v>
      </c>
      <c r="F3361" s="836">
        <v>80</v>
      </c>
      <c r="G3361" s="202" t="str">
        <f t="shared" si="52"/>
        <v/>
      </c>
    </row>
    <row r="3362" spans="1:7" s="172" customFormat="1" ht="15" customHeight="1" x14ac:dyDescent="0.25">
      <c r="A3362" s="835" t="s">
        <v>6042</v>
      </c>
      <c r="B3362" s="835" t="s">
        <v>5781</v>
      </c>
      <c r="C3362" s="835" t="s">
        <v>5781</v>
      </c>
      <c r="D3362" s="835" t="s">
        <v>6046</v>
      </c>
      <c r="E3362" s="835">
        <v>250</v>
      </c>
      <c r="F3362" s="836">
        <v>134</v>
      </c>
      <c r="G3362" s="202" t="str">
        <f t="shared" si="52"/>
        <v/>
      </c>
    </row>
    <row r="3363" spans="1:7" s="172" customFormat="1" ht="15" customHeight="1" x14ac:dyDescent="0.25">
      <c r="A3363" s="835" t="s">
        <v>6042</v>
      </c>
      <c r="B3363" s="835" t="s">
        <v>5781</v>
      </c>
      <c r="C3363" s="835" t="s">
        <v>5781</v>
      </c>
      <c r="D3363" s="835" t="s">
        <v>6051</v>
      </c>
      <c r="E3363" s="835">
        <v>250</v>
      </c>
      <c r="F3363" s="836">
        <v>49</v>
      </c>
      <c r="G3363" s="202" t="str">
        <f t="shared" si="52"/>
        <v/>
      </c>
    </row>
    <row r="3364" spans="1:7" s="172" customFormat="1" ht="15" customHeight="1" x14ac:dyDescent="0.25">
      <c r="A3364" s="835" t="s">
        <v>6042</v>
      </c>
      <c r="B3364" s="835" t="s">
        <v>5781</v>
      </c>
      <c r="C3364" s="835" t="s">
        <v>5781</v>
      </c>
      <c r="D3364" s="835" t="s">
        <v>6052</v>
      </c>
      <c r="E3364" s="835">
        <v>250</v>
      </c>
      <c r="F3364" s="836">
        <v>177</v>
      </c>
      <c r="G3364" s="202" t="str">
        <f t="shared" si="52"/>
        <v/>
      </c>
    </row>
    <row r="3365" spans="1:7" s="172" customFormat="1" ht="15" customHeight="1" x14ac:dyDescent="0.25">
      <c r="A3365" s="835" t="s">
        <v>5672</v>
      </c>
      <c r="B3365" s="835" t="s">
        <v>5781</v>
      </c>
      <c r="C3365" s="835" t="s">
        <v>5781</v>
      </c>
      <c r="D3365" s="835" t="s">
        <v>5875</v>
      </c>
      <c r="E3365" s="835">
        <v>100</v>
      </c>
      <c r="F3365" s="836">
        <v>10</v>
      </c>
      <c r="G3365" s="202" t="str">
        <f t="shared" si="52"/>
        <v/>
      </c>
    </row>
    <row r="3366" spans="1:7" s="172" customFormat="1" ht="15" customHeight="1" x14ac:dyDescent="0.25">
      <c r="A3366" s="835" t="s">
        <v>6279</v>
      </c>
      <c r="B3366" s="835" t="s">
        <v>5781</v>
      </c>
      <c r="C3366" s="835" t="s">
        <v>5781</v>
      </c>
      <c r="D3366" s="835" t="s">
        <v>6280</v>
      </c>
      <c r="E3366" s="835">
        <v>160</v>
      </c>
      <c r="F3366" s="836">
        <v>45</v>
      </c>
      <c r="G3366" s="202" t="str">
        <f t="shared" si="52"/>
        <v/>
      </c>
    </row>
    <row r="3367" spans="1:7" s="172" customFormat="1" ht="15" customHeight="1" x14ac:dyDescent="0.25">
      <c r="A3367" s="835" t="s">
        <v>6279</v>
      </c>
      <c r="B3367" s="835" t="s">
        <v>5781</v>
      </c>
      <c r="C3367" s="835" t="s">
        <v>5781</v>
      </c>
      <c r="D3367" s="835" t="s">
        <v>6281</v>
      </c>
      <c r="E3367" s="835">
        <v>250</v>
      </c>
      <c r="F3367" s="836">
        <v>20</v>
      </c>
      <c r="G3367" s="202" t="str">
        <f t="shared" si="52"/>
        <v/>
      </c>
    </row>
    <row r="3368" spans="1:7" s="172" customFormat="1" ht="15" customHeight="1" x14ac:dyDescent="0.25">
      <c r="A3368" s="835" t="s">
        <v>6060</v>
      </c>
      <c r="B3368" s="835" t="s">
        <v>5781</v>
      </c>
      <c r="C3368" s="835" t="s">
        <v>5781</v>
      </c>
      <c r="D3368" s="835" t="s">
        <v>6061</v>
      </c>
      <c r="E3368" s="835">
        <v>100</v>
      </c>
      <c r="F3368" s="836">
        <v>12</v>
      </c>
      <c r="G3368" s="202" t="str">
        <f t="shared" si="52"/>
        <v/>
      </c>
    </row>
    <row r="3369" spans="1:7" s="172" customFormat="1" ht="15" customHeight="1" x14ac:dyDescent="0.25">
      <c r="A3369" s="835" t="s">
        <v>5632</v>
      </c>
      <c r="B3369" s="835" t="s">
        <v>5781</v>
      </c>
      <c r="C3369" s="835" t="s">
        <v>5781</v>
      </c>
      <c r="D3369" s="835" t="s">
        <v>6133</v>
      </c>
      <c r="E3369" s="835">
        <v>20</v>
      </c>
      <c r="F3369" s="836">
        <v>2</v>
      </c>
      <c r="G3369" s="202" t="str">
        <f t="shared" si="52"/>
        <v/>
      </c>
    </row>
    <row r="3370" spans="1:7" s="172" customFormat="1" ht="15" customHeight="1" x14ac:dyDescent="0.25">
      <c r="A3370" s="835" t="s">
        <v>5887</v>
      </c>
      <c r="B3370" s="835" t="s">
        <v>5781</v>
      </c>
      <c r="C3370" s="835" t="s">
        <v>5781</v>
      </c>
      <c r="D3370" s="835" t="s">
        <v>5888</v>
      </c>
      <c r="E3370" s="835">
        <v>100</v>
      </c>
      <c r="F3370" s="836">
        <v>0</v>
      </c>
      <c r="G3370" s="202" t="str">
        <f t="shared" si="52"/>
        <v/>
      </c>
    </row>
    <row r="3371" spans="1:7" s="172" customFormat="1" ht="15" customHeight="1" x14ac:dyDescent="0.25">
      <c r="A3371" s="835" t="s">
        <v>3691</v>
      </c>
      <c r="B3371" s="835" t="s">
        <v>5781</v>
      </c>
      <c r="C3371" s="835" t="s">
        <v>5781</v>
      </c>
      <c r="D3371" s="835" t="s">
        <v>6119</v>
      </c>
      <c r="E3371" s="835">
        <v>63</v>
      </c>
      <c r="F3371" s="836">
        <v>0</v>
      </c>
      <c r="G3371" s="202" t="str">
        <f t="shared" si="52"/>
        <v/>
      </c>
    </row>
    <row r="3372" spans="1:7" s="172" customFormat="1" ht="15" customHeight="1" x14ac:dyDescent="0.25">
      <c r="A3372" s="835" t="s">
        <v>3470</v>
      </c>
      <c r="B3372" s="835" t="s">
        <v>5781</v>
      </c>
      <c r="C3372" s="835" t="s">
        <v>5781</v>
      </c>
      <c r="D3372" s="835" t="s">
        <v>6006</v>
      </c>
      <c r="E3372" s="835">
        <v>100</v>
      </c>
      <c r="F3372" s="836">
        <v>0</v>
      </c>
      <c r="G3372" s="202" t="str">
        <f t="shared" si="52"/>
        <v/>
      </c>
    </row>
    <row r="3373" spans="1:7" s="172" customFormat="1" ht="15" customHeight="1" x14ac:dyDescent="0.25">
      <c r="A3373" s="835" t="s">
        <v>3470</v>
      </c>
      <c r="B3373" s="835" t="s">
        <v>5781</v>
      </c>
      <c r="C3373" s="835" t="s">
        <v>5781</v>
      </c>
      <c r="D3373" s="835" t="s">
        <v>6015</v>
      </c>
      <c r="E3373" s="835">
        <v>250</v>
      </c>
      <c r="F3373" s="836">
        <v>51</v>
      </c>
      <c r="G3373" s="202" t="str">
        <f t="shared" si="52"/>
        <v/>
      </c>
    </row>
    <row r="3374" spans="1:7" s="172" customFormat="1" ht="15" customHeight="1" x14ac:dyDescent="0.25">
      <c r="A3374" s="835" t="s">
        <v>5877</v>
      </c>
      <c r="B3374" s="835" t="s">
        <v>5781</v>
      </c>
      <c r="C3374" s="835" t="s">
        <v>5781</v>
      </c>
      <c r="D3374" s="835" t="s">
        <v>5878</v>
      </c>
      <c r="E3374" s="835">
        <v>100</v>
      </c>
      <c r="F3374" s="836">
        <v>0</v>
      </c>
      <c r="G3374" s="202" t="str">
        <f t="shared" si="52"/>
        <v/>
      </c>
    </row>
    <row r="3375" spans="1:7" s="172" customFormat="1" ht="15" customHeight="1" x14ac:dyDescent="0.25">
      <c r="A3375" s="835" t="s">
        <v>5877</v>
      </c>
      <c r="B3375" s="835" t="s">
        <v>5781</v>
      </c>
      <c r="C3375" s="835" t="s">
        <v>5781</v>
      </c>
      <c r="D3375" s="835" t="s">
        <v>5879</v>
      </c>
      <c r="E3375" s="835">
        <v>160</v>
      </c>
      <c r="F3375" s="836">
        <v>35</v>
      </c>
      <c r="G3375" s="202" t="str">
        <f t="shared" si="52"/>
        <v/>
      </c>
    </row>
    <row r="3376" spans="1:7" s="172" customFormat="1" ht="15" customHeight="1" x14ac:dyDescent="0.25">
      <c r="A3376" s="835" t="s">
        <v>5844</v>
      </c>
      <c r="B3376" s="835" t="s">
        <v>5781</v>
      </c>
      <c r="C3376" s="835" t="s">
        <v>5781</v>
      </c>
      <c r="D3376" s="835" t="s">
        <v>5845</v>
      </c>
      <c r="E3376" s="835">
        <v>100</v>
      </c>
      <c r="F3376" s="836">
        <v>10</v>
      </c>
      <c r="G3376" s="202" t="str">
        <f t="shared" si="52"/>
        <v/>
      </c>
    </row>
    <row r="3377" spans="1:7" s="172" customFormat="1" ht="15" customHeight="1" x14ac:dyDescent="0.25">
      <c r="A3377" s="835" t="s">
        <v>5946</v>
      </c>
      <c r="B3377" s="835" t="s">
        <v>5781</v>
      </c>
      <c r="C3377" s="835" t="s">
        <v>5781</v>
      </c>
      <c r="D3377" s="835" t="s">
        <v>5947</v>
      </c>
      <c r="E3377" s="835">
        <v>100</v>
      </c>
      <c r="F3377" s="836">
        <v>0</v>
      </c>
      <c r="G3377" s="202" t="str">
        <f t="shared" si="52"/>
        <v/>
      </c>
    </row>
    <row r="3378" spans="1:7" s="172" customFormat="1" ht="15" customHeight="1" x14ac:dyDescent="0.25">
      <c r="A3378" s="835" t="s">
        <v>5902</v>
      </c>
      <c r="B3378" s="835" t="s">
        <v>5781</v>
      </c>
      <c r="C3378" s="835" t="s">
        <v>5781</v>
      </c>
      <c r="D3378" s="835" t="s">
        <v>5903</v>
      </c>
      <c r="E3378" s="835">
        <v>100</v>
      </c>
      <c r="F3378" s="836">
        <v>0</v>
      </c>
      <c r="G3378" s="202" t="str">
        <f t="shared" si="52"/>
        <v/>
      </c>
    </row>
    <row r="3379" spans="1:7" s="172" customFormat="1" ht="15" customHeight="1" x14ac:dyDescent="0.25">
      <c r="A3379" s="835" t="s">
        <v>6256</v>
      </c>
      <c r="B3379" s="835" t="s">
        <v>5781</v>
      </c>
      <c r="C3379" s="835" t="s">
        <v>5781</v>
      </c>
      <c r="D3379" s="835" t="s">
        <v>6257</v>
      </c>
      <c r="E3379" s="835">
        <v>30</v>
      </c>
      <c r="F3379" s="836">
        <v>15</v>
      </c>
      <c r="G3379" s="202" t="str">
        <f t="shared" si="52"/>
        <v/>
      </c>
    </row>
    <row r="3380" spans="1:7" s="172" customFormat="1" ht="15" customHeight="1" x14ac:dyDescent="0.25">
      <c r="A3380" s="835" t="s">
        <v>6228</v>
      </c>
      <c r="B3380" s="835" t="s">
        <v>5781</v>
      </c>
      <c r="C3380" s="835" t="s">
        <v>5781</v>
      </c>
      <c r="D3380" s="835" t="s">
        <v>6229</v>
      </c>
      <c r="E3380" s="835">
        <v>60</v>
      </c>
      <c r="F3380" s="836">
        <v>12</v>
      </c>
      <c r="G3380" s="202" t="str">
        <f t="shared" si="52"/>
        <v/>
      </c>
    </row>
    <row r="3381" spans="1:7" s="172" customFormat="1" ht="15" customHeight="1" x14ac:dyDescent="0.25">
      <c r="A3381" s="835" t="s">
        <v>5934</v>
      </c>
      <c r="B3381" s="835" t="s">
        <v>5781</v>
      </c>
      <c r="C3381" s="835" t="s">
        <v>5781</v>
      </c>
      <c r="D3381" s="835" t="s">
        <v>5935</v>
      </c>
      <c r="E3381" s="835">
        <v>40</v>
      </c>
      <c r="F3381" s="836">
        <v>8</v>
      </c>
      <c r="G3381" s="202" t="str">
        <f t="shared" si="52"/>
        <v/>
      </c>
    </row>
    <row r="3382" spans="1:7" s="172" customFormat="1" ht="15" customHeight="1" x14ac:dyDescent="0.25">
      <c r="A3382" s="835" t="s">
        <v>2829</v>
      </c>
      <c r="B3382" s="835" t="s">
        <v>5781</v>
      </c>
      <c r="C3382" s="835" t="s">
        <v>5781</v>
      </c>
      <c r="D3382" s="835" t="s">
        <v>5966</v>
      </c>
      <c r="E3382" s="835">
        <v>63</v>
      </c>
      <c r="F3382" s="836">
        <v>23</v>
      </c>
      <c r="G3382" s="202" t="str">
        <f t="shared" si="52"/>
        <v/>
      </c>
    </row>
    <row r="3383" spans="1:7" s="172" customFormat="1" ht="15" customHeight="1" x14ac:dyDescent="0.25">
      <c r="A3383" s="835" t="s">
        <v>5796</v>
      </c>
      <c r="B3383" s="835" t="s">
        <v>5781</v>
      </c>
      <c r="C3383" s="835" t="s">
        <v>5781</v>
      </c>
      <c r="D3383" s="835" t="s">
        <v>5797</v>
      </c>
      <c r="E3383" s="835">
        <v>160</v>
      </c>
      <c r="F3383" s="836">
        <v>0</v>
      </c>
      <c r="G3383" s="202" t="str">
        <f t="shared" si="52"/>
        <v/>
      </c>
    </row>
    <row r="3384" spans="1:7" s="172" customFormat="1" ht="15" customHeight="1" x14ac:dyDescent="0.25">
      <c r="A3384" s="835" t="s">
        <v>5796</v>
      </c>
      <c r="B3384" s="835" t="s">
        <v>5781</v>
      </c>
      <c r="C3384" s="835" t="s">
        <v>5781</v>
      </c>
      <c r="D3384" s="835" t="s">
        <v>5803</v>
      </c>
      <c r="E3384" s="835">
        <v>100</v>
      </c>
      <c r="F3384" s="836">
        <v>3</v>
      </c>
      <c r="G3384" s="202" t="str">
        <f t="shared" si="52"/>
        <v/>
      </c>
    </row>
    <row r="3385" spans="1:7" s="172" customFormat="1" ht="15" customHeight="1" x14ac:dyDescent="0.25">
      <c r="A3385" s="835" t="s">
        <v>12466</v>
      </c>
      <c r="B3385" s="835" t="s">
        <v>5781</v>
      </c>
      <c r="C3385" s="835" t="s">
        <v>5781</v>
      </c>
      <c r="D3385" s="835" t="s">
        <v>5896</v>
      </c>
      <c r="E3385" s="835">
        <v>160</v>
      </c>
      <c r="F3385" s="836">
        <v>79</v>
      </c>
      <c r="G3385" s="202" t="str">
        <f t="shared" si="52"/>
        <v/>
      </c>
    </row>
    <row r="3386" spans="1:7" s="172" customFormat="1" ht="15" customHeight="1" x14ac:dyDescent="0.25">
      <c r="A3386" s="835" t="s">
        <v>6013</v>
      </c>
      <c r="B3386" s="835" t="s">
        <v>5781</v>
      </c>
      <c r="C3386" s="835" t="s">
        <v>5781</v>
      </c>
      <c r="D3386" s="835" t="s">
        <v>6014</v>
      </c>
      <c r="E3386" s="835">
        <v>40</v>
      </c>
      <c r="F3386" s="836">
        <v>10</v>
      </c>
      <c r="G3386" s="202" t="str">
        <f t="shared" si="52"/>
        <v/>
      </c>
    </row>
    <row r="3387" spans="1:7" s="172" customFormat="1" ht="15" customHeight="1" x14ac:dyDescent="0.25">
      <c r="A3387" s="835" t="s">
        <v>12495</v>
      </c>
      <c r="B3387" s="835" t="s">
        <v>5781</v>
      </c>
      <c r="C3387" s="835" t="s">
        <v>5781</v>
      </c>
      <c r="D3387" s="835" t="s">
        <v>6238</v>
      </c>
      <c r="E3387" s="835">
        <v>250</v>
      </c>
      <c r="F3387" s="836">
        <v>3</v>
      </c>
      <c r="G3387" s="202" t="str">
        <f t="shared" si="52"/>
        <v/>
      </c>
    </row>
    <row r="3388" spans="1:7" s="172" customFormat="1" ht="15" customHeight="1" x14ac:dyDescent="0.25">
      <c r="A3388" s="835" t="s">
        <v>6016</v>
      </c>
      <c r="B3388" s="835" t="s">
        <v>5781</v>
      </c>
      <c r="C3388" s="835" t="s">
        <v>5781</v>
      </c>
      <c r="D3388" s="835" t="s">
        <v>6017</v>
      </c>
      <c r="E3388" s="835">
        <v>40</v>
      </c>
      <c r="F3388" s="836">
        <v>24</v>
      </c>
      <c r="G3388" s="202" t="str">
        <f t="shared" si="52"/>
        <v/>
      </c>
    </row>
    <row r="3389" spans="1:7" s="172" customFormat="1" ht="15" customHeight="1" x14ac:dyDescent="0.25">
      <c r="A3389" s="835" t="s">
        <v>3063</v>
      </c>
      <c r="B3389" s="835" t="s">
        <v>5781</v>
      </c>
      <c r="C3389" s="835" t="s">
        <v>5781</v>
      </c>
      <c r="D3389" s="835" t="s">
        <v>6272</v>
      </c>
      <c r="E3389" s="835">
        <v>60</v>
      </c>
      <c r="F3389" s="836">
        <v>0</v>
      </c>
      <c r="G3389" s="202" t="str">
        <f t="shared" si="52"/>
        <v/>
      </c>
    </row>
    <row r="3390" spans="1:7" s="172" customFormat="1" ht="15" customHeight="1" x14ac:dyDescent="0.25">
      <c r="A3390" s="835" t="s">
        <v>2980</v>
      </c>
      <c r="B3390" s="835" t="s">
        <v>5781</v>
      </c>
      <c r="C3390" s="835" t="s">
        <v>5781</v>
      </c>
      <c r="D3390" s="835" t="s">
        <v>6265</v>
      </c>
      <c r="E3390" s="835">
        <v>30</v>
      </c>
      <c r="F3390" s="836">
        <v>2</v>
      </c>
      <c r="G3390" s="202" t="str">
        <f t="shared" si="52"/>
        <v/>
      </c>
    </row>
    <row r="3391" spans="1:7" s="172" customFormat="1" ht="15" customHeight="1" x14ac:dyDescent="0.25">
      <c r="A3391" s="835" t="s">
        <v>6082</v>
      </c>
      <c r="B3391" s="835" t="s">
        <v>5781</v>
      </c>
      <c r="C3391" s="835" t="s">
        <v>5781</v>
      </c>
      <c r="D3391" s="835" t="s">
        <v>6083</v>
      </c>
      <c r="E3391" s="835">
        <v>250</v>
      </c>
      <c r="F3391" s="836">
        <v>30</v>
      </c>
      <c r="G3391" s="202" t="str">
        <f t="shared" si="52"/>
        <v/>
      </c>
    </row>
    <row r="3392" spans="1:7" s="172" customFormat="1" ht="15" customHeight="1" x14ac:dyDescent="0.25">
      <c r="A3392" s="835" t="s">
        <v>5955</v>
      </c>
      <c r="B3392" s="835" t="s">
        <v>5781</v>
      </c>
      <c r="C3392" s="835" t="s">
        <v>5781</v>
      </c>
      <c r="D3392" s="835" t="s">
        <v>5956</v>
      </c>
      <c r="E3392" s="835">
        <v>40</v>
      </c>
      <c r="F3392" s="836">
        <v>7</v>
      </c>
      <c r="G3392" s="202" t="str">
        <f t="shared" si="52"/>
        <v/>
      </c>
    </row>
    <row r="3393" spans="1:7" s="172" customFormat="1" ht="15" customHeight="1" x14ac:dyDescent="0.25">
      <c r="A3393" s="835" t="s">
        <v>12456</v>
      </c>
      <c r="B3393" s="835" t="s">
        <v>5781</v>
      </c>
      <c r="C3393" s="835" t="s">
        <v>5781</v>
      </c>
      <c r="D3393" s="835" t="s">
        <v>5795</v>
      </c>
      <c r="E3393" s="835">
        <v>100</v>
      </c>
      <c r="F3393" s="836">
        <v>0</v>
      </c>
      <c r="G3393" s="202" t="str">
        <f t="shared" si="52"/>
        <v/>
      </c>
    </row>
    <row r="3394" spans="1:7" s="172" customFormat="1" ht="15" customHeight="1" x14ac:dyDescent="0.25">
      <c r="A3394" s="835" t="s">
        <v>6230</v>
      </c>
      <c r="B3394" s="835" t="s">
        <v>5781</v>
      </c>
      <c r="C3394" s="835" t="s">
        <v>5781</v>
      </c>
      <c r="D3394" s="835" t="s">
        <v>6231</v>
      </c>
      <c r="E3394" s="835">
        <v>400</v>
      </c>
      <c r="F3394" s="836">
        <v>249</v>
      </c>
      <c r="G3394" s="202" t="str">
        <f t="shared" si="52"/>
        <v/>
      </c>
    </row>
    <row r="3395" spans="1:7" s="172" customFormat="1" ht="15" customHeight="1" x14ac:dyDescent="0.25">
      <c r="A3395" s="835" t="s">
        <v>6230</v>
      </c>
      <c r="B3395" s="835" t="s">
        <v>5781</v>
      </c>
      <c r="C3395" s="835" t="s">
        <v>5781</v>
      </c>
      <c r="D3395" s="835" t="s">
        <v>6232</v>
      </c>
      <c r="E3395" s="835">
        <v>250</v>
      </c>
      <c r="F3395" s="836">
        <v>141</v>
      </c>
      <c r="G3395" s="202" t="str">
        <f t="shared" si="52"/>
        <v/>
      </c>
    </row>
    <row r="3396" spans="1:7" s="172" customFormat="1" ht="15" customHeight="1" x14ac:dyDescent="0.25">
      <c r="A3396" s="835" t="s">
        <v>6230</v>
      </c>
      <c r="B3396" s="835" t="s">
        <v>5781</v>
      </c>
      <c r="C3396" s="835" t="s">
        <v>5781</v>
      </c>
      <c r="D3396" s="835" t="s">
        <v>6234</v>
      </c>
      <c r="E3396" s="835">
        <v>400</v>
      </c>
      <c r="F3396" s="836">
        <v>274</v>
      </c>
      <c r="G3396" s="202" t="str">
        <f t="shared" si="52"/>
        <v/>
      </c>
    </row>
    <row r="3397" spans="1:7" s="172" customFormat="1" ht="15" customHeight="1" x14ac:dyDescent="0.25">
      <c r="A3397" s="835" t="s">
        <v>5787</v>
      </c>
      <c r="B3397" s="835" t="s">
        <v>5781</v>
      </c>
      <c r="C3397" s="835" t="s">
        <v>5781</v>
      </c>
      <c r="D3397" s="835" t="s">
        <v>5788</v>
      </c>
      <c r="E3397" s="835">
        <v>100</v>
      </c>
      <c r="F3397" s="836">
        <v>26</v>
      </c>
      <c r="G3397" s="202" t="str">
        <f t="shared" si="52"/>
        <v/>
      </c>
    </row>
    <row r="3398" spans="1:7" s="172" customFormat="1" ht="15" customHeight="1" x14ac:dyDescent="0.25">
      <c r="A3398" s="835" t="s">
        <v>6162</v>
      </c>
      <c r="B3398" s="835" t="s">
        <v>5781</v>
      </c>
      <c r="C3398" s="835" t="s">
        <v>5781</v>
      </c>
      <c r="D3398" s="835" t="s">
        <v>6163</v>
      </c>
      <c r="E3398" s="835">
        <v>30</v>
      </c>
      <c r="F3398" s="836">
        <v>2</v>
      </c>
      <c r="G3398" s="202" t="str">
        <f t="shared" si="52"/>
        <v/>
      </c>
    </row>
    <row r="3399" spans="1:7" s="172" customFormat="1" ht="15" customHeight="1" x14ac:dyDescent="0.25">
      <c r="A3399" s="835" t="s">
        <v>12497</v>
      </c>
      <c r="B3399" s="835" t="s">
        <v>5781</v>
      </c>
      <c r="C3399" s="835" t="s">
        <v>5781</v>
      </c>
      <c r="D3399" s="835" t="s">
        <v>6251</v>
      </c>
      <c r="E3399" s="835">
        <v>100</v>
      </c>
      <c r="F3399" s="836">
        <v>24</v>
      </c>
      <c r="G3399" s="202" t="str">
        <f t="shared" si="52"/>
        <v/>
      </c>
    </row>
    <row r="3400" spans="1:7" s="172" customFormat="1" ht="15" customHeight="1" x14ac:dyDescent="0.25">
      <c r="A3400" s="835" t="s">
        <v>5998</v>
      </c>
      <c r="B3400" s="835" t="s">
        <v>5781</v>
      </c>
      <c r="C3400" s="835" t="s">
        <v>5781</v>
      </c>
      <c r="D3400" s="835" t="s">
        <v>5999</v>
      </c>
      <c r="E3400" s="835">
        <v>250</v>
      </c>
      <c r="F3400" s="836">
        <v>240</v>
      </c>
      <c r="G3400" s="202" t="str">
        <f t="shared" si="52"/>
        <v/>
      </c>
    </row>
    <row r="3401" spans="1:7" s="172" customFormat="1" ht="15" customHeight="1" x14ac:dyDescent="0.25">
      <c r="A3401" s="835" t="s">
        <v>5998</v>
      </c>
      <c r="B3401" s="835" t="s">
        <v>5781</v>
      </c>
      <c r="C3401" s="835" t="s">
        <v>5781</v>
      </c>
      <c r="D3401" s="835" t="s">
        <v>6077</v>
      </c>
      <c r="E3401" s="835">
        <v>250</v>
      </c>
      <c r="F3401" s="836">
        <v>142</v>
      </c>
      <c r="G3401" s="202" t="str">
        <f t="shared" si="52"/>
        <v/>
      </c>
    </row>
    <row r="3402" spans="1:7" s="172" customFormat="1" ht="15" customHeight="1" x14ac:dyDescent="0.25">
      <c r="A3402" s="835" t="s">
        <v>5998</v>
      </c>
      <c r="B3402" s="835" t="s">
        <v>5781</v>
      </c>
      <c r="C3402" s="835" t="s">
        <v>5781</v>
      </c>
      <c r="D3402" s="835" t="s">
        <v>6078</v>
      </c>
      <c r="E3402" s="835">
        <v>160</v>
      </c>
      <c r="F3402" s="836">
        <v>89</v>
      </c>
      <c r="G3402" s="202" t="str">
        <f t="shared" si="52"/>
        <v/>
      </c>
    </row>
    <row r="3403" spans="1:7" s="172" customFormat="1" ht="15" customHeight="1" x14ac:dyDescent="0.25">
      <c r="A3403" s="835" t="s">
        <v>5998</v>
      </c>
      <c r="B3403" s="835" t="s">
        <v>5781</v>
      </c>
      <c r="C3403" s="835" t="s">
        <v>5781</v>
      </c>
      <c r="D3403" s="835" t="s">
        <v>6086</v>
      </c>
      <c r="E3403" s="835">
        <v>250</v>
      </c>
      <c r="F3403" s="836">
        <v>4</v>
      </c>
      <c r="G3403" s="202" t="str">
        <f t="shared" si="52"/>
        <v/>
      </c>
    </row>
    <row r="3404" spans="1:7" s="172" customFormat="1" ht="15" customHeight="1" x14ac:dyDescent="0.25">
      <c r="A3404" s="835" t="s">
        <v>5998</v>
      </c>
      <c r="B3404" s="835" t="s">
        <v>5781</v>
      </c>
      <c r="C3404" s="835" t="s">
        <v>5781</v>
      </c>
      <c r="D3404" s="835" t="s">
        <v>6087</v>
      </c>
      <c r="E3404" s="835">
        <v>160</v>
      </c>
      <c r="F3404" s="836">
        <v>56</v>
      </c>
      <c r="G3404" s="202" t="str">
        <f t="shared" si="52"/>
        <v/>
      </c>
    </row>
    <row r="3405" spans="1:7" s="172" customFormat="1" ht="15" customHeight="1" x14ac:dyDescent="0.25">
      <c r="A3405" s="835" t="s">
        <v>5998</v>
      </c>
      <c r="B3405" s="835" t="s">
        <v>5781</v>
      </c>
      <c r="C3405" s="835" t="s">
        <v>5781</v>
      </c>
      <c r="D3405" s="835" t="s">
        <v>6088</v>
      </c>
      <c r="E3405" s="835">
        <v>400</v>
      </c>
      <c r="F3405" s="836">
        <v>221</v>
      </c>
      <c r="G3405" s="202" t="str">
        <f t="shared" si="52"/>
        <v/>
      </c>
    </row>
    <row r="3406" spans="1:7" s="172" customFormat="1" ht="15" customHeight="1" x14ac:dyDescent="0.25">
      <c r="A3406" s="835" t="s">
        <v>5849</v>
      </c>
      <c r="B3406" s="835" t="s">
        <v>5781</v>
      </c>
      <c r="C3406" s="835" t="s">
        <v>5781</v>
      </c>
      <c r="D3406" s="835" t="s">
        <v>5850</v>
      </c>
      <c r="E3406" s="835">
        <v>60</v>
      </c>
      <c r="F3406" s="836">
        <v>9</v>
      </c>
      <c r="G3406" s="202" t="str">
        <f t="shared" si="52"/>
        <v/>
      </c>
    </row>
    <row r="3407" spans="1:7" s="172" customFormat="1" ht="15" customHeight="1" x14ac:dyDescent="0.25">
      <c r="A3407" s="835" t="s">
        <v>5849</v>
      </c>
      <c r="B3407" s="835" t="s">
        <v>5781</v>
      </c>
      <c r="C3407" s="835" t="s">
        <v>5781</v>
      </c>
      <c r="D3407" s="835" t="s">
        <v>5851</v>
      </c>
      <c r="E3407" s="835">
        <v>160</v>
      </c>
      <c r="F3407" s="836">
        <v>12</v>
      </c>
      <c r="G3407" s="202" t="str">
        <f t="shared" si="52"/>
        <v/>
      </c>
    </row>
    <row r="3408" spans="1:7" s="172" customFormat="1" ht="15" customHeight="1" x14ac:dyDescent="0.25">
      <c r="A3408" s="835" t="s">
        <v>5849</v>
      </c>
      <c r="B3408" s="835" t="s">
        <v>5781</v>
      </c>
      <c r="C3408" s="835" t="s">
        <v>5781</v>
      </c>
      <c r="D3408" s="835" t="s">
        <v>5868</v>
      </c>
      <c r="E3408" s="835">
        <v>250</v>
      </c>
      <c r="F3408" s="836">
        <v>0</v>
      </c>
      <c r="G3408" s="202" t="str">
        <f t="shared" si="52"/>
        <v/>
      </c>
    </row>
    <row r="3409" spans="1:7" s="172" customFormat="1" ht="15" customHeight="1" x14ac:dyDescent="0.25">
      <c r="A3409" s="835" t="s">
        <v>5849</v>
      </c>
      <c r="B3409" s="835" t="s">
        <v>5781</v>
      </c>
      <c r="C3409" s="835" t="s">
        <v>5781</v>
      </c>
      <c r="D3409" s="835" t="s">
        <v>5872</v>
      </c>
      <c r="E3409" s="835">
        <v>250</v>
      </c>
      <c r="F3409" s="836">
        <v>2</v>
      </c>
      <c r="G3409" s="202" t="str">
        <f t="shared" si="52"/>
        <v/>
      </c>
    </row>
    <row r="3410" spans="1:7" s="172" customFormat="1" ht="15" customHeight="1" x14ac:dyDescent="0.25">
      <c r="A3410" s="835" t="s">
        <v>5849</v>
      </c>
      <c r="B3410" s="835" t="s">
        <v>5781</v>
      </c>
      <c r="C3410" s="835" t="s">
        <v>5781</v>
      </c>
      <c r="D3410" s="835" t="s">
        <v>5876</v>
      </c>
      <c r="E3410" s="835">
        <v>100</v>
      </c>
      <c r="F3410" s="836">
        <v>3</v>
      </c>
      <c r="G3410" s="202" t="str">
        <f t="shared" si="52"/>
        <v/>
      </c>
    </row>
    <row r="3411" spans="1:7" s="172" customFormat="1" ht="15" customHeight="1" x14ac:dyDescent="0.25">
      <c r="A3411" s="835" t="s">
        <v>5849</v>
      </c>
      <c r="B3411" s="835" t="s">
        <v>5781</v>
      </c>
      <c r="C3411" s="835" t="s">
        <v>5781</v>
      </c>
      <c r="D3411" s="835" t="s">
        <v>5880</v>
      </c>
      <c r="E3411" s="835">
        <v>160</v>
      </c>
      <c r="F3411" s="836">
        <v>10</v>
      </c>
      <c r="G3411" s="202" t="str">
        <f t="shared" si="52"/>
        <v/>
      </c>
    </row>
    <row r="3412" spans="1:7" s="172" customFormat="1" ht="15" customHeight="1" x14ac:dyDescent="0.25">
      <c r="A3412" s="835" t="s">
        <v>5849</v>
      </c>
      <c r="B3412" s="835" t="s">
        <v>5781</v>
      </c>
      <c r="C3412" s="835" t="s">
        <v>5781</v>
      </c>
      <c r="D3412" s="835" t="s">
        <v>5881</v>
      </c>
      <c r="E3412" s="835">
        <v>250</v>
      </c>
      <c r="F3412" s="836">
        <v>173</v>
      </c>
      <c r="G3412" s="202" t="str">
        <f t="shared" si="52"/>
        <v/>
      </c>
    </row>
    <row r="3413" spans="1:7" s="172" customFormat="1" ht="15" customHeight="1" x14ac:dyDescent="0.25">
      <c r="A3413" s="835" t="s">
        <v>5849</v>
      </c>
      <c r="B3413" s="835" t="s">
        <v>5781</v>
      </c>
      <c r="C3413" s="835" t="s">
        <v>5781</v>
      </c>
      <c r="D3413" s="835" t="s">
        <v>5917</v>
      </c>
      <c r="E3413" s="835">
        <v>250</v>
      </c>
      <c r="F3413" s="836">
        <v>198</v>
      </c>
      <c r="G3413" s="202" t="str">
        <f t="shared" si="52"/>
        <v/>
      </c>
    </row>
    <row r="3414" spans="1:7" s="172" customFormat="1" ht="15" customHeight="1" x14ac:dyDescent="0.25">
      <c r="A3414" s="835" t="s">
        <v>5849</v>
      </c>
      <c r="B3414" s="835" t="s">
        <v>5781</v>
      </c>
      <c r="C3414" s="835" t="s">
        <v>5781</v>
      </c>
      <c r="D3414" s="835" t="s">
        <v>5918</v>
      </c>
      <c r="E3414" s="835">
        <v>400</v>
      </c>
      <c r="F3414" s="836">
        <v>207</v>
      </c>
      <c r="G3414" s="202" t="str">
        <f t="shared" si="52"/>
        <v/>
      </c>
    </row>
    <row r="3415" spans="1:7" s="172" customFormat="1" ht="15" customHeight="1" x14ac:dyDescent="0.25">
      <c r="A3415" s="835" t="s">
        <v>5849</v>
      </c>
      <c r="B3415" s="835" t="s">
        <v>5781</v>
      </c>
      <c r="C3415" s="835" t="s">
        <v>5781</v>
      </c>
      <c r="D3415" s="835" t="s">
        <v>5925</v>
      </c>
      <c r="E3415" s="835">
        <v>160</v>
      </c>
      <c r="F3415" s="836">
        <v>98</v>
      </c>
      <c r="G3415" s="202" t="str">
        <f t="shared" si="52"/>
        <v/>
      </c>
    </row>
    <row r="3416" spans="1:7" s="172" customFormat="1" ht="15" customHeight="1" x14ac:dyDescent="0.25">
      <c r="A3416" s="835" t="s">
        <v>5849</v>
      </c>
      <c r="B3416" s="835" t="s">
        <v>5781</v>
      </c>
      <c r="C3416" s="835" t="s">
        <v>5781</v>
      </c>
      <c r="D3416" s="835" t="s">
        <v>5926</v>
      </c>
      <c r="E3416" s="835">
        <v>250</v>
      </c>
      <c r="F3416" s="836">
        <v>219</v>
      </c>
      <c r="G3416" s="202" t="str">
        <f t="shared" si="52"/>
        <v/>
      </c>
    </row>
    <row r="3417" spans="1:7" s="172" customFormat="1" ht="15" customHeight="1" x14ac:dyDescent="0.25">
      <c r="A3417" s="835" t="s">
        <v>5849</v>
      </c>
      <c r="B3417" s="835" t="s">
        <v>5781</v>
      </c>
      <c r="C3417" s="835" t="s">
        <v>5781</v>
      </c>
      <c r="D3417" s="835" t="s">
        <v>5961</v>
      </c>
      <c r="E3417" s="835">
        <v>400</v>
      </c>
      <c r="F3417" s="836">
        <v>233</v>
      </c>
      <c r="G3417" s="202" t="str">
        <f t="shared" ref="G3417:G3480" si="53">IF(E3417=F3417,"не загружен","")</f>
        <v/>
      </c>
    </row>
    <row r="3418" spans="1:7" s="172" customFormat="1" ht="15" customHeight="1" x14ac:dyDescent="0.25">
      <c r="A3418" s="835" t="s">
        <v>5849</v>
      </c>
      <c r="B3418" s="835" t="s">
        <v>5781</v>
      </c>
      <c r="C3418" s="835" t="s">
        <v>5781</v>
      </c>
      <c r="D3418" s="835" t="s">
        <v>5979</v>
      </c>
      <c r="E3418" s="835">
        <v>250</v>
      </c>
      <c r="F3418" s="836">
        <v>8</v>
      </c>
      <c r="G3418" s="202" t="str">
        <f t="shared" si="53"/>
        <v/>
      </c>
    </row>
    <row r="3419" spans="1:7" s="172" customFormat="1" ht="15" customHeight="1" x14ac:dyDescent="0.25">
      <c r="A3419" s="835" t="s">
        <v>5849</v>
      </c>
      <c r="B3419" s="835" t="s">
        <v>5781</v>
      </c>
      <c r="C3419" s="835" t="s">
        <v>5781</v>
      </c>
      <c r="D3419" s="835" t="s">
        <v>5989</v>
      </c>
      <c r="E3419" s="835">
        <v>100</v>
      </c>
      <c r="F3419" s="836">
        <v>36</v>
      </c>
      <c r="G3419" s="202" t="str">
        <f t="shared" si="53"/>
        <v/>
      </c>
    </row>
    <row r="3420" spans="1:7" s="172" customFormat="1" ht="15" customHeight="1" x14ac:dyDescent="0.25">
      <c r="A3420" s="835" t="s">
        <v>5943</v>
      </c>
      <c r="B3420" s="835" t="s">
        <v>5781</v>
      </c>
      <c r="C3420" s="835" t="s">
        <v>5781</v>
      </c>
      <c r="D3420" s="835" t="s">
        <v>5944</v>
      </c>
      <c r="E3420" s="835">
        <v>160</v>
      </c>
      <c r="F3420" s="836">
        <v>102</v>
      </c>
      <c r="G3420" s="202" t="str">
        <f t="shared" si="53"/>
        <v/>
      </c>
    </row>
    <row r="3421" spans="1:7" s="172" customFormat="1" ht="15" customHeight="1" x14ac:dyDescent="0.25">
      <c r="A3421" s="835" t="s">
        <v>5943</v>
      </c>
      <c r="B3421" s="835" t="s">
        <v>5781</v>
      </c>
      <c r="C3421" s="835" t="s">
        <v>5781</v>
      </c>
      <c r="D3421" s="835" t="s">
        <v>5945</v>
      </c>
      <c r="E3421" s="835">
        <v>400</v>
      </c>
      <c r="F3421" s="836">
        <v>205</v>
      </c>
      <c r="G3421" s="202" t="str">
        <f t="shared" si="53"/>
        <v/>
      </c>
    </row>
    <row r="3422" spans="1:7" s="172" customFormat="1" ht="15" customHeight="1" x14ac:dyDescent="0.25">
      <c r="A3422" s="835" t="s">
        <v>5943</v>
      </c>
      <c r="B3422" s="835" t="s">
        <v>5781</v>
      </c>
      <c r="C3422" s="835" t="s">
        <v>5781</v>
      </c>
      <c r="D3422" s="835" t="s">
        <v>5957</v>
      </c>
      <c r="E3422" s="835">
        <v>800</v>
      </c>
      <c r="F3422" s="836">
        <v>532</v>
      </c>
      <c r="G3422" s="202" t="str">
        <f t="shared" si="53"/>
        <v/>
      </c>
    </row>
    <row r="3423" spans="1:7" s="172" customFormat="1" ht="15" customHeight="1" x14ac:dyDescent="0.25">
      <c r="A3423" s="835" t="s">
        <v>5943</v>
      </c>
      <c r="B3423" s="835" t="s">
        <v>5781</v>
      </c>
      <c r="C3423" s="835" t="s">
        <v>5781</v>
      </c>
      <c r="D3423" s="835" t="s">
        <v>5959</v>
      </c>
      <c r="E3423" s="835">
        <v>250</v>
      </c>
      <c r="F3423" s="836">
        <v>232</v>
      </c>
      <c r="G3423" s="202" t="str">
        <f t="shared" si="53"/>
        <v/>
      </c>
    </row>
    <row r="3424" spans="1:7" s="172" customFormat="1" ht="15" customHeight="1" x14ac:dyDescent="0.25">
      <c r="A3424" s="835" t="s">
        <v>5943</v>
      </c>
      <c r="B3424" s="835" t="s">
        <v>5781</v>
      </c>
      <c r="C3424" s="835" t="s">
        <v>5781</v>
      </c>
      <c r="D3424" s="835" t="s">
        <v>5977</v>
      </c>
      <c r="E3424" s="835">
        <v>250</v>
      </c>
      <c r="F3424" s="836">
        <v>55</v>
      </c>
      <c r="G3424" s="202" t="str">
        <f t="shared" si="53"/>
        <v/>
      </c>
    </row>
    <row r="3425" spans="1:7" s="172" customFormat="1" ht="15" customHeight="1" x14ac:dyDescent="0.25">
      <c r="A3425" s="835" t="s">
        <v>5943</v>
      </c>
      <c r="B3425" s="835" t="s">
        <v>5781</v>
      </c>
      <c r="C3425" s="835" t="s">
        <v>5781</v>
      </c>
      <c r="D3425" s="835" t="s">
        <v>5978</v>
      </c>
      <c r="E3425" s="835">
        <v>100</v>
      </c>
      <c r="F3425" s="836">
        <v>78</v>
      </c>
      <c r="G3425" s="202" t="str">
        <f t="shared" si="53"/>
        <v/>
      </c>
    </row>
    <row r="3426" spans="1:7" s="172" customFormat="1" ht="15" customHeight="1" x14ac:dyDescent="0.25">
      <c r="A3426" s="835" t="s">
        <v>5990</v>
      </c>
      <c r="B3426" s="835" t="s">
        <v>5781</v>
      </c>
      <c r="C3426" s="835" t="s">
        <v>5781</v>
      </c>
      <c r="D3426" s="835" t="s">
        <v>5991</v>
      </c>
      <c r="E3426" s="835">
        <v>100</v>
      </c>
      <c r="F3426" s="836">
        <v>21</v>
      </c>
      <c r="G3426" s="202" t="str">
        <f t="shared" si="53"/>
        <v/>
      </c>
    </row>
    <row r="3427" spans="1:7" s="172" customFormat="1" ht="15" customHeight="1" x14ac:dyDescent="0.25">
      <c r="A3427" s="835" t="s">
        <v>5990</v>
      </c>
      <c r="B3427" s="835" t="s">
        <v>5781</v>
      </c>
      <c r="C3427" s="835" t="s">
        <v>5781</v>
      </c>
      <c r="D3427" s="835" t="s">
        <v>5992</v>
      </c>
      <c r="E3427" s="835">
        <v>63</v>
      </c>
      <c r="F3427" s="836">
        <v>12</v>
      </c>
      <c r="G3427" s="202" t="str">
        <f t="shared" si="53"/>
        <v/>
      </c>
    </row>
    <row r="3428" spans="1:7" s="172" customFormat="1" ht="15" customHeight="1" x14ac:dyDescent="0.25">
      <c r="A3428" s="835" t="s">
        <v>5990</v>
      </c>
      <c r="B3428" s="835" t="s">
        <v>5781</v>
      </c>
      <c r="C3428" s="835" t="s">
        <v>5781</v>
      </c>
      <c r="D3428" s="835" t="s">
        <v>5993</v>
      </c>
      <c r="E3428" s="835">
        <v>160</v>
      </c>
      <c r="F3428" s="836">
        <v>35</v>
      </c>
      <c r="G3428" s="202" t="str">
        <f t="shared" si="53"/>
        <v/>
      </c>
    </row>
    <row r="3429" spans="1:7" s="172" customFormat="1" ht="15" customHeight="1" x14ac:dyDescent="0.25">
      <c r="A3429" s="835" t="s">
        <v>5990</v>
      </c>
      <c r="B3429" s="835" t="s">
        <v>5781</v>
      </c>
      <c r="C3429" s="835" t="s">
        <v>5781</v>
      </c>
      <c r="D3429" s="835" t="s">
        <v>5994</v>
      </c>
      <c r="E3429" s="835">
        <v>100</v>
      </c>
      <c r="F3429" s="836">
        <v>25</v>
      </c>
      <c r="G3429" s="202" t="str">
        <f t="shared" si="53"/>
        <v/>
      </c>
    </row>
    <row r="3430" spans="1:7" s="172" customFormat="1" ht="15" customHeight="1" x14ac:dyDescent="0.25">
      <c r="A3430" s="835" t="s">
        <v>5990</v>
      </c>
      <c r="B3430" s="835" t="s">
        <v>5781</v>
      </c>
      <c r="C3430" s="835" t="s">
        <v>5781</v>
      </c>
      <c r="D3430" s="835" t="s">
        <v>5995</v>
      </c>
      <c r="E3430" s="835">
        <v>1260</v>
      </c>
      <c r="F3430" s="836">
        <v>593</v>
      </c>
      <c r="G3430" s="202" t="str">
        <f t="shared" si="53"/>
        <v/>
      </c>
    </row>
    <row r="3431" spans="1:7" s="172" customFormat="1" ht="15" customHeight="1" x14ac:dyDescent="0.25">
      <c r="A3431" s="806" t="s">
        <v>5990</v>
      </c>
      <c r="B3431" s="806" t="s">
        <v>5781</v>
      </c>
      <c r="C3431" s="806" t="s">
        <v>5781</v>
      </c>
      <c r="D3431" s="815" t="s">
        <v>5996</v>
      </c>
      <c r="E3431" s="819">
        <v>800</v>
      </c>
      <c r="F3431" s="839">
        <v>599</v>
      </c>
      <c r="G3431" s="202" t="str">
        <f t="shared" si="53"/>
        <v/>
      </c>
    </row>
    <row r="3432" spans="1:7" s="172" customFormat="1" ht="15" customHeight="1" x14ac:dyDescent="0.25">
      <c r="A3432" s="810" t="s">
        <v>5990</v>
      </c>
      <c r="B3432" s="806" t="s">
        <v>5781</v>
      </c>
      <c r="C3432" s="806" t="s">
        <v>5781</v>
      </c>
      <c r="D3432" s="815" t="s">
        <v>5997</v>
      </c>
      <c r="E3432" s="819">
        <v>400</v>
      </c>
      <c r="F3432" s="839">
        <v>298</v>
      </c>
      <c r="G3432" s="202" t="str">
        <f t="shared" si="53"/>
        <v/>
      </c>
    </row>
    <row r="3433" spans="1:7" s="172" customFormat="1" ht="15" customHeight="1" x14ac:dyDescent="0.25">
      <c r="A3433" s="810" t="s">
        <v>6138</v>
      </c>
      <c r="B3433" s="806" t="s">
        <v>5781</v>
      </c>
      <c r="C3433" s="806" t="s">
        <v>5781</v>
      </c>
      <c r="D3433" s="815" t="s">
        <v>6139</v>
      </c>
      <c r="E3433" s="819">
        <v>100</v>
      </c>
      <c r="F3433" s="840">
        <v>21</v>
      </c>
      <c r="G3433" s="202" t="str">
        <f t="shared" si="53"/>
        <v/>
      </c>
    </row>
    <row r="3434" spans="1:7" s="172" customFormat="1" ht="15" customHeight="1" x14ac:dyDescent="0.25">
      <c r="A3434" s="810" t="s">
        <v>6138</v>
      </c>
      <c r="B3434" s="806" t="s">
        <v>5781</v>
      </c>
      <c r="C3434" s="806" t="s">
        <v>5781</v>
      </c>
      <c r="D3434" s="815" t="s">
        <v>6140</v>
      </c>
      <c r="E3434" s="819">
        <v>100</v>
      </c>
      <c r="F3434" s="841">
        <v>4</v>
      </c>
      <c r="G3434" s="202" t="str">
        <f t="shared" si="53"/>
        <v/>
      </c>
    </row>
    <row r="3435" spans="1:7" s="172" customFormat="1" ht="15" customHeight="1" x14ac:dyDescent="0.25">
      <c r="A3435" s="810" t="s">
        <v>6138</v>
      </c>
      <c r="B3435" s="806" t="s">
        <v>5781</v>
      </c>
      <c r="C3435" s="806" t="s">
        <v>5781</v>
      </c>
      <c r="D3435" s="815" t="s">
        <v>6141</v>
      </c>
      <c r="E3435" s="819">
        <v>160</v>
      </c>
      <c r="F3435" s="841">
        <v>81</v>
      </c>
      <c r="G3435" s="202" t="str">
        <f t="shared" si="53"/>
        <v/>
      </c>
    </row>
    <row r="3436" spans="1:7" s="172" customFormat="1" ht="15" customHeight="1" x14ac:dyDescent="0.25">
      <c r="A3436" s="810" t="s">
        <v>6138</v>
      </c>
      <c r="B3436" s="806" t="s">
        <v>5781</v>
      </c>
      <c r="C3436" s="806" t="s">
        <v>5781</v>
      </c>
      <c r="D3436" s="815" t="s">
        <v>6142</v>
      </c>
      <c r="E3436" s="819">
        <v>500</v>
      </c>
      <c r="F3436" s="839">
        <v>203</v>
      </c>
      <c r="G3436" s="202" t="str">
        <f t="shared" si="53"/>
        <v/>
      </c>
    </row>
    <row r="3437" spans="1:7" s="172" customFormat="1" ht="15" customHeight="1" x14ac:dyDescent="0.25">
      <c r="A3437" s="810" t="s">
        <v>6138</v>
      </c>
      <c r="B3437" s="806" t="s">
        <v>5781</v>
      </c>
      <c r="C3437" s="806" t="s">
        <v>5781</v>
      </c>
      <c r="D3437" s="815" t="s">
        <v>6145</v>
      </c>
      <c r="E3437" s="819">
        <v>250</v>
      </c>
      <c r="F3437" s="839">
        <v>142</v>
      </c>
      <c r="G3437" s="202" t="str">
        <f t="shared" si="53"/>
        <v/>
      </c>
    </row>
    <row r="3438" spans="1:7" s="172" customFormat="1" ht="15" customHeight="1" x14ac:dyDescent="0.25">
      <c r="A3438" s="810" t="s">
        <v>6138</v>
      </c>
      <c r="B3438" s="806" t="s">
        <v>5781</v>
      </c>
      <c r="C3438" s="806" t="s">
        <v>5781</v>
      </c>
      <c r="D3438" s="815" t="s">
        <v>6174</v>
      </c>
      <c r="E3438" s="819">
        <v>160</v>
      </c>
      <c r="F3438" s="840">
        <v>34</v>
      </c>
      <c r="G3438" s="202" t="str">
        <f t="shared" si="53"/>
        <v/>
      </c>
    </row>
    <row r="3439" spans="1:7" s="172" customFormat="1" ht="15" customHeight="1" x14ac:dyDescent="0.25">
      <c r="A3439" s="810" t="s">
        <v>6138</v>
      </c>
      <c r="B3439" s="806" t="s">
        <v>5781</v>
      </c>
      <c r="C3439" s="806" t="s">
        <v>5781</v>
      </c>
      <c r="D3439" s="815" t="s">
        <v>6175</v>
      </c>
      <c r="E3439" s="819">
        <v>400</v>
      </c>
      <c r="F3439" s="841">
        <v>303</v>
      </c>
      <c r="G3439" s="202" t="str">
        <f t="shared" si="53"/>
        <v/>
      </c>
    </row>
    <row r="3440" spans="1:7" s="172" customFormat="1" ht="15" customHeight="1" x14ac:dyDescent="0.25">
      <c r="A3440" s="810" t="s">
        <v>6024</v>
      </c>
      <c r="B3440" s="806" t="s">
        <v>5781</v>
      </c>
      <c r="C3440" s="806" t="s">
        <v>5781</v>
      </c>
      <c r="D3440" s="815" t="s">
        <v>6025</v>
      </c>
      <c r="E3440" s="819">
        <v>160</v>
      </c>
      <c r="F3440" s="840">
        <v>95</v>
      </c>
      <c r="G3440" s="202" t="str">
        <f t="shared" si="53"/>
        <v/>
      </c>
    </row>
    <row r="3441" spans="1:7" s="172" customFormat="1" ht="15" customHeight="1" x14ac:dyDescent="0.25">
      <c r="A3441" s="810" t="s">
        <v>6024</v>
      </c>
      <c r="B3441" s="806" t="s">
        <v>5781</v>
      </c>
      <c r="C3441" s="806" t="s">
        <v>5781</v>
      </c>
      <c r="D3441" s="815" t="s">
        <v>6047</v>
      </c>
      <c r="E3441" s="819">
        <v>160</v>
      </c>
      <c r="F3441" s="840">
        <v>95</v>
      </c>
      <c r="G3441" s="202" t="str">
        <f t="shared" si="53"/>
        <v/>
      </c>
    </row>
    <row r="3442" spans="1:7" s="172" customFormat="1" ht="15" customHeight="1" x14ac:dyDescent="0.25">
      <c r="A3442" s="810" t="s">
        <v>6024</v>
      </c>
      <c r="B3442" s="806" t="s">
        <v>5781</v>
      </c>
      <c r="C3442" s="806" t="s">
        <v>5781</v>
      </c>
      <c r="D3442" s="815" t="s">
        <v>6053</v>
      </c>
      <c r="E3442" s="819">
        <v>500</v>
      </c>
      <c r="F3442" s="840">
        <v>301</v>
      </c>
      <c r="G3442" s="202" t="str">
        <f t="shared" si="53"/>
        <v/>
      </c>
    </row>
    <row r="3443" spans="1:7" s="172" customFormat="1" ht="15" customHeight="1" x14ac:dyDescent="0.25">
      <c r="A3443" s="810" t="s">
        <v>6024</v>
      </c>
      <c r="B3443" s="806" t="s">
        <v>5781</v>
      </c>
      <c r="C3443" s="806" t="s">
        <v>5781</v>
      </c>
      <c r="D3443" s="815" t="s">
        <v>6054</v>
      </c>
      <c r="E3443" s="819">
        <v>250</v>
      </c>
      <c r="F3443" s="840">
        <v>98</v>
      </c>
      <c r="G3443" s="202" t="str">
        <f t="shared" si="53"/>
        <v/>
      </c>
    </row>
    <row r="3444" spans="1:7" s="172" customFormat="1" ht="15" customHeight="1" x14ac:dyDescent="0.25">
      <c r="A3444" s="810" t="s">
        <v>6024</v>
      </c>
      <c r="B3444" s="806" t="s">
        <v>5781</v>
      </c>
      <c r="C3444" s="806" t="s">
        <v>5781</v>
      </c>
      <c r="D3444" s="815" t="s">
        <v>6069</v>
      </c>
      <c r="E3444" s="819">
        <v>100</v>
      </c>
      <c r="F3444" s="841">
        <v>23</v>
      </c>
      <c r="G3444" s="202" t="str">
        <f t="shared" si="53"/>
        <v/>
      </c>
    </row>
    <row r="3445" spans="1:7" s="172" customFormat="1" ht="15" customHeight="1" x14ac:dyDescent="0.25">
      <c r="A3445" s="810" t="s">
        <v>5952</v>
      </c>
      <c r="B3445" s="806" t="s">
        <v>5781</v>
      </c>
      <c r="C3445" s="806" t="s">
        <v>5781</v>
      </c>
      <c r="D3445" s="815" t="s">
        <v>5953</v>
      </c>
      <c r="E3445" s="819">
        <v>250</v>
      </c>
      <c r="F3445" s="840">
        <v>121</v>
      </c>
      <c r="G3445" s="202" t="str">
        <f t="shared" si="53"/>
        <v/>
      </c>
    </row>
    <row r="3446" spans="1:7" s="172" customFormat="1" ht="15" customHeight="1" x14ac:dyDescent="0.25">
      <c r="A3446" s="810" t="s">
        <v>5952</v>
      </c>
      <c r="B3446" s="806" t="s">
        <v>5781</v>
      </c>
      <c r="C3446" s="806" t="s">
        <v>5781</v>
      </c>
      <c r="D3446" s="815" t="s">
        <v>5954</v>
      </c>
      <c r="E3446" s="819">
        <v>250</v>
      </c>
      <c r="F3446" s="840">
        <v>221</v>
      </c>
      <c r="G3446" s="202" t="str">
        <f t="shared" si="53"/>
        <v/>
      </c>
    </row>
    <row r="3447" spans="1:7" s="172" customFormat="1" ht="15" customHeight="1" x14ac:dyDescent="0.25">
      <c r="A3447" s="810" t="s">
        <v>19848</v>
      </c>
      <c r="B3447" s="806" t="s">
        <v>5781</v>
      </c>
      <c r="C3447" s="806" t="s">
        <v>5781</v>
      </c>
      <c r="D3447" s="815" t="s">
        <v>19849</v>
      </c>
      <c r="E3447" s="819">
        <v>63</v>
      </c>
      <c r="F3447" s="840">
        <v>5</v>
      </c>
      <c r="G3447" s="202" t="str">
        <f t="shared" si="53"/>
        <v/>
      </c>
    </row>
    <row r="3448" spans="1:7" s="172" customFormat="1" ht="15" customHeight="1" x14ac:dyDescent="0.25">
      <c r="A3448" s="810" t="s">
        <v>3928</v>
      </c>
      <c r="B3448" s="806" t="s">
        <v>5781</v>
      </c>
      <c r="C3448" s="806" t="s">
        <v>5781</v>
      </c>
      <c r="D3448" s="815" t="s">
        <v>3309</v>
      </c>
      <c r="E3448" s="819">
        <v>63</v>
      </c>
      <c r="F3448" s="840">
        <v>11</v>
      </c>
      <c r="G3448" s="202" t="str">
        <f t="shared" si="53"/>
        <v/>
      </c>
    </row>
    <row r="3449" spans="1:7" s="172" customFormat="1" ht="15" customHeight="1" x14ac:dyDescent="0.25">
      <c r="A3449" s="810" t="s">
        <v>5990</v>
      </c>
      <c r="B3449" s="806" t="s">
        <v>5781</v>
      </c>
      <c r="C3449" s="806" t="s">
        <v>5781</v>
      </c>
      <c r="D3449" s="815" t="s">
        <v>19850</v>
      </c>
      <c r="E3449" s="819">
        <v>160</v>
      </c>
      <c r="F3449" s="840">
        <v>21</v>
      </c>
      <c r="G3449" s="202" t="str">
        <f t="shared" si="53"/>
        <v/>
      </c>
    </row>
    <row r="3450" spans="1:7" s="172" customFormat="1" ht="15" customHeight="1" x14ac:dyDescent="0.25">
      <c r="A3450" s="810" t="s">
        <v>6190</v>
      </c>
      <c r="B3450" s="806" t="s">
        <v>5781</v>
      </c>
      <c r="C3450" s="806" t="s">
        <v>5781</v>
      </c>
      <c r="D3450" s="815" t="s">
        <v>19851</v>
      </c>
      <c r="E3450" s="819">
        <v>160</v>
      </c>
      <c r="F3450" s="840">
        <v>160</v>
      </c>
      <c r="G3450" s="202" t="str">
        <f t="shared" si="53"/>
        <v>не загружен</v>
      </c>
    </row>
    <row r="3451" spans="1:7" s="172" customFormat="1" ht="15" customHeight="1" x14ac:dyDescent="0.25">
      <c r="A3451" s="810" t="s">
        <v>15011</v>
      </c>
      <c r="B3451" s="806" t="s">
        <v>6287</v>
      </c>
      <c r="C3451" s="806" t="s">
        <v>6287</v>
      </c>
      <c r="D3451" s="815" t="s">
        <v>6288</v>
      </c>
      <c r="E3451" s="819">
        <v>160</v>
      </c>
      <c r="F3451" s="840">
        <v>96.956521739130437</v>
      </c>
      <c r="G3451" s="202" t="str">
        <f t="shared" si="53"/>
        <v/>
      </c>
    </row>
    <row r="3452" spans="1:7" s="172" customFormat="1" ht="15" customHeight="1" x14ac:dyDescent="0.25">
      <c r="A3452" s="810" t="s">
        <v>15012</v>
      </c>
      <c r="B3452" s="806" t="s">
        <v>6287</v>
      </c>
      <c r="C3452" s="806" t="s">
        <v>6287</v>
      </c>
      <c r="D3452" s="815" t="s">
        <v>6289</v>
      </c>
      <c r="E3452" s="819">
        <v>63</v>
      </c>
      <c r="F3452" s="840">
        <v>42.347826086956523</v>
      </c>
      <c r="G3452" s="202" t="str">
        <f t="shared" si="53"/>
        <v/>
      </c>
    </row>
    <row r="3453" spans="1:7" s="172" customFormat="1" ht="15" customHeight="1" x14ac:dyDescent="0.25">
      <c r="A3453" s="810" t="s">
        <v>15013</v>
      </c>
      <c r="B3453" s="806" t="s">
        <v>6287</v>
      </c>
      <c r="C3453" s="806" t="s">
        <v>6287</v>
      </c>
      <c r="D3453" s="815" t="s">
        <v>6290</v>
      </c>
      <c r="E3453" s="819">
        <v>400</v>
      </c>
      <c r="F3453" s="840">
        <v>245.6521739130435</v>
      </c>
      <c r="G3453" s="202" t="str">
        <f t="shared" si="53"/>
        <v/>
      </c>
    </row>
    <row r="3454" spans="1:7" s="172" customFormat="1" ht="15" customHeight="1" x14ac:dyDescent="0.25">
      <c r="A3454" s="810" t="s">
        <v>15014</v>
      </c>
      <c r="B3454" s="806" t="s">
        <v>6287</v>
      </c>
      <c r="C3454" s="806" t="s">
        <v>6287</v>
      </c>
      <c r="D3454" s="815" t="s">
        <v>6291</v>
      </c>
      <c r="E3454" s="819">
        <v>100</v>
      </c>
      <c r="F3454" s="839">
        <v>56.521739130434781</v>
      </c>
      <c r="G3454" s="202" t="str">
        <f t="shared" si="53"/>
        <v/>
      </c>
    </row>
    <row r="3455" spans="1:7" s="172" customFormat="1" ht="15" customHeight="1" x14ac:dyDescent="0.25">
      <c r="A3455" s="810" t="s">
        <v>15015</v>
      </c>
      <c r="B3455" s="806" t="s">
        <v>6287</v>
      </c>
      <c r="C3455" s="806" t="s">
        <v>6287</v>
      </c>
      <c r="D3455" s="815" t="s">
        <v>6292</v>
      </c>
      <c r="E3455" s="819">
        <v>50</v>
      </c>
      <c r="F3455" s="840">
        <v>17.391304347826086</v>
      </c>
      <c r="G3455" s="202" t="str">
        <f t="shared" si="53"/>
        <v/>
      </c>
    </row>
    <row r="3456" spans="1:7" s="172" customFormat="1" ht="15" customHeight="1" x14ac:dyDescent="0.25">
      <c r="A3456" s="810" t="s">
        <v>15016</v>
      </c>
      <c r="B3456" s="806" t="s">
        <v>6287</v>
      </c>
      <c r="C3456" s="806" t="s">
        <v>6287</v>
      </c>
      <c r="D3456" s="815" t="s">
        <v>6293</v>
      </c>
      <c r="E3456" s="819">
        <v>60</v>
      </c>
      <c r="F3456" s="840">
        <v>11.086956521739133</v>
      </c>
      <c r="G3456" s="202" t="str">
        <f t="shared" si="53"/>
        <v/>
      </c>
    </row>
    <row r="3457" spans="1:7" s="172" customFormat="1" ht="15" customHeight="1" x14ac:dyDescent="0.25">
      <c r="A3457" s="810" t="s">
        <v>15017</v>
      </c>
      <c r="B3457" s="806" t="s">
        <v>6287</v>
      </c>
      <c r="C3457" s="806" t="s">
        <v>6287</v>
      </c>
      <c r="D3457" s="815" t="s">
        <v>6294</v>
      </c>
      <c r="E3457" s="819">
        <v>100</v>
      </c>
      <c r="F3457" s="840">
        <v>8.6956521739130466</v>
      </c>
      <c r="G3457" s="202" t="str">
        <f t="shared" si="53"/>
        <v/>
      </c>
    </row>
    <row r="3458" spans="1:7" s="172" customFormat="1" ht="15" customHeight="1" x14ac:dyDescent="0.25">
      <c r="A3458" s="810" t="s">
        <v>15015</v>
      </c>
      <c r="B3458" s="806" t="s">
        <v>6287</v>
      </c>
      <c r="C3458" s="806" t="s">
        <v>6287</v>
      </c>
      <c r="D3458" s="815" t="s">
        <v>6295</v>
      </c>
      <c r="E3458" s="819">
        <v>160</v>
      </c>
      <c r="F3458" s="840">
        <v>115.43478260869566</v>
      </c>
      <c r="G3458" s="202" t="str">
        <f t="shared" si="53"/>
        <v/>
      </c>
    </row>
    <row r="3459" spans="1:7" s="172" customFormat="1" ht="15" customHeight="1" x14ac:dyDescent="0.25">
      <c r="A3459" s="810" t="s">
        <v>15018</v>
      </c>
      <c r="B3459" s="806" t="s">
        <v>6287</v>
      </c>
      <c r="C3459" s="806" t="s">
        <v>6287</v>
      </c>
      <c r="D3459" s="815" t="s">
        <v>6296</v>
      </c>
      <c r="E3459" s="819">
        <v>250</v>
      </c>
      <c r="F3459" s="840">
        <v>205.43478260869566</v>
      </c>
      <c r="G3459" s="202" t="str">
        <f t="shared" si="53"/>
        <v/>
      </c>
    </row>
    <row r="3460" spans="1:7" s="172" customFormat="1" ht="15" customHeight="1" x14ac:dyDescent="0.25">
      <c r="A3460" s="810" t="s">
        <v>15019</v>
      </c>
      <c r="B3460" s="806" t="s">
        <v>6287</v>
      </c>
      <c r="C3460" s="806" t="s">
        <v>6287</v>
      </c>
      <c r="D3460" s="815" t="s">
        <v>6297</v>
      </c>
      <c r="E3460" s="819">
        <v>100</v>
      </c>
      <c r="F3460" s="840">
        <v>86.956521739130437</v>
      </c>
      <c r="G3460" s="202" t="str">
        <f t="shared" si="53"/>
        <v/>
      </c>
    </row>
    <row r="3461" spans="1:7" s="172" customFormat="1" ht="15" customHeight="1" x14ac:dyDescent="0.25">
      <c r="A3461" s="810" t="s">
        <v>15020</v>
      </c>
      <c r="B3461" s="806" t="s">
        <v>6287</v>
      </c>
      <c r="C3461" s="806" t="s">
        <v>6287</v>
      </c>
      <c r="D3461" s="815" t="s">
        <v>6298</v>
      </c>
      <c r="E3461" s="819">
        <v>400</v>
      </c>
      <c r="F3461" s="840">
        <v>300</v>
      </c>
      <c r="G3461" s="202" t="str">
        <f t="shared" si="53"/>
        <v/>
      </c>
    </row>
    <row r="3462" spans="1:7" s="172" customFormat="1" ht="15" customHeight="1" x14ac:dyDescent="0.25">
      <c r="A3462" s="810" t="s">
        <v>15021</v>
      </c>
      <c r="B3462" s="806" t="s">
        <v>6287</v>
      </c>
      <c r="C3462" s="806" t="s">
        <v>6287</v>
      </c>
      <c r="D3462" s="815" t="s">
        <v>6299</v>
      </c>
      <c r="E3462" s="819">
        <v>60</v>
      </c>
      <c r="F3462" s="840">
        <v>40.434782608695656</v>
      </c>
      <c r="G3462" s="202" t="str">
        <f t="shared" si="53"/>
        <v/>
      </c>
    </row>
    <row r="3463" spans="1:7" s="172" customFormat="1" ht="15" customHeight="1" x14ac:dyDescent="0.25">
      <c r="A3463" s="810" t="s">
        <v>15017</v>
      </c>
      <c r="B3463" s="806" t="s">
        <v>6287</v>
      </c>
      <c r="C3463" s="806" t="s">
        <v>6287</v>
      </c>
      <c r="D3463" s="815" t="s">
        <v>6300</v>
      </c>
      <c r="E3463" s="819">
        <v>60</v>
      </c>
      <c r="F3463" s="840">
        <v>38</v>
      </c>
      <c r="G3463" s="202" t="str">
        <f t="shared" si="53"/>
        <v/>
      </c>
    </row>
    <row r="3464" spans="1:7" s="172" customFormat="1" ht="15" customHeight="1" x14ac:dyDescent="0.25">
      <c r="A3464" s="810" t="s">
        <v>15022</v>
      </c>
      <c r="B3464" s="806" t="s">
        <v>6287</v>
      </c>
      <c r="C3464" s="806" t="s">
        <v>6287</v>
      </c>
      <c r="D3464" s="815" t="s">
        <v>6301</v>
      </c>
      <c r="E3464" s="819">
        <v>160</v>
      </c>
      <c r="F3464" s="840">
        <v>143.69565217391303</v>
      </c>
      <c r="G3464" s="202" t="str">
        <f t="shared" si="53"/>
        <v/>
      </c>
    </row>
    <row r="3465" spans="1:7" s="172" customFormat="1" ht="15" customHeight="1" x14ac:dyDescent="0.25">
      <c r="A3465" s="810" t="s">
        <v>3215</v>
      </c>
      <c r="B3465" s="806" t="s">
        <v>6287</v>
      </c>
      <c r="C3465" s="806" t="s">
        <v>6287</v>
      </c>
      <c r="D3465" s="815" t="s">
        <v>6302</v>
      </c>
      <c r="E3465" s="819">
        <v>60</v>
      </c>
      <c r="F3465" s="840">
        <v>40.434782608695656</v>
      </c>
      <c r="G3465" s="202" t="str">
        <f t="shared" si="53"/>
        <v/>
      </c>
    </row>
    <row r="3466" spans="1:7" s="172" customFormat="1" ht="15" customHeight="1" x14ac:dyDescent="0.25">
      <c r="A3466" s="810" t="s">
        <v>6303</v>
      </c>
      <c r="B3466" s="806" t="s">
        <v>6287</v>
      </c>
      <c r="C3466" s="806" t="s">
        <v>6287</v>
      </c>
      <c r="D3466" s="815" t="s">
        <v>6304</v>
      </c>
      <c r="E3466" s="819">
        <v>63</v>
      </c>
      <c r="F3466" s="840">
        <v>20</v>
      </c>
      <c r="G3466" s="202" t="str">
        <f t="shared" si="53"/>
        <v/>
      </c>
    </row>
    <row r="3467" spans="1:7" s="172" customFormat="1" ht="15" customHeight="1" x14ac:dyDescent="0.25">
      <c r="A3467" s="810" t="s">
        <v>6305</v>
      </c>
      <c r="B3467" s="806" t="s">
        <v>6287</v>
      </c>
      <c r="C3467" s="806" t="s">
        <v>6287</v>
      </c>
      <c r="D3467" s="815" t="s">
        <v>6306</v>
      </c>
      <c r="E3467" s="819">
        <v>30</v>
      </c>
      <c r="F3467" s="840">
        <v>3.913043478260871</v>
      </c>
      <c r="G3467" s="202" t="str">
        <f t="shared" si="53"/>
        <v/>
      </c>
    </row>
    <row r="3468" spans="1:7" s="172" customFormat="1" ht="15" customHeight="1" x14ac:dyDescent="0.25">
      <c r="A3468" s="810" t="s">
        <v>6307</v>
      </c>
      <c r="B3468" s="806" t="s">
        <v>6287</v>
      </c>
      <c r="C3468" s="806" t="s">
        <v>6287</v>
      </c>
      <c r="D3468" s="815" t="s">
        <v>6308</v>
      </c>
      <c r="E3468" s="819">
        <v>250</v>
      </c>
      <c r="F3468" s="840">
        <v>206.52173913043478</v>
      </c>
      <c r="G3468" s="202" t="str">
        <f t="shared" si="53"/>
        <v/>
      </c>
    </row>
    <row r="3469" spans="1:7" s="172" customFormat="1" ht="15" customHeight="1" x14ac:dyDescent="0.25">
      <c r="A3469" s="810" t="s">
        <v>6309</v>
      </c>
      <c r="B3469" s="806" t="s">
        <v>6287</v>
      </c>
      <c r="C3469" s="806" t="s">
        <v>6287</v>
      </c>
      <c r="D3469" s="815" t="s">
        <v>6310</v>
      </c>
      <c r="E3469" s="819">
        <v>10</v>
      </c>
      <c r="F3469" s="840">
        <v>7.8260869565217392</v>
      </c>
      <c r="G3469" s="202" t="str">
        <f t="shared" si="53"/>
        <v/>
      </c>
    </row>
    <row r="3470" spans="1:7" s="172" customFormat="1" ht="15" customHeight="1" x14ac:dyDescent="0.25">
      <c r="A3470" s="810" t="s">
        <v>6311</v>
      </c>
      <c r="B3470" s="806" t="s">
        <v>6287</v>
      </c>
      <c r="C3470" s="806" t="s">
        <v>6287</v>
      </c>
      <c r="D3470" s="815" t="s">
        <v>6312</v>
      </c>
      <c r="E3470" s="819">
        <v>10</v>
      </c>
      <c r="F3470" s="840">
        <v>5.6521739130434785</v>
      </c>
      <c r="G3470" s="202" t="str">
        <f t="shared" si="53"/>
        <v/>
      </c>
    </row>
    <row r="3471" spans="1:7" s="172" customFormat="1" ht="15" customHeight="1" x14ac:dyDescent="0.25">
      <c r="A3471" s="810" t="s">
        <v>6313</v>
      </c>
      <c r="B3471" s="806" t="s">
        <v>6287</v>
      </c>
      <c r="C3471" s="806" t="s">
        <v>6287</v>
      </c>
      <c r="D3471" s="815" t="s">
        <v>6314</v>
      </c>
      <c r="E3471" s="819">
        <v>100</v>
      </c>
      <c r="F3471" s="840">
        <v>65.217391304347828</v>
      </c>
      <c r="G3471" s="202" t="str">
        <f t="shared" si="53"/>
        <v/>
      </c>
    </row>
    <row r="3472" spans="1:7" s="172" customFormat="1" ht="15" customHeight="1" x14ac:dyDescent="0.25">
      <c r="A3472" s="810" t="s">
        <v>6315</v>
      </c>
      <c r="B3472" s="806" t="s">
        <v>6287</v>
      </c>
      <c r="C3472" s="806" t="s">
        <v>6287</v>
      </c>
      <c r="D3472" s="815" t="s">
        <v>6316</v>
      </c>
      <c r="E3472" s="819">
        <v>63</v>
      </c>
      <c r="F3472" s="840">
        <v>36.913043478260875</v>
      </c>
      <c r="G3472" s="202" t="str">
        <f t="shared" si="53"/>
        <v/>
      </c>
    </row>
    <row r="3473" spans="1:7" s="172" customFormat="1" ht="15" customHeight="1" x14ac:dyDescent="0.25">
      <c r="A3473" s="810" t="s">
        <v>6317</v>
      </c>
      <c r="B3473" s="806" t="s">
        <v>6287</v>
      </c>
      <c r="C3473" s="806" t="s">
        <v>6287</v>
      </c>
      <c r="D3473" s="815" t="s">
        <v>6318</v>
      </c>
      <c r="E3473" s="819">
        <v>60</v>
      </c>
      <c r="F3473" s="840">
        <v>8.9130434782608745</v>
      </c>
      <c r="G3473" s="202" t="str">
        <f t="shared" si="53"/>
        <v/>
      </c>
    </row>
    <row r="3474" spans="1:7" s="172" customFormat="1" ht="15" customHeight="1" x14ac:dyDescent="0.25">
      <c r="A3474" s="810" t="s">
        <v>6319</v>
      </c>
      <c r="B3474" s="806" t="s">
        <v>6287</v>
      </c>
      <c r="C3474" s="806" t="s">
        <v>6287</v>
      </c>
      <c r="D3474" s="815" t="s">
        <v>6320</v>
      </c>
      <c r="E3474" s="819">
        <v>63</v>
      </c>
      <c r="F3474" s="840">
        <v>22.782608695652179</v>
      </c>
      <c r="G3474" s="202" t="str">
        <f t="shared" si="53"/>
        <v/>
      </c>
    </row>
    <row r="3475" spans="1:7" s="172" customFormat="1" ht="15" customHeight="1" x14ac:dyDescent="0.25">
      <c r="A3475" s="810" t="s">
        <v>6321</v>
      </c>
      <c r="B3475" s="806" t="s">
        <v>6287</v>
      </c>
      <c r="C3475" s="806" t="s">
        <v>6287</v>
      </c>
      <c r="D3475" s="815" t="s">
        <v>6322</v>
      </c>
      <c r="E3475" s="819">
        <v>30</v>
      </c>
      <c r="F3475" s="840">
        <v>10.434782608695652</v>
      </c>
      <c r="G3475" s="202" t="str">
        <f t="shared" si="53"/>
        <v/>
      </c>
    </row>
    <row r="3476" spans="1:7" s="172" customFormat="1" ht="15" customHeight="1" x14ac:dyDescent="0.25">
      <c r="A3476" s="810" t="s">
        <v>6323</v>
      </c>
      <c r="B3476" s="806" t="s">
        <v>6287</v>
      </c>
      <c r="C3476" s="806" t="s">
        <v>6287</v>
      </c>
      <c r="D3476" s="815" t="s">
        <v>6324</v>
      </c>
      <c r="E3476" s="819">
        <v>63</v>
      </c>
      <c r="F3476" s="840">
        <v>3.2173913043478279</v>
      </c>
      <c r="G3476" s="202" t="str">
        <f t="shared" si="53"/>
        <v/>
      </c>
    </row>
    <row r="3477" spans="1:7" s="172" customFormat="1" ht="15" customHeight="1" x14ac:dyDescent="0.25">
      <c r="A3477" s="810" t="s">
        <v>3747</v>
      </c>
      <c r="B3477" s="806" t="s">
        <v>6287</v>
      </c>
      <c r="C3477" s="806" t="s">
        <v>6287</v>
      </c>
      <c r="D3477" s="815" t="s">
        <v>6325</v>
      </c>
      <c r="E3477" s="819">
        <v>60</v>
      </c>
      <c r="F3477" s="840">
        <v>33.913043478260875</v>
      </c>
      <c r="G3477" s="202" t="str">
        <f t="shared" si="53"/>
        <v/>
      </c>
    </row>
    <row r="3478" spans="1:7" s="172" customFormat="1" ht="15" customHeight="1" x14ac:dyDescent="0.25">
      <c r="A3478" s="810" t="s">
        <v>6326</v>
      </c>
      <c r="B3478" s="806" t="s">
        <v>6287</v>
      </c>
      <c r="C3478" s="806" t="s">
        <v>6287</v>
      </c>
      <c r="D3478" s="815" t="s">
        <v>6327</v>
      </c>
      <c r="E3478" s="819">
        <v>60</v>
      </c>
      <c r="F3478" s="840">
        <v>48.717391304347828</v>
      </c>
      <c r="G3478" s="202" t="str">
        <f t="shared" si="53"/>
        <v/>
      </c>
    </row>
    <row r="3479" spans="1:7" s="172" customFormat="1" ht="15" customHeight="1" x14ac:dyDescent="0.25">
      <c r="A3479" s="810" t="s">
        <v>6328</v>
      </c>
      <c r="B3479" s="806" t="s">
        <v>6287</v>
      </c>
      <c r="C3479" s="806" t="s">
        <v>6287</v>
      </c>
      <c r="D3479" s="815" t="s">
        <v>6329</v>
      </c>
      <c r="E3479" s="819">
        <v>60</v>
      </c>
      <c r="F3479" s="840">
        <v>28.956521739130402</v>
      </c>
      <c r="G3479" s="202" t="str">
        <f t="shared" si="53"/>
        <v/>
      </c>
    </row>
    <row r="3480" spans="1:7" s="172" customFormat="1" ht="15" customHeight="1" x14ac:dyDescent="0.25">
      <c r="A3480" s="810" t="s">
        <v>6330</v>
      </c>
      <c r="B3480" s="806" t="s">
        <v>6287</v>
      </c>
      <c r="C3480" s="806" t="s">
        <v>6287</v>
      </c>
      <c r="D3480" s="815" t="s">
        <v>6331</v>
      </c>
      <c r="E3480" s="819">
        <v>160</v>
      </c>
      <c r="F3480" s="840">
        <v>84.782608695652172</v>
      </c>
      <c r="G3480" s="202" t="str">
        <f t="shared" si="53"/>
        <v/>
      </c>
    </row>
    <row r="3481" spans="1:7" s="172" customFormat="1" ht="15" customHeight="1" x14ac:dyDescent="0.25">
      <c r="A3481" s="810" t="s">
        <v>6332</v>
      </c>
      <c r="B3481" s="806" t="s">
        <v>6287</v>
      </c>
      <c r="C3481" s="806" t="s">
        <v>6287</v>
      </c>
      <c r="D3481" s="815" t="s">
        <v>6333</v>
      </c>
      <c r="E3481" s="819">
        <v>30</v>
      </c>
      <c r="F3481" s="840">
        <v>25.652173913043477</v>
      </c>
      <c r="G3481" s="202" t="str">
        <f t="shared" ref="G3481:G3544" si="54">IF(E3481=F3481,"не загружен","")</f>
        <v/>
      </c>
    </row>
    <row r="3482" spans="1:7" s="172" customFormat="1" ht="15" customHeight="1" x14ac:dyDescent="0.25">
      <c r="A3482" s="810" t="s">
        <v>6334</v>
      </c>
      <c r="B3482" s="806" t="s">
        <v>6287</v>
      </c>
      <c r="C3482" s="806" t="s">
        <v>6287</v>
      </c>
      <c r="D3482" s="815" t="s">
        <v>6335</v>
      </c>
      <c r="E3482" s="819">
        <v>160</v>
      </c>
      <c r="F3482" s="840">
        <v>122.39130434782609</v>
      </c>
      <c r="G3482" s="202" t="str">
        <f t="shared" si="54"/>
        <v/>
      </c>
    </row>
    <row r="3483" spans="1:7" s="172" customFormat="1" ht="15" customHeight="1" x14ac:dyDescent="0.25">
      <c r="A3483" s="810" t="s">
        <v>3424</v>
      </c>
      <c r="B3483" s="806" t="s">
        <v>6287</v>
      </c>
      <c r="C3483" s="806" t="s">
        <v>6287</v>
      </c>
      <c r="D3483" s="815" t="s">
        <v>6336</v>
      </c>
      <c r="E3483" s="819">
        <v>60</v>
      </c>
      <c r="F3483" s="840">
        <v>51.304347826086953</v>
      </c>
      <c r="G3483" s="202" t="str">
        <f t="shared" si="54"/>
        <v/>
      </c>
    </row>
    <row r="3484" spans="1:7" s="172" customFormat="1" ht="15" customHeight="1" x14ac:dyDescent="0.25">
      <c r="A3484" s="810" t="s">
        <v>2997</v>
      </c>
      <c r="B3484" s="806" t="s">
        <v>6287</v>
      </c>
      <c r="C3484" s="806" t="s">
        <v>6287</v>
      </c>
      <c r="D3484" s="815" t="s">
        <v>6337</v>
      </c>
      <c r="E3484" s="819">
        <v>30</v>
      </c>
      <c r="F3484" s="840">
        <v>23.478260869565219</v>
      </c>
      <c r="G3484" s="202" t="str">
        <f t="shared" si="54"/>
        <v/>
      </c>
    </row>
    <row r="3485" spans="1:7" s="172" customFormat="1" ht="15" customHeight="1" x14ac:dyDescent="0.25">
      <c r="A3485" s="810" t="s">
        <v>6338</v>
      </c>
      <c r="B3485" s="806" t="s">
        <v>6287</v>
      </c>
      <c r="C3485" s="806" t="s">
        <v>6287</v>
      </c>
      <c r="D3485" s="815" t="s">
        <v>6339</v>
      </c>
      <c r="E3485" s="819">
        <v>30</v>
      </c>
      <c r="F3485" s="840">
        <v>12.608695652173914</v>
      </c>
      <c r="G3485" s="202" t="str">
        <f t="shared" si="54"/>
        <v/>
      </c>
    </row>
    <row r="3486" spans="1:7" s="172" customFormat="1" ht="15" customHeight="1" x14ac:dyDescent="0.25">
      <c r="A3486" s="810" t="s">
        <v>6340</v>
      </c>
      <c r="B3486" s="806" t="s">
        <v>6287</v>
      </c>
      <c r="C3486" s="806" t="s">
        <v>6287</v>
      </c>
      <c r="D3486" s="815" t="s">
        <v>6341</v>
      </c>
      <c r="E3486" s="819">
        <v>30</v>
      </c>
      <c r="F3486" s="840">
        <v>14.956521739130435</v>
      </c>
      <c r="G3486" s="202" t="str">
        <f t="shared" si="54"/>
        <v/>
      </c>
    </row>
    <row r="3487" spans="1:7" s="172" customFormat="1" ht="15" customHeight="1" x14ac:dyDescent="0.25">
      <c r="A3487" s="810" t="s">
        <v>3063</v>
      </c>
      <c r="B3487" s="806" t="s">
        <v>6287</v>
      </c>
      <c r="C3487" s="806" t="s">
        <v>6287</v>
      </c>
      <c r="D3487" s="815" t="s">
        <v>6342</v>
      </c>
      <c r="E3487" s="819">
        <v>10</v>
      </c>
      <c r="F3487" s="840">
        <v>4.7347826086956522</v>
      </c>
      <c r="G3487" s="202" t="str">
        <f t="shared" si="54"/>
        <v/>
      </c>
    </row>
    <row r="3488" spans="1:7" s="172" customFormat="1" ht="15" customHeight="1" x14ac:dyDescent="0.25">
      <c r="A3488" s="810" t="s">
        <v>6343</v>
      </c>
      <c r="B3488" s="806" t="s">
        <v>6287</v>
      </c>
      <c r="C3488" s="806" t="s">
        <v>6287</v>
      </c>
      <c r="D3488" s="815" t="s">
        <v>6344</v>
      </c>
      <c r="E3488" s="819">
        <v>60</v>
      </c>
      <c r="F3488" s="840">
        <v>43.695652173913047</v>
      </c>
      <c r="G3488" s="202" t="str">
        <f t="shared" si="54"/>
        <v/>
      </c>
    </row>
    <row r="3489" spans="1:7" s="172" customFormat="1" ht="15" customHeight="1" x14ac:dyDescent="0.25">
      <c r="A3489" s="810" t="s">
        <v>6345</v>
      </c>
      <c r="B3489" s="806" t="s">
        <v>6287</v>
      </c>
      <c r="C3489" s="806" t="s">
        <v>6287</v>
      </c>
      <c r="D3489" s="815" t="s">
        <v>6346</v>
      </c>
      <c r="E3489" s="819">
        <v>30</v>
      </c>
      <c r="F3489" s="840">
        <v>21.304347826086957</v>
      </c>
      <c r="G3489" s="202" t="str">
        <f t="shared" si="54"/>
        <v/>
      </c>
    </row>
    <row r="3490" spans="1:7" s="172" customFormat="1" ht="15" customHeight="1" x14ac:dyDescent="0.25">
      <c r="A3490" s="810" t="s">
        <v>6347</v>
      </c>
      <c r="B3490" s="806" t="s">
        <v>6287</v>
      </c>
      <c r="C3490" s="806" t="s">
        <v>6287</v>
      </c>
      <c r="D3490" s="815" t="s">
        <v>6348</v>
      </c>
      <c r="E3490" s="819">
        <v>100</v>
      </c>
      <c r="F3490" s="840">
        <v>62.391304347826086</v>
      </c>
      <c r="G3490" s="202" t="str">
        <f t="shared" si="54"/>
        <v/>
      </c>
    </row>
    <row r="3491" spans="1:7" s="172" customFormat="1" ht="15" customHeight="1" x14ac:dyDescent="0.25">
      <c r="A3491" s="810" t="s">
        <v>6349</v>
      </c>
      <c r="B3491" s="806" t="s">
        <v>6287</v>
      </c>
      <c r="C3491" s="806" t="s">
        <v>6287</v>
      </c>
      <c r="D3491" s="815" t="s">
        <v>6350</v>
      </c>
      <c r="E3491" s="819">
        <v>160</v>
      </c>
      <c r="F3491" s="839">
        <v>118.63043478260869</v>
      </c>
      <c r="G3491" s="202" t="str">
        <f t="shared" si="54"/>
        <v/>
      </c>
    </row>
    <row r="3492" spans="1:7" s="172" customFormat="1" ht="15" customHeight="1" x14ac:dyDescent="0.25">
      <c r="A3492" s="810" t="s">
        <v>6351</v>
      </c>
      <c r="B3492" s="806" t="s">
        <v>6287</v>
      </c>
      <c r="C3492" s="806" t="s">
        <v>6287</v>
      </c>
      <c r="D3492" s="815" t="s">
        <v>6352</v>
      </c>
      <c r="E3492" s="819">
        <v>30</v>
      </c>
      <c r="F3492" s="839">
        <v>23.478260869565219</v>
      </c>
      <c r="G3492" s="202" t="str">
        <f t="shared" si="54"/>
        <v/>
      </c>
    </row>
    <row r="3493" spans="1:7" s="172" customFormat="1" ht="15" customHeight="1" x14ac:dyDescent="0.25">
      <c r="A3493" s="810" t="s">
        <v>6353</v>
      </c>
      <c r="B3493" s="806" t="s">
        <v>6287</v>
      </c>
      <c r="C3493" s="806" t="s">
        <v>6287</v>
      </c>
      <c r="D3493" s="815" t="s">
        <v>6354</v>
      </c>
      <c r="E3493" s="819">
        <v>160</v>
      </c>
      <c r="F3493" s="839">
        <v>141.52173913043478</v>
      </c>
      <c r="G3493" s="202" t="str">
        <f t="shared" si="54"/>
        <v/>
      </c>
    </row>
    <row r="3494" spans="1:7" s="172" customFormat="1" ht="15" customHeight="1" x14ac:dyDescent="0.25">
      <c r="A3494" s="810" t="s">
        <v>2557</v>
      </c>
      <c r="B3494" s="806" t="s">
        <v>6287</v>
      </c>
      <c r="C3494" s="806" t="s">
        <v>6287</v>
      </c>
      <c r="D3494" s="815" t="s">
        <v>6355</v>
      </c>
      <c r="E3494" s="819">
        <v>160</v>
      </c>
      <c r="F3494" s="840">
        <v>94.782608695652172</v>
      </c>
      <c r="G3494" s="202" t="str">
        <f t="shared" si="54"/>
        <v/>
      </c>
    </row>
    <row r="3495" spans="1:7" s="172" customFormat="1" ht="15" customHeight="1" x14ac:dyDescent="0.25">
      <c r="A3495" s="810" t="s">
        <v>6356</v>
      </c>
      <c r="B3495" s="806" t="s">
        <v>6287</v>
      </c>
      <c r="C3495" s="806" t="s">
        <v>6287</v>
      </c>
      <c r="D3495" s="815" t="s">
        <v>6357</v>
      </c>
      <c r="E3495" s="819">
        <v>160</v>
      </c>
      <c r="F3495" s="839">
        <v>160</v>
      </c>
      <c r="G3495" s="202" t="str">
        <f t="shared" si="54"/>
        <v>не загружен</v>
      </c>
    </row>
    <row r="3496" spans="1:7" s="172" customFormat="1" ht="15" customHeight="1" x14ac:dyDescent="0.25">
      <c r="A3496" s="810" t="s">
        <v>6358</v>
      </c>
      <c r="B3496" s="806" t="s">
        <v>6287</v>
      </c>
      <c r="C3496" s="806" t="s">
        <v>6287</v>
      </c>
      <c r="D3496" s="815" t="s">
        <v>6359</v>
      </c>
      <c r="E3496" s="819">
        <v>250</v>
      </c>
      <c r="F3496" s="840">
        <v>13.717391304347828</v>
      </c>
      <c r="G3496" s="202" t="str">
        <f t="shared" si="54"/>
        <v/>
      </c>
    </row>
    <row r="3497" spans="1:7" s="172" customFormat="1" ht="15" customHeight="1" x14ac:dyDescent="0.25">
      <c r="A3497" s="810" t="s">
        <v>6360</v>
      </c>
      <c r="B3497" s="806" t="s">
        <v>6287</v>
      </c>
      <c r="C3497" s="806" t="s">
        <v>6287</v>
      </c>
      <c r="D3497" s="815" t="s">
        <v>6361</v>
      </c>
      <c r="E3497" s="819">
        <v>60</v>
      </c>
      <c r="F3497" s="839">
        <v>29.913043478260871</v>
      </c>
      <c r="G3497" s="202" t="str">
        <f t="shared" si="54"/>
        <v/>
      </c>
    </row>
    <row r="3498" spans="1:7" s="172" customFormat="1" ht="15" customHeight="1" x14ac:dyDescent="0.25">
      <c r="A3498" s="810" t="s">
        <v>6362</v>
      </c>
      <c r="B3498" s="806" t="s">
        <v>6287</v>
      </c>
      <c r="C3498" s="806" t="s">
        <v>6287</v>
      </c>
      <c r="D3498" s="815" t="s">
        <v>6363</v>
      </c>
      <c r="E3498" s="819">
        <v>160</v>
      </c>
      <c r="F3498" s="840">
        <v>83.913043478260875</v>
      </c>
      <c r="G3498" s="202" t="str">
        <f t="shared" si="54"/>
        <v/>
      </c>
    </row>
    <row r="3499" spans="1:7" s="172" customFormat="1" ht="15" customHeight="1" x14ac:dyDescent="0.25">
      <c r="A3499" s="810" t="s">
        <v>6364</v>
      </c>
      <c r="B3499" s="806" t="s">
        <v>6287</v>
      </c>
      <c r="C3499" s="806" t="s">
        <v>6287</v>
      </c>
      <c r="D3499" s="815" t="s">
        <v>6365</v>
      </c>
      <c r="E3499" s="819">
        <v>20</v>
      </c>
      <c r="F3499" s="840">
        <v>10.217391304347826</v>
      </c>
      <c r="G3499" s="202" t="str">
        <f t="shared" si="54"/>
        <v/>
      </c>
    </row>
    <row r="3500" spans="1:7" s="172" customFormat="1" ht="15" customHeight="1" x14ac:dyDescent="0.25">
      <c r="A3500" s="810" t="s">
        <v>4106</v>
      </c>
      <c r="B3500" s="806" t="s">
        <v>6287</v>
      </c>
      <c r="C3500" s="806" t="s">
        <v>6287</v>
      </c>
      <c r="D3500" s="815" t="s">
        <v>6366</v>
      </c>
      <c r="E3500" s="819">
        <v>30</v>
      </c>
      <c r="F3500" s="840">
        <v>9.3478260869565233</v>
      </c>
      <c r="G3500" s="202" t="str">
        <f t="shared" si="54"/>
        <v/>
      </c>
    </row>
    <row r="3501" spans="1:7" s="172" customFormat="1" ht="15" customHeight="1" x14ac:dyDescent="0.25">
      <c r="A3501" s="810" t="s">
        <v>6367</v>
      </c>
      <c r="B3501" s="806" t="s">
        <v>6287</v>
      </c>
      <c r="C3501" s="806" t="s">
        <v>6287</v>
      </c>
      <c r="D3501" s="815" t="s">
        <v>6368</v>
      </c>
      <c r="E3501" s="819">
        <v>30</v>
      </c>
      <c r="F3501" s="840">
        <v>23.478260869565219</v>
      </c>
      <c r="G3501" s="202" t="str">
        <f t="shared" si="54"/>
        <v/>
      </c>
    </row>
    <row r="3502" spans="1:7" s="172" customFormat="1" ht="15" customHeight="1" x14ac:dyDescent="0.25">
      <c r="A3502" s="810" t="s">
        <v>6369</v>
      </c>
      <c r="B3502" s="806" t="s">
        <v>6287</v>
      </c>
      <c r="C3502" s="806" t="s">
        <v>6287</v>
      </c>
      <c r="D3502" s="815" t="s">
        <v>6370</v>
      </c>
      <c r="E3502" s="819">
        <v>400</v>
      </c>
      <c r="F3502" s="839">
        <v>17.434782608695656</v>
      </c>
      <c r="G3502" s="202" t="str">
        <f t="shared" si="54"/>
        <v/>
      </c>
    </row>
    <row r="3503" spans="1:7" s="172" customFormat="1" ht="15" customHeight="1" x14ac:dyDescent="0.25">
      <c r="A3503" s="810" t="s">
        <v>6371</v>
      </c>
      <c r="B3503" s="806" t="s">
        <v>6287</v>
      </c>
      <c r="C3503" s="806" t="s">
        <v>6287</v>
      </c>
      <c r="D3503" s="815" t="s">
        <v>6372</v>
      </c>
      <c r="E3503" s="819">
        <v>60</v>
      </c>
      <c r="F3503" s="839">
        <v>37.434782608695656</v>
      </c>
      <c r="G3503" s="202" t="str">
        <f t="shared" si="54"/>
        <v/>
      </c>
    </row>
    <row r="3504" spans="1:7" s="172" customFormat="1" ht="15" customHeight="1" x14ac:dyDescent="0.25">
      <c r="A3504" s="810" t="s">
        <v>3122</v>
      </c>
      <c r="B3504" s="806" t="s">
        <v>6287</v>
      </c>
      <c r="C3504" s="806" t="s">
        <v>6287</v>
      </c>
      <c r="D3504" s="815" t="s">
        <v>6373</v>
      </c>
      <c r="E3504" s="819">
        <v>250</v>
      </c>
      <c r="F3504" s="841">
        <v>17.478260869565219</v>
      </c>
      <c r="G3504" s="202" t="str">
        <f t="shared" si="54"/>
        <v/>
      </c>
    </row>
    <row r="3505" spans="1:7" s="172" customFormat="1" ht="15" customHeight="1" x14ac:dyDescent="0.25">
      <c r="A3505" s="810" t="s">
        <v>6374</v>
      </c>
      <c r="B3505" s="806" t="s">
        <v>6287</v>
      </c>
      <c r="C3505" s="806" t="s">
        <v>6287</v>
      </c>
      <c r="D3505" s="815" t="s">
        <v>6375</v>
      </c>
      <c r="E3505" s="819">
        <v>50</v>
      </c>
      <c r="F3505" s="839">
        <v>26.086956521739133</v>
      </c>
      <c r="G3505" s="202" t="str">
        <f t="shared" si="54"/>
        <v/>
      </c>
    </row>
    <row r="3506" spans="1:7" s="172" customFormat="1" ht="15" customHeight="1" x14ac:dyDescent="0.25">
      <c r="A3506" s="810" t="s">
        <v>5955</v>
      </c>
      <c r="B3506" s="806" t="s">
        <v>6287</v>
      </c>
      <c r="C3506" s="806" t="s">
        <v>6287</v>
      </c>
      <c r="D3506" s="815" t="s">
        <v>6376</v>
      </c>
      <c r="E3506" s="819">
        <v>10</v>
      </c>
      <c r="F3506" s="840">
        <v>10</v>
      </c>
      <c r="G3506" s="202" t="str">
        <f t="shared" si="54"/>
        <v>не загружен</v>
      </c>
    </row>
    <row r="3507" spans="1:7" s="172" customFormat="1" ht="15" customHeight="1" x14ac:dyDescent="0.25">
      <c r="A3507" s="810" t="s">
        <v>6377</v>
      </c>
      <c r="B3507" s="806" t="s">
        <v>6287</v>
      </c>
      <c r="C3507" s="806" t="s">
        <v>6287</v>
      </c>
      <c r="D3507" s="815" t="s">
        <v>6378</v>
      </c>
      <c r="E3507" s="819">
        <v>60</v>
      </c>
      <c r="F3507" s="840">
        <v>52.478260869565219</v>
      </c>
      <c r="G3507" s="202" t="str">
        <f t="shared" si="54"/>
        <v/>
      </c>
    </row>
    <row r="3508" spans="1:7" s="172" customFormat="1" ht="15" customHeight="1" x14ac:dyDescent="0.25">
      <c r="A3508" s="810" t="s">
        <v>6379</v>
      </c>
      <c r="B3508" s="806" t="s">
        <v>6287</v>
      </c>
      <c r="C3508" s="806" t="s">
        <v>6287</v>
      </c>
      <c r="D3508" s="815" t="s">
        <v>6380</v>
      </c>
      <c r="E3508" s="819">
        <v>60</v>
      </c>
      <c r="F3508" s="840">
        <v>35</v>
      </c>
      <c r="G3508" s="202" t="str">
        <f t="shared" si="54"/>
        <v/>
      </c>
    </row>
    <row r="3509" spans="1:7" s="172" customFormat="1" ht="15" customHeight="1" x14ac:dyDescent="0.25">
      <c r="A3509" s="810" t="s">
        <v>6381</v>
      </c>
      <c r="B3509" s="806" t="s">
        <v>6287</v>
      </c>
      <c r="C3509" s="806" t="s">
        <v>6287</v>
      </c>
      <c r="D3509" s="815" t="s">
        <v>6382</v>
      </c>
      <c r="E3509" s="819">
        <v>60</v>
      </c>
      <c r="F3509" s="840">
        <v>40.434782608695656</v>
      </c>
      <c r="G3509" s="202" t="str">
        <f t="shared" si="54"/>
        <v/>
      </c>
    </row>
    <row r="3510" spans="1:7" s="172" customFormat="1" ht="15" customHeight="1" x14ac:dyDescent="0.25">
      <c r="A3510" s="810" t="s">
        <v>5676</v>
      </c>
      <c r="B3510" s="806" t="s">
        <v>6287</v>
      </c>
      <c r="C3510" s="806" t="s">
        <v>6287</v>
      </c>
      <c r="D3510" s="815" t="s">
        <v>6383</v>
      </c>
      <c r="E3510" s="819">
        <v>60</v>
      </c>
      <c r="F3510" s="840">
        <v>33.913043478260875</v>
      </c>
      <c r="G3510" s="202" t="str">
        <f t="shared" si="54"/>
        <v/>
      </c>
    </row>
    <row r="3511" spans="1:7" s="172" customFormat="1" ht="15" customHeight="1" x14ac:dyDescent="0.25">
      <c r="A3511" s="810" t="s">
        <v>2755</v>
      </c>
      <c r="B3511" s="806" t="s">
        <v>6287</v>
      </c>
      <c r="C3511" s="806" t="s">
        <v>6287</v>
      </c>
      <c r="D3511" s="815" t="s">
        <v>6384</v>
      </c>
      <c r="E3511" s="819">
        <v>160</v>
      </c>
      <c r="F3511" s="841">
        <v>100</v>
      </c>
      <c r="G3511" s="202" t="str">
        <f t="shared" si="54"/>
        <v/>
      </c>
    </row>
    <row r="3512" spans="1:7" s="172" customFormat="1" ht="15" customHeight="1" x14ac:dyDescent="0.25">
      <c r="A3512" s="810" t="s">
        <v>5812</v>
      </c>
      <c r="B3512" s="806" t="s">
        <v>6287</v>
      </c>
      <c r="C3512" s="806" t="s">
        <v>6287</v>
      </c>
      <c r="D3512" s="815" t="s">
        <v>6385</v>
      </c>
      <c r="E3512" s="819">
        <v>63</v>
      </c>
      <c r="F3512" s="841">
        <v>46.695652173913047</v>
      </c>
      <c r="G3512" s="202" t="str">
        <f t="shared" si="54"/>
        <v/>
      </c>
    </row>
    <row r="3513" spans="1:7" s="172" customFormat="1" ht="15" customHeight="1" x14ac:dyDescent="0.25">
      <c r="A3513" s="810" t="s">
        <v>6386</v>
      </c>
      <c r="B3513" s="806" t="s">
        <v>6287</v>
      </c>
      <c r="C3513" s="806" t="s">
        <v>6287</v>
      </c>
      <c r="D3513" s="815" t="s">
        <v>6387</v>
      </c>
      <c r="E3513" s="819">
        <v>30</v>
      </c>
      <c r="F3513" s="839">
        <v>14.782608695652174</v>
      </c>
      <c r="G3513" s="202" t="str">
        <f t="shared" si="54"/>
        <v/>
      </c>
    </row>
    <row r="3514" spans="1:7" s="172" customFormat="1" ht="15" customHeight="1" x14ac:dyDescent="0.25">
      <c r="A3514" s="810" t="s">
        <v>6388</v>
      </c>
      <c r="B3514" s="806" t="s">
        <v>6287</v>
      </c>
      <c r="C3514" s="806" t="s">
        <v>6287</v>
      </c>
      <c r="D3514" s="815" t="s">
        <v>6389</v>
      </c>
      <c r="E3514" s="819">
        <v>10</v>
      </c>
      <c r="F3514" s="841">
        <v>3.4782608695652177</v>
      </c>
      <c r="G3514" s="202" t="str">
        <f t="shared" si="54"/>
        <v/>
      </c>
    </row>
    <row r="3515" spans="1:7" s="172" customFormat="1" ht="15" customHeight="1" x14ac:dyDescent="0.25">
      <c r="A3515" s="810" t="s">
        <v>6390</v>
      </c>
      <c r="B3515" s="806" t="s">
        <v>6287</v>
      </c>
      <c r="C3515" s="806" t="s">
        <v>6287</v>
      </c>
      <c r="D3515" s="815" t="s">
        <v>6391</v>
      </c>
      <c r="E3515" s="819">
        <v>160</v>
      </c>
      <c r="F3515" s="841">
        <v>146.95652173913044</v>
      </c>
      <c r="G3515" s="202" t="str">
        <f t="shared" si="54"/>
        <v/>
      </c>
    </row>
    <row r="3516" spans="1:7" s="172" customFormat="1" ht="15" customHeight="1" x14ac:dyDescent="0.25">
      <c r="A3516" s="810" t="s">
        <v>6392</v>
      </c>
      <c r="B3516" s="806" t="s">
        <v>6287</v>
      </c>
      <c r="C3516" s="806" t="s">
        <v>6287</v>
      </c>
      <c r="D3516" s="815" t="s">
        <v>6393</v>
      </c>
      <c r="E3516" s="819">
        <v>100</v>
      </c>
      <c r="F3516" s="839">
        <v>66.304347826086968</v>
      </c>
      <c r="G3516" s="202" t="str">
        <f t="shared" si="54"/>
        <v/>
      </c>
    </row>
    <row r="3517" spans="1:7" s="172" customFormat="1" ht="15" customHeight="1" x14ac:dyDescent="0.25">
      <c r="A3517" s="810" t="s">
        <v>6120</v>
      </c>
      <c r="B3517" s="806" t="s">
        <v>6287</v>
      </c>
      <c r="C3517" s="806" t="s">
        <v>6287</v>
      </c>
      <c r="D3517" s="815" t="s">
        <v>6394</v>
      </c>
      <c r="E3517" s="819">
        <v>20</v>
      </c>
      <c r="F3517" s="840">
        <v>10.217391304347826</v>
      </c>
      <c r="G3517" s="202" t="str">
        <f t="shared" si="54"/>
        <v/>
      </c>
    </row>
    <row r="3518" spans="1:7" s="172" customFormat="1" ht="15" customHeight="1" x14ac:dyDescent="0.25">
      <c r="A3518" s="810" t="s">
        <v>6395</v>
      </c>
      <c r="B3518" s="806" t="s">
        <v>6287</v>
      </c>
      <c r="C3518" s="806" t="s">
        <v>6287</v>
      </c>
      <c r="D3518" s="815" t="s">
        <v>6396</v>
      </c>
      <c r="E3518" s="819">
        <v>250</v>
      </c>
      <c r="F3518" s="840">
        <v>25</v>
      </c>
      <c r="G3518" s="202" t="str">
        <f t="shared" si="54"/>
        <v/>
      </c>
    </row>
    <row r="3519" spans="1:7" s="172" customFormat="1" ht="15" customHeight="1" x14ac:dyDescent="0.25">
      <c r="A3519" s="810" t="s">
        <v>6397</v>
      </c>
      <c r="B3519" s="806" t="s">
        <v>6287</v>
      </c>
      <c r="C3519" s="806" t="s">
        <v>6287</v>
      </c>
      <c r="D3519" s="815" t="s">
        <v>6398</v>
      </c>
      <c r="E3519" s="819">
        <v>25</v>
      </c>
      <c r="F3519" s="840">
        <v>9.7826086956521738</v>
      </c>
      <c r="G3519" s="202" t="str">
        <f t="shared" si="54"/>
        <v/>
      </c>
    </row>
    <row r="3520" spans="1:7" s="172" customFormat="1" ht="15" customHeight="1" x14ac:dyDescent="0.25">
      <c r="A3520" s="810" t="s">
        <v>6399</v>
      </c>
      <c r="B3520" s="806" t="s">
        <v>6287</v>
      </c>
      <c r="C3520" s="806" t="s">
        <v>6287</v>
      </c>
      <c r="D3520" s="815" t="s">
        <v>6400</v>
      </c>
      <c r="E3520" s="819">
        <v>10</v>
      </c>
      <c r="F3520" s="840">
        <v>3.4782608695652177</v>
      </c>
      <c r="G3520" s="202" t="str">
        <f t="shared" si="54"/>
        <v/>
      </c>
    </row>
    <row r="3521" spans="1:7" s="172" customFormat="1" ht="15" customHeight="1" x14ac:dyDescent="0.25">
      <c r="A3521" s="810" t="s">
        <v>6401</v>
      </c>
      <c r="B3521" s="806" t="s">
        <v>6287</v>
      </c>
      <c r="C3521" s="806" t="s">
        <v>6287</v>
      </c>
      <c r="D3521" s="815" t="s">
        <v>6402</v>
      </c>
      <c r="E3521" s="819">
        <v>30</v>
      </c>
      <c r="F3521" s="840">
        <v>11.521739130434785</v>
      </c>
      <c r="G3521" s="202" t="str">
        <f t="shared" si="54"/>
        <v/>
      </c>
    </row>
    <row r="3522" spans="1:7" s="172" customFormat="1" ht="15" customHeight="1" x14ac:dyDescent="0.25">
      <c r="A3522" s="810" t="s">
        <v>6403</v>
      </c>
      <c r="B3522" s="806" t="s">
        <v>6287</v>
      </c>
      <c r="C3522" s="806" t="s">
        <v>6287</v>
      </c>
      <c r="D3522" s="815" t="s">
        <v>6404</v>
      </c>
      <c r="E3522" s="819">
        <v>40</v>
      </c>
      <c r="F3522" s="839">
        <v>7.391304347826086</v>
      </c>
      <c r="G3522" s="202" t="str">
        <f t="shared" si="54"/>
        <v/>
      </c>
    </row>
    <row r="3523" spans="1:7" s="172" customFormat="1" ht="15" customHeight="1" x14ac:dyDescent="0.25">
      <c r="A3523" s="810" t="s">
        <v>5897</v>
      </c>
      <c r="B3523" s="806" t="s">
        <v>6287</v>
      </c>
      <c r="C3523" s="806" t="s">
        <v>6287</v>
      </c>
      <c r="D3523" s="815" t="s">
        <v>6405</v>
      </c>
      <c r="E3523" s="819">
        <v>60</v>
      </c>
      <c r="F3523" s="839">
        <v>36.086956521739133</v>
      </c>
      <c r="G3523" s="202" t="str">
        <f t="shared" si="54"/>
        <v/>
      </c>
    </row>
    <row r="3524" spans="1:7" s="172" customFormat="1" ht="15" customHeight="1" x14ac:dyDescent="0.25">
      <c r="A3524" s="810" t="s">
        <v>6406</v>
      </c>
      <c r="B3524" s="806" t="s">
        <v>6287</v>
      </c>
      <c r="C3524" s="806" t="s">
        <v>6287</v>
      </c>
      <c r="D3524" s="815" t="s">
        <v>6407</v>
      </c>
      <c r="E3524" s="819">
        <v>400</v>
      </c>
      <c r="F3524" s="841">
        <v>236.95652173913044</v>
      </c>
      <c r="G3524" s="202" t="str">
        <f t="shared" si="54"/>
        <v/>
      </c>
    </row>
    <row r="3525" spans="1:7" s="172" customFormat="1" ht="15" customHeight="1" x14ac:dyDescent="0.25">
      <c r="A3525" s="810" t="s">
        <v>6408</v>
      </c>
      <c r="B3525" s="806" t="s">
        <v>6287</v>
      </c>
      <c r="C3525" s="806" t="s">
        <v>6287</v>
      </c>
      <c r="D3525" s="815" t="s">
        <v>6409</v>
      </c>
      <c r="E3525" s="819">
        <v>60</v>
      </c>
      <c r="F3525" s="840">
        <v>27.391304347826086</v>
      </c>
      <c r="G3525" s="202" t="str">
        <f t="shared" si="54"/>
        <v/>
      </c>
    </row>
    <row r="3526" spans="1:7" s="172" customFormat="1" ht="15" customHeight="1" x14ac:dyDescent="0.25">
      <c r="A3526" s="810" t="s">
        <v>6410</v>
      </c>
      <c r="B3526" s="806" t="s">
        <v>6287</v>
      </c>
      <c r="C3526" s="806" t="s">
        <v>6287</v>
      </c>
      <c r="D3526" s="815" t="s">
        <v>6411</v>
      </c>
      <c r="E3526" s="819">
        <v>60</v>
      </c>
      <c r="F3526" s="839">
        <v>27.391304347826086</v>
      </c>
      <c r="G3526" s="202" t="str">
        <f t="shared" si="54"/>
        <v/>
      </c>
    </row>
    <row r="3527" spans="1:7" s="172" customFormat="1" ht="15" customHeight="1" x14ac:dyDescent="0.25">
      <c r="A3527" s="810" t="s">
        <v>6412</v>
      </c>
      <c r="B3527" s="806" t="s">
        <v>6287</v>
      </c>
      <c r="C3527" s="806" t="s">
        <v>6287</v>
      </c>
      <c r="D3527" s="815" t="s">
        <v>18557</v>
      </c>
      <c r="E3527" s="819">
        <v>60</v>
      </c>
      <c r="F3527" s="839">
        <v>10</v>
      </c>
      <c r="G3527" s="202" t="str">
        <f t="shared" si="54"/>
        <v/>
      </c>
    </row>
    <row r="3528" spans="1:7" s="172" customFormat="1" ht="15" customHeight="1" x14ac:dyDescent="0.25">
      <c r="A3528" s="810" t="s">
        <v>6413</v>
      </c>
      <c r="B3528" s="806" t="s">
        <v>6287</v>
      </c>
      <c r="C3528" s="806" t="s">
        <v>6287</v>
      </c>
      <c r="D3528" s="815" t="s">
        <v>6414</v>
      </c>
      <c r="E3528" s="819">
        <v>10</v>
      </c>
      <c r="F3528" s="841">
        <v>7.8260869565217392</v>
      </c>
      <c r="G3528" s="202" t="str">
        <f t="shared" si="54"/>
        <v/>
      </c>
    </row>
    <row r="3529" spans="1:7" s="172" customFormat="1" ht="15" customHeight="1" x14ac:dyDescent="0.25">
      <c r="A3529" s="810" t="s">
        <v>4838</v>
      </c>
      <c r="B3529" s="806" t="s">
        <v>6287</v>
      </c>
      <c r="C3529" s="806" t="s">
        <v>6287</v>
      </c>
      <c r="D3529" s="815" t="s">
        <v>6415</v>
      </c>
      <c r="E3529" s="819">
        <v>10</v>
      </c>
      <c r="F3529" s="839">
        <v>5.6521739130434785</v>
      </c>
      <c r="G3529" s="202" t="str">
        <f t="shared" si="54"/>
        <v/>
      </c>
    </row>
    <row r="3530" spans="1:7" s="172" customFormat="1" ht="15" customHeight="1" x14ac:dyDescent="0.25">
      <c r="A3530" s="810" t="s">
        <v>6416</v>
      </c>
      <c r="B3530" s="806" t="s">
        <v>6287</v>
      </c>
      <c r="C3530" s="806" t="s">
        <v>6287</v>
      </c>
      <c r="D3530" s="815" t="s">
        <v>6417</v>
      </c>
      <c r="E3530" s="819">
        <v>10</v>
      </c>
      <c r="F3530" s="841">
        <v>4.5652173913043477</v>
      </c>
      <c r="G3530" s="202" t="str">
        <f t="shared" si="54"/>
        <v/>
      </c>
    </row>
    <row r="3531" spans="1:7" s="172" customFormat="1" ht="15" customHeight="1" x14ac:dyDescent="0.25">
      <c r="A3531" s="810" t="s">
        <v>4817</v>
      </c>
      <c r="B3531" s="806" t="s">
        <v>6287</v>
      </c>
      <c r="C3531" s="806" t="s">
        <v>6287</v>
      </c>
      <c r="D3531" s="815" t="s">
        <v>6418</v>
      </c>
      <c r="E3531" s="819">
        <v>100</v>
      </c>
      <c r="F3531" s="841">
        <v>83.695652173913047</v>
      </c>
      <c r="G3531" s="202" t="str">
        <f t="shared" si="54"/>
        <v/>
      </c>
    </row>
    <row r="3532" spans="1:7" s="172" customFormat="1" ht="15" customHeight="1" x14ac:dyDescent="0.25">
      <c r="A3532" s="810" t="s">
        <v>6419</v>
      </c>
      <c r="B3532" s="806" t="s">
        <v>6287</v>
      </c>
      <c r="C3532" s="806" t="s">
        <v>6287</v>
      </c>
      <c r="D3532" s="815" t="s">
        <v>6420</v>
      </c>
      <c r="E3532" s="819">
        <v>100</v>
      </c>
      <c r="F3532" s="841">
        <v>83.695652173913047</v>
      </c>
      <c r="G3532" s="202" t="str">
        <f t="shared" si="54"/>
        <v/>
      </c>
    </row>
    <row r="3533" spans="1:7" s="172" customFormat="1" ht="15" customHeight="1" x14ac:dyDescent="0.25">
      <c r="A3533" s="810" t="s">
        <v>6421</v>
      </c>
      <c r="B3533" s="806" t="s">
        <v>6287</v>
      </c>
      <c r="C3533" s="806" t="s">
        <v>6287</v>
      </c>
      <c r="D3533" s="815" t="s">
        <v>6422</v>
      </c>
      <c r="E3533" s="819">
        <v>100</v>
      </c>
      <c r="F3533" s="841">
        <v>67.391304347826093</v>
      </c>
      <c r="G3533" s="202" t="str">
        <f t="shared" si="54"/>
        <v/>
      </c>
    </row>
    <row r="3534" spans="1:7" s="172" customFormat="1" ht="15" customHeight="1" x14ac:dyDescent="0.25">
      <c r="A3534" s="810" t="s">
        <v>6423</v>
      </c>
      <c r="B3534" s="806" t="s">
        <v>6287</v>
      </c>
      <c r="C3534" s="806" t="s">
        <v>6287</v>
      </c>
      <c r="D3534" s="815" t="s">
        <v>6424</v>
      </c>
      <c r="E3534" s="819">
        <v>100</v>
      </c>
      <c r="F3534" s="841">
        <v>77.173913043478265</v>
      </c>
      <c r="G3534" s="202" t="str">
        <f t="shared" si="54"/>
        <v/>
      </c>
    </row>
    <row r="3535" spans="1:7" s="172" customFormat="1" ht="15" customHeight="1" x14ac:dyDescent="0.25">
      <c r="A3535" s="810" t="s">
        <v>6425</v>
      </c>
      <c r="B3535" s="806" t="s">
        <v>6287</v>
      </c>
      <c r="C3535" s="806" t="s">
        <v>6287</v>
      </c>
      <c r="D3535" s="815" t="s">
        <v>6426</v>
      </c>
      <c r="E3535" s="819">
        <v>63</v>
      </c>
      <c r="F3535" s="839">
        <v>24.956521739130437</v>
      </c>
      <c r="G3535" s="202" t="str">
        <f t="shared" si="54"/>
        <v/>
      </c>
    </row>
    <row r="3536" spans="1:7" s="172" customFormat="1" ht="15" customHeight="1" x14ac:dyDescent="0.25">
      <c r="A3536" s="810" t="s">
        <v>6427</v>
      </c>
      <c r="B3536" s="806" t="s">
        <v>6287</v>
      </c>
      <c r="C3536" s="806" t="s">
        <v>6287</v>
      </c>
      <c r="D3536" s="815" t="s">
        <v>6428</v>
      </c>
      <c r="E3536" s="819">
        <v>160</v>
      </c>
      <c r="F3536" s="841">
        <v>111.08695652173913</v>
      </c>
      <c r="G3536" s="202" t="str">
        <f t="shared" si="54"/>
        <v/>
      </c>
    </row>
    <row r="3537" spans="1:7" s="172" customFormat="1" ht="15" customHeight="1" x14ac:dyDescent="0.25">
      <c r="A3537" s="810" t="s">
        <v>6429</v>
      </c>
      <c r="B3537" s="806" t="s">
        <v>6287</v>
      </c>
      <c r="C3537" s="806" t="s">
        <v>6287</v>
      </c>
      <c r="D3537" s="815" t="s">
        <v>6430</v>
      </c>
      <c r="E3537" s="819">
        <v>63</v>
      </c>
      <c r="F3537" s="839">
        <v>33.652173913043484</v>
      </c>
      <c r="G3537" s="202" t="str">
        <f t="shared" si="54"/>
        <v/>
      </c>
    </row>
    <row r="3538" spans="1:7" s="172" customFormat="1" ht="15" customHeight="1" x14ac:dyDescent="0.25">
      <c r="A3538" s="810" t="s">
        <v>6431</v>
      </c>
      <c r="B3538" s="806" t="s">
        <v>6287</v>
      </c>
      <c r="C3538" s="806" t="s">
        <v>6287</v>
      </c>
      <c r="D3538" s="815" t="s">
        <v>6432</v>
      </c>
      <c r="E3538" s="819">
        <v>160</v>
      </c>
      <c r="F3538" s="841">
        <v>83.913043478260875</v>
      </c>
      <c r="G3538" s="202" t="str">
        <f t="shared" si="54"/>
        <v/>
      </c>
    </row>
    <row r="3539" spans="1:7" s="172" customFormat="1" ht="15" customHeight="1" x14ac:dyDescent="0.25">
      <c r="A3539" s="810" t="s">
        <v>3212</v>
      </c>
      <c r="B3539" s="806" t="s">
        <v>6287</v>
      </c>
      <c r="C3539" s="806" t="s">
        <v>6287</v>
      </c>
      <c r="D3539" s="815" t="s">
        <v>6433</v>
      </c>
      <c r="E3539" s="819">
        <v>60</v>
      </c>
      <c r="F3539" s="841">
        <v>32.826086956521742</v>
      </c>
      <c r="G3539" s="202" t="str">
        <f t="shared" si="54"/>
        <v/>
      </c>
    </row>
    <row r="3540" spans="1:7" s="172" customFormat="1" ht="15" customHeight="1" x14ac:dyDescent="0.25">
      <c r="A3540" s="810" t="s">
        <v>6434</v>
      </c>
      <c r="B3540" s="806" t="s">
        <v>6287</v>
      </c>
      <c r="C3540" s="806" t="s">
        <v>6287</v>
      </c>
      <c r="D3540" s="815" t="s">
        <v>6435</v>
      </c>
      <c r="E3540" s="819">
        <v>160</v>
      </c>
      <c r="F3540" s="841">
        <v>-126.95652173913044</v>
      </c>
      <c r="G3540" s="202" t="str">
        <f t="shared" si="54"/>
        <v/>
      </c>
    </row>
    <row r="3541" spans="1:7" s="172" customFormat="1" ht="15" customHeight="1" x14ac:dyDescent="0.25">
      <c r="A3541" s="810" t="s">
        <v>6436</v>
      </c>
      <c r="B3541" s="806" t="s">
        <v>6287</v>
      </c>
      <c r="C3541" s="806" t="s">
        <v>6287</v>
      </c>
      <c r="D3541" s="815" t="s">
        <v>6437</v>
      </c>
      <c r="E3541" s="819">
        <v>25</v>
      </c>
      <c r="F3541" s="841">
        <v>16.304347826086957</v>
      </c>
      <c r="G3541" s="202" t="str">
        <f t="shared" si="54"/>
        <v/>
      </c>
    </row>
    <row r="3542" spans="1:7" s="172" customFormat="1" ht="15" customHeight="1" x14ac:dyDescent="0.25">
      <c r="A3542" s="810" t="s">
        <v>4892</v>
      </c>
      <c r="B3542" s="806" t="s">
        <v>6287</v>
      </c>
      <c r="C3542" s="806" t="s">
        <v>6287</v>
      </c>
      <c r="D3542" s="815" t="s">
        <v>6438</v>
      </c>
      <c r="E3542" s="819">
        <v>10</v>
      </c>
      <c r="F3542" s="840">
        <v>10</v>
      </c>
      <c r="G3542" s="202" t="str">
        <f t="shared" si="54"/>
        <v>не загружен</v>
      </c>
    </row>
    <row r="3543" spans="1:7" s="172" customFormat="1" ht="15" customHeight="1" x14ac:dyDescent="0.25">
      <c r="A3543" s="810" t="s">
        <v>6270</v>
      </c>
      <c r="B3543" s="806" t="s">
        <v>6287</v>
      </c>
      <c r="C3543" s="806" t="s">
        <v>6287</v>
      </c>
      <c r="D3543" s="815" t="s">
        <v>6439</v>
      </c>
      <c r="E3543" s="819">
        <v>250</v>
      </c>
      <c r="F3543" s="840">
        <v>184.78260869565219</v>
      </c>
      <c r="G3543" s="202" t="str">
        <f t="shared" si="54"/>
        <v/>
      </c>
    </row>
    <row r="3544" spans="1:7" s="172" customFormat="1" ht="15" customHeight="1" x14ac:dyDescent="0.25">
      <c r="A3544" s="810" t="s">
        <v>6440</v>
      </c>
      <c r="B3544" s="806" t="s">
        <v>6287</v>
      </c>
      <c r="C3544" s="806" t="s">
        <v>6287</v>
      </c>
      <c r="D3544" s="815" t="s">
        <v>6441</v>
      </c>
      <c r="E3544" s="819">
        <v>30</v>
      </c>
      <c r="F3544" s="841">
        <v>21.304347826086957</v>
      </c>
      <c r="G3544" s="202" t="str">
        <f t="shared" si="54"/>
        <v/>
      </c>
    </row>
    <row r="3545" spans="1:7" s="172" customFormat="1" ht="15" customHeight="1" x14ac:dyDescent="0.25">
      <c r="A3545" s="810" t="s">
        <v>6442</v>
      </c>
      <c r="B3545" s="806" t="s">
        <v>6287</v>
      </c>
      <c r="C3545" s="806" t="s">
        <v>6287</v>
      </c>
      <c r="D3545" s="815" t="s">
        <v>6443</v>
      </c>
      <c r="E3545" s="819">
        <v>30</v>
      </c>
      <c r="F3545" s="840">
        <v>12.608695652173914</v>
      </c>
      <c r="G3545" s="202" t="str">
        <f t="shared" ref="G3545:G3608" si="55">IF(E3545=F3545,"не загружен","")</f>
        <v/>
      </c>
    </row>
    <row r="3546" spans="1:7" s="172" customFormat="1" ht="15" customHeight="1" x14ac:dyDescent="0.25">
      <c r="A3546" s="810" t="s">
        <v>6444</v>
      </c>
      <c r="B3546" s="806" t="s">
        <v>6287</v>
      </c>
      <c r="C3546" s="806" t="s">
        <v>6287</v>
      </c>
      <c r="D3546" s="815" t="s">
        <v>6445</v>
      </c>
      <c r="E3546" s="819">
        <v>30</v>
      </c>
      <c r="F3546" s="840">
        <v>11.521739130434785</v>
      </c>
      <c r="G3546" s="202" t="str">
        <f t="shared" si="55"/>
        <v/>
      </c>
    </row>
    <row r="3547" spans="1:7" s="172" customFormat="1" ht="15" customHeight="1" x14ac:dyDescent="0.25">
      <c r="A3547" s="810" t="s">
        <v>6446</v>
      </c>
      <c r="B3547" s="806" t="s">
        <v>6287</v>
      </c>
      <c r="C3547" s="806" t="s">
        <v>6287</v>
      </c>
      <c r="D3547" s="815" t="s">
        <v>6447</v>
      </c>
      <c r="E3547" s="819">
        <v>400</v>
      </c>
      <c r="F3547" s="839">
        <v>226.08695652173913</v>
      </c>
      <c r="G3547" s="202" t="str">
        <f t="shared" si="55"/>
        <v/>
      </c>
    </row>
    <row r="3548" spans="1:7" s="172" customFormat="1" ht="15" customHeight="1" x14ac:dyDescent="0.25">
      <c r="A3548" s="810" t="s">
        <v>6448</v>
      </c>
      <c r="B3548" s="806" t="s">
        <v>6287</v>
      </c>
      <c r="C3548" s="806" t="s">
        <v>6287</v>
      </c>
      <c r="D3548" s="815" t="s">
        <v>6449</v>
      </c>
      <c r="E3548" s="819">
        <v>63</v>
      </c>
      <c r="F3548" s="839">
        <v>26.04347826086957</v>
      </c>
      <c r="G3548" s="202" t="str">
        <f t="shared" si="55"/>
        <v/>
      </c>
    </row>
    <row r="3549" spans="1:7" s="172" customFormat="1" ht="15" customHeight="1" x14ac:dyDescent="0.25">
      <c r="A3549" s="810" t="s">
        <v>6450</v>
      </c>
      <c r="B3549" s="806" t="s">
        <v>6287</v>
      </c>
      <c r="C3549" s="806" t="s">
        <v>6287</v>
      </c>
      <c r="D3549" s="815" t="s">
        <v>6451</v>
      </c>
      <c r="E3549" s="819">
        <v>30</v>
      </c>
      <c r="F3549" s="839">
        <v>3.913043478260871</v>
      </c>
      <c r="G3549" s="202" t="str">
        <f t="shared" si="55"/>
        <v/>
      </c>
    </row>
    <row r="3550" spans="1:7" s="172" customFormat="1" ht="15" customHeight="1" x14ac:dyDescent="0.25">
      <c r="A3550" s="810" t="s">
        <v>6452</v>
      </c>
      <c r="B3550" s="806" t="s">
        <v>6287</v>
      </c>
      <c r="C3550" s="806" t="s">
        <v>6287</v>
      </c>
      <c r="D3550" s="815" t="s">
        <v>6453</v>
      </c>
      <c r="E3550" s="819">
        <v>25</v>
      </c>
      <c r="F3550" s="839">
        <v>6.5217391304347849</v>
      </c>
      <c r="G3550" s="202" t="str">
        <f t="shared" si="55"/>
        <v/>
      </c>
    </row>
    <row r="3551" spans="1:7" s="172" customFormat="1" ht="15" customHeight="1" x14ac:dyDescent="0.25">
      <c r="A3551" s="810" t="s">
        <v>6454</v>
      </c>
      <c r="B3551" s="806" t="s">
        <v>6287</v>
      </c>
      <c r="C3551" s="806" t="s">
        <v>6287</v>
      </c>
      <c r="D3551" s="815" t="s">
        <v>6455</v>
      </c>
      <c r="E3551" s="819">
        <v>10</v>
      </c>
      <c r="F3551" s="839">
        <v>2.3913043478260869</v>
      </c>
      <c r="G3551" s="202" t="str">
        <f t="shared" si="55"/>
        <v/>
      </c>
    </row>
    <row r="3552" spans="1:7" s="172" customFormat="1" ht="15" customHeight="1" x14ac:dyDescent="0.25">
      <c r="A3552" s="810" t="s">
        <v>6456</v>
      </c>
      <c r="B3552" s="806" t="s">
        <v>6287</v>
      </c>
      <c r="C3552" s="806" t="s">
        <v>6287</v>
      </c>
      <c r="D3552" s="815" t="s">
        <v>6457</v>
      </c>
      <c r="E3552" s="819">
        <v>60</v>
      </c>
      <c r="F3552" s="840">
        <v>43.695652173913047</v>
      </c>
      <c r="G3552" s="202" t="str">
        <f t="shared" si="55"/>
        <v/>
      </c>
    </row>
    <row r="3553" spans="1:7" s="172" customFormat="1" ht="15" customHeight="1" x14ac:dyDescent="0.25">
      <c r="A3553" s="810" t="s">
        <v>6458</v>
      </c>
      <c r="B3553" s="806" t="s">
        <v>6287</v>
      </c>
      <c r="C3553" s="806" t="s">
        <v>6287</v>
      </c>
      <c r="D3553" s="815" t="s">
        <v>6459</v>
      </c>
      <c r="E3553" s="819">
        <v>60</v>
      </c>
      <c r="F3553" s="839">
        <v>37.173913043478265</v>
      </c>
      <c r="G3553" s="202" t="str">
        <f t="shared" si="55"/>
        <v/>
      </c>
    </row>
    <row r="3554" spans="1:7" s="172" customFormat="1" ht="15" customHeight="1" x14ac:dyDescent="0.25">
      <c r="A3554" s="810" t="s">
        <v>6460</v>
      </c>
      <c r="B3554" s="806" t="s">
        <v>6287</v>
      </c>
      <c r="C3554" s="806" t="s">
        <v>6287</v>
      </c>
      <c r="D3554" s="815" t="s">
        <v>6461</v>
      </c>
      <c r="E3554" s="819">
        <v>60</v>
      </c>
      <c r="F3554" s="839">
        <v>32.826086956521742</v>
      </c>
      <c r="G3554" s="202" t="str">
        <f t="shared" si="55"/>
        <v/>
      </c>
    </row>
    <row r="3555" spans="1:7" s="172" customFormat="1" ht="15" customHeight="1" x14ac:dyDescent="0.25">
      <c r="A3555" s="810" t="s">
        <v>6462</v>
      </c>
      <c r="B3555" s="806" t="s">
        <v>6287</v>
      </c>
      <c r="C3555" s="806" t="s">
        <v>6287</v>
      </c>
      <c r="D3555" s="815" t="s">
        <v>6463</v>
      </c>
      <c r="E3555" s="819">
        <v>30</v>
      </c>
      <c r="F3555" s="840">
        <v>18.043478260869566</v>
      </c>
      <c r="G3555" s="202" t="str">
        <f t="shared" si="55"/>
        <v/>
      </c>
    </row>
    <row r="3556" spans="1:7" s="172" customFormat="1" ht="15" customHeight="1" x14ac:dyDescent="0.25">
      <c r="A3556" s="810" t="s">
        <v>6464</v>
      </c>
      <c r="B3556" s="806" t="s">
        <v>6287</v>
      </c>
      <c r="C3556" s="806" t="s">
        <v>6287</v>
      </c>
      <c r="D3556" s="815" t="s">
        <v>6465</v>
      </c>
      <c r="E3556" s="819">
        <v>10</v>
      </c>
      <c r="F3556" s="840">
        <v>10</v>
      </c>
      <c r="G3556" s="202" t="str">
        <f t="shared" si="55"/>
        <v>не загружен</v>
      </c>
    </row>
    <row r="3557" spans="1:7" s="172" customFormat="1" ht="15" customHeight="1" x14ac:dyDescent="0.25">
      <c r="A3557" s="810" t="s">
        <v>6270</v>
      </c>
      <c r="B3557" s="806" t="s">
        <v>6287</v>
      </c>
      <c r="C3557" s="806" t="s">
        <v>6287</v>
      </c>
      <c r="D3557" s="815" t="s">
        <v>6439</v>
      </c>
      <c r="E3557" s="819">
        <v>63</v>
      </c>
      <c r="F3557" s="839">
        <v>30.391304347826086</v>
      </c>
      <c r="G3557" s="202" t="str">
        <f t="shared" si="55"/>
        <v/>
      </c>
    </row>
    <row r="3558" spans="1:7" s="172" customFormat="1" ht="15" customHeight="1" x14ac:dyDescent="0.25">
      <c r="A3558" s="810" t="s">
        <v>6466</v>
      </c>
      <c r="B3558" s="806" t="s">
        <v>6287</v>
      </c>
      <c r="C3558" s="806" t="s">
        <v>6287</v>
      </c>
      <c r="D3558" s="815" t="s">
        <v>6467</v>
      </c>
      <c r="E3558" s="819">
        <v>60</v>
      </c>
      <c r="F3558" s="839">
        <v>5.6521739130434838</v>
      </c>
      <c r="G3558" s="202" t="str">
        <f t="shared" si="55"/>
        <v/>
      </c>
    </row>
    <row r="3559" spans="1:7" s="172" customFormat="1" ht="15" customHeight="1" x14ac:dyDescent="0.25">
      <c r="A3559" s="810" t="s">
        <v>6468</v>
      </c>
      <c r="B3559" s="806" t="s">
        <v>6287</v>
      </c>
      <c r="C3559" s="806" t="s">
        <v>6287</v>
      </c>
      <c r="D3559" s="815" t="s">
        <v>6469</v>
      </c>
      <c r="E3559" s="819">
        <v>63</v>
      </c>
      <c r="F3559" s="839">
        <v>43.434782608695656</v>
      </c>
      <c r="G3559" s="202" t="str">
        <f t="shared" si="55"/>
        <v/>
      </c>
    </row>
    <row r="3560" spans="1:7" s="172" customFormat="1" ht="15" customHeight="1" x14ac:dyDescent="0.25">
      <c r="A3560" s="810" t="s">
        <v>2924</v>
      </c>
      <c r="B3560" s="806" t="s">
        <v>6287</v>
      </c>
      <c r="C3560" s="806" t="s">
        <v>6287</v>
      </c>
      <c r="D3560" s="815" t="s">
        <v>6470</v>
      </c>
      <c r="E3560" s="819">
        <v>160</v>
      </c>
      <c r="F3560" s="840">
        <v>119.78260869565219</v>
      </c>
      <c r="G3560" s="202" t="str">
        <f t="shared" si="55"/>
        <v/>
      </c>
    </row>
    <row r="3561" spans="1:7" s="172" customFormat="1" ht="15" customHeight="1" x14ac:dyDescent="0.25">
      <c r="A3561" s="810" t="s">
        <v>6471</v>
      </c>
      <c r="B3561" s="806" t="s">
        <v>6287</v>
      </c>
      <c r="C3561" s="806" t="s">
        <v>6287</v>
      </c>
      <c r="D3561" s="815" t="s">
        <v>6472</v>
      </c>
      <c r="E3561" s="819">
        <v>10</v>
      </c>
      <c r="F3561" s="840">
        <v>4.5652173913043477</v>
      </c>
      <c r="G3561" s="202" t="str">
        <f t="shared" si="55"/>
        <v/>
      </c>
    </row>
    <row r="3562" spans="1:7" s="172" customFormat="1" ht="15" customHeight="1" x14ac:dyDescent="0.25">
      <c r="A3562" s="810" t="s">
        <v>6473</v>
      </c>
      <c r="B3562" s="806" t="s">
        <v>6287</v>
      </c>
      <c r="C3562" s="806" t="s">
        <v>6287</v>
      </c>
      <c r="D3562" s="815" t="s">
        <v>6474</v>
      </c>
      <c r="E3562" s="819">
        <v>10</v>
      </c>
      <c r="F3562" s="839">
        <v>4.5652173913043477</v>
      </c>
      <c r="G3562" s="202" t="str">
        <f t="shared" si="55"/>
        <v/>
      </c>
    </row>
    <row r="3563" spans="1:7" s="172" customFormat="1" ht="15" customHeight="1" x14ac:dyDescent="0.25">
      <c r="A3563" s="810" t="s">
        <v>2778</v>
      </c>
      <c r="B3563" s="806" t="s">
        <v>6287</v>
      </c>
      <c r="C3563" s="806" t="s">
        <v>6287</v>
      </c>
      <c r="D3563" s="815" t="s">
        <v>6475</v>
      </c>
      <c r="E3563" s="819">
        <v>100</v>
      </c>
      <c r="F3563" s="839">
        <v>100</v>
      </c>
      <c r="G3563" s="202" t="str">
        <f t="shared" si="55"/>
        <v>не загружен</v>
      </c>
    </row>
    <row r="3564" spans="1:7" s="172" customFormat="1" ht="15" customHeight="1" x14ac:dyDescent="0.25">
      <c r="A3564" s="810" t="s">
        <v>6406</v>
      </c>
      <c r="B3564" s="806" t="s">
        <v>6287</v>
      </c>
      <c r="C3564" s="806" t="s">
        <v>6287</v>
      </c>
      <c r="D3564" s="815" t="s">
        <v>6476</v>
      </c>
      <c r="E3564" s="819">
        <v>160</v>
      </c>
      <c r="F3564" s="839">
        <v>130.65217391304347</v>
      </c>
      <c r="G3564" s="202" t="str">
        <f t="shared" si="55"/>
        <v/>
      </c>
    </row>
    <row r="3565" spans="1:7" s="172" customFormat="1" ht="15" customHeight="1" x14ac:dyDescent="0.25">
      <c r="A3565" s="810" t="s">
        <v>15023</v>
      </c>
      <c r="B3565" s="806" t="s">
        <v>6287</v>
      </c>
      <c r="C3565" s="806" t="s">
        <v>6287</v>
      </c>
      <c r="D3565" s="815" t="s">
        <v>6477</v>
      </c>
      <c r="E3565" s="819">
        <v>250</v>
      </c>
      <c r="F3565" s="839">
        <v>194.56521739130434</v>
      </c>
      <c r="G3565" s="202" t="str">
        <f t="shared" si="55"/>
        <v/>
      </c>
    </row>
    <row r="3566" spans="1:7" s="172" customFormat="1" ht="15" customHeight="1" x14ac:dyDescent="0.25">
      <c r="A3566" s="810" t="s">
        <v>6478</v>
      </c>
      <c r="B3566" s="806" t="s">
        <v>6287</v>
      </c>
      <c r="C3566" s="806" t="s">
        <v>6287</v>
      </c>
      <c r="D3566" s="815" t="s">
        <v>6479</v>
      </c>
      <c r="E3566" s="819">
        <v>63</v>
      </c>
      <c r="F3566" s="839">
        <v>45.608695652173914</v>
      </c>
      <c r="G3566" s="202" t="str">
        <f t="shared" si="55"/>
        <v/>
      </c>
    </row>
    <row r="3567" spans="1:7" s="172" customFormat="1" ht="15" customHeight="1" x14ac:dyDescent="0.25">
      <c r="A3567" s="810" t="s">
        <v>6480</v>
      </c>
      <c r="B3567" s="806" t="s">
        <v>6287</v>
      </c>
      <c r="C3567" s="806" t="s">
        <v>6287</v>
      </c>
      <c r="D3567" s="815" t="s">
        <v>6481</v>
      </c>
      <c r="E3567" s="819">
        <v>60</v>
      </c>
      <c r="F3567" s="840">
        <v>5</v>
      </c>
      <c r="G3567" s="202" t="str">
        <f t="shared" si="55"/>
        <v/>
      </c>
    </row>
    <row r="3568" spans="1:7" s="172" customFormat="1" ht="15" customHeight="1" x14ac:dyDescent="0.25">
      <c r="A3568" s="810" t="s">
        <v>6482</v>
      </c>
      <c r="B3568" s="806" t="s">
        <v>6287</v>
      </c>
      <c r="C3568" s="806" t="s">
        <v>6287</v>
      </c>
      <c r="D3568" s="815" t="s">
        <v>6483</v>
      </c>
      <c r="E3568" s="819">
        <v>250</v>
      </c>
      <c r="F3568" s="839">
        <v>176.08695652173913</v>
      </c>
      <c r="G3568" s="202" t="str">
        <f t="shared" si="55"/>
        <v/>
      </c>
    </row>
    <row r="3569" spans="1:7" s="172" customFormat="1" ht="15" customHeight="1" x14ac:dyDescent="0.25">
      <c r="A3569" s="810" t="s">
        <v>6484</v>
      </c>
      <c r="B3569" s="806" t="s">
        <v>6287</v>
      </c>
      <c r="C3569" s="806" t="s">
        <v>6287</v>
      </c>
      <c r="D3569" s="815" t="s">
        <v>6485</v>
      </c>
      <c r="E3569" s="819">
        <v>100</v>
      </c>
      <c r="F3569" s="840">
        <v>59.782608695652179</v>
      </c>
      <c r="G3569" s="202" t="str">
        <f t="shared" si="55"/>
        <v/>
      </c>
    </row>
    <row r="3570" spans="1:7" s="172" customFormat="1" ht="15" customHeight="1" x14ac:dyDescent="0.25">
      <c r="A3570" s="810" t="s">
        <v>3373</v>
      </c>
      <c r="B3570" s="806" t="s">
        <v>6287</v>
      </c>
      <c r="C3570" s="806" t="s">
        <v>6287</v>
      </c>
      <c r="D3570" s="815" t="s">
        <v>6486</v>
      </c>
      <c r="E3570" s="819">
        <v>100</v>
      </c>
      <c r="F3570" s="840">
        <v>39.130434782608695</v>
      </c>
      <c r="G3570" s="202" t="str">
        <f t="shared" si="55"/>
        <v/>
      </c>
    </row>
    <row r="3571" spans="1:7" s="172" customFormat="1" ht="15" customHeight="1" x14ac:dyDescent="0.25">
      <c r="A3571" s="810" t="s">
        <v>4825</v>
      </c>
      <c r="B3571" s="806" t="s">
        <v>6287</v>
      </c>
      <c r="C3571" s="806" t="s">
        <v>6287</v>
      </c>
      <c r="D3571" s="815" t="s">
        <v>6487</v>
      </c>
      <c r="E3571" s="819">
        <v>10</v>
      </c>
      <c r="F3571" s="840">
        <v>1.304347826086957</v>
      </c>
      <c r="G3571" s="202" t="str">
        <f t="shared" si="55"/>
        <v/>
      </c>
    </row>
    <row r="3572" spans="1:7" s="172" customFormat="1" ht="15" customHeight="1" x14ac:dyDescent="0.25">
      <c r="A3572" s="810" t="s">
        <v>6488</v>
      </c>
      <c r="B3572" s="806" t="s">
        <v>6287</v>
      </c>
      <c r="C3572" s="806" t="s">
        <v>6287</v>
      </c>
      <c r="D3572" s="815" t="s">
        <v>6489</v>
      </c>
      <c r="E3572" s="819">
        <v>160</v>
      </c>
      <c r="F3572" s="840">
        <v>119.78260869565219</v>
      </c>
      <c r="G3572" s="202" t="str">
        <f t="shared" si="55"/>
        <v/>
      </c>
    </row>
    <row r="3573" spans="1:7" s="172" customFormat="1" ht="15" customHeight="1" x14ac:dyDescent="0.25">
      <c r="A3573" s="810" t="s">
        <v>6490</v>
      </c>
      <c r="B3573" s="806" t="s">
        <v>6287</v>
      </c>
      <c r="C3573" s="806" t="s">
        <v>6287</v>
      </c>
      <c r="D3573" s="815" t="s">
        <v>6491</v>
      </c>
      <c r="E3573" s="819">
        <v>160</v>
      </c>
      <c r="F3573" s="840">
        <v>160</v>
      </c>
      <c r="G3573" s="202" t="str">
        <f t="shared" si="55"/>
        <v>не загружен</v>
      </c>
    </row>
    <row r="3574" spans="1:7" s="172" customFormat="1" ht="15" customHeight="1" x14ac:dyDescent="0.25">
      <c r="A3574" s="810" t="s">
        <v>3747</v>
      </c>
      <c r="B3574" s="806" t="s">
        <v>6287</v>
      </c>
      <c r="C3574" s="806" t="s">
        <v>6287</v>
      </c>
      <c r="D3574" s="815" t="s">
        <v>6492</v>
      </c>
      <c r="E3574" s="819">
        <v>30</v>
      </c>
      <c r="F3574" s="839">
        <v>6.0869565217391326</v>
      </c>
      <c r="G3574" s="202" t="str">
        <f t="shared" si="55"/>
        <v/>
      </c>
    </row>
    <row r="3575" spans="1:7" s="172" customFormat="1" ht="15" customHeight="1" x14ac:dyDescent="0.25">
      <c r="A3575" s="810" t="s">
        <v>6493</v>
      </c>
      <c r="B3575" s="806" t="s">
        <v>6287</v>
      </c>
      <c r="C3575" s="806" t="s">
        <v>6287</v>
      </c>
      <c r="D3575" s="815" t="s">
        <v>6494</v>
      </c>
      <c r="E3575" s="819">
        <v>250</v>
      </c>
      <c r="F3575" s="839">
        <v>214.89855072463769</v>
      </c>
      <c r="G3575" s="202" t="str">
        <f t="shared" si="55"/>
        <v/>
      </c>
    </row>
    <row r="3576" spans="1:7" s="172" customFormat="1" ht="15" customHeight="1" x14ac:dyDescent="0.25">
      <c r="A3576" s="810" t="s">
        <v>6495</v>
      </c>
      <c r="B3576" s="806" t="s">
        <v>6287</v>
      </c>
      <c r="C3576" s="806" t="s">
        <v>6287</v>
      </c>
      <c r="D3576" s="815" t="s">
        <v>6496</v>
      </c>
      <c r="E3576" s="819">
        <v>160</v>
      </c>
      <c r="F3576" s="839">
        <v>153.47826086956522</v>
      </c>
      <c r="G3576" s="202" t="str">
        <f t="shared" si="55"/>
        <v/>
      </c>
    </row>
    <row r="3577" spans="1:7" s="172" customFormat="1" ht="15" customHeight="1" x14ac:dyDescent="0.25">
      <c r="A3577" s="810" t="s">
        <v>6497</v>
      </c>
      <c r="B3577" s="806" t="s">
        <v>6287</v>
      </c>
      <c r="C3577" s="806" t="s">
        <v>6287</v>
      </c>
      <c r="D3577" s="815" t="s">
        <v>6498</v>
      </c>
      <c r="E3577" s="819">
        <v>60</v>
      </c>
      <c r="F3577" s="841">
        <v>37.173913043478265</v>
      </c>
      <c r="G3577" s="202" t="str">
        <f t="shared" si="55"/>
        <v/>
      </c>
    </row>
    <row r="3578" spans="1:7" s="172" customFormat="1" ht="15" customHeight="1" x14ac:dyDescent="0.25">
      <c r="A3578" s="810" t="s">
        <v>6499</v>
      </c>
      <c r="B3578" s="806" t="s">
        <v>6287</v>
      </c>
      <c r="C3578" s="806" t="s">
        <v>6287</v>
      </c>
      <c r="D3578" s="815" t="s">
        <v>6500</v>
      </c>
      <c r="E3578" s="819">
        <v>100</v>
      </c>
      <c r="F3578" s="840">
        <v>23.913043478260875</v>
      </c>
      <c r="G3578" s="202" t="str">
        <f t="shared" si="55"/>
        <v/>
      </c>
    </row>
    <row r="3579" spans="1:7" s="172" customFormat="1" ht="15" customHeight="1" x14ac:dyDescent="0.25">
      <c r="A3579" s="810" t="s">
        <v>5920</v>
      </c>
      <c r="B3579" s="806" t="s">
        <v>6287</v>
      </c>
      <c r="C3579" s="806" t="s">
        <v>6287</v>
      </c>
      <c r="D3579" s="815" t="s">
        <v>6501</v>
      </c>
      <c r="E3579" s="819">
        <v>100</v>
      </c>
      <c r="F3579" s="841">
        <v>40</v>
      </c>
      <c r="G3579" s="202" t="str">
        <f t="shared" si="55"/>
        <v/>
      </c>
    </row>
    <row r="3580" spans="1:7" s="172" customFormat="1" ht="15" customHeight="1" x14ac:dyDescent="0.25">
      <c r="A3580" s="810" t="s">
        <v>4832</v>
      </c>
      <c r="B3580" s="806" t="s">
        <v>6287</v>
      </c>
      <c r="C3580" s="806" t="s">
        <v>6287</v>
      </c>
      <c r="D3580" s="815" t="s">
        <v>6502</v>
      </c>
      <c r="E3580" s="819">
        <v>63</v>
      </c>
      <c r="F3580" s="841">
        <v>0</v>
      </c>
      <c r="G3580" s="202" t="str">
        <f t="shared" si="55"/>
        <v/>
      </c>
    </row>
    <row r="3581" spans="1:7" s="172" customFormat="1" ht="15" customHeight="1" x14ac:dyDescent="0.25">
      <c r="A3581" s="810" t="s">
        <v>3677</v>
      </c>
      <c r="B3581" s="806" t="s">
        <v>6287</v>
      </c>
      <c r="C3581" s="806" t="s">
        <v>6287</v>
      </c>
      <c r="D3581" s="815" t="s">
        <v>6503</v>
      </c>
      <c r="E3581" s="819">
        <v>160</v>
      </c>
      <c r="F3581" s="840">
        <v>130.60869565217399</v>
      </c>
      <c r="G3581" s="202" t="str">
        <f t="shared" si="55"/>
        <v/>
      </c>
    </row>
    <row r="3582" spans="1:7" s="172" customFormat="1" ht="15" customHeight="1" x14ac:dyDescent="0.25">
      <c r="A3582" s="810" t="s">
        <v>6504</v>
      </c>
      <c r="B3582" s="806" t="s">
        <v>6287</v>
      </c>
      <c r="C3582" s="806" t="s">
        <v>6287</v>
      </c>
      <c r="D3582" s="815" t="s">
        <v>6505</v>
      </c>
      <c r="E3582" s="819">
        <v>250</v>
      </c>
      <c r="F3582" s="840">
        <v>158.69565217391306</v>
      </c>
      <c r="G3582" s="202" t="str">
        <f t="shared" si="55"/>
        <v/>
      </c>
    </row>
    <row r="3583" spans="1:7" s="172" customFormat="1" ht="15" customHeight="1" x14ac:dyDescent="0.25">
      <c r="A3583" s="810" t="s">
        <v>6506</v>
      </c>
      <c r="B3583" s="806" t="s">
        <v>6287</v>
      </c>
      <c r="C3583" s="806" t="s">
        <v>6287</v>
      </c>
      <c r="D3583" s="815" t="s">
        <v>6507</v>
      </c>
      <c r="E3583" s="819">
        <v>25</v>
      </c>
      <c r="F3583" s="839">
        <v>5.4347826086956523</v>
      </c>
      <c r="G3583" s="202" t="str">
        <f t="shared" si="55"/>
        <v/>
      </c>
    </row>
    <row r="3584" spans="1:7" s="172" customFormat="1" ht="15" customHeight="1" x14ac:dyDescent="0.25">
      <c r="A3584" s="810" t="s">
        <v>6508</v>
      </c>
      <c r="B3584" s="806" t="s">
        <v>6287</v>
      </c>
      <c r="C3584" s="806" t="s">
        <v>6287</v>
      </c>
      <c r="D3584" s="815" t="s">
        <v>6509</v>
      </c>
      <c r="E3584" s="819">
        <v>25</v>
      </c>
      <c r="F3584" s="840">
        <v>13.043478260869566</v>
      </c>
      <c r="G3584" s="202" t="str">
        <f t="shared" si="55"/>
        <v/>
      </c>
    </row>
    <row r="3585" spans="1:7" s="172" customFormat="1" ht="15" customHeight="1" x14ac:dyDescent="0.25">
      <c r="A3585" s="810" t="s">
        <v>3369</v>
      </c>
      <c r="B3585" s="806" t="s">
        <v>6287</v>
      </c>
      <c r="C3585" s="806" t="s">
        <v>6287</v>
      </c>
      <c r="D3585" s="815" t="s">
        <v>6510</v>
      </c>
      <c r="E3585" s="819">
        <v>100</v>
      </c>
      <c r="F3585" s="840">
        <v>82.608695652173907</v>
      </c>
      <c r="G3585" s="202" t="str">
        <f t="shared" si="55"/>
        <v/>
      </c>
    </row>
    <row r="3586" spans="1:7" s="172" customFormat="1" ht="15" customHeight="1" x14ac:dyDescent="0.25">
      <c r="A3586" s="810" t="s">
        <v>6511</v>
      </c>
      <c r="B3586" s="806" t="s">
        <v>6287</v>
      </c>
      <c r="C3586" s="806" t="s">
        <v>6287</v>
      </c>
      <c r="D3586" s="815" t="s">
        <v>6512</v>
      </c>
      <c r="E3586" s="819">
        <v>30</v>
      </c>
      <c r="F3586" s="840">
        <v>3.913043478260871</v>
      </c>
      <c r="G3586" s="202" t="str">
        <f t="shared" si="55"/>
        <v/>
      </c>
    </row>
    <row r="3587" spans="1:7" s="172" customFormat="1" ht="15" customHeight="1" x14ac:dyDescent="0.25">
      <c r="A3587" s="810" t="s">
        <v>6513</v>
      </c>
      <c r="B3587" s="806" t="s">
        <v>6287</v>
      </c>
      <c r="C3587" s="806" t="s">
        <v>6287</v>
      </c>
      <c r="D3587" s="815" t="s">
        <v>6514</v>
      </c>
      <c r="E3587" s="819">
        <v>160</v>
      </c>
      <c r="F3587" s="840">
        <v>92.608695652173921</v>
      </c>
      <c r="G3587" s="202" t="str">
        <f t="shared" si="55"/>
        <v/>
      </c>
    </row>
    <row r="3588" spans="1:7" s="172" customFormat="1" ht="15" customHeight="1" x14ac:dyDescent="0.25">
      <c r="A3588" s="810" t="s">
        <v>4859</v>
      </c>
      <c r="B3588" s="806" t="s">
        <v>6287</v>
      </c>
      <c r="C3588" s="806" t="s">
        <v>6287</v>
      </c>
      <c r="D3588" s="815" t="s">
        <v>6515</v>
      </c>
      <c r="E3588" s="819">
        <v>160</v>
      </c>
      <c r="F3588" s="840">
        <v>54</v>
      </c>
      <c r="G3588" s="202" t="str">
        <f t="shared" si="55"/>
        <v/>
      </c>
    </row>
    <row r="3589" spans="1:7" s="172" customFormat="1" ht="15" customHeight="1" x14ac:dyDescent="0.25">
      <c r="A3589" s="810" t="s">
        <v>3557</v>
      </c>
      <c r="B3589" s="806" t="s">
        <v>6287</v>
      </c>
      <c r="C3589" s="806" t="s">
        <v>6287</v>
      </c>
      <c r="D3589" s="815" t="s">
        <v>6516</v>
      </c>
      <c r="E3589" s="819">
        <v>160</v>
      </c>
      <c r="F3589" s="840">
        <v>37.086956521739097</v>
      </c>
      <c r="G3589" s="202" t="str">
        <f t="shared" si="55"/>
        <v/>
      </c>
    </row>
    <row r="3590" spans="1:7" s="172" customFormat="1" ht="15" customHeight="1" x14ac:dyDescent="0.25">
      <c r="A3590" s="810" t="s">
        <v>6517</v>
      </c>
      <c r="B3590" s="806" t="s">
        <v>6287</v>
      </c>
      <c r="C3590" s="806" t="s">
        <v>6287</v>
      </c>
      <c r="D3590" s="815" t="s">
        <v>6518</v>
      </c>
      <c r="E3590" s="819">
        <v>63</v>
      </c>
      <c r="F3590" s="840">
        <v>60.826086956521742</v>
      </c>
      <c r="G3590" s="202" t="str">
        <f t="shared" si="55"/>
        <v/>
      </c>
    </row>
    <row r="3591" spans="1:7" s="172" customFormat="1" ht="15" customHeight="1" x14ac:dyDescent="0.25">
      <c r="A3591" s="810" t="s">
        <v>6519</v>
      </c>
      <c r="B3591" s="806" t="s">
        <v>6287</v>
      </c>
      <c r="C3591" s="806" t="s">
        <v>6287</v>
      </c>
      <c r="D3591" s="815" t="s">
        <v>6520</v>
      </c>
      <c r="E3591" s="819">
        <v>60</v>
      </c>
      <c r="F3591" s="840">
        <v>28</v>
      </c>
      <c r="G3591" s="202" t="str">
        <f t="shared" si="55"/>
        <v/>
      </c>
    </row>
    <row r="3592" spans="1:7" s="172" customFormat="1" ht="15" customHeight="1" x14ac:dyDescent="0.25">
      <c r="A3592" s="810" t="s">
        <v>6521</v>
      </c>
      <c r="B3592" s="806" t="s">
        <v>6287</v>
      </c>
      <c r="C3592" s="806" t="s">
        <v>6287</v>
      </c>
      <c r="D3592" s="815" t="s">
        <v>6522</v>
      </c>
      <c r="E3592" s="819">
        <v>160</v>
      </c>
      <c r="F3592" s="839">
        <v>40</v>
      </c>
      <c r="G3592" s="202" t="str">
        <f t="shared" si="55"/>
        <v/>
      </c>
    </row>
    <row r="3593" spans="1:7" s="172" customFormat="1" ht="15" customHeight="1" x14ac:dyDescent="0.25">
      <c r="A3593" s="810" t="s">
        <v>6523</v>
      </c>
      <c r="B3593" s="806" t="s">
        <v>6287</v>
      </c>
      <c r="C3593" s="806" t="s">
        <v>6287</v>
      </c>
      <c r="D3593" s="815" t="s">
        <v>6524</v>
      </c>
      <c r="E3593" s="819">
        <v>250</v>
      </c>
      <c r="F3593" s="841">
        <v>80</v>
      </c>
      <c r="G3593" s="202" t="str">
        <f t="shared" si="55"/>
        <v/>
      </c>
    </row>
    <row r="3594" spans="1:7" s="172" customFormat="1" ht="15" customHeight="1" x14ac:dyDescent="0.25">
      <c r="A3594" s="810" t="s">
        <v>6525</v>
      </c>
      <c r="B3594" s="806" t="s">
        <v>6287</v>
      </c>
      <c r="C3594" s="806" t="s">
        <v>6287</v>
      </c>
      <c r="D3594" s="815" t="s">
        <v>6526</v>
      </c>
      <c r="E3594" s="819">
        <v>60</v>
      </c>
      <c r="F3594" s="840">
        <v>43.695652173913047</v>
      </c>
      <c r="G3594" s="202" t="str">
        <f t="shared" si="55"/>
        <v/>
      </c>
    </row>
    <row r="3595" spans="1:7" s="172" customFormat="1" ht="15" customHeight="1" x14ac:dyDescent="0.25">
      <c r="A3595" s="810" t="s">
        <v>6527</v>
      </c>
      <c r="B3595" s="806" t="s">
        <v>6287</v>
      </c>
      <c r="C3595" s="806" t="s">
        <v>6287</v>
      </c>
      <c r="D3595" s="815" t="s">
        <v>6528</v>
      </c>
      <c r="E3595" s="819">
        <v>60</v>
      </c>
      <c r="F3595" s="840">
        <v>43.695652173913047</v>
      </c>
      <c r="G3595" s="202" t="str">
        <f t="shared" si="55"/>
        <v/>
      </c>
    </row>
    <row r="3596" spans="1:7" s="172" customFormat="1" ht="15" customHeight="1" x14ac:dyDescent="0.25">
      <c r="A3596" s="810" t="s">
        <v>6529</v>
      </c>
      <c r="B3596" s="806" t="s">
        <v>6287</v>
      </c>
      <c r="C3596" s="806" t="s">
        <v>6287</v>
      </c>
      <c r="D3596" s="815" t="s">
        <v>6530</v>
      </c>
      <c r="E3596" s="819">
        <v>100</v>
      </c>
      <c r="F3596" s="840">
        <v>61.956521739130437</v>
      </c>
      <c r="G3596" s="202" t="str">
        <f t="shared" si="55"/>
        <v/>
      </c>
    </row>
    <row r="3597" spans="1:7" s="172" customFormat="1" ht="15" customHeight="1" x14ac:dyDescent="0.25">
      <c r="A3597" s="810" t="s">
        <v>6531</v>
      </c>
      <c r="B3597" s="806" t="s">
        <v>6287</v>
      </c>
      <c r="C3597" s="806" t="s">
        <v>6287</v>
      </c>
      <c r="D3597" s="815" t="s">
        <v>6532</v>
      </c>
      <c r="E3597" s="819">
        <v>30</v>
      </c>
      <c r="F3597" s="841">
        <v>18.043478260869566</v>
      </c>
      <c r="G3597" s="202" t="str">
        <f t="shared" si="55"/>
        <v/>
      </c>
    </row>
    <row r="3598" spans="1:7" s="172" customFormat="1" ht="15" customHeight="1" x14ac:dyDescent="0.25">
      <c r="A3598" s="810" t="s">
        <v>6533</v>
      </c>
      <c r="B3598" s="806" t="s">
        <v>6287</v>
      </c>
      <c r="C3598" s="806" t="s">
        <v>6287</v>
      </c>
      <c r="D3598" s="815" t="s">
        <v>6534</v>
      </c>
      <c r="E3598" s="819">
        <v>30</v>
      </c>
      <c r="F3598" s="840">
        <v>30</v>
      </c>
      <c r="G3598" s="202" t="str">
        <f t="shared" si="55"/>
        <v>не загружен</v>
      </c>
    </row>
    <row r="3599" spans="1:7" s="172" customFormat="1" ht="15" customHeight="1" x14ac:dyDescent="0.25">
      <c r="A3599" s="810" t="s">
        <v>3462</v>
      </c>
      <c r="B3599" s="806" t="s">
        <v>6287</v>
      </c>
      <c r="C3599" s="806" t="s">
        <v>6287</v>
      </c>
      <c r="D3599" s="815" t="s">
        <v>6535</v>
      </c>
      <c r="E3599" s="819">
        <v>30</v>
      </c>
      <c r="F3599" s="839">
        <v>20.217391304347828</v>
      </c>
      <c r="G3599" s="202" t="str">
        <f t="shared" si="55"/>
        <v/>
      </c>
    </row>
    <row r="3600" spans="1:7" s="172" customFormat="1" ht="15" customHeight="1" x14ac:dyDescent="0.25">
      <c r="A3600" s="810" t="s">
        <v>6536</v>
      </c>
      <c r="B3600" s="806" t="s">
        <v>6287</v>
      </c>
      <c r="C3600" s="806" t="s">
        <v>6287</v>
      </c>
      <c r="D3600" s="815" t="s">
        <v>6537</v>
      </c>
      <c r="E3600" s="819">
        <v>60</v>
      </c>
      <c r="F3600" s="841">
        <v>27.391304347826086</v>
      </c>
      <c r="G3600" s="202" t="str">
        <f t="shared" si="55"/>
        <v/>
      </c>
    </row>
    <row r="3601" spans="1:7" s="172" customFormat="1" ht="15" customHeight="1" x14ac:dyDescent="0.25">
      <c r="A3601" s="810" t="s">
        <v>6538</v>
      </c>
      <c r="B3601" s="806" t="s">
        <v>6287</v>
      </c>
      <c r="C3601" s="806" t="s">
        <v>6287</v>
      </c>
      <c r="D3601" s="815" t="s">
        <v>6539</v>
      </c>
      <c r="E3601" s="819">
        <v>100</v>
      </c>
      <c r="F3601" s="839">
        <v>60.869565217391305</v>
      </c>
      <c r="G3601" s="202" t="str">
        <f t="shared" si="55"/>
        <v/>
      </c>
    </row>
    <row r="3602" spans="1:7" s="172" customFormat="1" ht="15" customHeight="1" x14ac:dyDescent="0.25">
      <c r="A3602" s="810" t="s">
        <v>6540</v>
      </c>
      <c r="B3602" s="806" t="s">
        <v>6287</v>
      </c>
      <c r="C3602" s="806" t="s">
        <v>6287</v>
      </c>
      <c r="D3602" s="815" t="s">
        <v>6541</v>
      </c>
      <c r="E3602" s="819">
        <v>30</v>
      </c>
      <c r="F3602" s="839">
        <v>27.826086956521738</v>
      </c>
      <c r="G3602" s="202" t="str">
        <f t="shared" si="55"/>
        <v/>
      </c>
    </row>
    <row r="3603" spans="1:7" s="172" customFormat="1" ht="15" customHeight="1" x14ac:dyDescent="0.25">
      <c r="A3603" s="810" t="s">
        <v>6542</v>
      </c>
      <c r="B3603" s="806" t="s">
        <v>6287</v>
      </c>
      <c r="C3603" s="806" t="s">
        <v>6287</v>
      </c>
      <c r="D3603" s="815" t="s">
        <v>6543</v>
      </c>
      <c r="E3603" s="819">
        <v>100</v>
      </c>
      <c r="F3603" s="841">
        <v>45.652173913043484</v>
      </c>
      <c r="G3603" s="202" t="str">
        <f t="shared" si="55"/>
        <v/>
      </c>
    </row>
    <row r="3604" spans="1:7" s="172" customFormat="1" ht="15" customHeight="1" x14ac:dyDescent="0.25">
      <c r="A3604" s="810" t="s">
        <v>6544</v>
      </c>
      <c r="B3604" s="806" t="s">
        <v>6287</v>
      </c>
      <c r="C3604" s="806" t="s">
        <v>6287</v>
      </c>
      <c r="D3604" s="815" t="s">
        <v>6545</v>
      </c>
      <c r="E3604" s="819">
        <v>100</v>
      </c>
      <c r="F3604" s="841">
        <v>83.695652173913047</v>
      </c>
      <c r="G3604" s="202" t="str">
        <f t="shared" si="55"/>
        <v/>
      </c>
    </row>
    <row r="3605" spans="1:7" s="172" customFormat="1" ht="15" customHeight="1" x14ac:dyDescent="0.25">
      <c r="A3605" s="810" t="s">
        <v>6546</v>
      </c>
      <c r="B3605" s="806" t="s">
        <v>6287</v>
      </c>
      <c r="C3605" s="806" t="s">
        <v>6287</v>
      </c>
      <c r="D3605" s="815" t="s">
        <v>6547</v>
      </c>
      <c r="E3605" s="819" t="s">
        <v>18558</v>
      </c>
      <c r="F3605" s="841">
        <v>673.91304347826087</v>
      </c>
      <c r="G3605" s="202" t="str">
        <f t="shared" si="55"/>
        <v/>
      </c>
    </row>
    <row r="3606" spans="1:7" s="172" customFormat="1" ht="15" customHeight="1" x14ac:dyDescent="0.25">
      <c r="A3606" s="810" t="s">
        <v>6548</v>
      </c>
      <c r="B3606" s="806" t="s">
        <v>6287</v>
      </c>
      <c r="C3606" s="806" t="s">
        <v>6287</v>
      </c>
      <c r="D3606" s="815" t="s">
        <v>6549</v>
      </c>
      <c r="E3606" s="819" t="s">
        <v>18559</v>
      </c>
      <c r="F3606" s="841">
        <v>1328.2608695652175</v>
      </c>
      <c r="G3606" s="202" t="str">
        <f t="shared" si="55"/>
        <v/>
      </c>
    </row>
    <row r="3607" spans="1:7" s="172" customFormat="1" ht="15" customHeight="1" x14ac:dyDescent="0.25">
      <c r="A3607" s="810" t="s">
        <v>6550</v>
      </c>
      <c r="B3607" s="806" t="s">
        <v>6287</v>
      </c>
      <c r="C3607" s="806" t="s">
        <v>6287</v>
      </c>
      <c r="D3607" s="815" t="s">
        <v>6551</v>
      </c>
      <c r="E3607" s="819" t="s">
        <v>18559</v>
      </c>
      <c r="F3607" s="841">
        <v>1339.1304347826087</v>
      </c>
      <c r="G3607" s="202" t="str">
        <f t="shared" si="55"/>
        <v/>
      </c>
    </row>
    <row r="3608" spans="1:7" s="172" customFormat="1" ht="15" customHeight="1" x14ac:dyDescent="0.25">
      <c r="A3608" s="810" t="s">
        <v>6552</v>
      </c>
      <c r="B3608" s="806" t="s">
        <v>6287</v>
      </c>
      <c r="C3608" s="806" t="s">
        <v>6287</v>
      </c>
      <c r="D3608" s="815" t="s">
        <v>6553</v>
      </c>
      <c r="E3608" s="819">
        <v>50</v>
      </c>
      <c r="F3608" s="841">
        <v>11.956521739130437</v>
      </c>
      <c r="G3608" s="202" t="str">
        <f t="shared" si="55"/>
        <v/>
      </c>
    </row>
    <row r="3609" spans="1:7" s="172" customFormat="1" ht="15" customHeight="1" x14ac:dyDescent="0.25">
      <c r="A3609" s="810" t="s">
        <v>6554</v>
      </c>
      <c r="B3609" s="806" t="s">
        <v>6287</v>
      </c>
      <c r="C3609" s="806" t="s">
        <v>6287</v>
      </c>
      <c r="D3609" s="815" t="s">
        <v>6555</v>
      </c>
      <c r="E3609" s="819">
        <v>100</v>
      </c>
      <c r="F3609" s="841">
        <v>34.782608695652172</v>
      </c>
      <c r="G3609" s="202" t="str">
        <f t="shared" ref="G3609:G3672" si="56">IF(E3609=F3609,"не загружен","")</f>
        <v/>
      </c>
    </row>
    <row r="3610" spans="1:7" s="172" customFormat="1" ht="15" customHeight="1" x14ac:dyDescent="0.25">
      <c r="A3610" s="810" t="s">
        <v>15024</v>
      </c>
      <c r="B3610" s="806" t="s">
        <v>6287</v>
      </c>
      <c r="C3610" s="806" t="s">
        <v>6287</v>
      </c>
      <c r="D3610" s="815" t="s">
        <v>19034</v>
      </c>
      <c r="E3610" s="819">
        <v>100</v>
      </c>
      <c r="F3610" s="841">
        <v>50</v>
      </c>
      <c r="G3610" s="202" t="str">
        <f t="shared" si="56"/>
        <v/>
      </c>
    </row>
    <row r="3611" spans="1:7" s="172" customFormat="1" ht="15" customHeight="1" x14ac:dyDescent="0.25">
      <c r="A3611" s="810" t="s">
        <v>6556</v>
      </c>
      <c r="B3611" s="806" t="s">
        <v>6287</v>
      </c>
      <c r="C3611" s="806" t="s">
        <v>6287</v>
      </c>
      <c r="D3611" s="815" t="s">
        <v>6557</v>
      </c>
      <c r="E3611" s="819">
        <v>40</v>
      </c>
      <c r="F3611" s="841">
        <v>1.9565217391304373</v>
      </c>
      <c r="G3611" s="202" t="str">
        <f t="shared" si="56"/>
        <v/>
      </c>
    </row>
    <row r="3612" spans="1:7" s="172" customFormat="1" ht="15" customHeight="1" x14ac:dyDescent="0.25">
      <c r="A3612" s="810" t="s">
        <v>15025</v>
      </c>
      <c r="B3612" s="806" t="s">
        <v>6287</v>
      </c>
      <c r="C3612" s="806" t="s">
        <v>6287</v>
      </c>
      <c r="D3612" s="815" t="s">
        <v>6558</v>
      </c>
      <c r="E3612" s="819">
        <v>160</v>
      </c>
      <c r="F3612" s="839">
        <v>127.39130434782609</v>
      </c>
      <c r="G3612" s="202" t="str">
        <f t="shared" si="56"/>
        <v/>
      </c>
    </row>
    <row r="3613" spans="1:7" s="172" customFormat="1" ht="15" customHeight="1" x14ac:dyDescent="0.25">
      <c r="A3613" s="810" t="s">
        <v>6425</v>
      </c>
      <c r="B3613" s="806" t="s">
        <v>6287</v>
      </c>
      <c r="C3613" s="806" t="s">
        <v>6287</v>
      </c>
      <c r="D3613" s="815" t="s">
        <v>6559</v>
      </c>
      <c r="E3613" s="819">
        <v>250</v>
      </c>
      <c r="F3613" s="839">
        <v>168.47826086956522</v>
      </c>
      <c r="G3613" s="202" t="str">
        <f t="shared" si="56"/>
        <v/>
      </c>
    </row>
    <row r="3614" spans="1:7" s="172" customFormat="1" ht="15" customHeight="1" x14ac:dyDescent="0.25">
      <c r="A3614" s="810" t="s">
        <v>6156</v>
      </c>
      <c r="B3614" s="806" t="s">
        <v>6287</v>
      </c>
      <c r="C3614" s="806" t="s">
        <v>6287</v>
      </c>
      <c r="D3614" s="815" t="s">
        <v>6560</v>
      </c>
      <c r="E3614" s="819">
        <v>400</v>
      </c>
      <c r="F3614" s="840">
        <v>313.04347826086956</v>
      </c>
      <c r="G3614" s="202" t="str">
        <f t="shared" si="56"/>
        <v/>
      </c>
    </row>
    <row r="3615" spans="1:7" s="172" customFormat="1" ht="15" customHeight="1" x14ac:dyDescent="0.25">
      <c r="A3615" s="810" t="s">
        <v>6561</v>
      </c>
      <c r="B3615" s="806" t="s">
        <v>6287</v>
      </c>
      <c r="C3615" s="806" t="s">
        <v>6287</v>
      </c>
      <c r="D3615" s="815" t="s">
        <v>6562</v>
      </c>
      <c r="E3615" s="819">
        <v>10</v>
      </c>
      <c r="F3615" s="839">
        <v>6.2391304347826093</v>
      </c>
      <c r="G3615" s="202" t="str">
        <f t="shared" si="56"/>
        <v/>
      </c>
    </row>
    <row r="3616" spans="1:7" s="172" customFormat="1" ht="15" customHeight="1" x14ac:dyDescent="0.25">
      <c r="A3616" s="810" t="s">
        <v>6563</v>
      </c>
      <c r="B3616" s="806" t="s">
        <v>6287</v>
      </c>
      <c r="C3616" s="806" t="s">
        <v>6287</v>
      </c>
      <c r="D3616" s="815" t="s">
        <v>6564</v>
      </c>
      <c r="E3616" s="819">
        <v>250</v>
      </c>
      <c r="F3616" s="840">
        <v>60</v>
      </c>
      <c r="G3616" s="202" t="str">
        <f t="shared" si="56"/>
        <v/>
      </c>
    </row>
    <row r="3617" spans="1:7" s="172" customFormat="1" ht="15" customHeight="1" x14ac:dyDescent="0.25">
      <c r="A3617" s="810" t="s">
        <v>6565</v>
      </c>
      <c r="B3617" s="806" t="s">
        <v>6287</v>
      </c>
      <c r="C3617" s="806" t="s">
        <v>6287</v>
      </c>
      <c r="D3617" s="815" t="s">
        <v>6566</v>
      </c>
      <c r="E3617" s="819">
        <v>40</v>
      </c>
      <c r="F3617" s="840">
        <v>23.695652173913043</v>
      </c>
      <c r="G3617" s="202" t="str">
        <f t="shared" si="56"/>
        <v/>
      </c>
    </row>
    <row r="3618" spans="1:7" s="172" customFormat="1" ht="15" customHeight="1" x14ac:dyDescent="0.25">
      <c r="A3618" s="810" t="s">
        <v>6567</v>
      </c>
      <c r="B3618" s="806" t="s">
        <v>6287</v>
      </c>
      <c r="C3618" s="806" t="s">
        <v>6287</v>
      </c>
      <c r="D3618" s="815" t="s">
        <v>6568</v>
      </c>
      <c r="E3618" s="819">
        <v>250</v>
      </c>
      <c r="F3618" s="840">
        <v>228.47826086956499</v>
      </c>
      <c r="G3618" s="202" t="str">
        <f t="shared" si="56"/>
        <v/>
      </c>
    </row>
    <row r="3619" spans="1:7" s="172" customFormat="1" ht="15" customHeight="1" x14ac:dyDescent="0.25">
      <c r="A3619" s="810" t="s">
        <v>2791</v>
      </c>
      <c r="B3619" s="806" t="s">
        <v>6287</v>
      </c>
      <c r="C3619" s="806" t="s">
        <v>6287</v>
      </c>
      <c r="D3619" s="815" t="s">
        <v>6569</v>
      </c>
      <c r="E3619" s="819">
        <v>10</v>
      </c>
      <c r="F3619" s="840">
        <v>10</v>
      </c>
      <c r="G3619" s="202" t="str">
        <f t="shared" si="56"/>
        <v>не загружен</v>
      </c>
    </row>
    <row r="3620" spans="1:7" s="172" customFormat="1" ht="15" customHeight="1" x14ac:dyDescent="0.25">
      <c r="A3620" s="810" t="s">
        <v>6570</v>
      </c>
      <c r="B3620" s="806" t="s">
        <v>6287</v>
      </c>
      <c r="C3620" s="806" t="s">
        <v>6287</v>
      </c>
      <c r="D3620" s="815" t="s">
        <v>6571</v>
      </c>
      <c r="E3620" s="819">
        <v>60</v>
      </c>
      <c r="F3620" s="840">
        <v>35</v>
      </c>
      <c r="G3620" s="202" t="str">
        <f t="shared" si="56"/>
        <v/>
      </c>
    </row>
    <row r="3621" spans="1:7" s="172" customFormat="1" ht="15" customHeight="1" x14ac:dyDescent="0.25">
      <c r="A3621" s="810" t="s">
        <v>6572</v>
      </c>
      <c r="B3621" s="806" t="s">
        <v>6287</v>
      </c>
      <c r="C3621" s="806" t="s">
        <v>6287</v>
      </c>
      <c r="D3621" s="815" t="s">
        <v>6573</v>
      </c>
      <c r="E3621" s="819">
        <v>63</v>
      </c>
      <c r="F3621" s="839">
        <v>46.695652173913047</v>
      </c>
      <c r="G3621" s="202" t="str">
        <f t="shared" si="56"/>
        <v/>
      </c>
    </row>
    <row r="3622" spans="1:7" s="172" customFormat="1" ht="15" customHeight="1" x14ac:dyDescent="0.25">
      <c r="A3622" s="810" t="s">
        <v>6574</v>
      </c>
      <c r="B3622" s="806" t="s">
        <v>6287</v>
      </c>
      <c r="C3622" s="806" t="s">
        <v>6287</v>
      </c>
      <c r="D3622" s="815" t="s">
        <v>6575</v>
      </c>
      <c r="E3622" s="819">
        <v>60</v>
      </c>
      <c r="F3622" s="841">
        <v>51.847826086956523</v>
      </c>
      <c r="G3622" s="202" t="str">
        <f t="shared" si="56"/>
        <v/>
      </c>
    </row>
    <row r="3623" spans="1:7" s="172" customFormat="1" ht="15" customHeight="1" x14ac:dyDescent="0.25">
      <c r="A3623" s="810" t="s">
        <v>6576</v>
      </c>
      <c r="B3623" s="806" t="s">
        <v>6287</v>
      </c>
      <c r="C3623" s="806" t="s">
        <v>6287</v>
      </c>
      <c r="D3623" s="815" t="s">
        <v>6577</v>
      </c>
      <c r="E3623" s="819">
        <v>160</v>
      </c>
      <c r="F3623" s="840">
        <v>114.34782608695653</v>
      </c>
      <c r="G3623" s="202" t="str">
        <f t="shared" si="56"/>
        <v/>
      </c>
    </row>
    <row r="3624" spans="1:7" s="172" customFormat="1" ht="15" customHeight="1" x14ac:dyDescent="0.25">
      <c r="A3624" s="810" t="s">
        <v>6578</v>
      </c>
      <c r="B3624" s="806" t="s">
        <v>6287</v>
      </c>
      <c r="C3624" s="806" t="s">
        <v>6287</v>
      </c>
      <c r="D3624" s="815" t="s">
        <v>6579</v>
      </c>
      <c r="E3624" s="819">
        <v>250</v>
      </c>
      <c r="F3624" s="840">
        <v>170</v>
      </c>
      <c r="G3624" s="202" t="str">
        <f t="shared" si="56"/>
        <v/>
      </c>
    </row>
    <row r="3625" spans="1:7" s="172" customFormat="1" ht="15" customHeight="1" x14ac:dyDescent="0.25">
      <c r="A3625" s="810" t="s">
        <v>6580</v>
      </c>
      <c r="B3625" s="806" t="s">
        <v>6287</v>
      </c>
      <c r="C3625" s="806" t="s">
        <v>6287</v>
      </c>
      <c r="D3625" s="815" t="s">
        <v>6581</v>
      </c>
      <c r="E3625" s="819">
        <v>160</v>
      </c>
      <c r="F3625" s="840">
        <v>133.91304347826087</v>
      </c>
      <c r="G3625" s="202" t="str">
        <f t="shared" si="56"/>
        <v/>
      </c>
    </row>
    <row r="3626" spans="1:7" s="172" customFormat="1" ht="15" customHeight="1" x14ac:dyDescent="0.25">
      <c r="A3626" s="810" t="s">
        <v>6582</v>
      </c>
      <c r="B3626" s="806" t="s">
        <v>6287</v>
      </c>
      <c r="C3626" s="806" t="s">
        <v>6287</v>
      </c>
      <c r="D3626" s="815" t="s">
        <v>6583</v>
      </c>
      <c r="E3626" s="819">
        <v>30</v>
      </c>
      <c r="F3626" s="840">
        <v>1.7391304347826093</v>
      </c>
      <c r="G3626" s="202" t="str">
        <f t="shared" si="56"/>
        <v/>
      </c>
    </row>
    <row r="3627" spans="1:7" s="172" customFormat="1" ht="15" customHeight="1" x14ac:dyDescent="0.25">
      <c r="A3627" s="810" t="s">
        <v>6584</v>
      </c>
      <c r="B3627" s="806" t="s">
        <v>6287</v>
      </c>
      <c r="C3627" s="806" t="s">
        <v>6287</v>
      </c>
      <c r="D3627" s="815" t="s">
        <v>6585</v>
      </c>
      <c r="E3627" s="819">
        <v>25</v>
      </c>
      <c r="F3627" s="840">
        <v>11.956521739130435</v>
      </c>
      <c r="G3627" s="202" t="str">
        <f t="shared" si="56"/>
        <v/>
      </c>
    </row>
    <row r="3628" spans="1:7" s="172" customFormat="1" ht="15" customHeight="1" x14ac:dyDescent="0.25">
      <c r="A3628" s="810" t="s">
        <v>6586</v>
      </c>
      <c r="B3628" s="806" t="s">
        <v>6287</v>
      </c>
      <c r="C3628" s="806" t="s">
        <v>6287</v>
      </c>
      <c r="D3628" s="815" t="s">
        <v>6587</v>
      </c>
      <c r="E3628" s="819">
        <v>30</v>
      </c>
      <c r="F3628" s="839">
        <v>13.695652173913043</v>
      </c>
      <c r="G3628" s="202" t="str">
        <f t="shared" si="56"/>
        <v/>
      </c>
    </row>
    <row r="3629" spans="1:7" s="172" customFormat="1" ht="15" customHeight="1" x14ac:dyDescent="0.25">
      <c r="A3629" s="810" t="s">
        <v>6588</v>
      </c>
      <c r="B3629" s="806" t="s">
        <v>6287</v>
      </c>
      <c r="C3629" s="806" t="s">
        <v>6287</v>
      </c>
      <c r="D3629" s="815" t="s">
        <v>6589</v>
      </c>
      <c r="E3629" s="819">
        <v>25</v>
      </c>
      <c r="F3629" s="839">
        <v>2.1739130434782616</v>
      </c>
      <c r="G3629" s="202" t="str">
        <f t="shared" si="56"/>
        <v/>
      </c>
    </row>
    <row r="3630" spans="1:7" s="172" customFormat="1" ht="15" customHeight="1" x14ac:dyDescent="0.25">
      <c r="A3630" s="810" t="s">
        <v>6590</v>
      </c>
      <c r="B3630" s="806" t="s">
        <v>6287</v>
      </c>
      <c r="C3630" s="806" t="s">
        <v>6287</v>
      </c>
      <c r="D3630" s="815" t="s">
        <v>6591</v>
      </c>
      <c r="E3630" s="819">
        <v>60</v>
      </c>
      <c r="F3630" s="839">
        <v>17.608695652173914</v>
      </c>
      <c r="G3630" s="202" t="str">
        <f t="shared" si="56"/>
        <v/>
      </c>
    </row>
    <row r="3631" spans="1:7" s="172" customFormat="1" ht="15" customHeight="1" x14ac:dyDescent="0.25">
      <c r="A3631" s="810" t="s">
        <v>3294</v>
      </c>
      <c r="B3631" s="806" t="s">
        <v>6287</v>
      </c>
      <c r="C3631" s="806" t="s">
        <v>6287</v>
      </c>
      <c r="D3631" s="815" t="s">
        <v>6592</v>
      </c>
      <c r="E3631" s="819">
        <v>60</v>
      </c>
      <c r="F3631" s="839">
        <v>18</v>
      </c>
      <c r="G3631" s="202" t="str">
        <f t="shared" si="56"/>
        <v/>
      </c>
    </row>
    <row r="3632" spans="1:7" s="172" customFormat="1" ht="15" customHeight="1" x14ac:dyDescent="0.25">
      <c r="A3632" s="810" t="s">
        <v>6593</v>
      </c>
      <c r="B3632" s="806" t="s">
        <v>6287</v>
      </c>
      <c r="C3632" s="806" t="s">
        <v>6287</v>
      </c>
      <c r="D3632" s="815" t="s">
        <v>6594</v>
      </c>
      <c r="E3632" s="819">
        <v>160</v>
      </c>
      <c r="F3632" s="841">
        <v>146.95652173913044</v>
      </c>
      <c r="G3632" s="202" t="str">
        <f t="shared" si="56"/>
        <v/>
      </c>
    </row>
    <row r="3633" spans="1:7" s="172" customFormat="1" ht="15" customHeight="1" x14ac:dyDescent="0.25">
      <c r="A3633" s="810" t="s">
        <v>6595</v>
      </c>
      <c r="B3633" s="806" t="s">
        <v>6287</v>
      </c>
      <c r="C3633" s="806" t="s">
        <v>6287</v>
      </c>
      <c r="D3633" s="815" t="s">
        <v>6596</v>
      </c>
      <c r="E3633" s="819">
        <v>160</v>
      </c>
      <c r="F3633" s="839">
        <v>100.21739130434783</v>
      </c>
      <c r="G3633" s="202" t="str">
        <f t="shared" si="56"/>
        <v/>
      </c>
    </row>
    <row r="3634" spans="1:7" s="172" customFormat="1" ht="15" customHeight="1" x14ac:dyDescent="0.25">
      <c r="A3634" s="810" t="s">
        <v>6597</v>
      </c>
      <c r="B3634" s="806" t="s">
        <v>6287</v>
      </c>
      <c r="C3634" s="806" t="s">
        <v>6287</v>
      </c>
      <c r="D3634" s="815" t="s">
        <v>6598</v>
      </c>
      <c r="E3634" s="819">
        <v>30</v>
      </c>
      <c r="F3634" s="840">
        <v>25.652173913043477</v>
      </c>
      <c r="G3634" s="202" t="str">
        <f t="shared" si="56"/>
        <v/>
      </c>
    </row>
    <row r="3635" spans="1:7" s="172" customFormat="1" ht="15" customHeight="1" x14ac:dyDescent="0.25">
      <c r="A3635" s="810" t="s">
        <v>6599</v>
      </c>
      <c r="B3635" s="806" t="s">
        <v>6287</v>
      </c>
      <c r="C3635" s="806" t="s">
        <v>6287</v>
      </c>
      <c r="D3635" s="815" t="s">
        <v>6600</v>
      </c>
      <c r="E3635" s="819">
        <v>100</v>
      </c>
      <c r="F3635" s="840">
        <v>100</v>
      </c>
      <c r="G3635" s="202" t="str">
        <f t="shared" si="56"/>
        <v>не загружен</v>
      </c>
    </row>
    <row r="3636" spans="1:7" s="172" customFormat="1" ht="15" customHeight="1" x14ac:dyDescent="0.25">
      <c r="A3636" s="810" t="s">
        <v>6601</v>
      </c>
      <c r="B3636" s="806" t="s">
        <v>6287</v>
      </c>
      <c r="C3636" s="806" t="s">
        <v>6287</v>
      </c>
      <c r="D3636" s="815" t="s">
        <v>6602</v>
      </c>
      <c r="E3636" s="819">
        <v>60</v>
      </c>
      <c r="F3636" s="839">
        <v>29.913043478260871</v>
      </c>
      <c r="G3636" s="202" t="str">
        <f t="shared" si="56"/>
        <v/>
      </c>
    </row>
    <row r="3637" spans="1:7" s="172" customFormat="1" ht="15" customHeight="1" x14ac:dyDescent="0.25">
      <c r="A3637" s="810" t="s">
        <v>6307</v>
      </c>
      <c r="B3637" s="806" t="s">
        <v>6287</v>
      </c>
      <c r="C3637" s="806" t="s">
        <v>6287</v>
      </c>
      <c r="D3637" s="815" t="s">
        <v>6603</v>
      </c>
      <c r="E3637" s="819">
        <v>160</v>
      </c>
      <c r="F3637" s="840">
        <v>119.78260869565219</v>
      </c>
      <c r="G3637" s="202" t="str">
        <f t="shared" si="56"/>
        <v/>
      </c>
    </row>
    <row r="3638" spans="1:7" s="172" customFormat="1" ht="15" customHeight="1" x14ac:dyDescent="0.25">
      <c r="A3638" s="810" t="s">
        <v>6604</v>
      </c>
      <c r="B3638" s="806" t="s">
        <v>6287</v>
      </c>
      <c r="C3638" s="806" t="s">
        <v>6287</v>
      </c>
      <c r="D3638" s="815" t="s">
        <v>6605</v>
      </c>
      <c r="E3638" s="819">
        <v>100</v>
      </c>
      <c r="F3638" s="839">
        <v>61.956521739130437</v>
      </c>
      <c r="G3638" s="202" t="str">
        <f t="shared" si="56"/>
        <v/>
      </c>
    </row>
    <row r="3639" spans="1:7" s="172" customFormat="1" ht="15" customHeight="1" x14ac:dyDescent="0.25">
      <c r="A3639" s="810" t="s">
        <v>6606</v>
      </c>
      <c r="B3639" s="806" t="s">
        <v>6287</v>
      </c>
      <c r="C3639" s="806" t="s">
        <v>6287</v>
      </c>
      <c r="D3639" s="815" t="s">
        <v>6607</v>
      </c>
      <c r="E3639" s="819">
        <v>100</v>
      </c>
      <c r="F3639" s="839">
        <v>13.043478260869563</v>
      </c>
      <c r="G3639" s="202" t="str">
        <f t="shared" si="56"/>
        <v/>
      </c>
    </row>
    <row r="3640" spans="1:7" s="172" customFormat="1" ht="15" customHeight="1" x14ac:dyDescent="0.25">
      <c r="A3640" s="810" t="s">
        <v>6608</v>
      </c>
      <c r="B3640" s="806" t="s">
        <v>6287</v>
      </c>
      <c r="C3640" s="806" t="s">
        <v>6287</v>
      </c>
      <c r="D3640" s="815" t="s">
        <v>6609</v>
      </c>
      <c r="E3640" s="819">
        <v>100</v>
      </c>
      <c r="F3640" s="840">
        <v>45.652173913043484</v>
      </c>
      <c r="G3640" s="202" t="str">
        <f t="shared" si="56"/>
        <v/>
      </c>
    </row>
    <row r="3641" spans="1:7" s="172" customFormat="1" ht="15" customHeight="1" x14ac:dyDescent="0.25">
      <c r="A3641" s="810" t="s">
        <v>6610</v>
      </c>
      <c r="B3641" s="806" t="s">
        <v>6287</v>
      </c>
      <c r="C3641" s="806" t="s">
        <v>6287</v>
      </c>
      <c r="D3641" s="815" t="s">
        <v>6611</v>
      </c>
      <c r="E3641" s="819">
        <v>160</v>
      </c>
      <c r="F3641" s="839">
        <v>127.39130434782609</v>
      </c>
      <c r="G3641" s="202" t="str">
        <f t="shared" si="56"/>
        <v/>
      </c>
    </row>
    <row r="3642" spans="1:7" s="172" customFormat="1" ht="15" customHeight="1" x14ac:dyDescent="0.25">
      <c r="A3642" s="810" t="s">
        <v>6612</v>
      </c>
      <c r="B3642" s="806" t="s">
        <v>6287</v>
      </c>
      <c r="C3642" s="806" t="s">
        <v>6287</v>
      </c>
      <c r="D3642" s="815" t="s">
        <v>6613</v>
      </c>
      <c r="E3642" s="819">
        <v>160</v>
      </c>
      <c r="F3642" s="840">
        <v>102.39130434782609</v>
      </c>
      <c r="G3642" s="202" t="str">
        <f t="shared" si="56"/>
        <v/>
      </c>
    </row>
    <row r="3643" spans="1:7" s="172" customFormat="1" ht="15" customHeight="1" x14ac:dyDescent="0.25">
      <c r="A3643" s="810" t="s">
        <v>6614</v>
      </c>
      <c r="B3643" s="806" t="s">
        <v>6287</v>
      </c>
      <c r="C3643" s="806" t="s">
        <v>6287</v>
      </c>
      <c r="D3643" s="815" t="s">
        <v>6615</v>
      </c>
      <c r="E3643" s="819">
        <v>100</v>
      </c>
      <c r="F3643" s="840">
        <v>39.826086956521742</v>
      </c>
      <c r="G3643" s="202" t="str">
        <f t="shared" si="56"/>
        <v/>
      </c>
    </row>
    <row r="3644" spans="1:7" s="172" customFormat="1" ht="15" customHeight="1" x14ac:dyDescent="0.25">
      <c r="A3644" s="810" t="s">
        <v>6616</v>
      </c>
      <c r="B3644" s="806" t="s">
        <v>6287</v>
      </c>
      <c r="C3644" s="806" t="s">
        <v>6287</v>
      </c>
      <c r="D3644" s="815" t="s">
        <v>6617</v>
      </c>
      <c r="E3644" s="819">
        <v>100</v>
      </c>
      <c r="F3644" s="839">
        <v>32.304347826086953</v>
      </c>
      <c r="G3644" s="202" t="str">
        <f t="shared" si="56"/>
        <v/>
      </c>
    </row>
    <row r="3645" spans="1:7" s="172" customFormat="1" ht="15" customHeight="1" x14ac:dyDescent="0.25">
      <c r="A3645" s="810" t="s">
        <v>15026</v>
      </c>
      <c r="B3645" s="806" t="s">
        <v>6287</v>
      </c>
      <c r="C3645" s="806" t="s">
        <v>6287</v>
      </c>
      <c r="D3645" s="815" t="s">
        <v>6618</v>
      </c>
      <c r="E3645" s="819">
        <v>160</v>
      </c>
      <c r="F3645" s="839">
        <v>47.173913043478265</v>
      </c>
      <c r="G3645" s="202" t="str">
        <f t="shared" si="56"/>
        <v/>
      </c>
    </row>
    <row r="3646" spans="1:7" s="172" customFormat="1" ht="15" customHeight="1" x14ac:dyDescent="0.25">
      <c r="A3646" s="810" t="s">
        <v>6614</v>
      </c>
      <c r="B3646" s="806" t="s">
        <v>6287</v>
      </c>
      <c r="C3646" s="806" t="s">
        <v>6287</v>
      </c>
      <c r="D3646" s="815" t="s">
        <v>6619</v>
      </c>
      <c r="E3646" s="819">
        <v>63</v>
      </c>
      <c r="F3646" s="839">
        <v>2.8260869565217419</v>
      </c>
      <c r="G3646" s="202" t="str">
        <f t="shared" si="56"/>
        <v/>
      </c>
    </row>
    <row r="3647" spans="1:7" s="172" customFormat="1" ht="15" customHeight="1" x14ac:dyDescent="0.25">
      <c r="A3647" s="810" t="s">
        <v>6620</v>
      </c>
      <c r="B3647" s="806" t="s">
        <v>6287</v>
      </c>
      <c r="C3647" s="806" t="s">
        <v>6287</v>
      </c>
      <c r="D3647" s="815" t="s">
        <v>6621</v>
      </c>
      <c r="E3647" s="819">
        <v>100</v>
      </c>
      <c r="F3647" s="839">
        <v>65.217391304347828</v>
      </c>
      <c r="G3647" s="202" t="str">
        <f t="shared" si="56"/>
        <v/>
      </c>
    </row>
    <row r="3648" spans="1:7" s="172" customFormat="1" ht="15" customHeight="1" x14ac:dyDescent="0.25">
      <c r="A3648" s="810" t="s">
        <v>6599</v>
      </c>
      <c r="B3648" s="806" t="s">
        <v>6287</v>
      </c>
      <c r="C3648" s="806" t="s">
        <v>6287</v>
      </c>
      <c r="D3648" s="815" t="s">
        <v>6622</v>
      </c>
      <c r="E3648" s="819">
        <v>30</v>
      </c>
      <c r="F3648" s="839">
        <v>11.086956521739133</v>
      </c>
      <c r="G3648" s="202" t="str">
        <f t="shared" si="56"/>
        <v/>
      </c>
    </row>
    <row r="3649" spans="1:7" s="172" customFormat="1" ht="15" customHeight="1" x14ac:dyDescent="0.25">
      <c r="A3649" s="810" t="s">
        <v>3373</v>
      </c>
      <c r="B3649" s="806" t="s">
        <v>6287</v>
      </c>
      <c r="C3649" s="806" t="s">
        <v>6287</v>
      </c>
      <c r="D3649" s="815" t="s">
        <v>6623</v>
      </c>
      <c r="E3649" s="819">
        <v>100</v>
      </c>
      <c r="F3649" s="840">
        <v>5.4347826086956559</v>
      </c>
      <c r="G3649" s="202" t="str">
        <f t="shared" si="56"/>
        <v/>
      </c>
    </row>
    <row r="3650" spans="1:7" s="172" customFormat="1" ht="15" customHeight="1" x14ac:dyDescent="0.25">
      <c r="A3650" s="810" t="s">
        <v>6624</v>
      </c>
      <c r="B3650" s="806" t="s">
        <v>6287</v>
      </c>
      <c r="C3650" s="806" t="s">
        <v>6287</v>
      </c>
      <c r="D3650" s="815" t="s">
        <v>6625</v>
      </c>
      <c r="E3650" s="819">
        <v>10</v>
      </c>
      <c r="F3650" s="840">
        <v>3.4782608695652177</v>
      </c>
      <c r="G3650" s="202" t="str">
        <f t="shared" si="56"/>
        <v/>
      </c>
    </row>
    <row r="3651" spans="1:7" s="172" customFormat="1" ht="15" customHeight="1" x14ac:dyDescent="0.25">
      <c r="A3651" s="810" t="s">
        <v>3470</v>
      </c>
      <c r="B3651" s="806" t="s">
        <v>6287</v>
      </c>
      <c r="C3651" s="806" t="s">
        <v>6287</v>
      </c>
      <c r="D3651" s="815" t="s">
        <v>6626</v>
      </c>
      <c r="E3651" s="819">
        <v>250</v>
      </c>
      <c r="F3651" s="840">
        <v>201.08695652173913</v>
      </c>
      <c r="G3651" s="202" t="str">
        <f t="shared" si="56"/>
        <v/>
      </c>
    </row>
    <row r="3652" spans="1:7" s="172" customFormat="1" ht="15" customHeight="1" x14ac:dyDescent="0.25">
      <c r="A3652" s="810" t="s">
        <v>6536</v>
      </c>
      <c r="B3652" s="806" t="s">
        <v>6287</v>
      </c>
      <c r="C3652" s="806" t="s">
        <v>6287</v>
      </c>
      <c r="D3652" s="815" t="s">
        <v>6627</v>
      </c>
      <c r="E3652" s="819">
        <v>100</v>
      </c>
      <c r="F3652" s="839">
        <v>100</v>
      </c>
      <c r="G3652" s="202" t="str">
        <f t="shared" si="56"/>
        <v>не загружен</v>
      </c>
    </row>
    <row r="3653" spans="1:7" s="172" customFormat="1" ht="15" customHeight="1" x14ac:dyDescent="0.25">
      <c r="A3653" s="810" t="s">
        <v>6628</v>
      </c>
      <c r="B3653" s="806" t="s">
        <v>6287</v>
      </c>
      <c r="C3653" s="806" t="s">
        <v>6287</v>
      </c>
      <c r="D3653" s="815" t="s">
        <v>6629</v>
      </c>
      <c r="E3653" s="819">
        <v>60</v>
      </c>
      <c r="F3653" s="841">
        <v>24.130434782608695</v>
      </c>
      <c r="G3653" s="202" t="str">
        <f t="shared" si="56"/>
        <v/>
      </c>
    </row>
    <row r="3654" spans="1:7" s="172" customFormat="1" ht="15" customHeight="1" x14ac:dyDescent="0.25">
      <c r="A3654" s="810" t="s">
        <v>6630</v>
      </c>
      <c r="B3654" s="806" t="s">
        <v>6287</v>
      </c>
      <c r="C3654" s="806" t="s">
        <v>6287</v>
      </c>
      <c r="D3654" s="815" t="s">
        <v>6631</v>
      </c>
      <c r="E3654" s="819">
        <v>60</v>
      </c>
      <c r="F3654" s="840">
        <v>60</v>
      </c>
      <c r="G3654" s="202" t="str">
        <f t="shared" si="56"/>
        <v>не загружен</v>
      </c>
    </row>
    <row r="3655" spans="1:7" s="172" customFormat="1" ht="15" customHeight="1" x14ac:dyDescent="0.25">
      <c r="A3655" s="810" t="s">
        <v>6330</v>
      </c>
      <c r="B3655" s="806" t="s">
        <v>6287</v>
      </c>
      <c r="C3655" s="806" t="s">
        <v>6287</v>
      </c>
      <c r="D3655" s="815" t="s">
        <v>6632</v>
      </c>
      <c r="E3655" s="819">
        <v>30</v>
      </c>
      <c r="F3655" s="840">
        <v>11.195652173913043</v>
      </c>
      <c r="G3655" s="202" t="str">
        <f t="shared" si="56"/>
        <v/>
      </c>
    </row>
    <row r="3656" spans="1:7" s="172" customFormat="1" ht="15" customHeight="1" x14ac:dyDescent="0.25">
      <c r="A3656" s="810" t="s">
        <v>6633</v>
      </c>
      <c r="B3656" s="806" t="s">
        <v>6287</v>
      </c>
      <c r="C3656" s="806" t="s">
        <v>6287</v>
      </c>
      <c r="D3656" s="815" t="s">
        <v>6634</v>
      </c>
      <c r="E3656" s="819">
        <v>160</v>
      </c>
      <c r="F3656" s="840">
        <v>81.739130434782609</v>
      </c>
      <c r="G3656" s="202" t="str">
        <f t="shared" si="56"/>
        <v/>
      </c>
    </row>
    <row r="3657" spans="1:7" s="172" customFormat="1" ht="15" customHeight="1" x14ac:dyDescent="0.25">
      <c r="A3657" s="810" t="s">
        <v>6307</v>
      </c>
      <c r="B3657" s="806" t="s">
        <v>6287</v>
      </c>
      <c r="C3657" s="806" t="s">
        <v>6287</v>
      </c>
      <c r="D3657" s="815" t="s">
        <v>6635</v>
      </c>
      <c r="E3657" s="819">
        <v>160</v>
      </c>
      <c r="F3657" s="840">
        <v>133.91304347826087</v>
      </c>
      <c r="G3657" s="202" t="str">
        <f t="shared" si="56"/>
        <v/>
      </c>
    </row>
    <row r="3658" spans="1:7" s="172" customFormat="1" ht="15" customHeight="1" x14ac:dyDescent="0.25">
      <c r="A3658" s="810" t="s">
        <v>6595</v>
      </c>
      <c r="B3658" s="806" t="s">
        <v>6287</v>
      </c>
      <c r="C3658" s="806" t="s">
        <v>6287</v>
      </c>
      <c r="D3658" s="815" t="s">
        <v>6636</v>
      </c>
      <c r="E3658" s="819" t="s">
        <v>18196</v>
      </c>
      <c r="F3658" s="840">
        <v>582.60869565217399</v>
      </c>
      <c r="G3658" s="202" t="str">
        <f t="shared" si="56"/>
        <v/>
      </c>
    </row>
    <row r="3659" spans="1:7" s="172" customFormat="1" ht="15" customHeight="1" x14ac:dyDescent="0.25">
      <c r="A3659" s="810" t="s">
        <v>3261</v>
      </c>
      <c r="B3659" s="806" t="s">
        <v>6287</v>
      </c>
      <c r="C3659" s="806" t="s">
        <v>6287</v>
      </c>
      <c r="D3659" s="815" t="s">
        <v>6637</v>
      </c>
      <c r="E3659" s="819">
        <v>20</v>
      </c>
      <c r="F3659" s="840">
        <v>3.695652173913043</v>
      </c>
      <c r="G3659" s="202" t="str">
        <f t="shared" si="56"/>
        <v/>
      </c>
    </row>
    <row r="3660" spans="1:7" s="172" customFormat="1" ht="15" customHeight="1" x14ac:dyDescent="0.25">
      <c r="A3660" s="810" t="s">
        <v>6638</v>
      </c>
      <c r="B3660" s="806" t="s">
        <v>6287</v>
      </c>
      <c r="C3660" s="806" t="s">
        <v>6287</v>
      </c>
      <c r="D3660" s="815" t="s">
        <v>6639</v>
      </c>
      <c r="E3660" s="819">
        <v>250</v>
      </c>
      <c r="F3660" s="840">
        <v>230.43478260869566</v>
      </c>
      <c r="G3660" s="202" t="str">
        <f t="shared" si="56"/>
        <v/>
      </c>
    </row>
    <row r="3661" spans="1:7" s="172" customFormat="1" ht="15" customHeight="1" x14ac:dyDescent="0.25">
      <c r="A3661" s="810" t="s">
        <v>6633</v>
      </c>
      <c r="B3661" s="806" t="s">
        <v>6287</v>
      </c>
      <c r="C3661" s="806" t="s">
        <v>6287</v>
      </c>
      <c r="D3661" s="815" t="s">
        <v>6640</v>
      </c>
      <c r="E3661" s="819">
        <v>250</v>
      </c>
      <c r="F3661" s="839">
        <v>217.39130434782609</v>
      </c>
      <c r="G3661" s="202" t="str">
        <f t="shared" si="56"/>
        <v/>
      </c>
    </row>
    <row r="3662" spans="1:7" s="172" customFormat="1" ht="15" customHeight="1" x14ac:dyDescent="0.25">
      <c r="A3662" s="810" t="s">
        <v>6641</v>
      </c>
      <c r="B3662" s="806" t="s">
        <v>6287</v>
      </c>
      <c r="C3662" s="806" t="s">
        <v>6287</v>
      </c>
      <c r="D3662" s="815" t="s">
        <v>6642</v>
      </c>
      <c r="E3662" s="819">
        <v>30</v>
      </c>
      <c r="F3662" s="840">
        <v>8.2608695652173907</v>
      </c>
      <c r="G3662" s="202" t="str">
        <f t="shared" si="56"/>
        <v/>
      </c>
    </row>
    <row r="3663" spans="1:7" s="172" customFormat="1" ht="15" customHeight="1" x14ac:dyDescent="0.25">
      <c r="A3663" s="810" t="s">
        <v>6156</v>
      </c>
      <c r="B3663" s="806" t="s">
        <v>6287</v>
      </c>
      <c r="C3663" s="806" t="s">
        <v>6287</v>
      </c>
      <c r="D3663" s="815" t="s">
        <v>6643</v>
      </c>
      <c r="E3663" s="819">
        <v>160</v>
      </c>
      <c r="F3663" s="840">
        <v>125.21739130434783</v>
      </c>
      <c r="G3663" s="202" t="str">
        <f t="shared" si="56"/>
        <v/>
      </c>
    </row>
    <row r="3664" spans="1:7" s="172" customFormat="1" ht="15" customHeight="1" x14ac:dyDescent="0.25">
      <c r="A3664" s="810" t="s">
        <v>6490</v>
      </c>
      <c r="B3664" s="806" t="s">
        <v>6287</v>
      </c>
      <c r="C3664" s="806" t="s">
        <v>6287</v>
      </c>
      <c r="D3664" s="815" t="s">
        <v>6644</v>
      </c>
      <c r="E3664" s="819">
        <v>100</v>
      </c>
      <c r="F3664" s="840">
        <v>54.347826086956523</v>
      </c>
      <c r="G3664" s="202" t="str">
        <f t="shared" si="56"/>
        <v/>
      </c>
    </row>
    <row r="3665" spans="1:7" s="172" customFormat="1" ht="15" customHeight="1" x14ac:dyDescent="0.25">
      <c r="A3665" s="810" t="s">
        <v>6645</v>
      </c>
      <c r="B3665" s="806" t="s">
        <v>6287</v>
      </c>
      <c r="C3665" s="806" t="s">
        <v>6287</v>
      </c>
      <c r="D3665" s="815" t="s">
        <v>6646</v>
      </c>
      <c r="E3665" s="819">
        <v>400</v>
      </c>
      <c r="F3665" s="840">
        <v>400</v>
      </c>
      <c r="G3665" s="202" t="str">
        <f t="shared" si="56"/>
        <v>не загружен</v>
      </c>
    </row>
    <row r="3666" spans="1:7" s="172" customFormat="1" ht="15" customHeight="1" x14ac:dyDescent="0.25">
      <c r="A3666" s="810" t="s">
        <v>6647</v>
      </c>
      <c r="B3666" s="806" t="s">
        <v>6287</v>
      </c>
      <c r="C3666" s="806" t="s">
        <v>6287</v>
      </c>
      <c r="D3666" s="815" t="s">
        <v>6648</v>
      </c>
      <c r="E3666" s="819">
        <v>250</v>
      </c>
      <c r="F3666" s="840">
        <v>201.08695652173913</v>
      </c>
      <c r="G3666" s="202" t="str">
        <f t="shared" si="56"/>
        <v/>
      </c>
    </row>
    <row r="3667" spans="1:7" s="172" customFormat="1" ht="15" customHeight="1" x14ac:dyDescent="0.25">
      <c r="A3667" s="810" t="s">
        <v>6649</v>
      </c>
      <c r="B3667" s="806" t="s">
        <v>6287</v>
      </c>
      <c r="C3667" s="806" t="s">
        <v>6287</v>
      </c>
      <c r="D3667" s="815" t="s">
        <v>6650</v>
      </c>
      <c r="E3667" s="819">
        <v>20</v>
      </c>
      <c r="F3667" s="839">
        <v>20</v>
      </c>
      <c r="G3667" s="202" t="str">
        <f t="shared" si="56"/>
        <v>не загружен</v>
      </c>
    </row>
    <row r="3668" spans="1:7" s="172" customFormat="1" ht="15" customHeight="1" x14ac:dyDescent="0.25">
      <c r="A3668" s="810" t="s">
        <v>5812</v>
      </c>
      <c r="B3668" s="806" t="s">
        <v>6287</v>
      </c>
      <c r="C3668" s="806" t="s">
        <v>6287</v>
      </c>
      <c r="D3668" s="815" t="s">
        <v>6651</v>
      </c>
      <c r="E3668" s="819">
        <v>100</v>
      </c>
      <c r="F3668" s="840">
        <v>96.739130434782609</v>
      </c>
      <c r="G3668" s="202" t="str">
        <f t="shared" si="56"/>
        <v/>
      </c>
    </row>
    <row r="3669" spans="1:7" s="172" customFormat="1" ht="15" customHeight="1" x14ac:dyDescent="0.25">
      <c r="A3669" s="810" t="s">
        <v>3095</v>
      </c>
      <c r="B3669" s="806" t="s">
        <v>6287</v>
      </c>
      <c r="C3669" s="806" t="s">
        <v>6287</v>
      </c>
      <c r="D3669" s="815" t="s">
        <v>6652</v>
      </c>
      <c r="E3669" s="819">
        <v>30</v>
      </c>
      <c r="F3669" s="840">
        <v>13.695652173913043</v>
      </c>
      <c r="G3669" s="202" t="str">
        <f t="shared" si="56"/>
        <v/>
      </c>
    </row>
    <row r="3670" spans="1:7" s="172" customFormat="1" ht="15" customHeight="1" x14ac:dyDescent="0.25">
      <c r="A3670" s="810" t="s">
        <v>4818</v>
      </c>
      <c r="B3670" s="806" t="s">
        <v>6287</v>
      </c>
      <c r="C3670" s="806" t="s">
        <v>6287</v>
      </c>
      <c r="D3670" s="815" t="s">
        <v>6653</v>
      </c>
      <c r="E3670" s="819">
        <v>400</v>
      </c>
      <c r="F3670" s="840">
        <v>181.52173913043478</v>
      </c>
      <c r="G3670" s="202" t="str">
        <f t="shared" si="56"/>
        <v/>
      </c>
    </row>
    <row r="3671" spans="1:7" s="172" customFormat="1" ht="15" customHeight="1" x14ac:dyDescent="0.25">
      <c r="A3671" s="810" t="s">
        <v>6369</v>
      </c>
      <c r="B3671" s="806" t="s">
        <v>6287</v>
      </c>
      <c r="C3671" s="806" t="s">
        <v>6287</v>
      </c>
      <c r="D3671" s="815" t="s">
        <v>6654</v>
      </c>
      <c r="E3671" s="819">
        <v>400</v>
      </c>
      <c r="F3671" s="841">
        <v>324.78260869565219</v>
      </c>
      <c r="G3671" s="202" t="str">
        <f t="shared" si="56"/>
        <v/>
      </c>
    </row>
    <row r="3672" spans="1:7" s="172" customFormat="1" ht="15" customHeight="1" x14ac:dyDescent="0.25">
      <c r="A3672" s="810" t="s">
        <v>6655</v>
      </c>
      <c r="B3672" s="806" t="s">
        <v>6287</v>
      </c>
      <c r="C3672" s="806" t="s">
        <v>6287</v>
      </c>
      <c r="D3672" s="815" t="s">
        <v>6656</v>
      </c>
      <c r="E3672" s="819">
        <v>10</v>
      </c>
      <c r="F3672" s="840">
        <v>3.4782608695652177</v>
      </c>
      <c r="G3672" s="202" t="str">
        <f t="shared" si="56"/>
        <v/>
      </c>
    </row>
    <row r="3673" spans="1:7" s="172" customFormat="1" ht="15" customHeight="1" x14ac:dyDescent="0.25">
      <c r="A3673" s="810" t="s">
        <v>6425</v>
      </c>
      <c r="B3673" s="806" t="s">
        <v>6287</v>
      </c>
      <c r="C3673" s="806" t="s">
        <v>6287</v>
      </c>
      <c r="D3673" s="815" t="s">
        <v>6657</v>
      </c>
      <c r="E3673" s="819">
        <v>250</v>
      </c>
      <c r="F3673" s="841">
        <v>230.43478260869566</v>
      </c>
      <c r="G3673" s="202" t="str">
        <f t="shared" ref="G3673:G3736" si="57">IF(E3673=F3673,"не загружен","")</f>
        <v/>
      </c>
    </row>
    <row r="3674" spans="1:7" s="172" customFormat="1" ht="15" customHeight="1" x14ac:dyDescent="0.25">
      <c r="A3674" s="810" t="s">
        <v>3212</v>
      </c>
      <c r="B3674" s="806" t="s">
        <v>6287</v>
      </c>
      <c r="C3674" s="806" t="s">
        <v>6287</v>
      </c>
      <c r="D3674" s="815" t="s">
        <v>6658</v>
      </c>
      <c r="E3674" s="819">
        <v>250</v>
      </c>
      <c r="F3674" s="840">
        <v>210.86956521739131</v>
      </c>
      <c r="G3674" s="202" t="str">
        <f t="shared" si="57"/>
        <v/>
      </c>
    </row>
    <row r="3675" spans="1:7" s="172" customFormat="1" ht="15" customHeight="1" x14ac:dyDescent="0.25">
      <c r="A3675" s="810" t="s">
        <v>6606</v>
      </c>
      <c r="B3675" s="806" t="s">
        <v>6287</v>
      </c>
      <c r="C3675" s="806" t="s">
        <v>6287</v>
      </c>
      <c r="D3675" s="815" t="s">
        <v>6659</v>
      </c>
      <c r="E3675" s="819" t="s">
        <v>18558</v>
      </c>
      <c r="F3675" s="839">
        <v>923.91304347826087</v>
      </c>
      <c r="G3675" s="202" t="str">
        <f t="shared" si="57"/>
        <v/>
      </c>
    </row>
    <row r="3676" spans="1:7" s="172" customFormat="1" ht="15" customHeight="1" x14ac:dyDescent="0.25">
      <c r="A3676" s="810" t="s">
        <v>6638</v>
      </c>
      <c r="B3676" s="806" t="s">
        <v>6287</v>
      </c>
      <c r="C3676" s="806" t="s">
        <v>6287</v>
      </c>
      <c r="D3676" s="815" t="s">
        <v>6660</v>
      </c>
      <c r="E3676" s="819">
        <v>250</v>
      </c>
      <c r="F3676" s="840">
        <v>219.56521739130434</v>
      </c>
      <c r="G3676" s="202" t="str">
        <f t="shared" si="57"/>
        <v/>
      </c>
    </row>
    <row r="3677" spans="1:7" s="172" customFormat="1" ht="15" customHeight="1" x14ac:dyDescent="0.25">
      <c r="A3677" s="810" t="s">
        <v>6362</v>
      </c>
      <c r="B3677" s="806" t="s">
        <v>6287</v>
      </c>
      <c r="C3677" s="806" t="s">
        <v>6287</v>
      </c>
      <c r="D3677" s="815" t="s">
        <v>6662</v>
      </c>
      <c r="E3677" s="819">
        <v>400</v>
      </c>
      <c r="F3677" s="841">
        <v>334.78260869565219</v>
      </c>
      <c r="G3677" s="202" t="str">
        <f t="shared" si="57"/>
        <v/>
      </c>
    </row>
    <row r="3678" spans="1:7" s="172" customFormat="1" ht="15" customHeight="1" x14ac:dyDescent="0.25">
      <c r="A3678" s="810" t="s">
        <v>6567</v>
      </c>
      <c r="B3678" s="806" t="s">
        <v>6287</v>
      </c>
      <c r="C3678" s="806" t="s">
        <v>6287</v>
      </c>
      <c r="D3678" s="815" t="s">
        <v>6663</v>
      </c>
      <c r="E3678" s="819">
        <v>400</v>
      </c>
      <c r="F3678" s="839">
        <v>367.39130434782606</v>
      </c>
      <c r="G3678" s="202" t="str">
        <f t="shared" si="57"/>
        <v/>
      </c>
    </row>
    <row r="3679" spans="1:7" s="172" customFormat="1" ht="15" customHeight="1" x14ac:dyDescent="0.25">
      <c r="A3679" s="810" t="s">
        <v>6661</v>
      </c>
      <c r="B3679" s="806" t="s">
        <v>6287</v>
      </c>
      <c r="C3679" s="806" t="s">
        <v>6287</v>
      </c>
      <c r="D3679" s="815" t="s">
        <v>6664</v>
      </c>
      <c r="E3679" s="819">
        <v>400</v>
      </c>
      <c r="F3679" s="841">
        <v>324.78260869565219</v>
      </c>
      <c r="G3679" s="202" t="str">
        <f t="shared" si="57"/>
        <v/>
      </c>
    </row>
    <row r="3680" spans="1:7" s="172" customFormat="1" ht="15" customHeight="1" x14ac:dyDescent="0.25">
      <c r="A3680" s="810" t="s">
        <v>6665</v>
      </c>
      <c r="B3680" s="806" t="s">
        <v>6287</v>
      </c>
      <c r="C3680" s="806" t="s">
        <v>6287</v>
      </c>
      <c r="D3680" s="815" t="s">
        <v>6666</v>
      </c>
      <c r="E3680" s="819">
        <v>160</v>
      </c>
      <c r="F3680" s="840">
        <v>73.043478260869563</v>
      </c>
      <c r="G3680" s="202" t="str">
        <f t="shared" si="57"/>
        <v/>
      </c>
    </row>
    <row r="3681" spans="1:7" s="172" customFormat="1" ht="15" customHeight="1" x14ac:dyDescent="0.25">
      <c r="A3681" s="810" t="s">
        <v>6645</v>
      </c>
      <c r="B3681" s="806" t="s">
        <v>6287</v>
      </c>
      <c r="C3681" s="806" t="s">
        <v>6287</v>
      </c>
      <c r="D3681" s="815" t="s">
        <v>6667</v>
      </c>
      <c r="E3681" s="819">
        <v>160</v>
      </c>
      <c r="F3681" s="840">
        <v>38.260869565217391</v>
      </c>
      <c r="G3681" s="202" t="str">
        <f t="shared" si="57"/>
        <v/>
      </c>
    </row>
    <row r="3682" spans="1:7" s="172" customFormat="1" ht="15" customHeight="1" x14ac:dyDescent="0.25">
      <c r="A3682" s="810" t="s">
        <v>6606</v>
      </c>
      <c r="B3682" s="806" t="s">
        <v>6287</v>
      </c>
      <c r="C3682" s="806" t="s">
        <v>6287</v>
      </c>
      <c r="D3682" s="815" t="s">
        <v>6668</v>
      </c>
      <c r="E3682" s="819" t="s">
        <v>18202</v>
      </c>
      <c r="F3682" s="840">
        <v>1162.1739130434783</v>
      </c>
      <c r="G3682" s="202" t="str">
        <f t="shared" si="57"/>
        <v/>
      </c>
    </row>
    <row r="3683" spans="1:7" s="172" customFormat="1" ht="15" customHeight="1" x14ac:dyDescent="0.25">
      <c r="A3683" s="810" t="s">
        <v>6606</v>
      </c>
      <c r="B3683" s="806" t="s">
        <v>6287</v>
      </c>
      <c r="C3683" s="806" t="s">
        <v>6287</v>
      </c>
      <c r="D3683" s="815" t="s">
        <v>6669</v>
      </c>
      <c r="E3683" s="819" t="s">
        <v>18558</v>
      </c>
      <c r="F3683" s="840">
        <v>858.695652173913</v>
      </c>
      <c r="G3683" s="202" t="str">
        <f t="shared" si="57"/>
        <v/>
      </c>
    </row>
    <row r="3684" spans="1:7" s="172" customFormat="1" ht="15" customHeight="1" x14ac:dyDescent="0.25">
      <c r="A3684" s="810" t="s">
        <v>6606</v>
      </c>
      <c r="B3684" s="806" t="s">
        <v>6287</v>
      </c>
      <c r="C3684" s="806" t="s">
        <v>6287</v>
      </c>
      <c r="D3684" s="815" t="s">
        <v>6670</v>
      </c>
      <c r="E3684" s="819" t="s">
        <v>18559</v>
      </c>
      <c r="F3684" s="840">
        <v>1447.8260869565217</v>
      </c>
      <c r="G3684" s="202" t="str">
        <f t="shared" si="57"/>
        <v/>
      </c>
    </row>
    <row r="3685" spans="1:7" s="172" customFormat="1" ht="15" customHeight="1" x14ac:dyDescent="0.25">
      <c r="A3685" s="810" t="s">
        <v>6493</v>
      </c>
      <c r="B3685" s="806" t="s">
        <v>6287</v>
      </c>
      <c r="C3685" s="806" t="s">
        <v>6287</v>
      </c>
      <c r="D3685" s="815" t="s">
        <v>6671</v>
      </c>
      <c r="E3685" s="819" t="s">
        <v>18197</v>
      </c>
      <c r="F3685" s="840">
        <v>418.47826086956525</v>
      </c>
      <c r="G3685" s="202" t="str">
        <f t="shared" si="57"/>
        <v/>
      </c>
    </row>
    <row r="3686" spans="1:7" s="172" customFormat="1" ht="15" customHeight="1" x14ac:dyDescent="0.25">
      <c r="A3686" s="810" t="s">
        <v>6672</v>
      </c>
      <c r="B3686" s="806" t="s">
        <v>6287</v>
      </c>
      <c r="C3686" s="806" t="s">
        <v>6287</v>
      </c>
      <c r="D3686" s="815" t="s">
        <v>6673</v>
      </c>
      <c r="E3686" s="819">
        <v>250</v>
      </c>
      <c r="F3686" s="840">
        <v>236.95652173913044</v>
      </c>
      <c r="G3686" s="202" t="str">
        <f t="shared" si="57"/>
        <v/>
      </c>
    </row>
    <row r="3687" spans="1:7" s="172" customFormat="1" ht="15" customHeight="1" x14ac:dyDescent="0.25">
      <c r="A3687" s="810" t="s">
        <v>6482</v>
      </c>
      <c r="B3687" s="806" t="s">
        <v>6287</v>
      </c>
      <c r="C3687" s="806" t="s">
        <v>6287</v>
      </c>
      <c r="D3687" s="815" t="s">
        <v>6674</v>
      </c>
      <c r="E3687" s="819">
        <v>160</v>
      </c>
      <c r="F3687" s="840">
        <v>118.69565217391305</v>
      </c>
      <c r="G3687" s="202" t="str">
        <f t="shared" si="57"/>
        <v/>
      </c>
    </row>
    <row r="3688" spans="1:7" s="172" customFormat="1" ht="15" customHeight="1" x14ac:dyDescent="0.25">
      <c r="A3688" s="810" t="s">
        <v>6606</v>
      </c>
      <c r="B3688" s="806" t="s">
        <v>6287</v>
      </c>
      <c r="C3688" s="806" t="s">
        <v>6287</v>
      </c>
      <c r="D3688" s="815" t="s">
        <v>6675</v>
      </c>
      <c r="E3688" s="819">
        <v>400</v>
      </c>
      <c r="F3688" s="839">
        <v>291.304347826087</v>
      </c>
      <c r="G3688" s="202" t="str">
        <f t="shared" si="57"/>
        <v/>
      </c>
    </row>
    <row r="3689" spans="1:7" s="172" customFormat="1" ht="15" customHeight="1" x14ac:dyDescent="0.25">
      <c r="A3689" s="810" t="s">
        <v>15027</v>
      </c>
      <c r="B3689" s="806" t="s">
        <v>6287</v>
      </c>
      <c r="C3689" s="806" t="s">
        <v>6287</v>
      </c>
      <c r="D3689" s="815" t="s">
        <v>6676</v>
      </c>
      <c r="E3689" s="819">
        <v>100</v>
      </c>
      <c r="F3689" s="841">
        <v>45.652173913043484</v>
      </c>
      <c r="G3689" s="202" t="str">
        <f t="shared" si="57"/>
        <v/>
      </c>
    </row>
    <row r="3690" spans="1:7" s="172" customFormat="1" ht="15" customHeight="1" x14ac:dyDescent="0.25">
      <c r="A3690" s="810" t="s">
        <v>6677</v>
      </c>
      <c r="B3690" s="806" t="s">
        <v>6287</v>
      </c>
      <c r="C3690" s="806" t="s">
        <v>6287</v>
      </c>
      <c r="D3690" s="815" t="s">
        <v>6678</v>
      </c>
      <c r="E3690" s="819">
        <v>60</v>
      </c>
      <c r="F3690" s="839">
        <v>22.391304347826086</v>
      </c>
      <c r="G3690" s="202" t="str">
        <f t="shared" si="57"/>
        <v/>
      </c>
    </row>
    <row r="3691" spans="1:7" s="172" customFormat="1" ht="15" customHeight="1" x14ac:dyDescent="0.25">
      <c r="A3691" s="810" t="s">
        <v>6448</v>
      </c>
      <c r="B3691" s="806" t="s">
        <v>6287</v>
      </c>
      <c r="C3691" s="806" t="s">
        <v>6287</v>
      </c>
      <c r="D3691" s="815" t="s">
        <v>6679</v>
      </c>
      <c r="E3691" s="819">
        <v>100</v>
      </c>
      <c r="F3691" s="840">
        <v>38.04347826086957</v>
      </c>
      <c r="G3691" s="202" t="str">
        <f t="shared" si="57"/>
        <v/>
      </c>
    </row>
    <row r="3692" spans="1:7" s="172" customFormat="1" ht="15" customHeight="1" x14ac:dyDescent="0.25">
      <c r="A3692" s="810" t="s">
        <v>6369</v>
      </c>
      <c r="B3692" s="806" t="s">
        <v>6287</v>
      </c>
      <c r="C3692" s="806" t="s">
        <v>6287</v>
      </c>
      <c r="D3692" s="815" t="s">
        <v>6680</v>
      </c>
      <c r="E3692" s="819">
        <v>160</v>
      </c>
      <c r="F3692" s="840">
        <v>129.91304347826087</v>
      </c>
      <c r="G3692" s="202" t="str">
        <f t="shared" si="57"/>
        <v/>
      </c>
    </row>
    <row r="3693" spans="1:7" s="172" customFormat="1" ht="15" customHeight="1" x14ac:dyDescent="0.25">
      <c r="A3693" s="810" t="s">
        <v>6681</v>
      </c>
      <c r="B3693" s="806" t="s">
        <v>6287</v>
      </c>
      <c r="C3693" s="806" t="s">
        <v>6287</v>
      </c>
      <c r="D3693" s="815" t="s">
        <v>6682</v>
      </c>
      <c r="E3693" s="819">
        <v>250</v>
      </c>
      <c r="F3693" s="839">
        <v>197.82608695652175</v>
      </c>
      <c r="G3693" s="202" t="str">
        <f t="shared" si="57"/>
        <v/>
      </c>
    </row>
    <row r="3694" spans="1:7" s="172" customFormat="1" ht="15" customHeight="1" x14ac:dyDescent="0.25">
      <c r="A3694" s="810" t="s">
        <v>6608</v>
      </c>
      <c r="B3694" s="806" t="s">
        <v>6287</v>
      </c>
      <c r="C3694" s="806" t="s">
        <v>6287</v>
      </c>
      <c r="D3694" s="815" t="s">
        <v>6683</v>
      </c>
      <c r="E3694" s="819">
        <v>250</v>
      </c>
      <c r="F3694" s="840">
        <v>201.08695652173913</v>
      </c>
      <c r="G3694" s="202" t="str">
        <f t="shared" si="57"/>
        <v/>
      </c>
    </row>
    <row r="3695" spans="1:7" s="172" customFormat="1" ht="15" customHeight="1" x14ac:dyDescent="0.25">
      <c r="A3695" s="810" t="s">
        <v>6482</v>
      </c>
      <c r="B3695" s="806" t="s">
        <v>6287</v>
      </c>
      <c r="C3695" s="806" t="s">
        <v>6287</v>
      </c>
      <c r="D3695" s="815" t="s">
        <v>6684</v>
      </c>
      <c r="E3695" s="819">
        <v>160</v>
      </c>
      <c r="F3695" s="840">
        <v>111.08695652173913</v>
      </c>
      <c r="G3695" s="202" t="str">
        <f t="shared" si="57"/>
        <v/>
      </c>
    </row>
    <row r="3696" spans="1:7" s="172" customFormat="1" ht="15" customHeight="1" x14ac:dyDescent="0.25">
      <c r="A3696" s="810" t="s">
        <v>6156</v>
      </c>
      <c r="B3696" s="806" t="s">
        <v>6287</v>
      </c>
      <c r="C3696" s="806" t="s">
        <v>6287</v>
      </c>
      <c r="D3696" s="815" t="s">
        <v>6685</v>
      </c>
      <c r="E3696" s="819">
        <v>250</v>
      </c>
      <c r="F3696" s="840">
        <v>184.78260869565219</v>
      </c>
      <c r="G3696" s="202" t="str">
        <f t="shared" si="57"/>
        <v/>
      </c>
    </row>
    <row r="3697" spans="1:7" s="172" customFormat="1" ht="15" customHeight="1" x14ac:dyDescent="0.25">
      <c r="A3697" s="810" t="s">
        <v>6686</v>
      </c>
      <c r="B3697" s="806" t="s">
        <v>6287</v>
      </c>
      <c r="C3697" s="806" t="s">
        <v>6287</v>
      </c>
      <c r="D3697" s="815" t="s">
        <v>6687</v>
      </c>
      <c r="E3697" s="819">
        <v>60</v>
      </c>
      <c r="F3697" s="840">
        <v>37.173913043478265</v>
      </c>
      <c r="G3697" s="202" t="str">
        <f t="shared" si="57"/>
        <v/>
      </c>
    </row>
    <row r="3698" spans="1:7" s="172" customFormat="1" ht="15" customHeight="1" x14ac:dyDescent="0.25">
      <c r="A3698" s="810" t="s">
        <v>6688</v>
      </c>
      <c r="B3698" s="806" t="s">
        <v>6287</v>
      </c>
      <c r="C3698" s="806" t="s">
        <v>6287</v>
      </c>
      <c r="D3698" s="815" t="s">
        <v>6689</v>
      </c>
      <c r="E3698" s="819">
        <v>160</v>
      </c>
      <c r="F3698" s="839">
        <v>80.652173913043484</v>
      </c>
      <c r="G3698" s="202" t="str">
        <f t="shared" si="57"/>
        <v/>
      </c>
    </row>
    <row r="3699" spans="1:7" s="172" customFormat="1" ht="15" customHeight="1" x14ac:dyDescent="0.25">
      <c r="A3699" s="810" t="s">
        <v>6690</v>
      </c>
      <c r="B3699" s="806" t="s">
        <v>6287</v>
      </c>
      <c r="C3699" s="806" t="s">
        <v>6287</v>
      </c>
      <c r="D3699" s="815" t="s">
        <v>6691</v>
      </c>
      <c r="E3699" s="819">
        <v>160</v>
      </c>
      <c r="F3699" s="841">
        <v>121.95652173913044</v>
      </c>
      <c r="G3699" s="202" t="str">
        <f t="shared" si="57"/>
        <v/>
      </c>
    </row>
    <row r="3700" spans="1:7" s="172" customFormat="1" ht="15" customHeight="1" x14ac:dyDescent="0.25">
      <c r="A3700" s="810" t="s">
        <v>3006</v>
      </c>
      <c r="B3700" s="806" t="s">
        <v>6287</v>
      </c>
      <c r="C3700" s="806" t="s">
        <v>6287</v>
      </c>
      <c r="D3700" s="815" t="s">
        <v>6692</v>
      </c>
      <c r="E3700" s="819">
        <v>320</v>
      </c>
      <c r="F3700" s="840">
        <v>300</v>
      </c>
      <c r="G3700" s="202" t="str">
        <f t="shared" si="57"/>
        <v/>
      </c>
    </row>
    <row r="3701" spans="1:7" s="172" customFormat="1" ht="15" customHeight="1" x14ac:dyDescent="0.25">
      <c r="A3701" s="810" t="s">
        <v>6156</v>
      </c>
      <c r="B3701" s="806" t="s">
        <v>6287</v>
      </c>
      <c r="C3701" s="806" t="s">
        <v>6287</v>
      </c>
      <c r="D3701" s="815" t="s">
        <v>6693</v>
      </c>
      <c r="E3701" s="819">
        <v>60</v>
      </c>
      <c r="F3701" s="840">
        <v>60</v>
      </c>
      <c r="G3701" s="202" t="str">
        <f t="shared" si="57"/>
        <v>не загружен</v>
      </c>
    </row>
    <row r="3702" spans="1:7" s="172" customFormat="1" ht="15" customHeight="1" x14ac:dyDescent="0.25">
      <c r="A3702" s="810" t="s">
        <v>6495</v>
      </c>
      <c r="B3702" s="806" t="s">
        <v>6287</v>
      </c>
      <c r="C3702" s="806" t="s">
        <v>6287</v>
      </c>
      <c r="D3702" s="815" t="s">
        <v>6694</v>
      </c>
      <c r="E3702" s="819">
        <v>250</v>
      </c>
      <c r="F3702" s="839">
        <v>227.17391304347825</v>
      </c>
      <c r="G3702" s="202" t="str">
        <f t="shared" si="57"/>
        <v/>
      </c>
    </row>
    <row r="3703" spans="1:7" s="172" customFormat="1" ht="15" customHeight="1" x14ac:dyDescent="0.25">
      <c r="A3703" s="810" t="s">
        <v>6695</v>
      </c>
      <c r="B3703" s="806" t="s">
        <v>6287</v>
      </c>
      <c r="C3703" s="806" t="s">
        <v>6287</v>
      </c>
      <c r="D3703" s="815" t="s">
        <v>6696</v>
      </c>
      <c r="E3703" s="819">
        <v>30</v>
      </c>
      <c r="F3703" s="840">
        <v>11.521739130434785</v>
      </c>
      <c r="G3703" s="202" t="str">
        <f t="shared" si="57"/>
        <v/>
      </c>
    </row>
    <row r="3704" spans="1:7" s="172" customFormat="1" ht="15" customHeight="1" x14ac:dyDescent="0.25">
      <c r="A3704" s="810" t="s">
        <v>6614</v>
      </c>
      <c r="B3704" s="806" t="s">
        <v>6287</v>
      </c>
      <c r="C3704" s="806" t="s">
        <v>6287</v>
      </c>
      <c r="D3704" s="815" t="s">
        <v>6697</v>
      </c>
      <c r="E3704" s="819">
        <v>400</v>
      </c>
      <c r="F3704" s="841">
        <v>264.60869565217388</v>
      </c>
      <c r="G3704" s="202" t="str">
        <f t="shared" si="57"/>
        <v/>
      </c>
    </row>
    <row r="3705" spans="1:7" s="172" customFormat="1" ht="15" customHeight="1" x14ac:dyDescent="0.25">
      <c r="A3705" s="810" t="s">
        <v>6493</v>
      </c>
      <c r="B3705" s="806" t="s">
        <v>6287</v>
      </c>
      <c r="C3705" s="806" t="s">
        <v>6287</v>
      </c>
      <c r="D3705" s="815" t="s">
        <v>6698</v>
      </c>
      <c r="E3705" s="819">
        <v>30</v>
      </c>
      <c r="F3705" s="840">
        <v>7.1739130434782616</v>
      </c>
      <c r="G3705" s="202" t="str">
        <f t="shared" si="57"/>
        <v/>
      </c>
    </row>
    <row r="3706" spans="1:7" s="172" customFormat="1" ht="15" customHeight="1" x14ac:dyDescent="0.25">
      <c r="A3706" s="810" t="s">
        <v>6638</v>
      </c>
      <c r="B3706" s="806" t="s">
        <v>6287</v>
      </c>
      <c r="C3706" s="806" t="s">
        <v>6287</v>
      </c>
      <c r="D3706" s="815" t="s">
        <v>6699</v>
      </c>
      <c r="E3706" s="819">
        <v>630</v>
      </c>
      <c r="F3706" s="839">
        <v>556.08695652173913</v>
      </c>
      <c r="G3706" s="202" t="str">
        <f t="shared" si="57"/>
        <v/>
      </c>
    </row>
    <row r="3707" spans="1:7" s="172" customFormat="1" ht="15" customHeight="1" x14ac:dyDescent="0.25">
      <c r="A3707" s="810" t="s">
        <v>15028</v>
      </c>
      <c r="B3707" s="806" t="s">
        <v>6287</v>
      </c>
      <c r="C3707" s="806" t="s">
        <v>6287</v>
      </c>
      <c r="D3707" s="815" t="s">
        <v>6700</v>
      </c>
      <c r="E3707" s="819">
        <v>100</v>
      </c>
      <c r="F3707" s="840">
        <v>41.304347826086961</v>
      </c>
      <c r="G3707" s="202" t="str">
        <f t="shared" si="57"/>
        <v/>
      </c>
    </row>
    <row r="3708" spans="1:7" s="172" customFormat="1" ht="15" customHeight="1" x14ac:dyDescent="0.25">
      <c r="A3708" s="810" t="s">
        <v>2871</v>
      </c>
      <c r="B3708" s="806" t="s">
        <v>6287</v>
      </c>
      <c r="C3708" s="806" t="s">
        <v>6287</v>
      </c>
      <c r="D3708" s="815" t="s">
        <v>6701</v>
      </c>
      <c r="E3708" s="819">
        <v>100</v>
      </c>
      <c r="F3708" s="840">
        <v>91.847826086956516</v>
      </c>
      <c r="G3708" s="202" t="str">
        <f t="shared" si="57"/>
        <v/>
      </c>
    </row>
    <row r="3709" spans="1:7" s="172" customFormat="1" ht="15" customHeight="1" x14ac:dyDescent="0.25">
      <c r="A3709" s="810" t="s">
        <v>6448</v>
      </c>
      <c r="B3709" s="806" t="s">
        <v>6287</v>
      </c>
      <c r="C3709" s="806" t="s">
        <v>6287</v>
      </c>
      <c r="D3709" s="815" t="s">
        <v>6702</v>
      </c>
      <c r="E3709" s="819">
        <v>100</v>
      </c>
      <c r="F3709" s="841">
        <v>58.695652173913047</v>
      </c>
      <c r="G3709" s="202" t="str">
        <f t="shared" si="57"/>
        <v/>
      </c>
    </row>
    <row r="3710" spans="1:7" s="172" customFormat="1" ht="15" customHeight="1" x14ac:dyDescent="0.25">
      <c r="A3710" s="810" t="s">
        <v>6703</v>
      </c>
      <c r="B3710" s="806" t="s">
        <v>6287</v>
      </c>
      <c r="C3710" s="806" t="s">
        <v>6287</v>
      </c>
      <c r="D3710" s="815" t="s">
        <v>6704</v>
      </c>
      <c r="E3710" s="819">
        <v>160</v>
      </c>
      <c r="F3710" s="839">
        <v>115.43478260869566</v>
      </c>
      <c r="G3710" s="202" t="str">
        <f t="shared" si="57"/>
        <v/>
      </c>
    </row>
    <row r="3711" spans="1:7" s="172" customFormat="1" ht="15" customHeight="1" x14ac:dyDescent="0.25">
      <c r="A3711" s="810" t="s">
        <v>6705</v>
      </c>
      <c r="B3711" s="806" t="s">
        <v>6287</v>
      </c>
      <c r="C3711" s="806" t="s">
        <v>6287</v>
      </c>
      <c r="D3711" s="815" t="s">
        <v>6706</v>
      </c>
      <c r="E3711" s="819">
        <v>30</v>
      </c>
      <c r="F3711" s="841">
        <v>20.217391304347828</v>
      </c>
      <c r="G3711" s="202" t="str">
        <f t="shared" si="57"/>
        <v/>
      </c>
    </row>
    <row r="3712" spans="1:7" s="172" customFormat="1" ht="15" customHeight="1" x14ac:dyDescent="0.25">
      <c r="A3712" s="810" t="s">
        <v>6707</v>
      </c>
      <c r="B3712" s="806" t="s">
        <v>6287</v>
      </c>
      <c r="C3712" s="806" t="s">
        <v>6287</v>
      </c>
      <c r="D3712" s="815" t="s">
        <v>6708</v>
      </c>
      <c r="E3712" s="819">
        <v>30</v>
      </c>
      <c r="F3712" s="839">
        <v>9.3478260869565233</v>
      </c>
      <c r="G3712" s="202" t="str">
        <f t="shared" si="57"/>
        <v/>
      </c>
    </row>
    <row r="3713" spans="1:7" s="172" customFormat="1" ht="15" customHeight="1" x14ac:dyDescent="0.25">
      <c r="A3713" s="810" t="s">
        <v>6071</v>
      </c>
      <c r="B3713" s="806" t="s">
        <v>6287</v>
      </c>
      <c r="C3713" s="806" t="s">
        <v>6287</v>
      </c>
      <c r="D3713" s="815" t="s">
        <v>6709</v>
      </c>
      <c r="E3713" s="819">
        <v>100</v>
      </c>
      <c r="F3713" s="839">
        <v>78.260869565217391</v>
      </c>
      <c r="G3713" s="202" t="str">
        <f t="shared" si="57"/>
        <v/>
      </c>
    </row>
    <row r="3714" spans="1:7" s="172" customFormat="1" ht="15" customHeight="1" x14ac:dyDescent="0.25">
      <c r="A3714" s="810" t="s">
        <v>6710</v>
      </c>
      <c r="B3714" s="806" t="s">
        <v>6287</v>
      </c>
      <c r="C3714" s="806" t="s">
        <v>6287</v>
      </c>
      <c r="D3714" s="815" t="s">
        <v>6711</v>
      </c>
      <c r="E3714" s="819">
        <v>100</v>
      </c>
      <c r="F3714" s="841">
        <v>97.826086956521735</v>
      </c>
      <c r="G3714" s="202" t="str">
        <f t="shared" si="57"/>
        <v/>
      </c>
    </row>
    <row r="3715" spans="1:7" s="172" customFormat="1" ht="15" customHeight="1" x14ac:dyDescent="0.25">
      <c r="A3715" s="810" t="s">
        <v>15029</v>
      </c>
      <c r="B3715" s="806" t="s">
        <v>6287</v>
      </c>
      <c r="C3715" s="806" t="s">
        <v>6287</v>
      </c>
      <c r="D3715" s="815" t="s">
        <v>6712</v>
      </c>
      <c r="E3715" s="819">
        <v>30</v>
      </c>
      <c r="F3715" s="840">
        <v>23.478260869565219</v>
      </c>
      <c r="G3715" s="202" t="str">
        <f t="shared" si="57"/>
        <v/>
      </c>
    </row>
    <row r="3716" spans="1:7" s="172" customFormat="1" ht="15" customHeight="1" x14ac:dyDescent="0.25">
      <c r="A3716" s="810" t="s">
        <v>15030</v>
      </c>
      <c r="B3716" s="806" t="s">
        <v>6287</v>
      </c>
      <c r="C3716" s="806" t="s">
        <v>6287</v>
      </c>
      <c r="D3716" s="815" t="s">
        <v>6713</v>
      </c>
      <c r="E3716" s="819">
        <v>30</v>
      </c>
      <c r="F3716" s="839">
        <v>25.652173913043477</v>
      </c>
      <c r="G3716" s="202" t="str">
        <f t="shared" si="57"/>
        <v/>
      </c>
    </row>
    <row r="3717" spans="1:7" s="172" customFormat="1" ht="15" customHeight="1" x14ac:dyDescent="0.25">
      <c r="A3717" s="810" t="s">
        <v>6714</v>
      </c>
      <c r="B3717" s="806" t="s">
        <v>6287</v>
      </c>
      <c r="C3717" s="806" t="s">
        <v>6287</v>
      </c>
      <c r="D3717" s="815" t="s">
        <v>6715</v>
      </c>
      <c r="E3717" s="819">
        <v>30</v>
      </c>
      <c r="F3717" s="840">
        <v>23.478260869565219</v>
      </c>
      <c r="G3717" s="202" t="str">
        <f t="shared" si="57"/>
        <v/>
      </c>
    </row>
    <row r="3718" spans="1:7" s="172" customFormat="1" ht="15" customHeight="1" x14ac:dyDescent="0.25">
      <c r="A3718" s="810" t="s">
        <v>6716</v>
      </c>
      <c r="B3718" s="806" t="s">
        <v>6287</v>
      </c>
      <c r="C3718" s="806" t="s">
        <v>6287</v>
      </c>
      <c r="D3718" s="815" t="s">
        <v>6717</v>
      </c>
      <c r="E3718" s="819">
        <v>40</v>
      </c>
      <c r="F3718" s="840">
        <v>33.478260869565219</v>
      </c>
      <c r="G3718" s="202" t="str">
        <f t="shared" si="57"/>
        <v/>
      </c>
    </row>
    <row r="3719" spans="1:7" s="172" customFormat="1" ht="15" customHeight="1" x14ac:dyDescent="0.25">
      <c r="A3719" s="810" t="s">
        <v>6448</v>
      </c>
      <c r="B3719" s="806" t="s">
        <v>6287</v>
      </c>
      <c r="C3719" s="806" t="s">
        <v>6287</v>
      </c>
      <c r="D3719" s="815" t="s">
        <v>6718</v>
      </c>
      <c r="E3719" s="819">
        <v>60</v>
      </c>
      <c r="F3719" s="840">
        <v>32.826086956521742</v>
      </c>
      <c r="G3719" s="202" t="str">
        <f t="shared" si="57"/>
        <v/>
      </c>
    </row>
    <row r="3720" spans="1:7" s="172" customFormat="1" ht="15" customHeight="1" x14ac:dyDescent="0.25">
      <c r="A3720" s="810" t="s">
        <v>2473</v>
      </c>
      <c r="B3720" s="806" t="s">
        <v>6287</v>
      </c>
      <c r="C3720" s="806" t="s">
        <v>6287</v>
      </c>
      <c r="D3720" s="815" t="s">
        <v>6719</v>
      </c>
      <c r="E3720" s="819">
        <v>100</v>
      </c>
      <c r="F3720" s="839">
        <v>83.695652173913047</v>
      </c>
      <c r="G3720" s="202" t="str">
        <f t="shared" si="57"/>
        <v/>
      </c>
    </row>
    <row r="3721" spans="1:7" s="172" customFormat="1" ht="15" customHeight="1" x14ac:dyDescent="0.25">
      <c r="A3721" s="810" t="s">
        <v>6720</v>
      </c>
      <c r="B3721" s="806" t="s">
        <v>6287</v>
      </c>
      <c r="C3721" s="806" t="s">
        <v>6287</v>
      </c>
      <c r="D3721" s="815" t="s">
        <v>6721</v>
      </c>
      <c r="E3721" s="819">
        <v>30</v>
      </c>
      <c r="F3721" s="841">
        <v>19.130434782608695</v>
      </c>
      <c r="G3721" s="202" t="str">
        <f t="shared" si="57"/>
        <v/>
      </c>
    </row>
    <row r="3722" spans="1:7" s="172" customFormat="1" ht="15" customHeight="1" x14ac:dyDescent="0.25">
      <c r="A3722" s="810" t="s">
        <v>6722</v>
      </c>
      <c r="B3722" s="806" t="s">
        <v>6287</v>
      </c>
      <c r="C3722" s="806" t="s">
        <v>6287</v>
      </c>
      <c r="D3722" s="815" t="s">
        <v>6723</v>
      </c>
      <c r="E3722" s="819">
        <v>160</v>
      </c>
      <c r="F3722" s="839">
        <v>113.26086956521739</v>
      </c>
      <c r="G3722" s="202" t="str">
        <f t="shared" si="57"/>
        <v/>
      </c>
    </row>
    <row r="3723" spans="1:7" s="172" customFormat="1" ht="15" customHeight="1" x14ac:dyDescent="0.25">
      <c r="A3723" s="810" t="s">
        <v>6724</v>
      </c>
      <c r="B3723" s="806" t="s">
        <v>6287</v>
      </c>
      <c r="C3723" s="806" t="s">
        <v>6287</v>
      </c>
      <c r="D3723" s="815" t="s">
        <v>6725</v>
      </c>
      <c r="E3723" s="819">
        <v>160</v>
      </c>
      <c r="F3723" s="841">
        <v>83.913043478260875</v>
      </c>
      <c r="G3723" s="202" t="str">
        <f t="shared" si="57"/>
        <v/>
      </c>
    </row>
    <row r="3724" spans="1:7" s="172" customFormat="1" ht="15" customHeight="1" x14ac:dyDescent="0.25">
      <c r="A3724" s="810" t="s">
        <v>3825</v>
      </c>
      <c r="B3724" s="806" t="s">
        <v>6287</v>
      </c>
      <c r="C3724" s="806" t="s">
        <v>6287</v>
      </c>
      <c r="D3724" s="815" t="s">
        <v>6726</v>
      </c>
      <c r="E3724" s="819">
        <v>160</v>
      </c>
      <c r="F3724" s="840">
        <v>117.60869565217391</v>
      </c>
      <c r="G3724" s="202" t="str">
        <f t="shared" si="57"/>
        <v/>
      </c>
    </row>
    <row r="3725" spans="1:7" s="172" customFormat="1" ht="15" customHeight="1" x14ac:dyDescent="0.25">
      <c r="A3725" s="810" t="s">
        <v>6727</v>
      </c>
      <c r="B3725" s="806" t="s">
        <v>6287</v>
      </c>
      <c r="C3725" s="806" t="s">
        <v>6287</v>
      </c>
      <c r="D3725" s="815" t="s">
        <v>6728</v>
      </c>
      <c r="E3725" s="819">
        <v>100</v>
      </c>
      <c r="F3725" s="839">
        <v>80.434782608695656</v>
      </c>
      <c r="G3725" s="202" t="str">
        <f t="shared" si="57"/>
        <v/>
      </c>
    </row>
    <row r="3726" spans="1:7" s="172" customFormat="1" ht="15" customHeight="1" x14ac:dyDescent="0.25">
      <c r="A3726" s="810" t="s">
        <v>6647</v>
      </c>
      <c r="B3726" s="806" t="s">
        <v>6287</v>
      </c>
      <c r="C3726" s="806" t="s">
        <v>6287</v>
      </c>
      <c r="D3726" s="815" t="s">
        <v>6729</v>
      </c>
      <c r="E3726" s="819">
        <v>160</v>
      </c>
      <c r="F3726" s="841">
        <v>111.08695652173913</v>
      </c>
      <c r="G3726" s="202" t="str">
        <f t="shared" si="57"/>
        <v/>
      </c>
    </row>
    <row r="3727" spans="1:7" s="172" customFormat="1" ht="15" customHeight="1" x14ac:dyDescent="0.25">
      <c r="A3727" s="810" t="s">
        <v>4840</v>
      </c>
      <c r="B3727" s="806" t="s">
        <v>6287</v>
      </c>
      <c r="C3727" s="806" t="s">
        <v>6287</v>
      </c>
      <c r="D3727" s="815" t="s">
        <v>6730</v>
      </c>
      <c r="E3727" s="819">
        <v>100</v>
      </c>
      <c r="F3727" s="839">
        <v>56.521739130434781</v>
      </c>
      <c r="G3727" s="202" t="str">
        <f t="shared" si="57"/>
        <v/>
      </c>
    </row>
    <row r="3728" spans="1:7" s="172" customFormat="1" ht="15" customHeight="1" x14ac:dyDescent="0.25">
      <c r="A3728" s="810" t="s">
        <v>6731</v>
      </c>
      <c r="B3728" s="806" t="s">
        <v>6287</v>
      </c>
      <c r="C3728" s="806" t="s">
        <v>6287</v>
      </c>
      <c r="D3728" s="815" t="s">
        <v>6732</v>
      </c>
      <c r="E3728" s="819">
        <v>63</v>
      </c>
      <c r="F3728" s="839">
        <v>15</v>
      </c>
      <c r="G3728" s="202" t="str">
        <f t="shared" si="57"/>
        <v/>
      </c>
    </row>
    <row r="3729" spans="1:7" s="172" customFormat="1" ht="15" customHeight="1" x14ac:dyDescent="0.25">
      <c r="A3729" s="810" t="s">
        <v>2924</v>
      </c>
      <c r="B3729" s="806" t="s">
        <v>6287</v>
      </c>
      <c r="C3729" s="806" t="s">
        <v>6287</v>
      </c>
      <c r="D3729" s="815" t="s">
        <v>6733</v>
      </c>
      <c r="E3729" s="819">
        <v>160</v>
      </c>
      <c r="F3729" s="839">
        <v>132.82608695652175</v>
      </c>
      <c r="G3729" s="202" t="str">
        <f t="shared" si="57"/>
        <v/>
      </c>
    </row>
    <row r="3730" spans="1:7" s="172" customFormat="1" ht="15" customHeight="1" x14ac:dyDescent="0.25">
      <c r="A3730" s="810" t="s">
        <v>6734</v>
      </c>
      <c r="B3730" s="806" t="s">
        <v>6287</v>
      </c>
      <c r="C3730" s="806" t="s">
        <v>6287</v>
      </c>
      <c r="D3730" s="815" t="s">
        <v>6735</v>
      </c>
      <c r="E3730" s="819">
        <v>160</v>
      </c>
      <c r="F3730" s="840">
        <v>107.82608695652175</v>
      </c>
      <c r="G3730" s="202" t="str">
        <f t="shared" si="57"/>
        <v/>
      </c>
    </row>
    <row r="3731" spans="1:7" s="172" customFormat="1" ht="15" customHeight="1" x14ac:dyDescent="0.25">
      <c r="A3731" s="810" t="s">
        <v>6578</v>
      </c>
      <c r="B3731" s="806" t="s">
        <v>6287</v>
      </c>
      <c r="C3731" s="806" t="s">
        <v>6287</v>
      </c>
      <c r="D3731" s="815" t="s">
        <v>6736</v>
      </c>
      <c r="E3731" s="819">
        <v>60</v>
      </c>
      <c r="F3731" s="839">
        <v>49.130434782608695</v>
      </c>
      <c r="G3731" s="202" t="str">
        <f t="shared" si="57"/>
        <v/>
      </c>
    </row>
    <row r="3732" spans="1:7" s="172" customFormat="1" ht="15" customHeight="1" x14ac:dyDescent="0.25">
      <c r="A3732" s="810" t="s">
        <v>6595</v>
      </c>
      <c r="B3732" s="806" t="s">
        <v>6287</v>
      </c>
      <c r="C3732" s="806" t="s">
        <v>6287</v>
      </c>
      <c r="D3732" s="815" t="s">
        <v>6737</v>
      </c>
      <c r="E3732" s="819">
        <v>250</v>
      </c>
      <c r="F3732" s="839">
        <v>86.956521739130437</v>
      </c>
      <c r="G3732" s="202" t="str">
        <f t="shared" si="57"/>
        <v/>
      </c>
    </row>
    <row r="3733" spans="1:7" s="172" customFormat="1" ht="15" customHeight="1" x14ac:dyDescent="0.25">
      <c r="A3733" s="810" t="s">
        <v>6738</v>
      </c>
      <c r="B3733" s="806" t="s">
        <v>6287</v>
      </c>
      <c r="C3733" s="806" t="s">
        <v>6287</v>
      </c>
      <c r="D3733" s="815" t="s">
        <v>6739</v>
      </c>
      <c r="E3733" s="819">
        <v>160</v>
      </c>
      <c r="F3733" s="840">
        <v>85</v>
      </c>
      <c r="G3733" s="202" t="str">
        <f t="shared" si="57"/>
        <v/>
      </c>
    </row>
    <row r="3734" spans="1:7" s="172" customFormat="1" ht="15" customHeight="1" x14ac:dyDescent="0.25">
      <c r="A3734" s="810" t="s">
        <v>6690</v>
      </c>
      <c r="B3734" s="806" t="s">
        <v>6287</v>
      </c>
      <c r="C3734" s="806" t="s">
        <v>6287</v>
      </c>
      <c r="D3734" s="815" t="s">
        <v>6740</v>
      </c>
      <c r="E3734" s="819">
        <v>250</v>
      </c>
      <c r="F3734" s="840">
        <v>141.30434782608697</v>
      </c>
      <c r="G3734" s="202" t="str">
        <f t="shared" si="57"/>
        <v/>
      </c>
    </row>
    <row r="3735" spans="1:7" s="172" customFormat="1" ht="15" customHeight="1" x14ac:dyDescent="0.25">
      <c r="A3735" s="810" t="s">
        <v>6156</v>
      </c>
      <c r="B3735" s="806" t="s">
        <v>6287</v>
      </c>
      <c r="C3735" s="806" t="s">
        <v>6287</v>
      </c>
      <c r="D3735" s="815" t="s">
        <v>6741</v>
      </c>
      <c r="E3735" s="819">
        <v>250</v>
      </c>
      <c r="F3735" s="840">
        <v>217.39130434782609</v>
      </c>
      <c r="G3735" s="202" t="str">
        <f t="shared" si="57"/>
        <v/>
      </c>
    </row>
    <row r="3736" spans="1:7" s="172" customFormat="1" ht="15" customHeight="1" x14ac:dyDescent="0.25">
      <c r="A3736" s="810" t="s">
        <v>6742</v>
      </c>
      <c r="B3736" s="806" t="s">
        <v>6287</v>
      </c>
      <c r="C3736" s="806" t="s">
        <v>6287</v>
      </c>
      <c r="D3736" s="815" t="s">
        <v>6743</v>
      </c>
      <c r="E3736" s="819">
        <v>20</v>
      </c>
      <c r="F3736" s="840">
        <v>16.739130434782609</v>
      </c>
      <c r="G3736" s="202" t="str">
        <f t="shared" si="57"/>
        <v/>
      </c>
    </row>
    <row r="3737" spans="1:7" s="172" customFormat="1" ht="15" customHeight="1" x14ac:dyDescent="0.25">
      <c r="A3737" s="810" t="s">
        <v>6744</v>
      </c>
      <c r="B3737" s="806" t="s">
        <v>6287</v>
      </c>
      <c r="C3737" s="806" t="s">
        <v>6287</v>
      </c>
      <c r="D3737" s="815" t="s">
        <v>6745</v>
      </c>
      <c r="E3737" s="819">
        <v>100</v>
      </c>
      <c r="F3737" s="839">
        <v>69.913043478260875</v>
      </c>
      <c r="G3737" s="202" t="str">
        <f t="shared" ref="G3737:G3800" si="58">IF(E3737=F3737,"не загружен","")</f>
        <v/>
      </c>
    </row>
    <row r="3738" spans="1:7" s="172" customFormat="1" ht="15" customHeight="1" x14ac:dyDescent="0.25">
      <c r="A3738" s="810" t="s">
        <v>6369</v>
      </c>
      <c r="B3738" s="806" t="s">
        <v>6287</v>
      </c>
      <c r="C3738" s="806" t="s">
        <v>6287</v>
      </c>
      <c r="D3738" s="815" t="s">
        <v>6746</v>
      </c>
      <c r="E3738" s="819">
        <v>250</v>
      </c>
      <c r="F3738" s="840">
        <v>212.39130434782609</v>
      </c>
      <c r="G3738" s="202" t="str">
        <f t="shared" si="58"/>
        <v/>
      </c>
    </row>
    <row r="3739" spans="1:7" s="172" customFormat="1" ht="15" customHeight="1" x14ac:dyDescent="0.25">
      <c r="A3739" s="810" t="s">
        <v>6369</v>
      </c>
      <c r="B3739" s="806" t="s">
        <v>6287</v>
      </c>
      <c r="C3739" s="806" t="s">
        <v>6287</v>
      </c>
      <c r="D3739" s="815" t="s">
        <v>6747</v>
      </c>
      <c r="E3739" s="819">
        <v>160</v>
      </c>
      <c r="F3739" s="840">
        <v>47.173913043478265</v>
      </c>
      <c r="G3739" s="202" t="str">
        <f t="shared" si="58"/>
        <v/>
      </c>
    </row>
    <row r="3740" spans="1:7" s="172" customFormat="1" ht="15" customHeight="1" x14ac:dyDescent="0.25">
      <c r="A3740" s="810" t="s">
        <v>6688</v>
      </c>
      <c r="B3740" s="806" t="s">
        <v>6287</v>
      </c>
      <c r="C3740" s="806" t="s">
        <v>6287</v>
      </c>
      <c r="D3740" s="815" t="s">
        <v>6748</v>
      </c>
      <c r="E3740" s="819">
        <v>250</v>
      </c>
      <c r="F3740" s="840">
        <v>220.65217391304347</v>
      </c>
      <c r="G3740" s="202" t="str">
        <f t="shared" si="58"/>
        <v/>
      </c>
    </row>
    <row r="3741" spans="1:7" s="172" customFormat="1" ht="15" customHeight="1" x14ac:dyDescent="0.25">
      <c r="A3741" s="810" t="s">
        <v>6749</v>
      </c>
      <c r="B3741" s="806" t="s">
        <v>6287</v>
      </c>
      <c r="C3741" s="806" t="s">
        <v>6287</v>
      </c>
      <c r="D3741" s="815" t="s">
        <v>6750</v>
      </c>
      <c r="E3741" s="819">
        <v>400</v>
      </c>
      <c r="F3741" s="840">
        <v>329.3478260869565</v>
      </c>
      <c r="G3741" s="202" t="str">
        <f t="shared" si="58"/>
        <v/>
      </c>
    </row>
    <row r="3742" spans="1:7" s="172" customFormat="1" ht="15" customHeight="1" x14ac:dyDescent="0.25">
      <c r="A3742" s="810" t="s">
        <v>6446</v>
      </c>
      <c r="B3742" s="806" t="s">
        <v>6287</v>
      </c>
      <c r="C3742" s="806" t="s">
        <v>6287</v>
      </c>
      <c r="D3742" s="815" t="s">
        <v>6751</v>
      </c>
      <c r="E3742" s="819">
        <v>400</v>
      </c>
      <c r="F3742" s="841">
        <v>400</v>
      </c>
      <c r="G3742" s="202" t="str">
        <f t="shared" si="58"/>
        <v>не загружен</v>
      </c>
    </row>
    <row r="3743" spans="1:7" s="172" customFormat="1" ht="15" customHeight="1" x14ac:dyDescent="0.25">
      <c r="A3743" s="810" t="s">
        <v>6425</v>
      </c>
      <c r="B3743" s="806" t="s">
        <v>6287</v>
      </c>
      <c r="C3743" s="806" t="s">
        <v>6287</v>
      </c>
      <c r="D3743" s="815" t="s">
        <v>6752</v>
      </c>
      <c r="E3743" s="819">
        <v>160</v>
      </c>
      <c r="F3743" s="841">
        <v>129.56521739130434</v>
      </c>
      <c r="G3743" s="202" t="str">
        <f t="shared" si="58"/>
        <v/>
      </c>
    </row>
    <row r="3744" spans="1:7" s="172" customFormat="1" ht="15" customHeight="1" x14ac:dyDescent="0.25">
      <c r="A3744" s="810" t="s">
        <v>6538</v>
      </c>
      <c r="B3744" s="806" t="s">
        <v>6287</v>
      </c>
      <c r="C3744" s="806" t="s">
        <v>6287</v>
      </c>
      <c r="D3744" s="815" t="s">
        <v>6753</v>
      </c>
      <c r="E3744" s="819">
        <v>250</v>
      </c>
      <c r="F3744" s="839">
        <v>232.60869565217391</v>
      </c>
      <c r="G3744" s="202" t="str">
        <f t="shared" si="58"/>
        <v/>
      </c>
    </row>
    <row r="3745" spans="1:7" s="172" customFormat="1" ht="15" customHeight="1" x14ac:dyDescent="0.25">
      <c r="A3745" s="810" t="s">
        <v>6754</v>
      </c>
      <c r="B3745" s="806" t="s">
        <v>6287</v>
      </c>
      <c r="C3745" s="806" t="s">
        <v>6287</v>
      </c>
      <c r="D3745" s="815" t="s">
        <v>6755</v>
      </c>
      <c r="E3745" s="819">
        <v>40</v>
      </c>
      <c r="F3745" s="839">
        <v>24.782608695652172</v>
      </c>
      <c r="G3745" s="202" t="str">
        <f t="shared" si="58"/>
        <v/>
      </c>
    </row>
    <row r="3746" spans="1:7" s="172" customFormat="1" ht="15" customHeight="1" x14ac:dyDescent="0.25">
      <c r="A3746" s="810" t="s">
        <v>6425</v>
      </c>
      <c r="B3746" s="806" t="s">
        <v>6287</v>
      </c>
      <c r="C3746" s="806" t="s">
        <v>6287</v>
      </c>
      <c r="D3746" s="815" t="s">
        <v>6756</v>
      </c>
      <c r="E3746" s="819">
        <v>400</v>
      </c>
      <c r="F3746" s="840">
        <v>351.08695652173913</v>
      </c>
      <c r="G3746" s="202" t="str">
        <f t="shared" si="58"/>
        <v/>
      </c>
    </row>
    <row r="3747" spans="1:7" s="172" customFormat="1" ht="15" customHeight="1" x14ac:dyDescent="0.25">
      <c r="A3747" s="810" t="s">
        <v>6688</v>
      </c>
      <c r="B3747" s="806" t="s">
        <v>6287</v>
      </c>
      <c r="C3747" s="806" t="s">
        <v>6287</v>
      </c>
      <c r="D3747" s="815" t="s">
        <v>6757</v>
      </c>
      <c r="E3747" s="819">
        <v>100</v>
      </c>
      <c r="F3747" s="841">
        <v>100</v>
      </c>
      <c r="G3747" s="202" t="str">
        <f t="shared" si="58"/>
        <v>не загружен</v>
      </c>
    </row>
    <row r="3748" spans="1:7" s="172" customFormat="1" ht="15" customHeight="1" x14ac:dyDescent="0.25">
      <c r="A3748" s="810" t="s">
        <v>6504</v>
      </c>
      <c r="B3748" s="806" t="s">
        <v>6287</v>
      </c>
      <c r="C3748" s="806" t="s">
        <v>6287</v>
      </c>
      <c r="D3748" s="815" t="s">
        <v>6758</v>
      </c>
      <c r="E3748" s="819">
        <v>400</v>
      </c>
      <c r="F3748" s="839">
        <v>302.17391304347825</v>
      </c>
      <c r="G3748" s="202" t="str">
        <f t="shared" si="58"/>
        <v/>
      </c>
    </row>
    <row r="3749" spans="1:7" s="172" customFormat="1" ht="15" customHeight="1" x14ac:dyDescent="0.25">
      <c r="A3749" s="810" t="s">
        <v>6647</v>
      </c>
      <c r="B3749" s="806" t="s">
        <v>6287</v>
      </c>
      <c r="C3749" s="806" t="s">
        <v>6287</v>
      </c>
      <c r="D3749" s="815" t="s">
        <v>6759</v>
      </c>
      <c r="E3749" s="819">
        <v>160</v>
      </c>
      <c r="F3749" s="839">
        <v>111.08695652173913</v>
      </c>
      <c r="G3749" s="202" t="str">
        <f t="shared" si="58"/>
        <v/>
      </c>
    </row>
    <row r="3750" spans="1:7" s="172" customFormat="1" ht="15" customHeight="1" x14ac:dyDescent="0.25">
      <c r="A3750" s="810" t="s">
        <v>6307</v>
      </c>
      <c r="B3750" s="806" t="s">
        <v>6287</v>
      </c>
      <c r="C3750" s="806" t="s">
        <v>6287</v>
      </c>
      <c r="D3750" s="815" t="s">
        <v>6760</v>
      </c>
      <c r="E3750" s="819">
        <v>60</v>
      </c>
      <c r="F3750" s="839">
        <v>60</v>
      </c>
      <c r="G3750" s="202" t="str">
        <f t="shared" si="58"/>
        <v>не загружен</v>
      </c>
    </row>
    <row r="3751" spans="1:7" s="172" customFormat="1" ht="15" customHeight="1" x14ac:dyDescent="0.25">
      <c r="A3751" s="810" t="s">
        <v>6734</v>
      </c>
      <c r="B3751" s="806" t="s">
        <v>6287</v>
      </c>
      <c r="C3751" s="806" t="s">
        <v>6287</v>
      </c>
      <c r="D3751" s="815" t="s">
        <v>6761</v>
      </c>
      <c r="E3751" s="819">
        <v>160</v>
      </c>
      <c r="F3751" s="839">
        <v>135</v>
      </c>
      <c r="G3751" s="202" t="str">
        <f t="shared" si="58"/>
        <v/>
      </c>
    </row>
    <row r="3752" spans="1:7" s="172" customFormat="1" ht="15" customHeight="1" x14ac:dyDescent="0.25">
      <c r="A3752" s="810" t="s">
        <v>4859</v>
      </c>
      <c r="B3752" s="806" t="s">
        <v>6287</v>
      </c>
      <c r="C3752" s="806" t="s">
        <v>6287</v>
      </c>
      <c r="D3752" s="815" t="s">
        <v>6762</v>
      </c>
      <c r="E3752" s="819">
        <v>60</v>
      </c>
      <c r="F3752" s="840">
        <v>43.695652173913047</v>
      </c>
      <c r="G3752" s="202" t="str">
        <f t="shared" si="58"/>
        <v/>
      </c>
    </row>
    <row r="3753" spans="1:7" s="172" customFormat="1" ht="15" customHeight="1" x14ac:dyDescent="0.25">
      <c r="A3753" s="810"/>
      <c r="B3753" s="806" t="s">
        <v>6287</v>
      </c>
      <c r="C3753" s="806" t="s">
        <v>6287</v>
      </c>
      <c r="D3753" s="815" t="s">
        <v>6763</v>
      </c>
      <c r="E3753" s="819">
        <v>100</v>
      </c>
      <c r="F3753" s="840">
        <v>100</v>
      </c>
      <c r="G3753" s="202" t="str">
        <f t="shared" si="58"/>
        <v>не загружен</v>
      </c>
    </row>
    <row r="3754" spans="1:7" s="172" customFormat="1" ht="15" customHeight="1" x14ac:dyDescent="0.25">
      <c r="A3754" s="810" t="s">
        <v>4818</v>
      </c>
      <c r="B3754" s="806" t="s">
        <v>6287</v>
      </c>
      <c r="C3754" s="806" t="s">
        <v>6287</v>
      </c>
      <c r="D3754" s="815" t="s">
        <v>6764</v>
      </c>
      <c r="E3754" s="819">
        <v>400</v>
      </c>
      <c r="F3754" s="839">
        <v>236.95652173913044</v>
      </c>
      <c r="G3754" s="202" t="str">
        <f t="shared" si="58"/>
        <v/>
      </c>
    </row>
    <row r="3755" spans="1:7" s="172" customFormat="1" ht="15" customHeight="1" x14ac:dyDescent="0.25">
      <c r="A3755" s="810" t="s">
        <v>6630</v>
      </c>
      <c r="B3755" s="806" t="s">
        <v>6287</v>
      </c>
      <c r="C3755" s="806" t="s">
        <v>6287</v>
      </c>
      <c r="D3755" s="815" t="s">
        <v>6765</v>
      </c>
      <c r="E3755" s="819">
        <v>160</v>
      </c>
      <c r="F3755" s="841">
        <v>135</v>
      </c>
      <c r="G3755" s="202" t="str">
        <f t="shared" si="58"/>
        <v/>
      </c>
    </row>
    <row r="3756" spans="1:7" s="172" customFormat="1" ht="15" customHeight="1" x14ac:dyDescent="0.25">
      <c r="A3756" s="810" t="s">
        <v>3677</v>
      </c>
      <c r="B3756" s="806" t="s">
        <v>6287</v>
      </c>
      <c r="C3756" s="806" t="s">
        <v>6287</v>
      </c>
      <c r="D3756" s="815" t="s">
        <v>6766</v>
      </c>
      <c r="E3756" s="819">
        <v>100</v>
      </c>
      <c r="F3756" s="840">
        <v>100</v>
      </c>
      <c r="G3756" s="202" t="str">
        <f t="shared" si="58"/>
        <v>не загружен</v>
      </c>
    </row>
    <row r="3757" spans="1:7" s="172" customFormat="1" ht="15" customHeight="1" x14ac:dyDescent="0.25">
      <c r="A3757" s="810" t="s">
        <v>6645</v>
      </c>
      <c r="B3757" s="806" t="s">
        <v>6287</v>
      </c>
      <c r="C3757" s="806" t="s">
        <v>6287</v>
      </c>
      <c r="D3757" s="815" t="s">
        <v>6767</v>
      </c>
      <c r="E3757" s="819">
        <v>60</v>
      </c>
      <c r="F3757" s="840">
        <v>49.130434782608695</v>
      </c>
      <c r="G3757" s="202" t="str">
        <f t="shared" si="58"/>
        <v/>
      </c>
    </row>
    <row r="3758" spans="1:7" s="172" customFormat="1" ht="15" customHeight="1" x14ac:dyDescent="0.25">
      <c r="A3758" s="810" t="s">
        <v>6156</v>
      </c>
      <c r="B3758" s="806" t="s">
        <v>6287</v>
      </c>
      <c r="C3758" s="806" t="s">
        <v>6287</v>
      </c>
      <c r="D3758" s="815" t="s">
        <v>6768</v>
      </c>
      <c r="E3758" s="819">
        <v>100</v>
      </c>
      <c r="F3758" s="841">
        <v>56.521739130434781</v>
      </c>
      <c r="G3758" s="202" t="str">
        <f t="shared" si="58"/>
        <v/>
      </c>
    </row>
    <row r="3759" spans="1:7" s="172" customFormat="1" ht="15" customHeight="1" x14ac:dyDescent="0.25">
      <c r="A3759" s="810" t="s">
        <v>6362</v>
      </c>
      <c r="B3759" s="806" t="s">
        <v>6287</v>
      </c>
      <c r="C3759" s="806" t="s">
        <v>6287</v>
      </c>
      <c r="D3759" s="815" t="s">
        <v>6769</v>
      </c>
      <c r="E3759" s="819">
        <v>250</v>
      </c>
      <c r="F3759" s="839">
        <v>195.6521739130435</v>
      </c>
      <c r="G3759" s="202" t="str">
        <f t="shared" si="58"/>
        <v/>
      </c>
    </row>
    <row r="3760" spans="1:7" s="172" customFormat="1" ht="15" customHeight="1" x14ac:dyDescent="0.25">
      <c r="A3760" s="810" t="s">
        <v>6638</v>
      </c>
      <c r="B3760" s="806" t="s">
        <v>6287</v>
      </c>
      <c r="C3760" s="806" t="s">
        <v>6287</v>
      </c>
      <c r="D3760" s="815" t="s">
        <v>6770</v>
      </c>
      <c r="E3760" s="819">
        <v>160</v>
      </c>
      <c r="F3760" s="839">
        <v>123.04347826086956</v>
      </c>
      <c r="G3760" s="202" t="str">
        <f t="shared" si="58"/>
        <v/>
      </c>
    </row>
    <row r="3761" spans="1:7" s="172" customFormat="1" ht="15" customHeight="1" x14ac:dyDescent="0.25">
      <c r="A3761" s="810" t="s">
        <v>6606</v>
      </c>
      <c r="B3761" s="806" t="s">
        <v>6287</v>
      </c>
      <c r="C3761" s="806" t="s">
        <v>6287</v>
      </c>
      <c r="D3761" s="815" t="s">
        <v>6771</v>
      </c>
      <c r="E3761" s="819">
        <v>100</v>
      </c>
      <c r="F3761" s="839">
        <v>86.956521739130437</v>
      </c>
      <c r="G3761" s="202" t="str">
        <f t="shared" si="58"/>
        <v/>
      </c>
    </row>
    <row r="3762" spans="1:7" s="172" customFormat="1" ht="15" customHeight="1" x14ac:dyDescent="0.25">
      <c r="A3762" s="810" t="s">
        <v>6772</v>
      </c>
      <c r="B3762" s="806" t="s">
        <v>6287</v>
      </c>
      <c r="C3762" s="806" t="s">
        <v>6287</v>
      </c>
      <c r="D3762" s="815" t="s">
        <v>6773</v>
      </c>
      <c r="E3762" s="819">
        <v>100</v>
      </c>
      <c r="F3762" s="841">
        <v>63.04347826086957</v>
      </c>
      <c r="G3762" s="202" t="str">
        <f t="shared" si="58"/>
        <v/>
      </c>
    </row>
    <row r="3763" spans="1:7" s="172" customFormat="1" ht="15" customHeight="1" x14ac:dyDescent="0.25">
      <c r="A3763" s="810" t="s">
        <v>6774</v>
      </c>
      <c r="B3763" s="806" t="s">
        <v>6287</v>
      </c>
      <c r="C3763" s="806" t="s">
        <v>6287</v>
      </c>
      <c r="D3763" s="815" t="s">
        <v>6775</v>
      </c>
      <c r="E3763" s="819">
        <v>60</v>
      </c>
      <c r="F3763" s="841">
        <v>27.391304347826086</v>
      </c>
      <c r="G3763" s="202" t="str">
        <f t="shared" si="58"/>
        <v/>
      </c>
    </row>
    <row r="3764" spans="1:7" s="172" customFormat="1" ht="15" customHeight="1" x14ac:dyDescent="0.25">
      <c r="A3764" s="810" t="s">
        <v>6610</v>
      </c>
      <c r="B3764" s="806" t="s">
        <v>6287</v>
      </c>
      <c r="C3764" s="806" t="s">
        <v>6287</v>
      </c>
      <c r="D3764" s="815" t="s">
        <v>6776</v>
      </c>
      <c r="E3764" s="819">
        <v>250</v>
      </c>
      <c r="F3764" s="841">
        <v>108.69565217391306</v>
      </c>
      <c r="G3764" s="202" t="str">
        <f t="shared" si="58"/>
        <v/>
      </c>
    </row>
    <row r="3765" spans="1:7" s="172" customFormat="1" ht="15" customHeight="1" x14ac:dyDescent="0.25">
      <c r="A3765" s="810" t="s">
        <v>6777</v>
      </c>
      <c r="B3765" s="806" t="s">
        <v>6287</v>
      </c>
      <c r="C3765" s="806" t="s">
        <v>6287</v>
      </c>
      <c r="D3765" s="815" t="s">
        <v>6778</v>
      </c>
      <c r="E3765" s="819">
        <v>160</v>
      </c>
      <c r="F3765" s="841">
        <v>90.652173913043001</v>
      </c>
      <c r="G3765" s="202" t="str">
        <f t="shared" si="58"/>
        <v/>
      </c>
    </row>
    <row r="3766" spans="1:7" s="172" customFormat="1" ht="15" customHeight="1" x14ac:dyDescent="0.25">
      <c r="A3766" s="810" t="s">
        <v>6362</v>
      </c>
      <c r="B3766" s="806" t="s">
        <v>6287</v>
      </c>
      <c r="C3766" s="806" t="s">
        <v>6287</v>
      </c>
      <c r="D3766" s="815" t="s">
        <v>6779</v>
      </c>
      <c r="E3766" s="819">
        <v>250</v>
      </c>
      <c r="F3766" s="839">
        <v>250</v>
      </c>
      <c r="G3766" s="202" t="str">
        <f t="shared" si="58"/>
        <v>не загружен</v>
      </c>
    </row>
    <row r="3767" spans="1:7" s="172" customFormat="1" ht="15" customHeight="1" x14ac:dyDescent="0.25">
      <c r="A3767" s="810" t="s">
        <v>6749</v>
      </c>
      <c r="B3767" s="806" t="s">
        <v>6287</v>
      </c>
      <c r="C3767" s="806" t="s">
        <v>6287</v>
      </c>
      <c r="D3767" s="815" t="s">
        <v>6780</v>
      </c>
      <c r="E3767" s="819">
        <v>400</v>
      </c>
      <c r="F3767" s="840">
        <v>264.13043478260869</v>
      </c>
      <c r="G3767" s="202" t="str">
        <f t="shared" si="58"/>
        <v/>
      </c>
    </row>
    <row r="3768" spans="1:7" s="172" customFormat="1" ht="15" customHeight="1" x14ac:dyDescent="0.25">
      <c r="A3768" s="810" t="s">
        <v>6446</v>
      </c>
      <c r="B3768" s="806" t="s">
        <v>6287</v>
      </c>
      <c r="C3768" s="806" t="s">
        <v>6287</v>
      </c>
      <c r="D3768" s="815" t="s">
        <v>6781</v>
      </c>
      <c r="E3768" s="819">
        <v>400</v>
      </c>
      <c r="F3768" s="839">
        <v>400</v>
      </c>
      <c r="G3768" s="202" t="str">
        <f t="shared" si="58"/>
        <v>не загружен</v>
      </c>
    </row>
    <row r="3769" spans="1:7" s="172" customFormat="1" ht="15" customHeight="1" x14ac:dyDescent="0.25">
      <c r="A3769" s="810" t="s">
        <v>6610</v>
      </c>
      <c r="B3769" s="806" t="s">
        <v>6287</v>
      </c>
      <c r="C3769" s="806" t="s">
        <v>6287</v>
      </c>
      <c r="D3769" s="815" t="s">
        <v>6782</v>
      </c>
      <c r="E3769" s="819">
        <v>250</v>
      </c>
      <c r="F3769" s="841">
        <v>201.08695652173913</v>
      </c>
      <c r="G3769" s="202" t="str">
        <f t="shared" si="58"/>
        <v/>
      </c>
    </row>
    <row r="3770" spans="1:7" s="172" customFormat="1" ht="15" customHeight="1" x14ac:dyDescent="0.25">
      <c r="A3770" s="810" t="s">
        <v>3373</v>
      </c>
      <c r="B3770" s="806" t="s">
        <v>6287</v>
      </c>
      <c r="C3770" s="806" t="s">
        <v>6287</v>
      </c>
      <c r="D3770" s="815" t="s">
        <v>6783</v>
      </c>
      <c r="E3770" s="819">
        <v>250</v>
      </c>
      <c r="F3770" s="839">
        <v>119.56521739130434</v>
      </c>
      <c r="G3770" s="202" t="str">
        <f t="shared" si="58"/>
        <v/>
      </c>
    </row>
    <row r="3771" spans="1:7" s="172" customFormat="1" ht="15" customHeight="1" x14ac:dyDescent="0.25">
      <c r="A3771" s="810" t="s">
        <v>6777</v>
      </c>
      <c r="B3771" s="806" t="s">
        <v>6287</v>
      </c>
      <c r="C3771" s="806" t="s">
        <v>6287</v>
      </c>
      <c r="D3771" s="815" t="s">
        <v>6784</v>
      </c>
      <c r="E3771" s="819">
        <v>160</v>
      </c>
      <c r="F3771" s="840">
        <v>88.260869565217391</v>
      </c>
      <c r="G3771" s="202" t="str">
        <f t="shared" si="58"/>
        <v/>
      </c>
    </row>
    <row r="3772" spans="1:7" s="172" customFormat="1" ht="15" customHeight="1" x14ac:dyDescent="0.25">
      <c r="A3772" s="810" t="s">
        <v>6567</v>
      </c>
      <c r="B3772" s="806" t="s">
        <v>6287</v>
      </c>
      <c r="C3772" s="806" t="s">
        <v>6287</v>
      </c>
      <c r="D3772" s="815" t="s">
        <v>6785</v>
      </c>
      <c r="E3772" s="819">
        <v>100</v>
      </c>
      <c r="F3772" s="840">
        <v>63.04347826086957</v>
      </c>
      <c r="G3772" s="202" t="str">
        <f t="shared" si="58"/>
        <v/>
      </c>
    </row>
    <row r="3773" spans="1:7" s="172" customFormat="1" ht="15" customHeight="1" x14ac:dyDescent="0.25">
      <c r="A3773" s="810" t="s">
        <v>6356</v>
      </c>
      <c r="B3773" s="806" t="s">
        <v>6287</v>
      </c>
      <c r="C3773" s="806" t="s">
        <v>6287</v>
      </c>
      <c r="D3773" s="815" t="s">
        <v>6786</v>
      </c>
      <c r="E3773" s="819">
        <v>160</v>
      </c>
      <c r="F3773" s="839">
        <v>117.60869565217391</v>
      </c>
      <c r="G3773" s="202" t="str">
        <f t="shared" si="58"/>
        <v/>
      </c>
    </row>
    <row r="3774" spans="1:7" s="172" customFormat="1" ht="15" customHeight="1" x14ac:dyDescent="0.25">
      <c r="A3774" s="810" t="s">
        <v>6787</v>
      </c>
      <c r="B3774" s="806" t="s">
        <v>6287</v>
      </c>
      <c r="C3774" s="806" t="s">
        <v>6287</v>
      </c>
      <c r="D3774" s="815" t="s">
        <v>6788</v>
      </c>
      <c r="E3774" s="819">
        <v>100</v>
      </c>
      <c r="F3774" s="840">
        <v>21.739130434782609</v>
      </c>
      <c r="G3774" s="202" t="str">
        <f t="shared" si="58"/>
        <v/>
      </c>
    </row>
    <row r="3775" spans="1:7" s="172" customFormat="1" ht="15" customHeight="1" x14ac:dyDescent="0.25">
      <c r="A3775" s="810" t="s">
        <v>6789</v>
      </c>
      <c r="B3775" s="806" t="s">
        <v>6287</v>
      </c>
      <c r="C3775" s="806" t="s">
        <v>6287</v>
      </c>
      <c r="D3775" s="815" t="s">
        <v>6790</v>
      </c>
      <c r="E3775" s="819">
        <v>250</v>
      </c>
      <c r="F3775" s="839">
        <v>211.95652173913044</v>
      </c>
      <c r="G3775" s="202" t="str">
        <f t="shared" si="58"/>
        <v/>
      </c>
    </row>
    <row r="3776" spans="1:7" s="172" customFormat="1" ht="15" customHeight="1" x14ac:dyDescent="0.25">
      <c r="A3776" s="810" t="s">
        <v>15027</v>
      </c>
      <c r="B3776" s="806" t="s">
        <v>6287</v>
      </c>
      <c r="C3776" s="806" t="s">
        <v>6287</v>
      </c>
      <c r="D3776" s="815" t="s">
        <v>6791</v>
      </c>
      <c r="E3776" s="819">
        <v>160</v>
      </c>
      <c r="F3776" s="839">
        <v>116.52173913043478</v>
      </c>
      <c r="G3776" s="202" t="str">
        <f t="shared" si="58"/>
        <v/>
      </c>
    </row>
    <row r="3777" spans="1:7" s="172" customFormat="1" ht="15" customHeight="1" x14ac:dyDescent="0.25">
      <c r="A3777" s="810" t="s">
        <v>4818</v>
      </c>
      <c r="B3777" s="806" t="s">
        <v>6287</v>
      </c>
      <c r="C3777" s="806" t="s">
        <v>6287</v>
      </c>
      <c r="D3777" s="815" t="s">
        <v>6792</v>
      </c>
      <c r="E3777" s="819">
        <v>250</v>
      </c>
      <c r="F3777" s="840">
        <v>112</v>
      </c>
      <c r="G3777" s="202" t="str">
        <f t="shared" si="58"/>
        <v/>
      </c>
    </row>
    <row r="3778" spans="1:7" s="172" customFormat="1" ht="15" customHeight="1" x14ac:dyDescent="0.25">
      <c r="A3778" s="810" t="s">
        <v>6343</v>
      </c>
      <c r="B3778" s="806" t="s">
        <v>6287</v>
      </c>
      <c r="C3778" s="806" t="s">
        <v>6287</v>
      </c>
      <c r="D3778" s="815" t="s">
        <v>6793</v>
      </c>
      <c r="E3778" s="819">
        <v>30</v>
      </c>
      <c r="F3778" s="839">
        <v>30</v>
      </c>
      <c r="G3778" s="202" t="str">
        <f t="shared" si="58"/>
        <v>не загружен</v>
      </c>
    </row>
    <row r="3779" spans="1:7" s="172" customFormat="1" ht="15" customHeight="1" x14ac:dyDescent="0.25">
      <c r="A3779" s="810" t="s">
        <v>6794</v>
      </c>
      <c r="B3779" s="806" t="s">
        <v>6287</v>
      </c>
      <c r="C3779" s="806" t="s">
        <v>6287</v>
      </c>
      <c r="D3779" s="815" t="s">
        <v>6795</v>
      </c>
      <c r="E3779" s="819">
        <v>100</v>
      </c>
      <c r="F3779" s="840">
        <v>67.391304347826093</v>
      </c>
      <c r="G3779" s="202" t="str">
        <f t="shared" si="58"/>
        <v/>
      </c>
    </row>
    <row r="3780" spans="1:7" s="172" customFormat="1" ht="15" customHeight="1" x14ac:dyDescent="0.25">
      <c r="A3780" s="810" t="s">
        <v>6796</v>
      </c>
      <c r="B3780" s="806" t="s">
        <v>6287</v>
      </c>
      <c r="C3780" s="806" t="s">
        <v>6287</v>
      </c>
      <c r="D3780" s="815" t="s">
        <v>6797</v>
      </c>
      <c r="E3780" s="819">
        <v>60</v>
      </c>
      <c r="F3780" s="839">
        <v>5.6521739130434838</v>
      </c>
      <c r="G3780" s="202" t="str">
        <f t="shared" si="58"/>
        <v/>
      </c>
    </row>
    <row r="3781" spans="1:7" s="172" customFormat="1" ht="15" customHeight="1" x14ac:dyDescent="0.25">
      <c r="A3781" s="810" t="s">
        <v>6798</v>
      </c>
      <c r="B3781" s="806" t="s">
        <v>6287</v>
      </c>
      <c r="C3781" s="806" t="s">
        <v>6287</v>
      </c>
      <c r="D3781" s="815" t="s">
        <v>6799</v>
      </c>
      <c r="E3781" s="819">
        <v>20</v>
      </c>
      <c r="F3781" s="839">
        <v>4.7826086956521738</v>
      </c>
      <c r="G3781" s="202" t="str">
        <f t="shared" si="58"/>
        <v/>
      </c>
    </row>
    <row r="3782" spans="1:7" s="172" customFormat="1" ht="15" customHeight="1" x14ac:dyDescent="0.25">
      <c r="A3782" s="810" t="s">
        <v>6800</v>
      </c>
      <c r="B3782" s="806" t="s">
        <v>6287</v>
      </c>
      <c r="C3782" s="806" t="s">
        <v>6287</v>
      </c>
      <c r="D3782" s="815" t="s">
        <v>6801</v>
      </c>
      <c r="E3782" s="819">
        <v>250</v>
      </c>
      <c r="F3782" s="839">
        <v>222.82608695652175</v>
      </c>
      <c r="G3782" s="202" t="str">
        <f t="shared" si="58"/>
        <v/>
      </c>
    </row>
    <row r="3783" spans="1:7" s="172" customFormat="1" ht="15" customHeight="1" x14ac:dyDescent="0.25">
      <c r="A3783" s="810" t="s">
        <v>6802</v>
      </c>
      <c r="B3783" s="806" t="s">
        <v>6287</v>
      </c>
      <c r="C3783" s="806" t="s">
        <v>6287</v>
      </c>
      <c r="D3783" s="815" t="s">
        <v>6803</v>
      </c>
      <c r="E3783" s="819">
        <v>25</v>
      </c>
      <c r="F3783" s="839">
        <v>8.695652173913043</v>
      </c>
      <c r="G3783" s="202" t="str">
        <f t="shared" si="58"/>
        <v/>
      </c>
    </row>
    <row r="3784" spans="1:7" s="172" customFormat="1" ht="15" customHeight="1" x14ac:dyDescent="0.25">
      <c r="A3784" s="810" t="s">
        <v>2897</v>
      </c>
      <c r="B3784" s="806" t="s">
        <v>6287</v>
      </c>
      <c r="C3784" s="806" t="s">
        <v>6287</v>
      </c>
      <c r="D3784" s="815" t="s">
        <v>6804</v>
      </c>
      <c r="E3784" s="819">
        <v>30</v>
      </c>
      <c r="F3784" s="840">
        <v>7.1739130434782616</v>
      </c>
      <c r="G3784" s="202" t="str">
        <f t="shared" si="58"/>
        <v/>
      </c>
    </row>
    <row r="3785" spans="1:7" s="172" customFormat="1" ht="15" customHeight="1" x14ac:dyDescent="0.25">
      <c r="A3785" s="810" t="s">
        <v>6805</v>
      </c>
      <c r="B3785" s="806" t="s">
        <v>6287</v>
      </c>
      <c r="C3785" s="806" t="s">
        <v>6287</v>
      </c>
      <c r="D3785" s="815" t="s">
        <v>6806</v>
      </c>
      <c r="E3785" s="819">
        <v>60</v>
      </c>
      <c r="F3785" s="839">
        <v>43.695652173913047</v>
      </c>
      <c r="G3785" s="202" t="str">
        <f t="shared" si="58"/>
        <v/>
      </c>
    </row>
    <row r="3786" spans="1:7" s="172" customFormat="1" ht="15" customHeight="1" x14ac:dyDescent="0.25">
      <c r="A3786" s="810" t="s">
        <v>6807</v>
      </c>
      <c r="B3786" s="806" t="s">
        <v>6287</v>
      </c>
      <c r="C3786" s="806" t="s">
        <v>6287</v>
      </c>
      <c r="D3786" s="815" t="s">
        <v>6808</v>
      </c>
      <c r="E3786" s="819">
        <v>40</v>
      </c>
      <c r="F3786" s="840">
        <v>7.391304347826086</v>
      </c>
      <c r="G3786" s="202" t="str">
        <f t="shared" si="58"/>
        <v/>
      </c>
    </row>
    <row r="3787" spans="1:7" s="172" customFormat="1" ht="15" customHeight="1" x14ac:dyDescent="0.25">
      <c r="A3787" s="810" t="s">
        <v>6330</v>
      </c>
      <c r="B3787" s="806" t="s">
        <v>6287</v>
      </c>
      <c r="C3787" s="806" t="s">
        <v>6287</v>
      </c>
      <c r="D3787" s="815" t="s">
        <v>6809</v>
      </c>
      <c r="E3787" s="819">
        <v>160</v>
      </c>
      <c r="F3787" s="839">
        <v>99.826086956521749</v>
      </c>
      <c r="G3787" s="202" t="str">
        <f t="shared" si="58"/>
        <v/>
      </c>
    </row>
    <row r="3788" spans="1:7" s="172" customFormat="1" ht="15" customHeight="1" x14ac:dyDescent="0.25">
      <c r="A3788" s="810" t="s">
        <v>6446</v>
      </c>
      <c r="B3788" s="806" t="s">
        <v>6287</v>
      </c>
      <c r="C3788" s="806" t="s">
        <v>6287</v>
      </c>
      <c r="D3788" s="815" t="s">
        <v>6810</v>
      </c>
      <c r="E3788" s="819">
        <v>400</v>
      </c>
      <c r="F3788" s="840">
        <v>400</v>
      </c>
      <c r="G3788" s="202" t="str">
        <f t="shared" si="58"/>
        <v>не загружен</v>
      </c>
    </row>
    <row r="3789" spans="1:7" s="172" customFormat="1" ht="15" customHeight="1" x14ac:dyDescent="0.25">
      <c r="A3789" s="810" t="s">
        <v>6690</v>
      </c>
      <c r="B3789" s="806" t="s">
        <v>6287</v>
      </c>
      <c r="C3789" s="806" t="s">
        <v>6287</v>
      </c>
      <c r="D3789" s="815" t="s">
        <v>6811</v>
      </c>
      <c r="E3789" s="819">
        <v>250</v>
      </c>
      <c r="F3789" s="840">
        <v>228.26086956521738</v>
      </c>
      <c r="G3789" s="202" t="str">
        <f t="shared" si="58"/>
        <v/>
      </c>
    </row>
    <row r="3790" spans="1:7" s="172" customFormat="1" ht="15" customHeight="1" x14ac:dyDescent="0.25">
      <c r="A3790" s="810" t="s">
        <v>4846</v>
      </c>
      <c r="B3790" s="806" t="s">
        <v>6287</v>
      </c>
      <c r="C3790" s="806" t="s">
        <v>6287</v>
      </c>
      <c r="D3790" s="815" t="s">
        <v>6812</v>
      </c>
      <c r="E3790" s="819" t="s">
        <v>18196</v>
      </c>
      <c r="F3790" s="839">
        <v>571.73913043478262</v>
      </c>
      <c r="G3790" s="202" t="str">
        <f t="shared" si="58"/>
        <v/>
      </c>
    </row>
    <row r="3791" spans="1:7" s="172" customFormat="1" ht="15" customHeight="1" x14ac:dyDescent="0.25">
      <c r="A3791" s="810" t="s">
        <v>6813</v>
      </c>
      <c r="B3791" s="806" t="s">
        <v>6287</v>
      </c>
      <c r="C3791" s="806" t="s">
        <v>6287</v>
      </c>
      <c r="D3791" s="815" t="s">
        <v>6814</v>
      </c>
      <c r="E3791" s="819">
        <v>60</v>
      </c>
      <c r="F3791" s="839">
        <v>22.391304347826086</v>
      </c>
      <c r="G3791" s="202" t="str">
        <f t="shared" si="58"/>
        <v/>
      </c>
    </row>
    <row r="3792" spans="1:7" s="172" customFormat="1" ht="15" customHeight="1" x14ac:dyDescent="0.25">
      <c r="A3792" s="810" t="s">
        <v>3006</v>
      </c>
      <c r="B3792" s="806" t="s">
        <v>6287</v>
      </c>
      <c r="C3792" s="806" t="s">
        <v>6287</v>
      </c>
      <c r="D3792" s="815" t="s">
        <v>6815</v>
      </c>
      <c r="E3792" s="819">
        <v>400</v>
      </c>
      <c r="F3792" s="840">
        <v>356.52173913043475</v>
      </c>
      <c r="G3792" s="202" t="str">
        <f t="shared" si="58"/>
        <v/>
      </c>
    </row>
    <row r="3793" spans="1:7" s="172" customFormat="1" ht="15" customHeight="1" x14ac:dyDescent="0.25">
      <c r="A3793" s="810" t="s">
        <v>6816</v>
      </c>
      <c r="B3793" s="806" t="s">
        <v>6287</v>
      </c>
      <c r="C3793" s="806" t="s">
        <v>6287</v>
      </c>
      <c r="D3793" s="815" t="s">
        <v>6817</v>
      </c>
      <c r="E3793" s="819">
        <v>100</v>
      </c>
      <c r="F3793" s="839">
        <v>86.956521739130437</v>
      </c>
      <c r="G3793" s="202" t="str">
        <f t="shared" si="58"/>
        <v/>
      </c>
    </row>
    <row r="3794" spans="1:7" s="172" customFormat="1" ht="15" customHeight="1" x14ac:dyDescent="0.25">
      <c r="A3794" s="810" t="s">
        <v>6638</v>
      </c>
      <c r="B3794" s="806" t="s">
        <v>6287</v>
      </c>
      <c r="C3794" s="806" t="s">
        <v>6287</v>
      </c>
      <c r="D3794" s="815" t="s">
        <v>6818</v>
      </c>
      <c r="E3794" s="819">
        <v>160</v>
      </c>
      <c r="F3794" s="839">
        <v>151.30434782608697</v>
      </c>
      <c r="G3794" s="202" t="str">
        <f t="shared" si="58"/>
        <v/>
      </c>
    </row>
    <row r="3795" spans="1:7" s="172" customFormat="1" ht="15" customHeight="1" x14ac:dyDescent="0.25">
      <c r="A3795" s="810" t="s">
        <v>6734</v>
      </c>
      <c r="B3795" s="806" t="s">
        <v>6287</v>
      </c>
      <c r="C3795" s="806" t="s">
        <v>6287</v>
      </c>
      <c r="D3795" s="815" t="s">
        <v>6819</v>
      </c>
      <c r="E3795" s="819">
        <v>160</v>
      </c>
      <c r="F3795" s="841">
        <v>124.13043478260869</v>
      </c>
      <c r="G3795" s="202" t="str">
        <f t="shared" si="58"/>
        <v/>
      </c>
    </row>
    <row r="3796" spans="1:7" s="172" customFormat="1" ht="15" customHeight="1" x14ac:dyDescent="0.25">
      <c r="A3796" s="810" t="s">
        <v>6820</v>
      </c>
      <c r="B3796" s="806" t="s">
        <v>6287</v>
      </c>
      <c r="C3796" s="806" t="s">
        <v>6287</v>
      </c>
      <c r="D3796" s="815" t="s">
        <v>6821</v>
      </c>
      <c r="E3796" s="819">
        <v>160</v>
      </c>
      <c r="F3796" s="839">
        <v>50</v>
      </c>
      <c r="G3796" s="202" t="str">
        <f t="shared" si="58"/>
        <v/>
      </c>
    </row>
    <row r="3797" spans="1:7" s="172" customFormat="1" ht="15" customHeight="1" x14ac:dyDescent="0.25">
      <c r="A3797" s="810" t="s">
        <v>6362</v>
      </c>
      <c r="B3797" s="806" t="s">
        <v>6287</v>
      </c>
      <c r="C3797" s="806" t="s">
        <v>6287</v>
      </c>
      <c r="D3797" s="815" t="s">
        <v>6822</v>
      </c>
      <c r="E3797" s="819">
        <v>30</v>
      </c>
      <c r="F3797" s="839">
        <v>16.956521739130437</v>
      </c>
      <c r="G3797" s="202" t="str">
        <f t="shared" si="58"/>
        <v/>
      </c>
    </row>
    <row r="3798" spans="1:7" s="172" customFormat="1" ht="15" customHeight="1" x14ac:dyDescent="0.25">
      <c r="A3798" s="810" t="s">
        <v>6823</v>
      </c>
      <c r="B3798" s="806" t="s">
        <v>6287</v>
      </c>
      <c r="C3798" s="806" t="s">
        <v>6287</v>
      </c>
      <c r="D3798" s="815" t="s">
        <v>6824</v>
      </c>
      <c r="E3798" s="819">
        <v>160</v>
      </c>
      <c r="F3798" s="839">
        <v>140.43478260869566</v>
      </c>
      <c r="G3798" s="202" t="str">
        <f t="shared" si="58"/>
        <v/>
      </c>
    </row>
    <row r="3799" spans="1:7" s="172" customFormat="1" ht="15" customHeight="1" x14ac:dyDescent="0.25">
      <c r="A3799" s="810" t="s">
        <v>6369</v>
      </c>
      <c r="B3799" s="806" t="s">
        <v>6287</v>
      </c>
      <c r="C3799" s="806" t="s">
        <v>6287</v>
      </c>
      <c r="D3799" s="815" t="s">
        <v>6825</v>
      </c>
      <c r="E3799" s="819">
        <v>400</v>
      </c>
      <c r="F3799" s="839">
        <v>396.23913043478262</v>
      </c>
      <c r="G3799" s="202" t="str">
        <f t="shared" si="58"/>
        <v/>
      </c>
    </row>
    <row r="3800" spans="1:7" s="172" customFormat="1" ht="15" customHeight="1" x14ac:dyDescent="0.25">
      <c r="A3800" s="810" t="s">
        <v>6826</v>
      </c>
      <c r="B3800" s="806" t="s">
        <v>6287</v>
      </c>
      <c r="C3800" s="806" t="s">
        <v>6287</v>
      </c>
      <c r="D3800" s="815" t="s">
        <v>6827</v>
      </c>
      <c r="E3800" s="819">
        <v>30</v>
      </c>
      <c r="F3800" s="839">
        <v>20.217391304347828</v>
      </c>
      <c r="G3800" s="202" t="str">
        <f t="shared" si="58"/>
        <v/>
      </c>
    </row>
    <row r="3801" spans="1:7" s="172" customFormat="1" ht="15" customHeight="1" x14ac:dyDescent="0.25">
      <c r="A3801" s="810" t="s">
        <v>6828</v>
      </c>
      <c r="B3801" s="806" t="s">
        <v>6287</v>
      </c>
      <c r="C3801" s="806" t="s">
        <v>6287</v>
      </c>
      <c r="D3801" s="815" t="s">
        <v>6829</v>
      </c>
      <c r="E3801" s="819">
        <v>100</v>
      </c>
      <c r="F3801" s="839">
        <v>89.130434782608688</v>
      </c>
      <c r="G3801" s="202" t="str">
        <f t="shared" ref="G3801:G3864" si="59">IF(E3801=F3801,"не загружен","")</f>
        <v/>
      </c>
    </row>
    <row r="3802" spans="1:7" s="172" customFormat="1" ht="15" customHeight="1" x14ac:dyDescent="0.25">
      <c r="A3802" s="810" t="s">
        <v>4846</v>
      </c>
      <c r="B3802" s="806" t="s">
        <v>6287</v>
      </c>
      <c r="C3802" s="806" t="s">
        <v>6287</v>
      </c>
      <c r="D3802" s="815" t="s">
        <v>6830</v>
      </c>
      <c r="E3802" s="819" t="s">
        <v>18560</v>
      </c>
      <c r="F3802" s="840">
        <v>558.47826086956525</v>
      </c>
      <c r="G3802" s="202" t="str">
        <f t="shared" si="59"/>
        <v/>
      </c>
    </row>
    <row r="3803" spans="1:7" s="172" customFormat="1" ht="15" customHeight="1" x14ac:dyDescent="0.25">
      <c r="A3803" s="810" t="s">
        <v>6823</v>
      </c>
      <c r="B3803" s="806" t="s">
        <v>6287</v>
      </c>
      <c r="C3803" s="806" t="s">
        <v>6287</v>
      </c>
      <c r="D3803" s="815" t="s">
        <v>6831</v>
      </c>
      <c r="E3803" s="819">
        <v>250</v>
      </c>
      <c r="F3803" s="841">
        <v>86</v>
      </c>
      <c r="G3803" s="202" t="str">
        <f t="shared" si="59"/>
        <v/>
      </c>
    </row>
    <row r="3804" spans="1:7" s="172" customFormat="1" ht="15" customHeight="1" x14ac:dyDescent="0.25">
      <c r="A3804" s="810" t="s">
        <v>6832</v>
      </c>
      <c r="B3804" s="806" t="s">
        <v>6287</v>
      </c>
      <c r="C3804" s="806" t="s">
        <v>6287</v>
      </c>
      <c r="D3804" s="815" t="s">
        <v>6833</v>
      </c>
      <c r="E3804" s="819" t="s">
        <v>18558</v>
      </c>
      <c r="F3804" s="840">
        <v>673.91304347826087</v>
      </c>
      <c r="G3804" s="202" t="str">
        <f t="shared" si="59"/>
        <v/>
      </c>
    </row>
    <row r="3805" spans="1:7" s="172" customFormat="1" ht="15" customHeight="1" x14ac:dyDescent="0.25">
      <c r="A3805" s="810" t="s">
        <v>6482</v>
      </c>
      <c r="B3805" s="806" t="s">
        <v>6287</v>
      </c>
      <c r="C3805" s="806" t="s">
        <v>6287</v>
      </c>
      <c r="D3805" s="815" t="s">
        <v>6834</v>
      </c>
      <c r="E3805" s="819" t="s">
        <v>18561</v>
      </c>
      <c r="F3805" s="840">
        <v>1234.7826086956522</v>
      </c>
      <c r="G3805" s="202" t="str">
        <f t="shared" si="59"/>
        <v/>
      </c>
    </row>
    <row r="3806" spans="1:7" s="172" customFormat="1" ht="15" customHeight="1" x14ac:dyDescent="0.25">
      <c r="A3806" s="810" t="s">
        <v>4818</v>
      </c>
      <c r="B3806" s="806" t="s">
        <v>6287</v>
      </c>
      <c r="C3806" s="806" t="s">
        <v>6287</v>
      </c>
      <c r="D3806" s="815" t="s">
        <v>6835</v>
      </c>
      <c r="E3806" s="819">
        <v>250</v>
      </c>
      <c r="F3806" s="840">
        <v>222.82608695652175</v>
      </c>
      <c r="G3806" s="202" t="str">
        <f t="shared" si="59"/>
        <v/>
      </c>
    </row>
    <row r="3807" spans="1:7" s="172" customFormat="1" ht="15" customHeight="1" x14ac:dyDescent="0.25">
      <c r="A3807" s="810" t="s">
        <v>6836</v>
      </c>
      <c r="B3807" s="806" t="s">
        <v>6287</v>
      </c>
      <c r="C3807" s="806" t="s">
        <v>6287</v>
      </c>
      <c r="D3807" s="815" t="s">
        <v>6837</v>
      </c>
      <c r="E3807" s="819">
        <v>20</v>
      </c>
      <c r="F3807" s="839">
        <v>3.695652173913043</v>
      </c>
      <c r="G3807" s="202" t="str">
        <f t="shared" si="59"/>
        <v/>
      </c>
    </row>
    <row r="3808" spans="1:7" s="172" customFormat="1" ht="15" customHeight="1" x14ac:dyDescent="0.25">
      <c r="A3808" s="810" t="s">
        <v>6362</v>
      </c>
      <c r="B3808" s="806" t="s">
        <v>6287</v>
      </c>
      <c r="C3808" s="806" t="s">
        <v>6287</v>
      </c>
      <c r="D3808" s="815" t="s">
        <v>6838</v>
      </c>
      <c r="E3808" s="819">
        <v>60</v>
      </c>
      <c r="F3808" s="840">
        <v>54.565217391304344</v>
      </c>
      <c r="G3808" s="202" t="str">
        <f t="shared" si="59"/>
        <v/>
      </c>
    </row>
    <row r="3809" spans="1:7" s="172" customFormat="1" ht="15" customHeight="1" x14ac:dyDescent="0.25">
      <c r="A3809" s="810" t="s">
        <v>6369</v>
      </c>
      <c r="B3809" s="806" t="s">
        <v>6287</v>
      </c>
      <c r="C3809" s="806" t="s">
        <v>6287</v>
      </c>
      <c r="D3809" s="815" t="s">
        <v>6839</v>
      </c>
      <c r="E3809" s="819">
        <v>100</v>
      </c>
      <c r="F3809" s="840">
        <v>9.7391304347826235</v>
      </c>
      <c r="G3809" s="202" t="str">
        <f t="shared" si="59"/>
        <v/>
      </c>
    </row>
    <row r="3810" spans="1:7" s="172" customFormat="1" ht="15" customHeight="1" x14ac:dyDescent="0.25">
      <c r="A3810" s="810" t="s">
        <v>6840</v>
      </c>
      <c r="B3810" s="806" t="s">
        <v>6287</v>
      </c>
      <c r="C3810" s="806" t="s">
        <v>6287</v>
      </c>
      <c r="D3810" s="815" t="s">
        <v>6841</v>
      </c>
      <c r="E3810" s="819">
        <v>100</v>
      </c>
      <c r="F3810" s="839">
        <v>79.34782608695653</v>
      </c>
      <c r="G3810" s="202" t="str">
        <f t="shared" si="59"/>
        <v/>
      </c>
    </row>
    <row r="3811" spans="1:7" s="172" customFormat="1" ht="15" customHeight="1" x14ac:dyDescent="0.25">
      <c r="A3811" s="810" t="s">
        <v>6645</v>
      </c>
      <c r="B3811" s="806" t="s">
        <v>6287</v>
      </c>
      <c r="C3811" s="806" t="s">
        <v>6287</v>
      </c>
      <c r="D3811" s="815" t="s">
        <v>6842</v>
      </c>
      <c r="E3811" s="819">
        <v>160</v>
      </c>
      <c r="F3811" s="839">
        <v>68.695652173913047</v>
      </c>
      <c r="G3811" s="202" t="str">
        <f t="shared" si="59"/>
        <v/>
      </c>
    </row>
    <row r="3812" spans="1:7" s="172" customFormat="1" ht="15" customHeight="1" x14ac:dyDescent="0.25">
      <c r="A3812" s="810" t="s">
        <v>6362</v>
      </c>
      <c r="B3812" s="806" t="s">
        <v>6287</v>
      </c>
      <c r="C3812" s="806" t="s">
        <v>6287</v>
      </c>
      <c r="D3812" s="815" t="s">
        <v>6843</v>
      </c>
      <c r="E3812" s="819">
        <v>400</v>
      </c>
      <c r="F3812" s="839">
        <v>373.91304347826087</v>
      </c>
      <c r="G3812" s="202" t="str">
        <f t="shared" si="59"/>
        <v/>
      </c>
    </row>
    <row r="3813" spans="1:7" s="172" customFormat="1" ht="15" customHeight="1" x14ac:dyDescent="0.25">
      <c r="A3813" s="810" t="s">
        <v>6844</v>
      </c>
      <c r="B3813" s="806" t="s">
        <v>6287</v>
      </c>
      <c r="C3813" s="806" t="s">
        <v>6287</v>
      </c>
      <c r="D3813" s="815" t="s">
        <v>6845</v>
      </c>
      <c r="E3813" s="819">
        <v>30</v>
      </c>
      <c r="F3813" s="840">
        <v>10.434782608695652</v>
      </c>
      <c r="G3813" s="202" t="str">
        <f t="shared" si="59"/>
        <v/>
      </c>
    </row>
    <row r="3814" spans="1:7" s="172" customFormat="1" ht="15" customHeight="1" x14ac:dyDescent="0.25">
      <c r="A3814" s="810" t="s">
        <v>3373</v>
      </c>
      <c r="B3814" s="806" t="s">
        <v>6287</v>
      </c>
      <c r="C3814" s="806" t="s">
        <v>6287</v>
      </c>
      <c r="D3814" s="815" t="s">
        <v>6846</v>
      </c>
      <c r="E3814" s="819">
        <v>30</v>
      </c>
      <c r="F3814" s="839">
        <v>12.608695652173914</v>
      </c>
      <c r="G3814" s="202" t="str">
        <f t="shared" si="59"/>
        <v/>
      </c>
    </row>
    <row r="3815" spans="1:7" s="172" customFormat="1" ht="15" customHeight="1" x14ac:dyDescent="0.25">
      <c r="A3815" s="810" t="s">
        <v>6681</v>
      </c>
      <c r="B3815" s="806" t="s">
        <v>6287</v>
      </c>
      <c r="C3815" s="806" t="s">
        <v>6287</v>
      </c>
      <c r="D3815" s="815" t="s">
        <v>6847</v>
      </c>
      <c r="E3815" s="819">
        <v>250</v>
      </c>
      <c r="F3815" s="840">
        <v>192.39130434782609</v>
      </c>
      <c r="G3815" s="202" t="str">
        <f t="shared" si="59"/>
        <v/>
      </c>
    </row>
    <row r="3816" spans="1:7" s="172" customFormat="1" ht="15" customHeight="1" x14ac:dyDescent="0.25">
      <c r="A3816" s="810" t="s">
        <v>6848</v>
      </c>
      <c r="B3816" s="806" t="s">
        <v>6287</v>
      </c>
      <c r="C3816" s="806" t="s">
        <v>6287</v>
      </c>
      <c r="D3816" s="815" t="s">
        <v>6849</v>
      </c>
      <c r="E3816" s="819">
        <v>160</v>
      </c>
      <c r="F3816" s="840">
        <v>160</v>
      </c>
      <c r="G3816" s="202" t="str">
        <f t="shared" si="59"/>
        <v>не загружен</v>
      </c>
    </row>
    <row r="3817" spans="1:7" s="172" customFormat="1" ht="15" customHeight="1" x14ac:dyDescent="0.25">
      <c r="A3817" s="810" t="s">
        <v>3677</v>
      </c>
      <c r="B3817" s="806" t="s">
        <v>6287</v>
      </c>
      <c r="C3817" s="806" t="s">
        <v>6287</v>
      </c>
      <c r="D3817" s="815" t="s">
        <v>6850</v>
      </c>
      <c r="E3817" s="819">
        <v>10</v>
      </c>
      <c r="F3817" s="839">
        <v>10</v>
      </c>
      <c r="G3817" s="202" t="str">
        <f t="shared" si="59"/>
        <v>не загружен</v>
      </c>
    </row>
    <row r="3818" spans="1:7" s="172" customFormat="1" ht="15" customHeight="1" x14ac:dyDescent="0.25">
      <c r="A3818" s="810" t="s">
        <v>3006</v>
      </c>
      <c r="B3818" s="806" t="s">
        <v>6287</v>
      </c>
      <c r="C3818" s="806" t="s">
        <v>6287</v>
      </c>
      <c r="D3818" s="815" t="s">
        <v>18562</v>
      </c>
      <c r="E3818" s="819">
        <v>160</v>
      </c>
      <c r="F3818" s="839">
        <v>80</v>
      </c>
      <c r="G3818" s="202" t="str">
        <f t="shared" si="59"/>
        <v/>
      </c>
    </row>
    <row r="3819" spans="1:7" s="172" customFormat="1" ht="15" customHeight="1" x14ac:dyDescent="0.25">
      <c r="A3819" s="810" t="s">
        <v>6851</v>
      </c>
      <c r="B3819" s="806" t="s">
        <v>6287</v>
      </c>
      <c r="C3819" s="806" t="s">
        <v>6287</v>
      </c>
      <c r="D3819" s="815" t="s">
        <v>6852</v>
      </c>
      <c r="E3819" s="819">
        <v>30</v>
      </c>
      <c r="F3819" s="840">
        <v>16.956521739130437</v>
      </c>
      <c r="G3819" s="202" t="str">
        <f t="shared" si="59"/>
        <v/>
      </c>
    </row>
    <row r="3820" spans="1:7" s="172" customFormat="1" ht="15" customHeight="1" x14ac:dyDescent="0.25">
      <c r="A3820" s="810" t="s">
        <v>6853</v>
      </c>
      <c r="B3820" s="806" t="s">
        <v>6287</v>
      </c>
      <c r="C3820" s="806" t="s">
        <v>6287</v>
      </c>
      <c r="D3820" s="815" t="s">
        <v>6854</v>
      </c>
      <c r="E3820" s="819">
        <v>160</v>
      </c>
      <c r="F3820" s="840">
        <v>130.65217391304347</v>
      </c>
      <c r="G3820" s="202" t="str">
        <f t="shared" si="59"/>
        <v/>
      </c>
    </row>
    <row r="3821" spans="1:7" s="172" customFormat="1" ht="15" customHeight="1" x14ac:dyDescent="0.25">
      <c r="A3821" s="810" t="s">
        <v>6193</v>
      </c>
      <c r="B3821" s="806" t="s">
        <v>6287</v>
      </c>
      <c r="C3821" s="806" t="s">
        <v>6287</v>
      </c>
      <c r="D3821" s="815" t="s">
        <v>6855</v>
      </c>
      <c r="E3821" s="819">
        <v>30</v>
      </c>
      <c r="F3821" s="839">
        <v>5</v>
      </c>
      <c r="G3821" s="202" t="str">
        <f t="shared" si="59"/>
        <v/>
      </c>
    </row>
    <row r="3822" spans="1:7" s="172" customFormat="1" ht="15" customHeight="1" x14ac:dyDescent="0.25">
      <c r="A3822" s="810" t="s">
        <v>15031</v>
      </c>
      <c r="B3822" s="806" t="s">
        <v>6287</v>
      </c>
      <c r="C3822" s="806" t="s">
        <v>6287</v>
      </c>
      <c r="D3822" s="815" t="s">
        <v>6856</v>
      </c>
      <c r="E3822" s="819">
        <v>100</v>
      </c>
      <c r="F3822" s="841">
        <v>66.15217391304347</v>
      </c>
      <c r="G3822" s="202" t="str">
        <f t="shared" si="59"/>
        <v/>
      </c>
    </row>
    <row r="3823" spans="1:7" s="172" customFormat="1" ht="15" customHeight="1" x14ac:dyDescent="0.25">
      <c r="A3823" s="810" t="s">
        <v>6466</v>
      </c>
      <c r="B3823" s="806" t="s">
        <v>6287</v>
      </c>
      <c r="C3823" s="806" t="s">
        <v>6287</v>
      </c>
      <c r="D3823" s="815" t="s">
        <v>6857</v>
      </c>
      <c r="E3823" s="819">
        <v>100</v>
      </c>
      <c r="F3823" s="841">
        <v>51.086956521739133</v>
      </c>
      <c r="G3823" s="202" t="str">
        <f t="shared" si="59"/>
        <v/>
      </c>
    </row>
    <row r="3824" spans="1:7" s="172" customFormat="1" ht="15" customHeight="1" x14ac:dyDescent="0.25">
      <c r="A3824" s="810" t="s">
        <v>3557</v>
      </c>
      <c r="B3824" s="806" t="s">
        <v>6287</v>
      </c>
      <c r="C3824" s="806" t="s">
        <v>6287</v>
      </c>
      <c r="D3824" s="815" t="s">
        <v>6858</v>
      </c>
      <c r="E3824" s="819">
        <v>100</v>
      </c>
      <c r="F3824" s="839">
        <v>3.2608695652173907</v>
      </c>
      <c r="G3824" s="202" t="str">
        <f t="shared" si="59"/>
        <v/>
      </c>
    </row>
    <row r="3825" spans="1:7" s="172" customFormat="1" ht="15" customHeight="1" x14ac:dyDescent="0.25">
      <c r="A3825" s="810" t="s">
        <v>6661</v>
      </c>
      <c r="B3825" s="806" t="s">
        <v>6287</v>
      </c>
      <c r="C3825" s="806" t="s">
        <v>6287</v>
      </c>
      <c r="D3825" s="815" t="s">
        <v>6859</v>
      </c>
      <c r="E3825" s="819" t="s">
        <v>18558</v>
      </c>
      <c r="F3825" s="839">
        <v>939.82608695652175</v>
      </c>
      <c r="G3825" s="202" t="str">
        <f t="shared" si="59"/>
        <v/>
      </c>
    </row>
    <row r="3826" spans="1:7" s="172" customFormat="1" ht="15" customHeight="1" x14ac:dyDescent="0.25">
      <c r="A3826" s="810" t="s">
        <v>6661</v>
      </c>
      <c r="B3826" s="806" t="s">
        <v>6287</v>
      </c>
      <c r="C3826" s="806" t="s">
        <v>6287</v>
      </c>
      <c r="D3826" s="815" t="s">
        <v>6860</v>
      </c>
      <c r="E3826" s="819" t="s">
        <v>18559</v>
      </c>
      <c r="F3826" s="839">
        <v>1449.5652173913043</v>
      </c>
      <c r="G3826" s="202" t="str">
        <f t="shared" si="59"/>
        <v/>
      </c>
    </row>
    <row r="3827" spans="1:7" s="172" customFormat="1" ht="15" customHeight="1" x14ac:dyDescent="0.25">
      <c r="A3827" s="810" t="s">
        <v>6681</v>
      </c>
      <c r="B3827" s="806" t="s">
        <v>6287</v>
      </c>
      <c r="C3827" s="806" t="s">
        <v>6287</v>
      </c>
      <c r="D3827" s="815" t="s">
        <v>6861</v>
      </c>
      <c r="E3827" s="819">
        <v>250</v>
      </c>
      <c r="F3827" s="839">
        <v>32.608695652173935</v>
      </c>
      <c r="G3827" s="202" t="str">
        <f t="shared" si="59"/>
        <v/>
      </c>
    </row>
    <row r="3828" spans="1:7" s="172" customFormat="1" ht="15" customHeight="1" x14ac:dyDescent="0.25">
      <c r="A3828" s="810" t="s">
        <v>6604</v>
      </c>
      <c r="B3828" s="806" t="s">
        <v>6287</v>
      </c>
      <c r="C3828" s="806" t="s">
        <v>6287</v>
      </c>
      <c r="D3828" s="815" t="s">
        <v>6862</v>
      </c>
      <c r="E3828" s="819">
        <v>100</v>
      </c>
      <c r="F3828" s="839">
        <v>91.847826086956516</v>
      </c>
      <c r="G3828" s="202" t="str">
        <f t="shared" si="59"/>
        <v/>
      </c>
    </row>
    <row r="3829" spans="1:7" s="172" customFormat="1" ht="15" customHeight="1" x14ac:dyDescent="0.25">
      <c r="A3829" s="810" t="s">
        <v>6863</v>
      </c>
      <c r="B3829" s="806" t="s">
        <v>6287</v>
      </c>
      <c r="C3829" s="806" t="s">
        <v>6287</v>
      </c>
      <c r="D3829" s="815" t="s">
        <v>6864</v>
      </c>
      <c r="E3829" s="819">
        <v>20</v>
      </c>
      <c r="F3829" s="839">
        <v>10.217391304347826</v>
      </c>
      <c r="G3829" s="202" t="str">
        <f t="shared" si="59"/>
        <v/>
      </c>
    </row>
    <row r="3830" spans="1:7" s="172" customFormat="1" ht="15" customHeight="1" x14ac:dyDescent="0.25">
      <c r="A3830" s="810" t="s">
        <v>4846</v>
      </c>
      <c r="B3830" s="806" t="s">
        <v>6287</v>
      </c>
      <c r="C3830" s="806" t="s">
        <v>6287</v>
      </c>
      <c r="D3830" s="815" t="s">
        <v>6865</v>
      </c>
      <c r="E3830" s="819" t="s">
        <v>18558</v>
      </c>
      <c r="F3830" s="839">
        <v>923.91304347826087</v>
      </c>
      <c r="G3830" s="202" t="str">
        <f t="shared" si="59"/>
        <v/>
      </c>
    </row>
    <row r="3831" spans="1:7" s="172" customFormat="1" ht="15" customHeight="1" x14ac:dyDescent="0.25">
      <c r="A3831" s="810" t="s">
        <v>6595</v>
      </c>
      <c r="B3831" s="806" t="s">
        <v>6287</v>
      </c>
      <c r="C3831" s="806" t="s">
        <v>6287</v>
      </c>
      <c r="D3831" s="815" t="s">
        <v>6866</v>
      </c>
      <c r="E3831" s="819">
        <v>160</v>
      </c>
      <c r="F3831" s="839">
        <v>2.3913043478260931</v>
      </c>
      <c r="G3831" s="202" t="str">
        <f t="shared" si="59"/>
        <v/>
      </c>
    </row>
    <row r="3832" spans="1:7" s="172" customFormat="1" ht="15" customHeight="1" x14ac:dyDescent="0.25">
      <c r="A3832" s="810" t="s">
        <v>5030</v>
      </c>
      <c r="B3832" s="806" t="s">
        <v>6287</v>
      </c>
      <c r="C3832" s="806" t="s">
        <v>6287</v>
      </c>
      <c r="D3832" s="815" t="s">
        <v>6867</v>
      </c>
      <c r="E3832" s="819">
        <v>160</v>
      </c>
      <c r="F3832" s="840">
        <v>96.956521739130437</v>
      </c>
      <c r="G3832" s="202" t="str">
        <f t="shared" si="59"/>
        <v/>
      </c>
    </row>
    <row r="3833" spans="1:7" s="172" customFormat="1" ht="15" customHeight="1" x14ac:dyDescent="0.25">
      <c r="A3833" s="810" t="s">
        <v>6495</v>
      </c>
      <c r="B3833" s="806" t="s">
        <v>6287</v>
      </c>
      <c r="C3833" s="806" t="s">
        <v>6287</v>
      </c>
      <c r="D3833" s="815" t="s">
        <v>6868</v>
      </c>
      <c r="E3833" s="819">
        <v>250</v>
      </c>
      <c r="F3833" s="840">
        <v>184.78260869565219</v>
      </c>
      <c r="G3833" s="202" t="str">
        <f t="shared" si="59"/>
        <v/>
      </c>
    </row>
    <row r="3834" spans="1:7" s="172" customFormat="1" ht="15" customHeight="1" x14ac:dyDescent="0.25">
      <c r="A3834" s="810" t="s">
        <v>6869</v>
      </c>
      <c r="B3834" s="806" t="s">
        <v>6287</v>
      </c>
      <c r="C3834" s="806" t="s">
        <v>6287</v>
      </c>
      <c r="D3834" s="815" t="s">
        <v>6870</v>
      </c>
      <c r="E3834" s="819">
        <v>60</v>
      </c>
      <c r="F3834" s="840">
        <v>23.04347826086957</v>
      </c>
      <c r="G3834" s="202" t="str">
        <f t="shared" si="59"/>
        <v/>
      </c>
    </row>
    <row r="3835" spans="1:7" s="172" customFormat="1" ht="15" customHeight="1" x14ac:dyDescent="0.25">
      <c r="A3835" s="810" t="s">
        <v>4818</v>
      </c>
      <c r="B3835" s="806" t="s">
        <v>6287</v>
      </c>
      <c r="C3835" s="806" t="s">
        <v>6287</v>
      </c>
      <c r="D3835" s="815" t="s">
        <v>6871</v>
      </c>
      <c r="E3835" s="819">
        <v>160</v>
      </c>
      <c r="F3835" s="840">
        <v>132.82608695652175</v>
      </c>
      <c r="G3835" s="202" t="str">
        <f t="shared" si="59"/>
        <v/>
      </c>
    </row>
    <row r="3836" spans="1:7" s="172" customFormat="1" ht="15" customHeight="1" x14ac:dyDescent="0.25">
      <c r="A3836" s="810" t="s">
        <v>6872</v>
      </c>
      <c r="B3836" s="806" t="s">
        <v>6287</v>
      </c>
      <c r="C3836" s="806" t="s">
        <v>6287</v>
      </c>
      <c r="D3836" s="815" t="s">
        <v>6873</v>
      </c>
      <c r="E3836" s="819">
        <v>30</v>
      </c>
      <c r="F3836" s="841">
        <v>13.695652173913043</v>
      </c>
      <c r="G3836" s="202" t="str">
        <f t="shared" si="59"/>
        <v/>
      </c>
    </row>
    <row r="3837" spans="1:7" s="172" customFormat="1" ht="15" customHeight="1" x14ac:dyDescent="0.25">
      <c r="A3837" s="810" t="s">
        <v>3470</v>
      </c>
      <c r="B3837" s="806" t="s">
        <v>6287</v>
      </c>
      <c r="C3837" s="806" t="s">
        <v>6287</v>
      </c>
      <c r="D3837" s="815" t="s">
        <v>6874</v>
      </c>
      <c r="E3837" s="819">
        <v>160</v>
      </c>
      <c r="F3837" s="840">
        <v>127.39130434782609</v>
      </c>
      <c r="G3837" s="202" t="str">
        <f t="shared" si="59"/>
        <v/>
      </c>
    </row>
    <row r="3838" spans="1:7" s="172" customFormat="1" ht="15" customHeight="1" x14ac:dyDescent="0.25">
      <c r="A3838" s="810" t="s">
        <v>3470</v>
      </c>
      <c r="B3838" s="806" t="s">
        <v>6287</v>
      </c>
      <c r="C3838" s="806" t="s">
        <v>6287</v>
      </c>
      <c r="D3838" s="815" t="s">
        <v>6875</v>
      </c>
      <c r="E3838" s="809">
        <v>160</v>
      </c>
      <c r="F3838" s="840">
        <v>116.52173913043478</v>
      </c>
      <c r="G3838" s="202" t="str">
        <f t="shared" si="59"/>
        <v/>
      </c>
    </row>
    <row r="3839" spans="1:7" s="172" customFormat="1" ht="15" customHeight="1" x14ac:dyDescent="0.25">
      <c r="A3839" s="810" t="s">
        <v>6493</v>
      </c>
      <c r="B3839" s="806" t="s">
        <v>6287</v>
      </c>
      <c r="C3839" s="806" t="s">
        <v>6287</v>
      </c>
      <c r="D3839" s="815" t="s">
        <v>6876</v>
      </c>
      <c r="E3839" s="842">
        <v>100</v>
      </c>
      <c r="F3839" s="840">
        <v>30.434782608695656</v>
      </c>
      <c r="G3839" s="202" t="str">
        <f t="shared" si="59"/>
        <v/>
      </c>
    </row>
    <row r="3840" spans="1:7" s="172" customFormat="1" ht="15" customHeight="1" x14ac:dyDescent="0.25">
      <c r="A3840" s="810" t="s">
        <v>6493</v>
      </c>
      <c r="B3840" s="806" t="s">
        <v>6287</v>
      </c>
      <c r="C3840" s="806" t="s">
        <v>6287</v>
      </c>
      <c r="D3840" s="815" t="s">
        <v>6877</v>
      </c>
      <c r="E3840" s="819">
        <v>160</v>
      </c>
      <c r="F3840" s="840">
        <v>108.91304347826087</v>
      </c>
      <c r="G3840" s="202" t="str">
        <f t="shared" si="59"/>
        <v/>
      </c>
    </row>
    <row r="3841" spans="1:7" s="172" customFormat="1" ht="15" customHeight="1" x14ac:dyDescent="0.25">
      <c r="A3841" s="810" t="s">
        <v>6446</v>
      </c>
      <c r="B3841" s="806" t="s">
        <v>6287</v>
      </c>
      <c r="C3841" s="806" t="s">
        <v>6287</v>
      </c>
      <c r="D3841" s="815" t="s">
        <v>6878</v>
      </c>
      <c r="E3841" s="819">
        <v>160</v>
      </c>
      <c r="F3841" s="841">
        <v>114.34782608695653</v>
      </c>
      <c r="G3841" s="202" t="str">
        <f t="shared" si="59"/>
        <v/>
      </c>
    </row>
    <row r="3842" spans="1:7" s="172" customFormat="1" ht="15" customHeight="1" x14ac:dyDescent="0.25">
      <c r="A3842" s="810" t="s">
        <v>6536</v>
      </c>
      <c r="B3842" s="806" t="s">
        <v>6287</v>
      </c>
      <c r="C3842" s="806" t="s">
        <v>6287</v>
      </c>
      <c r="D3842" s="815" t="s">
        <v>6879</v>
      </c>
      <c r="E3842" s="819">
        <v>160</v>
      </c>
      <c r="F3842" s="840">
        <v>133.91304347826087</v>
      </c>
      <c r="G3842" s="202" t="str">
        <f t="shared" si="59"/>
        <v/>
      </c>
    </row>
    <row r="3843" spans="1:7" s="172" customFormat="1" ht="15" customHeight="1" x14ac:dyDescent="0.25">
      <c r="A3843" s="810" t="s">
        <v>5550</v>
      </c>
      <c r="B3843" s="806" t="s">
        <v>6287</v>
      </c>
      <c r="C3843" s="806" t="s">
        <v>6287</v>
      </c>
      <c r="D3843" s="815" t="s">
        <v>6880</v>
      </c>
      <c r="E3843" s="819">
        <v>60</v>
      </c>
      <c r="F3843" s="840">
        <v>35</v>
      </c>
      <c r="G3843" s="202" t="str">
        <f t="shared" si="59"/>
        <v/>
      </c>
    </row>
    <row r="3844" spans="1:7" s="172" customFormat="1" ht="15" customHeight="1" x14ac:dyDescent="0.25">
      <c r="A3844" s="810" t="s">
        <v>6881</v>
      </c>
      <c r="B3844" s="806" t="s">
        <v>6287</v>
      </c>
      <c r="C3844" s="806" t="s">
        <v>6287</v>
      </c>
      <c r="D3844" s="815" t="s">
        <v>6882</v>
      </c>
      <c r="E3844" s="819">
        <v>160</v>
      </c>
      <c r="F3844" s="839">
        <v>71.956521739130437</v>
      </c>
      <c r="G3844" s="202" t="str">
        <f t="shared" si="59"/>
        <v/>
      </c>
    </row>
    <row r="3845" spans="1:7" s="172" customFormat="1" ht="15" customHeight="1" x14ac:dyDescent="0.25">
      <c r="A3845" s="810" t="s">
        <v>6881</v>
      </c>
      <c r="B3845" s="806" t="s">
        <v>6287</v>
      </c>
      <c r="C3845" s="806" t="s">
        <v>6287</v>
      </c>
      <c r="D3845" s="815" t="s">
        <v>6883</v>
      </c>
      <c r="E3845" s="819">
        <v>60</v>
      </c>
      <c r="F3845" s="839">
        <v>14.347826086956523</v>
      </c>
      <c r="G3845" s="202" t="str">
        <f t="shared" si="59"/>
        <v/>
      </c>
    </row>
    <row r="3846" spans="1:7" s="172" customFormat="1" ht="15" customHeight="1" x14ac:dyDescent="0.25">
      <c r="A3846" s="810" t="s">
        <v>6446</v>
      </c>
      <c r="B3846" s="806" t="s">
        <v>6287</v>
      </c>
      <c r="C3846" s="806" t="s">
        <v>6287</v>
      </c>
      <c r="D3846" s="815" t="s">
        <v>6884</v>
      </c>
      <c r="E3846" s="819">
        <v>250</v>
      </c>
      <c r="F3846" s="815">
        <v>192.39130434782609</v>
      </c>
      <c r="G3846" s="202" t="str">
        <f t="shared" si="59"/>
        <v/>
      </c>
    </row>
    <row r="3847" spans="1:7" s="172" customFormat="1" ht="15" customHeight="1" x14ac:dyDescent="0.25">
      <c r="A3847" s="810" t="s">
        <v>6482</v>
      </c>
      <c r="B3847" s="806" t="s">
        <v>6287</v>
      </c>
      <c r="C3847" s="806" t="s">
        <v>6287</v>
      </c>
      <c r="D3847" s="815" t="s">
        <v>6885</v>
      </c>
      <c r="E3847" s="819">
        <v>400</v>
      </c>
      <c r="F3847" s="840">
        <v>313.04347826086956</v>
      </c>
      <c r="G3847" s="202" t="str">
        <f t="shared" si="59"/>
        <v/>
      </c>
    </row>
    <row r="3848" spans="1:7" s="172" customFormat="1" ht="15" customHeight="1" x14ac:dyDescent="0.25">
      <c r="A3848" s="809" t="s">
        <v>6886</v>
      </c>
      <c r="B3848" s="806" t="s">
        <v>6287</v>
      </c>
      <c r="C3848" s="806" t="s">
        <v>6287</v>
      </c>
      <c r="D3848" s="815" t="s">
        <v>6887</v>
      </c>
      <c r="E3848" s="836">
        <v>160</v>
      </c>
      <c r="F3848" s="840">
        <v>75.217391304347828</v>
      </c>
      <c r="G3848" s="202" t="str">
        <f t="shared" si="59"/>
        <v/>
      </c>
    </row>
    <row r="3849" spans="1:7" s="172" customFormat="1" ht="15" customHeight="1" x14ac:dyDescent="0.25">
      <c r="A3849" s="810" t="s">
        <v>6888</v>
      </c>
      <c r="B3849" s="806" t="s">
        <v>6287</v>
      </c>
      <c r="C3849" s="806" t="s">
        <v>6287</v>
      </c>
      <c r="D3849" s="815" t="s">
        <v>6889</v>
      </c>
      <c r="E3849" s="819">
        <v>160</v>
      </c>
      <c r="F3849" s="840">
        <v>10</v>
      </c>
      <c r="G3849" s="202" t="str">
        <f t="shared" si="59"/>
        <v/>
      </c>
    </row>
    <row r="3850" spans="1:7" s="172" customFormat="1" ht="15" customHeight="1" x14ac:dyDescent="0.25">
      <c r="A3850" s="810" t="s">
        <v>6890</v>
      </c>
      <c r="B3850" s="806" t="s">
        <v>6287</v>
      </c>
      <c r="C3850" s="806" t="s">
        <v>6287</v>
      </c>
      <c r="D3850" s="815" t="s">
        <v>6891</v>
      </c>
      <c r="E3850" s="819">
        <v>50</v>
      </c>
      <c r="F3850" s="840">
        <v>1.0869565217391326</v>
      </c>
      <c r="G3850" s="202" t="str">
        <f t="shared" si="59"/>
        <v/>
      </c>
    </row>
    <row r="3851" spans="1:7" s="172" customFormat="1" ht="15" customHeight="1" x14ac:dyDescent="0.25">
      <c r="A3851" s="810" t="s">
        <v>6892</v>
      </c>
      <c r="B3851" s="806" t="s">
        <v>6287</v>
      </c>
      <c r="C3851" s="806" t="s">
        <v>6287</v>
      </c>
      <c r="D3851" s="815" t="s">
        <v>6893</v>
      </c>
      <c r="E3851" s="819">
        <v>63</v>
      </c>
      <c r="F3851" s="839">
        <v>40</v>
      </c>
      <c r="G3851" s="202" t="str">
        <f t="shared" si="59"/>
        <v/>
      </c>
    </row>
    <row r="3852" spans="1:7" s="172" customFormat="1" ht="15" customHeight="1" x14ac:dyDescent="0.25">
      <c r="A3852" s="810" t="s">
        <v>6894</v>
      </c>
      <c r="B3852" s="806" t="s">
        <v>6287</v>
      </c>
      <c r="C3852" s="806" t="s">
        <v>6287</v>
      </c>
      <c r="D3852" s="815" t="s">
        <v>6895</v>
      </c>
      <c r="E3852" s="819">
        <v>250</v>
      </c>
      <c r="F3852" s="840">
        <v>71.739130434782624</v>
      </c>
      <c r="G3852" s="202" t="str">
        <f t="shared" si="59"/>
        <v/>
      </c>
    </row>
    <row r="3853" spans="1:7" s="172" customFormat="1" ht="15" customHeight="1" x14ac:dyDescent="0.25">
      <c r="A3853" s="810" t="s">
        <v>6896</v>
      </c>
      <c r="B3853" s="806" t="s">
        <v>6287</v>
      </c>
      <c r="C3853" s="806" t="s">
        <v>6287</v>
      </c>
      <c r="D3853" s="815" t="s">
        <v>6897</v>
      </c>
      <c r="E3853" s="819">
        <v>250</v>
      </c>
      <c r="F3853" s="840">
        <v>2.1739130434782794</v>
      </c>
      <c r="G3853" s="202" t="str">
        <f t="shared" si="59"/>
        <v/>
      </c>
    </row>
    <row r="3854" spans="1:7" s="172" customFormat="1" ht="15" customHeight="1" x14ac:dyDescent="0.25">
      <c r="A3854" s="810" t="s">
        <v>6427</v>
      </c>
      <c r="B3854" s="806" t="s">
        <v>6287</v>
      </c>
      <c r="C3854" s="806" t="s">
        <v>6287</v>
      </c>
      <c r="D3854" s="815" t="s">
        <v>6898</v>
      </c>
      <c r="E3854" s="819">
        <v>100</v>
      </c>
      <c r="F3854" s="840">
        <v>91.304347826086953</v>
      </c>
      <c r="G3854" s="202" t="str">
        <f t="shared" si="59"/>
        <v/>
      </c>
    </row>
    <row r="3855" spans="1:7" s="172" customFormat="1" ht="15" customHeight="1" x14ac:dyDescent="0.25">
      <c r="A3855" s="810" t="s">
        <v>3557</v>
      </c>
      <c r="B3855" s="806" t="s">
        <v>6287</v>
      </c>
      <c r="C3855" s="806" t="s">
        <v>6287</v>
      </c>
      <c r="D3855" s="815" t="s">
        <v>6899</v>
      </c>
      <c r="E3855" s="819">
        <v>160</v>
      </c>
      <c r="F3855" s="840">
        <v>12.173913043478279</v>
      </c>
      <c r="G3855" s="202" t="str">
        <f t="shared" si="59"/>
        <v/>
      </c>
    </row>
    <row r="3856" spans="1:7" s="172" customFormat="1" ht="15" customHeight="1" x14ac:dyDescent="0.25">
      <c r="A3856" s="815" t="s">
        <v>6900</v>
      </c>
      <c r="B3856" s="815" t="s">
        <v>6287</v>
      </c>
      <c r="C3856" s="815" t="s">
        <v>6287</v>
      </c>
      <c r="D3856" s="843" t="s">
        <v>6901</v>
      </c>
      <c r="E3856" s="843">
        <v>100</v>
      </c>
      <c r="F3856" s="815">
        <v>67.391304347826093</v>
      </c>
      <c r="G3856" s="202" t="str">
        <f t="shared" si="59"/>
        <v/>
      </c>
    </row>
    <row r="3857" spans="1:7" s="172" customFormat="1" ht="15" customHeight="1" x14ac:dyDescent="0.25">
      <c r="A3857" s="815" t="s">
        <v>6495</v>
      </c>
      <c r="B3857" s="815" t="s">
        <v>6287</v>
      </c>
      <c r="C3857" s="815" t="s">
        <v>6287</v>
      </c>
      <c r="D3857" s="843" t="s">
        <v>6902</v>
      </c>
      <c r="E3857" s="843">
        <v>250</v>
      </c>
      <c r="F3857" s="815">
        <v>219.56521739130434</v>
      </c>
      <c r="G3857" s="202" t="str">
        <f t="shared" si="59"/>
        <v/>
      </c>
    </row>
    <row r="3858" spans="1:7" s="172" customFormat="1" ht="15" customHeight="1" x14ac:dyDescent="0.25">
      <c r="A3858" s="815" t="s">
        <v>6567</v>
      </c>
      <c r="B3858" s="815" t="s">
        <v>6287</v>
      </c>
      <c r="C3858" s="815" t="s">
        <v>6287</v>
      </c>
      <c r="D3858" s="843" t="s">
        <v>6903</v>
      </c>
      <c r="E3858" s="843">
        <v>60</v>
      </c>
      <c r="F3858" s="815">
        <v>60</v>
      </c>
      <c r="G3858" s="202" t="str">
        <f t="shared" si="59"/>
        <v>не загружен</v>
      </c>
    </row>
    <row r="3859" spans="1:7" s="172" customFormat="1" ht="15" customHeight="1" x14ac:dyDescent="0.25">
      <c r="A3859" s="815" t="s">
        <v>6567</v>
      </c>
      <c r="B3859" s="815" t="s">
        <v>6287</v>
      </c>
      <c r="C3859" s="815" t="s">
        <v>6287</v>
      </c>
      <c r="D3859" s="843" t="s">
        <v>6904</v>
      </c>
      <c r="E3859" s="843">
        <v>160</v>
      </c>
      <c r="F3859" s="815">
        <v>127.39130434782609</v>
      </c>
      <c r="G3859" s="202" t="str">
        <f t="shared" si="59"/>
        <v/>
      </c>
    </row>
    <row r="3860" spans="1:7" s="172" customFormat="1" ht="15" customHeight="1" x14ac:dyDescent="0.25">
      <c r="A3860" s="815" t="s">
        <v>6905</v>
      </c>
      <c r="B3860" s="815" t="s">
        <v>6287</v>
      </c>
      <c r="C3860" s="815" t="s">
        <v>6287</v>
      </c>
      <c r="D3860" s="843" t="s">
        <v>6906</v>
      </c>
      <c r="E3860" s="843">
        <v>100</v>
      </c>
      <c r="F3860" s="815">
        <v>27</v>
      </c>
      <c r="G3860" s="202" t="str">
        <f t="shared" si="59"/>
        <v/>
      </c>
    </row>
    <row r="3861" spans="1:7" s="172" customFormat="1" ht="15" customHeight="1" x14ac:dyDescent="0.25">
      <c r="A3861" s="815" t="s">
        <v>6576</v>
      </c>
      <c r="B3861" s="815" t="s">
        <v>6287</v>
      </c>
      <c r="C3861" s="815" t="s">
        <v>6287</v>
      </c>
      <c r="D3861" s="843" t="s">
        <v>6907</v>
      </c>
      <c r="E3861" s="843">
        <v>160</v>
      </c>
      <c r="F3861" s="815">
        <v>143.69565217391303</v>
      </c>
      <c r="G3861" s="202" t="str">
        <f t="shared" si="59"/>
        <v/>
      </c>
    </row>
    <row r="3862" spans="1:7" s="172" customFormat="1" ht="15" customHeight="1" x14ac:dyDescent="0.25">
      <c r="A3862" s="815" t="s">
        <v>6307</v>
      </c>
      <c r="B3862" s="815" t="s">
        <v>6287</v>
      </c>
      <c r="C3862" s="815" t="s">
        <v>6287</v>
      </c>
      <c r="D3862" s="843" t="s">
        <v>6908</v>
      </c>
      <c r="E3862" s="843">
        <v>250</v>
      </c>
      <c r="F3862" s="815">
        <v>231.52173913043478</v>
      </c>
      <c r="G3862" s="202" t="str">
        <f t="shared" si="59"/>
        <v/>
      </c>
    </row>
    <row r="3863" spans="1:7" s="172" customFormat="1" ht="15" customHeight="1" x14ac:dyDescent="0.25">
      <c r="A3863" s="815" t="s">
        <v>6909</v>
      </c>
      <c r="B3863" s="815" t="s">
        <v>6287</v>
      </c>
      <c r="C3863" s="815" t="s">
        <v>6287</v>
      </c>
      <c r="D3863" s="843" t="s">
        <v>6910</v>
      </c>
      <c r="E3863" s="843">
        <v>160</v>
      </c>
      <c r="F3863" s="815">
        <v>62.173913043478265</v>
      </c>
      <c r="G3863" s="202" t="str">
        <f t="shared" si="59"/>
        <v/>
      </c>
    </row>
    <row r="3864" spans="1:7" s="172" customFormat="1" ht="15" customHeight="1" x14ac:dyDescent="0.25">
      <c r="A3864" s="815" t="s">
        <v>6911</v>
      </c>
      <c r="B3864" s="815" t="s">
        <v>6287</v>
      </c>
      <c r="C3864" s="815" t="s">
        <v>6287</v>
      </c>
      <c r="D3864" s="843" t="s">
        <v>6912</v>
      </c>
      <c r="E3864" s="843">
        <v>400</v>
      </c>
      <c r="F3864" s="815">
        <v>340.21739130434781</v>
      </c>
      <c r="G3864" s="202" t="str">
        <f t="shared" si="59"/>
        <v/>
      </c>
    </row>
    <row r="3865" spans="1:7" s="172" customFormat="1" ht="15" customHeight="1" x14ac:dyDescent="0.25">
      <c r="A3865" s="815" t="s">
        <v>6913</v>
      </c>
      <c r="B3865" s="815" t="s">
        <v>6287</v>
      </c>
      <c r="C3865" s="815" t="s">
        <v>6287</v>
      </c>
      <c r="D3865" s="843" t="s">
        <v>6914</v>
      </c>
      <c r="E3865" s="843">
        <v>160</v>
      </c>
      <c r="F3865" s="815">
        <v>160</v>
      </c>
      <c r="G3865" s="202" t="str">
        <f t="shared" ref="G3865:G3929" si="60">IF(E3865=F3865,"не загружен","")</f>
        <v>не загружен</v>
      </c>
    </row>
    <row r="3866" spans="1:7" s="172" customFormat="1" ht="15" customHeight="1" x14ac:dyDescent="0.25">
      <c r="A3866" s="815" t="s">
        <v>6823</v>
      </c>
      <c r="B3866" s="815" t="s">
        <v>6287</v>
      </c>
      <c r="C3866" s="815" t="s">
        <v>6287</v>
      </c>
      <c r="D3866" s="843" t="s">
        <v>6915</v>
      </c>
      <c r="E3866" s="843">
        <v>250</v>
      </c>
      <c r="F3866" s="815">
        <v>45</v>
      </c>
      <c r="G3866" s="202" t="str">
        <f t="shared" si="60"/>
        <v/>
      </c>
    </row>
    <row r="3867" spans="1:7" s="172" customFormat="1" ht="15" customHeight="1" x14ac:dyDescent="0.25">
      <c r="A3867" s="815" t="s">
        <v>6916</v>
      </c>
      <c r="B3867" s="815" t="s">
        <v>6287</v>
      </c>
      <c r="C3867" s="815" t="s">
        <v>6287</v>
      </c>
      <c r="D3867" s="843" t="s">
        <v>6917</v>
      </c>
      <c r="E3867" s="843">
        <v>160</v>
      </c>
      <c r="F3867" s="815">
        <v>127.39130434782609</v>
      </c>
      <c r="G3867" s="202" t="str">
        <f t="shared" si="60"/>
        <v/>
      </c>
    </row>
    <row r="3868" spans="1:7" s="172" customFormat="1" ht="15" customHeight="1" x14ac:dyDescent="0.25">
      <c r="A3868" s="815" t="s">
        <v>15032</v>
      </c>
      <c r="B3868" s="815" t="s">
        <v>6287</v>
      </c>
      <c r="C3868" s="815" t="s">
        <v>6287</v>
      </c>
      <c r="D3868" s="843" t="s">
        <v>6918</v>
      </c>
      <c r="E3868" s="843">
        <v>10</v>
      </c>
      <c r="F3868" s="815">
        <v>1.2391304347826089</v>
      </c>
      <c r="G3868" s="202" t="str">
        <f t="shared" si="60"/>
        <v/>
      </c>
    </row>
    <row r="3869" spans="1:7" s="172" customFormat="1" ht="15" customHeight="1" x14ac:dyDescent="0.25">
      <c r="A3869" s="815" t="s">
        <v>6896</v>
      </c>
      <c r="B3869" s="815" t="s">
        <v>6287</v>
      </c>
      <c r="C3869" s="815" t="s">
        <v>6287</v>
      </c>
      <c r="D3869" s="843" t="s">
        <v>6919</v>
      </c>
      <c r="E3869" s="843">
        <v>100</v>
      </c>
      <c r="F3869" s="815">
        <v>18.478260869565219</v>
      </c>
      <c r="G3869" s="202" t="str">
        <f t="shared" si="60"/>
        <v/>
      </c>
    </row>
    <row r="3870" spans="1:7" s="172" customFormat="1" ht="15" customHeight="1" x14ac:dyDescent="0.25">
      <c r="A3870" s="815" t="s">
        <v>6916</v>
      </c>
      <c r="B3870" s="815" t="s">
        <v>6287</v>
      </c>
      <c r="C3870" s="815" t="s">
        <v>6287</v>
      </c>
      <c r="D3870" s="843" t="s">
        <v>18563</v>
      </c>
      <c r="E3870" s="843">
        <v>25</v>
      </c>
      <c r="F3870" s="815">
        <v>5</v>
      </c>
      <c r="G3870" s="202" t="str">
        <f t="shared" si="60"/>
        <v/>
      </c>
    </row>
    <row r="3871" spans="1:7" s="172" customFormat="1" ht="15" customHeight="1" x14ac:dyDescent="0.25">
      <c r="A3871" s="815" t="s">
        <v>3006</v>
      </c>
      <c r="B3871" s="815" t="s">
        <v>6287</v>
      </c>
      <c r="C3871" s="815" t="s">
        <v>6287</v>
      </c>
      <c r="D3871" s="843" t="s">
        <v>18564</v>
      </c>
      <c r="E3871" s="843">
        <v>63</v>
      </c>
      <c r="F3871" s="815">
        <v>25</v>
      </c>
      <c r="G3871" s="202" t="str">
        <f t="shared" si="60"/>
        <v/>
      </c>
    </row>
    <row r="3872" spans="1:7" s="172" customFormat="1" ht="15" customHeight="1" x14ac:dyDescent="0.25">
      <c r="A3872" s="815" t="s">
        <v>15024</v>
      </c>
      <c r="B3872" s="815" t="s">
        <v>6287</v>
      </c>
      <c r="C3872" s="815" t="s">
        <v>6287</v>
      </c>
      <c r="D3872" s="843" t="s">
        <v>19035</v>
      </c>
      <c r="E3872" s="843">
        <v>250</v>
      </c>
      <c r="F3872" s="815">
        <v>50</v>
      </c>
      <c r="G3872" s="202" t="str">
        <f t="shared" si="60"/>
        <v/>
      </c>
    </row>
    <row r="3873" spans="1:7" s="172" customFormat="1" ht="15" customHeight="1" x14ac:dyDescent="0.25">
      <c r="A3873" s="815" t="s">
        <v>6412</v>
      </c>
      <c r="B3873" s="815" t="s">
        <v>6287</v>
      </c>
      <c r="C3873" s="815" t="s">
        <v>6287</v>
      </c>
      <c r="D3873" s="843" t="s">
        <v>18565</v>
      </c>
      <c r="E3873" s="843">
        <v>100</v>
      </c>
      <c r="F3873" s="815">
        <v>45</v>
      </c>
      <c r="G3873" s="202" t="str">
        <f t="shared" si="60"/>
        <v/>
      </c>
    </row>
    <row r="3874" spans="1:7" s="172" customFormat="1" ht="15" customHeight="1" x14ac:dyDescent="0.25">
      <c r="A3874" s="815" t="s">
        <v>6395</v>
      </c>
      <c r="B3874" s="815" t="s">
        <v>6287</v>
      </c>
      <c r="C3874" s="815" t="s">
        <v>6287</v>
      </c>
      <c r="D3874" s="843" t="s">
        <v>19036</v>
      </c>
      <c r="E3874" s="843">
        <v>160</v>
      </c>
      <c r="F3874" s="815">
        <v>40</v>
      </c>
      <c r="G3874" s="202" t="str">
        <f t="shared" si="60"/>
        <v/>
      </c>
    </row>
    <row r="3875" spans="1:7" s="172" customFormat="1" ht="15" customHeight="1" x14ac:dyDescent="0.25">
      <c r="A3875" s="815" t="s">
        <v>19183</v>
      </c>
      <c r="B3875" s="815" t="s">
        <v>6287</v>
      </c>
      <c r="C3875" s="815" t="s">
        <v>6287</v>
      </c>
      <c r="D3875" s="843" t="s">
        <v>19184</v>
      </c>
      <c r="E3875" s="843">
        <v>250</v>
      </c>
      <c r="F3875" s="815">
        <v>142</v>
      </c>
      <c r="G3875" s="202" t="str">
        <f t="shared" si="60"/>
        <v/>
      </c>
    </row>
    <row r="3876" spans="1:7" s="172" customFormat="1" ht="15" customHeight="1" x14ac:dyDescent="0.25">
      <c r="A3876" s="815" t="s">
        <v>6894</v>
      </c>
      <c r="B3876" s="815" t="s">
        <v>6287</v>
      </c>
      <c r="C3876" s="815" t="s">
        <v>6287</v>
      </c>
      <c r="D3876" s="843" t="s">
        <v>19852</v>
      </c>
      <c r="E3876" s="843">
        <v>63</v>
      </c>
      <c r="F3876" s="815">
        <v>33</v>
      </c>
      <c r="G3876" s="202" t="str">
        <f t="shared" si="60"/>
        <v/>
      </c>
    </row>
    <row r="3877" spans="1:7" s="172" customFormat="1" ht="15" customHeight="1" x14ac:dyDescent="0.25">
      <c r="A3877" s="844" t="s">
        <v>15033</v>
      </c>
      <c r="B3877" s="844" t="s">
        <v>15034</v>
      </c>
      <c r="C3877" s="844" t="s">
        <v>6920</v>
      </c>
      <c r="D3877" s="845" t="s">
        <v>6921</v>
      </c>
      <c r="E3877" s="845">
        <v>40</v>
      </c>
      <c r="F3877" s="844">
        <v>20</v>
      </c>
      <c r="G3877" s="202" t="str">
        <f t="shared" si="60"/>
        <v/>
      </c>
    </row>
    <row r="3878" spans="1:7" s="172" customFormat="1" ht="15" customHeight="1" x14ac:dyDescent="0.25">
      <c r="A3878" s="844" t="s">
        <v>15033</v>
      </c>
      <c r="B3878" s="844" t="s">
        <v>15034</v>
      </c>
      <c r="C3878" s="844" t="s">
        <v>6920</v>
      </c>
      <c r="D3878" s="845" t="s">
        <v>6922</v>
      </c>
      <c r="E3878" s="845" t="s">
        <v>6923</v>
      </c>
      <c r="F3878" s="844">
        <v>0</v>
      </c>
      <c r="G3878" s="202" t="str">
        <f t="shared" si="60"/>
        <v/>
      </c>
    </row>
    <row r="3879" spans="1:7" s="172" customFormat="1" ht="15" customHeight="1" x14ac:dyDescent="0.25">
      <c r="A3879" s="844" t="s">
        <v>15033</v>
      </c>
      <c r="B3879" s="844" t="s">
        <v>15034</v>
      </c>
      <c r="C3879" s="844" t="s">
        <v>6920</v>
      </c>
      <c r="D3879" s="845" t="s">
        <v>6924</v>
      </c>
      <c r="E3879" s="845">
        <v>400</v>
      </c>
      <c r="F3879" s="844">
        <v>50</v>
      </c>
      <c r="G3879" s="202" t="str">
        <f t="shared" si="60"/>
        <v/>
      </c>
    </row>
    <row r="3880" spans="1:7" s="172" customFormat="1" ht="15" customHeight="1" x14ac:dyDescent="0.25">
      <c r="A3880" s="844" t="s">
        <v>15033</v>
      </c>
      <c r="B3880" s="844" t="s">
        <v>15034</v>
      </c>
      <c r="C3880" s="844" t="s">
        <v>6920</v>
      </c>
      <c r="D3880" s="845" t="s">
        <v>6925</v>
      </c>
      <c r="E3880" s="845">
        <v>400</v>
      </c>
      <c r="F3880" s="844">
        <v>60</v>
      </c>
      <c r="G3880" s="202" t="str">
        <f t="shared" si="60"/>
        <v/>
      </c>
    </row>
    <row r="3881" spans="1:7" s="172" customFormat="1" ht="15" customHeight="1" x14ac:dyDescent="0.25">
      <c r="A3881" s="844" t="s">
        <v>15033</v>
      </c>
      <c r="B3881" s="844" t="s">
        <v>15034</v>
      </c>
      <c r="C3881" s="844" t="s">
        <v>6920</v>
      </c>
      <c r="D3881" s="845" t="s">
        <v>6926</v>
      </c>
      <c r="E3881" s="845" t="s">
        <v>8784</v>
      </c>
      <c r="F3881" s="844">
        <v>120</v>
      </c>
      <c r="G3881" s="202" t="str">
        <f t="shared" si="60"/>
        <v/>
      </c>
    </row>
    <row r="3882" spans="1:7" s="172" customFormat="1" ht="15" customHeight="1" x14ac:dyDescent="0.25">
      <c r="A3882" s="844" t="s">
        <v>15035</v>
      </c>
      <c r="B3882" s="844" t="s">
        <v>15034</v>
      </c>
      <c r="C3882" s="844" t="s">
        <v>6920</v>
      </c>
      <c r="D3882" s="845" t="s">
        <v>6927</v>
      </c>
      <c r="E3882" s="845">
        <v>250</v>
      </c>
      <c r="F3882" s="844">
        <v>100</v>
      </c>
      <c r="G3882" s="202" t="str">
        <f t="shared" si="60"/>
        <v/>
      </c>
    </row>
    <row r="3883" spans="1:7" s="172" customFormat="1" ht="15" customHeight="1" x14ac:dyDescent="0.25">
      <c r="A3883" s="844" t="s">
        <v>15033</v>
      </c>
      <c r="B3883" s="844" t="s">
        <v>15034</v>
      </c>
      <c r="C3883" s="844" t="s">
        <v>6920</v>
      </c>
      <c r="D3883" s="845" t="s">
        <v>6928</v>
      </c>
      <c r="E3883" s="845">
        <v>100</v>
      </c>
      <c r="F3883" s="844">
        <v>50</v>
      </c>
      <c r="G3883" s="202" t="str">
        <f t="shared" si="60"/>
        <v/>
      </c>
    </row>
    <row r="3884" spans="1:7" s="172" customFormat="1" ht="15" customHeight="1" x14ac:dyDescent="0.25">
      <c r="A3884" s="844" t="s">
        <v>15033</v>
      </c>
      <c r="B3884" s="844" t="s">
        <v>15034</v>
      </c>
      <c r="C3884" s="844" t="s">
        <v>6920</v>
      </c>
      <c r="D3884" s="845" t="s">
        <v>6929</v>
      </c>
      <c r="E3884" s="845">
        <v>400</v>
      </c>
      <c r="F3884" s="844">
        <v>0</v>
      </c>
      <c r="G3884" s="202" t="str">
        <f t="shared" si="60"/>
        <v/>
      </c>
    </row>
    <row r="3885" spans="1:7" s="172" customFormat="1" ht="15" customHeight="1" x14ac:dyDescent="0.25">
      <c r="A3885" s="844" t="s">
        <v>15033</v>
      </c>
      <c r="B3885" s="844" t="s">
        <v>15034</v>
      </c>
      <c r="C3885" s="844" t="s">
        <v>6920</v>
      </c>
      <c r="D3885" s="845" t="s">
        <v>6930</v>
      </c>
      <c r="E3885" s="845">
        <v>160</v>
      </c>
      <c r="F3885" s="844">
        <v>0</v>
      </c>
      <c r="G3885" s="202" t="str">
        <f t="shared" si="60"/>
        <v/>
      </c>
    </row>
    <row r="3886" spans="1:7" s="172" customFormat="1" ht="15" customHeight="1" x14ac:dyDescent="0.25">
      <c r="A3886" s="844" t="s">
        <v>15033</v>
      </c>
      <c r="B3886" s="844" t="s">
        <v>15034</v>
      </c>
      <c r="C3886" s="844" t="s">
        <v>6920</v>
      </c>
      <c r="D3886" s="845" t="s">
        <v>6931</v>
      </c>
      <c r="E3886" s="845">
        <v>250</v>
      </c>
      <c r="F3886" s="844">
        <v>90</v>
      </c>
      <c r="G3886" s="202" t="str">
        <f t="shared" si="60"/>
        <v/>
      </c>
    </row>
    <row r="3887" spans="1:7" s="172" customFormat="1" ht="15" customHeight="1" x14ac:dyDescent="0.25">
      <c r="A3887" s="844" t="s">
        <v>15036</v>
      </c>
      <c r="B3887" s="844" t="s">
        <v>15034</v>
      </c>
      <c r="C3887" s="844" t="s">
        <v>6920</v>
      </c>
      <c r="D3887" s="845" t="s">
        <v>6932</v>
      </c>
      <c r="E3887" s="845">
        <v>160</v>
      </c>
      <c r="F3887" s="844">
        <v>100</v>
      </c>
      <c r="G3887" s="202" t="str">
        <f t="shared" si="60"/>
        <v/>
      </c>
    </row>
    <row r="3888" spans="1:7" s="172" customFormat="1" ht="15" customHeight="1" x14ac:dyDescent="0.25">
      <c r="A3888" s="844" t="s">
        <v>15037</v>
      </c>
      <c r="B3888" s="844" t="s">
        <v>15034</v>
      </c>
      <c r="C3888" s="844" t="s">
        <v>6920</v>
      </c>
      <c r="D3888" s="845" t="s">
        <v>6933</v>
      </c>
      <c r="E3888" s="845">
        <v>100</v>
      </c>
      <c r="F3888" s="844">
        <v>60</v>
      </c>
      <c r="G3888" s="202" t="str">
        <f t="shared" si="60"/>
        <v/>
      </c>
    </row>
    <row r="3889" spans="1:7" s="172" customFormat="1" ht="15" customHeight="1" x14ac:dyDescent="0.25">
      <c r="A3889" s="844" t="s">
        <v>6934</v>
      </c>
      <c r="B3889" s="844" t="s">
        <v>15034</v>
      </c>
      <c r="C3889" s="844" t="s">
        <v>6920</v>
      </c>
      <c r="D3889" s="845" t="s">
        <v>6935</v>
      </c>
      <c r="E3889" s="845">
        <v>100</v>
      </c>
      <c r="F3889" s="844">
        <v>60</v>
      </c>
      <c r="G3889" s="202" t="str">
        <f t="shared" si="60"/>
        <v/>
      </c>
    </row>
    <row r="3890" spans="1:7" s="172" customFormat="1" ht="15" customHeight="1" x14ac:dyDescent="0.25">
      <c r="A3890" s="844" t="s">
        <v>15038</v>
      </c>
      <c r="B3890" s="844" t="s">
        <v>15034</v>
      </c>
      <c r="C3890" s="844" t="s">
        <v>6920</v>
      </c>
      <c r="D3890" s="845" t="s">
        <v>6936</v>
      </c>
      <c r="E3890" s="845">
        <v>250</v>
      </c>
      <c r="F3890" s="844">
        <v>200</v>
      </c>
      <c r="G3890" s="202" t="str">
        <f t="shared" si="60"/>
        <v/>
      </c>
    </row>
    <row r="3891" spans="1:7" s="172" customFormat="1" ht="15" customHeight="1" x14ac:dyDescent="0.25">
      <c r="A3891" s="844" t="s">
        <v>15039</v>
      </c>
      <c r="B3891" s="844" t="s">
        <v>15034</v>
      </c>
      <c r="C3891" s="844" t="s">
        <v>6920</v>
      </c>
      <c r="D3891" s="845" t="s">
        <v>6937</v>
      </c>
      <c r="E3891" s="845">
        <v>100</v>
      </c>
      <c r="F3891" s="844">
        <v>50</v>
      </c>
      <c r="G3891" s="202" t="str">
        <f t="shared" si="60"/>
        <v/>
      </c>
    </row>
    <row r="3892" spans="1:7" s="172" customFormat="1" ht="15" customHeight="1" x14ac:dyDescent="0.25">
      <c r="A3892" s="844" t="s">
        <v>15040</v>
      </c>
      <c r="B3892" s="844" t="s">
        <v>15034</v>
      </c>
      <c r="C3892" s="844" t="s">
        <v>6920</v>
      </c>
      <c r="D3892" s="845" t="s">
        <v>6938</v>
      </c>
      <c r="E3892" s="845">
        <v>63</v>
      </c>
      <c r="F3892" s="844">
        <v>33</v>
      </c>
      <c r="G3892" s="202" t="str">
        <f t="shared" si="60"/>
        <v/>
      </c>
    </row>
    <row r="3893" spans="1:7" s="172" customFormat="1" ht="15" customHeight="1" x14ac:dyDescent="0.25">
      <c r="A3893" s="844" t="s">
        <v>15041</v>
      </c>
      <c r="B3893" s="844" t="s">
        <v>15034</v>
      </c>
      <c r="C3893" s="844" t="s">
        <v>6920</v>
      </c>
      <c r="D3893" s="845" t="s">
        <v>6939</v>
      </c>
      <c r="E3893" s="845">
        <v>40</v>
      </c>
      <c r="F3893" s="844">
        <v>35</v>
      </c>
      <c r="G3893" s="202" t="str">
        <f t="shared" si="60"/>
        <v/>
      </c>
    </row>
    <row r="3894" spans="1:7" s="172" customFormat="1" ht="15" customHeight="1" x14ac:dyDescent="0.25">
      <c r="A3894" s="844" t="s">
        <v>6940</v>
      </c>
      <c r="B3894" s="844" t="s">
        <v>15034</v>
      </c>
      <c r="C3894" s="844" t="s">
        <v>6920</v>
      </c>
      <c r="D3894" s="845" t="s">
        <v>6941</v>
      </c>
      <c r="E3894" s="845">
        <v>100</v>
      </c>
      <c r="F3894" s="844">
        <v>65</v>
      </c>
      <c r="G3894" s="202" t="str">
        <f t="shared" si="60"/>
        <v/>
      </c>
    </row>
    <row r="3895" spans="1:7" s="172" customFormat="1" ht="15" customHeight="1" x14ac:dyDescent="0.25">
      <c r="A3895" s="844" t="s">
        <v>6942</v>
      </c>
      <c r="B3895" s="844" t="s">
        <v>15034</v>
      </c>
      <c r="C3895" s="844" t="s">
        <v>6920</v>
      </c>
      <c r="D3895" s="845" t="s">
        <v>6943</v>
      </c>
      <c r="E3895" s="845">
        <v>60</v>
      </c>
      <c r="F3895" s="844">
        <v>30</v>
      </c>
      <c r="G3895" s="202" t="str">
        <f t="shared" si="60"/>
        <v/>
      </c>
    </row>
    <row r="3896" spans="1:7" s="172" customFormat="1" ht="15" customHeight="1" x14ac:dyDescent="0.25">
      <c r="A3896" s="844" t="s">
        <v>15042</v>
      </c>
      <c r="B3896" s="844" t="s">
        <v>15034</v>
      </c>
      <c r="C3896" s="844" t="s">
        <v>6920</v>
      </c>
      <c r="D3896" s="845" t="s">
        <v>6944</v>
      </c>
      <c r="E3896" s="845">
        <v>10</v>
      </c>
      <c r="F3896" s="844">
        <v>5</v>
      </c>
      <c r="G3896" s="202" t="str">
        <f t="shared" si="60"/>
        <v/>
      </c>
    </row>
    <row r="3897" spans="1:7" s="172" customFormat="1" ht="15" customHeight="1" x14ac:dyDescent="0.25">
      <c r="A3897" s="844" t="s">
        <v>15043</v>
      </c>
      <c r="B3897" s="844" t="s">
        <v>15034</v>
      </c>
      <c r="C3897" s="844" t="s">
        <v>6920</v>
      </c>
      <c r="D3897" s="845" t="s">
        <v>6945</v>
      </c>
      <c r="E3897" s="845" t="s">
        <v>6923</v>
      </c>
      <c r="F3897" s="844">
        <v>10</v>
      </c>
      <c r="G3897" s="202" t="str">
        <f t="shared" si="60"/>
        <v/>
      </c>
    </row>
    <row r="3898" spans="1:7" s="172" customFormat="1" ht="15" customHeight="1" x14ac:dyDescent="0.25">
      <c r="A3898" s="844" t="s">
        <v>15022</v>
      </c>
      <c r="B3898" s="844" t="s">
        <v>15034</v>
      </c>
      <c r="C3898" s="844" t="s">
        <v>6920</v>
      </c>
      <c r="D3898" s="845" t="s">
        <v>6946</v>
      </c>
      <c r="E3898" s="845">
        <v>60</v>
      </c>
      <c r="F3898" s="844">
        <v>50</v>
      </c>
      <c r="G3898" s="202" t="str">
        <f t="shared" si="60"/>
        <v/>
      </c>
    </row>
    <row r="3899" spans="1:7" s="172" customFormat="1" ht="15" customHeight="1" x14ac:dyDescent="0.25">
      <c r="A3899" s="844" t="s">
        <v>15044</v>
      </c>
      <c r="B3899" s="844" t="s">
        <v>15034</v>
      </c>
      <c r="C3899" s="844" t="s">
        <v>6920</v>
      </c>
      <c r="D3899" s="845" t="s">
        <v>6947</v>
      </c>
      <c r="E3899" s="845">
        <v>160</v>
      </c>
      <c r="F3899" s="844">
        <v>50</v>
      </c>
      <c r="G3899" s="202" t="str">
        <f t="shared" si="60"/>
        <v/>
      </c>
    </row>
    <row r="3900" spans="1:7" s="172" customFormat="1" ht="15" customHeight="1" x14ac:dyDescent="0.25">
      <c r="A3900" s="844" t="s">
        <v>15045</v>
      </c>
      <c r="B3900" s="844" t="s">
        <v>15034</v>
      </c>
      <c r="C3900" s="844" t="s">
        <v>6920</v>
      </c>
      <c r="D3900" s="845" t="s">
        <v>6948</v>
      </c>
      <c r="E3900" s="845">
        <v>100</v>
      </c>
      <c r="F3900" s="844">
        <v>60</v>
      </c>
      <c r="G3900" s="202" t="str">
        <f t="shared" si="60"/>
        <v/>
      </c>
    </row>
    <row r="3901" spans="1:7" s="172" customFormat="1" ht="15" customHeight="1" x14ac:dyDescent="0.25">
      <c r="A3901" s="844" t="s">
        <v>15046</v>
      </c>
      <c r="B3901" s="844" t="s">
        <v>15034</v>
      </c>
      <c r="C3901" s="844" t="s">
        <v>6920</v>
      </c>
      <c r="D3901" s="845" t="s">
        <v>6949</v>
      </c>
      <c r="E3901" s="845">
        <v>400</v>
      </c>
      <c r="F3901" s="844">
        <v>400</v>
      </c>
      <c r="G3901" s="202" t="str">
        <f t="shared" si="60"/>
        <v>не загружен</v>
      </c>
    </row>
    <row r="3902" spans="1:7" s="172" customFormat="1" ht="15" customHeight="1" x14ac:dyDescent="0.25">
      <c r="A3902" s="844" t="s">
        <v>15047</v>
      </c>
      <c r="B3902" s="844" t="s">
        <v>15034</v>
      </c>
      <c r="C3902" s="844" t="s">
        <v>6920</v>
      </c>
      <c r="D3902" s="845" t="s">
        <v>6950</v>
      </c>
      <c r="E3902" s="845">
        <v>100</v>
      </c>
      <c r="F3902" s="844">
        <v>90</v>
      </c>
      <c r="G3902" s="202" t="str">
        <f t="shared" si="60"/>
        <v/>
      </c>
    </row>
    <row r="3903" spans="1:7" s="172" customFormat="1" ht="15" customHeight="1" x14ac:dyDescent="0.25">
      <c r="A3903" s="844" t="s">
        <v>15048</v>
      </c>
      <c r="B3903" s="844" t="s">
        <v>15034</v>
      </c>
      <c r="C3903" s="844" t="s">
        <v>6920</v>
      </c>
      <c r="D3903" s="845" t="s">
        <v>6951</v>
      </c>
      <c r="E3903" s="845">
        <v>160</v>
      </c>
      <c r="F3903" s="844">
        <v>50</v>
      </c>
      <c r="G3903" s="202" t="str">
        <f t="shared" si="60"/>
        <v/>
      </c>
    </row>
    <row r="3904" spans="1:7" s="172" customFormat="1" ht="15" customHeight="1" x14ac:dyDescent="0.25">
      <c r="A3904" s="844" t="s">
        <v>15046</v>
      </c>
      <c r="B3904" s="844" t="s">
        <v>15034</v>
      </c>
      <c r="C3904" s="844" t="s">
        <v>6920</v>
      </c>
      <c r="D3904" s="845" t="s">
        <v>6952</v>
      </c>
      <c r="E3904" s="845">
        <v>250</v>
      </c>
      <c r="F3904" s="844">
        <v>50</v>
      </c>
      <c r="G3904" s="202" t="str">
        <f t="shared" si="60"/>
        <v/>
      </c>
    </row>
    <row r="3905" spans="1:7" s="172" customFormat="1" ht="15" customHeight="1" x14ac:dyDescent="0.25">
      <c r="A3905" s="844" t="s">
        <v>15046</v>
      </c>
      <c r="B3905" s="844" t="s">
        <v>15034</v>
      </c>
      <c r="C3905" s="844" t="s">
        <v>6920</v>
      </c>
      <c r="D3905" s="845" t="s">
        <v>6953</v>
      </c>
      <c r="E3905" s="845">
        <v>250</v>
      </c>
      <c r="F3905" s="844">
        <v>200</v>
      </c>
      <c r="G3905" s="202" t="str">
        <f t="shared" si="60"/>
        <v/>
      </c>
    </row>
    <row r="3906" spans="1:7" s="172" customFormat="1" ht="15" customHeight="1" x14ac:dyDescent="0.25">
      <c r="A3906" s="844" t="s">
        <v>15049</v>
      </c>
      <c r="B3906" s="844" t="s">
        <v>15034</v>
      </c>
      <c r="C3906" s="844" t="s">
        <v>6920</v>
      </c>
      <c r="D3906" s="845" t="s">
        <v>6954</v>
      </c>
      <c r="E3906" s="845">
        <v>250</v>
      </c>
      <c r="F3906" s="844">
        <v>60</v>
      </c>
      <c r="G3906" s="202" t="str">
        <f t="shared" si="60"/>
        <v/>
      </c>
    </row>
    <row r="3907" spans="1:7" s="172" customFormat="1" ht="15" customHeight="1" x14ac:dyDescent="0.25">
      <c r="A3907" s="844" t="s">
        <v>15050</v>
      </c>
      <c r="B3907" s="844" t="s">
        <v>15034</v>
      </c>
      <c r="C3907" s="844" t="s">
        <v>6920</v>
      </c>
      <c r="D3907" s="845" t="s">
        <v>6955</v>
      </c>
      <c r="E3907" s="845">
        <v>160</v>
      </c>
      <c r="F3907" s="844">
        <v>160</v>
      </c>
      <c r="G3907" s="202" t="str">
        <f t="shared" si="60"/>
        <v>не загружен</v>
      </c>
    </row>
    <row r="3908" spans="1:7" s="172" customFormat="1" ht="15" customHeight="1" x14ac:dyDescent="0.25">
      <c r="A3908" s="844" t="s">
        <v>15051</v>
      </c>
      <c r="B3908" s="844" t="s">
        <v>15034</v>
      </c>
      <c r="C3908" s="844" t="s">
        <v>6920</v>
      </c>
      <c r="D3908" s="845" t="s">
        <v>6956</v>
      </c>
      <c r="E3908" s="845">
        <v>20</v>
      </c>
      <c r="F3908" s="844">
        <v>10</v>
      </c>
      <c r="G3908" s="202" t="str">
        <f t="shared" si="60"/>
        <v/>
      </c>
    </row>
    <row r="3909" spans="1:7" s="172" customFormat="1" ht="15" customHeight="1" x14ac:dyDescent="0.25">
      <c r="A3909" s="844" t="s">
        <v>15052</v>
      </c>
      <c r="B3909" s="844" t="s">
        <v>15034</v>
      </c>
      <c r="C3909" s="844" t="s">
        <v>6920</v>
      </c>
      <c r="D3909" s="845" t="s">
        <v>6957</v>
      </c>
      <c r="E3909" s="845">
        <v>30</v>
      </c>
      <c r="F3909" s="844">
        <v>10</v>
      </c>
      <c r="G3909" s="202" t="str">
        <f t="shared" si="60"/>
        <v/>
      </c>
    </row>
    <row r="3910" spans="1:7" s="172" customFormat="1" ht="15" customHeight="1" x14ac:dyDescent="0.25">
      <c r="A3910" s="844" t="s">
        <v>15053</v>
      </c>
      <c r="B3910" s="844" t="s">
        <v>15034</v>
      </c>
      <c r="C3910" s="844" t="s">
        <v>6920</v>
      </c>
      <c r="D3910" s="845" t="s">
        <v>6958</v>
      </c>
      <c r="E3910" s="845">
        <v>60</v>
      </c>
      <c r="F3910" s="844">
        <v>10</v>
      </c>
      <c r="G3910" s="202" t="str">
        <f t="shared" si="60"/>
        <v/>
      </c>
    </row>
    <row r="3911" spans="1:7" s="172" customFormat="1" ht="15" customHeight="1" x14ac:dyDescent="0.25">
      <c r="A3911" s="844" t="s">
        <v>15046</v>
      </c>
      <c r="B3911" s="844" t="s">
        <v>15034</v>
      </c>
      <c r="C3911" s="844" t="s">
        <v>6920</v>
      </c>
      <c r="D3911" s="845" t="s">
        <v>6959</v>
      </c>
      <c r="E3911" s="845">
        <v>400</v>
      </c>
      <c r="F3911" s="844">
        <v>400</v>
      </c>
      <c r="G3911" s="202" t="str">
        <f t="shared" si="60"/>
        <v>не загружен</v>
      </c>
    </row>
    <row r="3912" spans="1:7" s="172" customFormat="1" ht="15" customHeight="1" x14ac:dyDescent="0.25">
      <c r="A3912" s="844" t="s">
        <v>15054</v>
      </c>
      <c r="B3912" s="844" t="s">
        <v>15034</v>
      </c>
      <c r="C3912" s="844" t="s">
        <v>6920</v>
      </c>
      <c r="D3912" s="845" t="s">
        <v>6960</v>
      </c>
      <c r="E3912" s="845" t="s">
        <v>8771</v>
      </c>
      <c r="F3912" s="844">
        <v>20</v>
      </c>
      <c r="G3912" s="202" t="str">
        <f t="shared" si="60"/>
        <v/>
      </c>
    </row>
    <row r="3913" spans="1:7" s="172" customFormat="1" ht="15" customHeight="1" x14ac:dyDescent="0.25">
      <c r="A3913" s="844" t="s">
        <v>15055</v>
      </c>
      <c r="B3913" s="844" t="s">
        <v>15034</v>
      </c>
      <c r="C3913" s="844" t="s">
        <v>6920</v>
      </c>
      <c r="D3913" s="845" t="s">
        <v>6961</v>
      </c>
      <c r="E3913" s="845">
        <v>30</v>
      </c>
      <c r="F3913" s="844">
        <v>20</v>
      </c>
      <c r="G3913" s="202" t="str">
        <f t="shared" si="60"/>
        <v/>
      </c>
    </row>
    <row r="3914" spans="1:7" s="172" customFormat="1" ht="15" customHeight="1" x14ac:dyDescent="0.25">
      <c r="A3914" s="844" t="s">
        <v>6962</v>
      </c>
      <c r="B3914" s="844" t="s">
        <v>15034</v>
      </c>
      <c r="C3914" s="844" t="s">
        <v>6920</v>
      </c>
      <c r="D3914" s="845" t="s">
        <v>6963</v>
      </c>
      <c r="E3914" s="845">
        <v>30</v>
      </c>
      <c r="F3914" s="844">
        <v>21</v>
      </c>
      <c r="G3914" s="202" t="str">
        <f t="shared" si="60"/>
        <v/>
      </c>
    </row>
    <row r="3915" spans="1:7" s="172" customFormat="1" ht="15" customHeight="1" x14ac:dyDescent="0.25">
      <c r="A3915" s="844" t="s">
        <v>15056</v>
      </c>
      <c r="B3915" s="844" t="s">
        <v>15034</v>
      </c>
      <c r="C3915" s="844" t="s">
        <v>6920</v>
      </c>
      <c r="D3915" s="845" t="s">
        <v>6964</v>
      </c>
      <c r="E3915" s="845">
        <v>30</v>
      </c>
      <c r="F3915" s="844">
        <v>20</v>
      </c>
      <c r="G3915" s="202" t="str">
        <f t="shared" si="60"/>
        <v/>
      </c>
    </row>
    <row r="3916" spans="1:7" s="172" customFormat="1" ht="15" customHeight="1" x14ac:dyDescent="0.25">
      <c r="A3916" s="844" t="s">
        <v>15057</v>
      </c>
      <c r="B3916" s="844" t="s">
        <v>15034</v>
      </c>
      <c r="C3916" s="844" t="s">
        <v>6920</v>
      </c>
      <c r="D3916" s="845" t="s">
        <v>6965</v>
      </c>
      <c r="E3916" s="845">
        <v>10</v>
      </c>
      <c r="F3916" s="844">
        <v>2</v>
      </c>
      <c r="G3916" s="202" t="str">
        <f t="shared" si="60"/>
        <v/>
      </c>
    </row>
    <row r="3917" spans="1:7" s="172" customFormat="1" ht="15" customHeight="1" x14ac:dyDescent="0.25">
      <c r="A3917" s="844" t="s">
        <v>15038</v>
      </c>
      <c r="B3917" s="844" t="s">
        <v>15034</v>
      </c>
      <c r="C3917" s="844" t="s">
        <v>6920</v>
      </c>
      <c r="D3917" s="845" t="s">
        <v>6966</v>
      </c>
      <c r="E3917" s="845">
        <v>250</v>
      </c>
      <c r="F3917" s="844">
        <v>150</v>
      </c>
      <c r="G3917" s="202" t="str">
        <f t="shared" si="60"/>
        <v/>
      </c>
    </row>
    <row r="3918" spans="1:7" s="172" customFormat="1" ht="15" customHeight="1" x14ac:dyDescent="0.25">
      <c r="A3918" s="844" t="s">
        <v>5591</v>
      </c>
      <c r="B3918" s="844" t="s">
        <v>15034</v>
      </c>
      <c r="C3918" s="844" t="s">
        <v>6920</v>
      </c>
      <c r="D3918" s="845" t="s">
        <v>6967</v>
      </c>
      <c r="E3918" s="845">
        <v>250</v>
      </c>
      <c r="F3918" s="844">
        <v>100</v>
      </c>
      <c r="G3918" s="202" t="str">
        <f t="shared" si="60"/>
        <v/>
      </c>
    </row>
    <row r="3919" spans="1:7" s="172" customFormat="1" ht="15" customHeight="1" x14ac:dyDescent="0.25">
      <c r="A3919" s="844" t="s">
        <v>15038</v>
      </c>
      <c r="B3919" s="844" t="s">
        <v>15034</v>
      </c>
      <c r="C3919" s="844" t="s">
        <v>6920</v>
      </c>
      <c r="D3919" s="845" t="s">
        <v>6968</v>
      </c>
      <c r="E3919" s="845">
        <v>160</v>
      </c>
      <c r="F3919" s="844">
        <v>65</v>
      </c>
      <c r="G3919" s="202" t="str">
        <f t="shared" si="60"/>
        <v/>
      </c>
    </row>
    <row r="3920" spans="1:7" s="172" customFormat="1" ht="15" customHeight="1" x14ac:dyDescent="0.25">
      <c r="A3920" s="844" t="s">
        <v>15058</v>
      </c>
      <c r="B3920" s="844" t="s">
        <v>15034</v>
      </c>
      <c r="C3920" s="844" t="s">
        <v>6920</v>
      </c>
      <c r="D3920" s="845" t="s">
        <v>6969</v>
      </c>
      <c r="E3920" s="845">
        <v>160</v>
      </c>
      <c r="F3920" s="844">
        <v>40</v>
      </c>
      <c r="G3920" s="202" t="str">
        <f t="shared" si="60"/>
        <v/>
      </c>
    </row>
    <row r="3921" spans="1:7" s="172" customFormat="1" ht="15" customHeight="1" x14ac:dyDescent="0.25">
      <c r="A3921" s="844" t="s">
        <v>15059</v>
      </c>
      <c r="B3921" s="844" t="s">
        <v>15034</v>
      </c>
      <c r="C3921" s="844" t="s">
        <v>6920</v>
      </c>
      <c r="D3921" s="845" t="s">
        <v>6970</v>
      </c>
      <c r="E3921" s="845">
        <v>60</v>
      </c>
      <c r="F3921" s="844">
        <v>30</v>
      </c>
      <c r="G3921" s="202" t="str">
        <f t="shared" si="60"/>
        <v/>
      </c>
    </row>
    <row r="3922" spans="1:7" s="172" customFormat="1" ht="15" customHeight="1" x14ac:dyDescent="0.25">
      <c r="A3922" s="844" t="s">
        <v>15060</v>
      </c>
      <c r="B3922" s="844" t="s">
        <v>15034</v>
      </c>
      <c r="C3922" s="844" t="s">
        <v>6920</v>
      </c>
      <c r="D3922" s="845" t="s">
        <v>6971</v>
      </c>
      <c r="E3922" s="845">
        <v>100</v>
      </c>
      <c r="F3922" s="844">
        <v>70</v>
      </c>
      <c r="G3922" s="202" t="str">
        <f t="shared" si="60"/>
        <v/>
      </c>
    </row>
    <row r="3923" spans="1:7" s="172" customFormat="1" ht="15" customHeight="1" x14ac:dyDescent="0.25">
      <c r="A3923" s="844" t="s">
        <v>15061</v>
      </c>
      <c r="B3923" s="844" t="s">
        <v>15034</v>
      </c>
      <c r="C3923" s="844" t="s">
        <v>6920</v>
      </c>
      <c r="D3923" s="845" t="s">
        <v>6972</v>
      </c>
      <c r="E3923" s="845">
        <v>30</v>
      </c>
      <c r="F3923" s="844">
        <v>10</v>
      </c>
      <c r="G3923" s="202" t="str">
        <f t="shared" si="60"/>
        <v/>
      </c>
    </row>
    <row r="3924" spans="1:7" s="172" customFormat="1" ht="15" customHeight="1" x14ac:dyDescent="0.25">
      <c r="A3924" s="844" t="s">
        <v>15062</v>
      </c>
      <c r="B3924" s="844" t="s">
        <v>15034</v>
      </c>
      <c r="C3924" s="844" t="s">
        <v>6920</v>
      </c>
      <c r="D3924" s="845" t="s">
        <v>6973</v>
      </c>
      <c r="E3924" s="845">
        <v>100</v>
      </c>
      <c r="F3924" s="844">
        <v>20</v>
      </c>
      <c r="G3924" s="202" t="str">
        <f t="shared" si="60"/>
        <v/>
      </c>
    </row>
    <row r="3925" spans="1:7" s="172" customFormat="1" ht="15" customHeight="1" x14ac:dyDescent="0.25">
      <c r="A3925" s="844" t="s">
        <v>15063</v>
      </c>
      <c r="B3925" s="844" t="s">
        <v>15034</v>
      </c>
      <c r="C3925" s="844" t="s">
        <v>6920</v>
      </c>
      <c r="D3925" s="845" t="s">
        <v>6963</v>
      </c>
      <c r="E3925" s="845">
        <v>100</v>
      </c>
      <c r="F3925" s="844">
        <v>20</v>
      </c>
      <c r="G3925" s="202" t="str">
        <f t="shared" si="60"/>
        <v/>
      </c>
    </row>
    <row r="3926" spans="1:7" s="172" customFormat="1" ht="15" customHeight="1" x14ac:dyDescent="0.25">
      <c r="A3926" s="844" t="s">
        <v>15064</v>
      </c>
      <c r="B3926" s="844" t="s">
        <v>15034</v>
      </c>
      <c r="C3926" s="844" t="s">
        <v>6920</v>
      </c>
      <c r="D3926" s="845" t="s">
        <v>6974</v>
      </c>
      <c r="E3926" s="845">
        <v>60</v>
      </c>
      <c r="F3926" s="844">
        <v>50</v>
      </c>
      <c r="G3926" s="202" t="str">
        <f t="shared" si="60"/>
        <v/>
      </c>
    </row>
    <row r="3927" spans="1:7" s="172" customFormat="1" ht="15" customHeight="1" x14ac:dyDescent="0.25">
      <c r="A3927" s="844" t="s">
        <v>15065</v>
      </c>
      <c r="B3927" s="844" t="s">
        <v>15034</v>
      </c>
      <c r="C3927" s="844" t="s">
        <v>6920</v>
      </c>
      <c r="D3927" s="845" t="s">
        <v>6975</v>
      </c>
      <c r="E3927" s="845">
        <v>400</v>
      </c>
      <c r="F3927" s="844">
        <v>200</v>
      </c>
      <c r="G3927" s="202" t="str">
        <f t="shared" si="60"/>
        <v/>
      </c>
    </row>
    <row r="3928" spans="1:7" s="172" customFormat="1" ht="15" customHeight="1" x14ac:dyDescent="0.25">
      <c r="A3928" s="844" t="s">
        <v>15066</v>
      </c>
      <c r="B3928" s="844" t="s">
        <v>15034</v>
      </c>
      <c r="C3928" s="844" t="s">
        <v>6920</v>
      </c>
      <c r="D3928" s="845" t="s">
        <v>6976</v>
      </c>
      <c r="E3928" s="845">
        <v>30</v>
      </c>
      <c r="F3928" s="844">
        <v>20</v>
      </c>
      <c r="G3928" s="202" t="str">
        <f t="shared" si="60"/>
        <v/>
      </c>
    </row>
    <row r="3929" spans="1:7" s="172" customFormat="1" ht="15" customHeight="1" x14ac:dyDescent="0.25">
      <c r="A3929" s="844" t="s">
        <v>15067</v>
      </c>
      <c r="B3929" s="844" t="s">
        <v>15034</v>
      </c>
      <c r="C3929" s="844" t="s">
        <v>6920</v>
      </c>
      <c r="D3929" s="845" t="s">
        <v>6977</v>
      </c>
      <c r="E3929" s="845">
        <v>100</v>
      </c>
      <c r="F3929" s="844">
        <v>30</v>
      </c>
      <c r="G3929" s="202" t="str">
        <f t="shared" si="60"/>
        <v/>
      </c>
    </row>
    <row r="3930" spans="1:7" s="172" customFormat="1" ht="15" customHeight="1" x14ac:dyDescent="0.25">
      <c r="A3930" s="844" t="s">
        <v>15033</v>
      </c>
      <c r="B3930" s="844" t="s">
        <v>15034</v>
      </c>
      <c r="C3930" s="844" t="s">
        <v>6920</v>
      </c>
      <c r="D3930" s="845" t="s">
        <v>6978</v>
      </c>
      <c r="E3930" s="845">
        <v>160</v>
      </c>
      <c r="F3930" s="844">
        <v>95</v>
      </c>
      <c r="G3930" s="202" t="str">
        <f t="shared" ref="G3930:G3993" si="61">IF(E3930=F3930,"не загружен","")</f>
        <v/>
      </c>
    </row>
    <row r="3931" spans="1:7" s="172" customFormat="1" ht="15" customHeight="1" x14ac:dyDescent="0.25">
      <c r="A3931" s="844" t="s">
        <v>15068</v>
      </c>
      <c r="B3931" s="844" t="s">
        <v>15034</v>
      </c>
      <c r="C3931" s="844" t="s">
        <v>6920</v>
      </c>
      <c r="D3931" s="845" t="s">
        <v>6979</v>
      </c>
      <c r="E3931" s="845">
        <v>30</v>
      </c>
      <c r="F3931" s="844">
        <v>5</v>
      </c>
      <c r="G3931" s="202" t="str">
        <f t="shared" si="61"/>
        <v/>
      </c>
    </row>
    <row r="3932" spans="1:7" s="172" customFormat="1" ht="15" customHeight="1" x14ac:dyDescent="0.25">
      <c r="A3932" s="844" t="s">
        <v>15069</v>
      </c>
      <c r="B3932" s="844" t="s">
        <v>15034</v>
      </c>
      <c r="C3932" s="844" t="s">
        <v>6920</v>
      </c>
      <c r="D3932" s="845" t="s">
        <v>6980</v>
      </c>
      <c r="E3932" s="845">
        <v>400</v>
      </c>
      <c r="F3932" s="844">
        <v>200</v>
      </c>
      <c r="G3932" s="202" t="str">
        <f t="shared" si="61"/>
        <v/>
      </c>
    </row>
    <row r="3933" spans="1:7" s="172" customFormat="1" ht="15" customHeight="1" x14ac:dyDescent="0.25">
      <c r="A3933" s="844" t="s">
        <v>15070</v>
      </c>
      <c r="B3933" s="844" t="s">
        <v>15034</v>
      </c>
      <c r="C3933" s="844" t="s">
        <v>6920</v>
      </c>
      <c r="D3933" s="845" t="s">
        <v>6981</v>
      </c>
      <c r="E3933" s="845">
        <v>100</v>
      </c>
      <c r="F3933" s="844">
        <v>70</v>
      </c>
      <c r="G3933" s="202" t="str">
        <f t="shared" si="61"/>
        <v/>
      </c>
    </row>
    <row r="3934" spans="1:7" s="172" customFormat="1" ht="15" customHeight="1" x14ac:dyDescent="0.25">
      <c r="A3934" s="844" t="s">
        <v>15070</v>
      </c>
      <c r="B3934" s="844" t="s">
        <v>15034</v>
      </c>
      <c r="C3934" s="844" t="s">
        <v>6920</v>
      </c>
      <c r="D3934" s="845" t="s">
        <v>6982</v>
      </c>
      <c r="E3934" s="845">
        <v>100</v>
      </c>
      <c r="F3934" s="844">
        <v>20</v>
      </c>
      <c r="G3934" s="202" t="str">
        <f t="shared" si="61"/>
        <v/>
      </c>
    </row>
    <row r="3935" spans="1:7" s="172" customFormat="1" ht="15" customHeight="1" x14ac:dyDescent="0.25">
      <c r="A3935" s="844" t="s">
        <v>15069</v>
      </c>
      <c r="B3935" s="844" t="s">
        <v>15034</v>
      </c>
      <c r="C3935" s="844" t="s">
        <v>6920</v>
      </c>
      <c r="D3935" s="845" t="s">
        <v>6983</v>
      </c>
      <c r="E3935" s="845">
        <v>400</v>
      </c>
      <c r="F3935" s="844">
        <v>155</v>
      </c>
      <c r="G3935" s="202" t="str">
        <f t="shared" si="61"/>
        <v/>
      </c>
    </row>
    <row r="3936" spans="1:7" s="172" customFormat="1" ht="15" customHeight="1" x14ac:dyDescent="0.25">
      <c r="A3936" s="844" t="s">
        <v>15071</v>
      </c>
      <c r="B3936" s="844" t="s">
        <v>15034</v>
      </c>
      <c r="C3936" s="844" t="s">
        <v>6920</v>
      </c>
      <c r="D3936" s="845" t="s">
        <v>6984</v>
      </c>
      <c r="E3936" s="845">
        <v>20</v>
      </c>
      <c r="F3936" s="844">
        <v>0</v>
      </c>
      <c r="G3936" s="202" t="str">
        <f t="shared" si="61"/>
        <v/>
      </c>
    </row>
    <row r="3937" spans="1:7" s="172" customFormat="1" ht="15" customHeight="1" x14ac:dyDescent="0.25">
      <c r="A3937" s="844" t="s">
        <v>15033</v>
      </c>
      <c r="B3937" s="844" t="s">
        <v>15034</v>
      </c>
      <c r="C3937" s="844" t="s">
        <v>6920</v>
      </c>
      <c r="D3937" s="845" t="s">
        <v>6985</v>
      </c>
      <c r="E3937" s="845">
        <v>160</v>
      </c>
      <c r="F3937" s="844">
        <v>30</v>
      </c>
      <c r="G3937" s="202" t="str">
        <f t="shared" si="61"/>
        <v/>
      </c>
    </row>
    <row r="3938" spans="1:7" s="172" customFormat="1" ht="15" customHeight="1" x14ac:dyDescent="0.25">
      <c r="A3938" s="844" t="s">
        <v>15033</v>
      </c>
      <c r="B3938" s="844" t="s">
        <v>15034</v>
      </c>
      <c r="C3938" s="844" t="s">
        <v>6920</v>
      </c>
      <c r="D3938" s="845" t="s">
        <v>6986</v>
      </c>
      <c r="E3938" s="845">
        <v>250</v>
      </c>
      <c r="F3938" s="844">
        <v>90</v>
      </c>
      <c r="G3938" s="202" t="str">
        <f t="shared" si="61"/>
        <v/>
      </c>
    </row>
    <row r="3939" spans="1:7" s="172" customFormat="1" ht="15" customHeight="1" x14ac:dyDescent="0.25">
      <c r="A3939" s="844" t="s">
        <v>15072</v>
      </c>
      <c r="B3939" s="844" t="s">
        <v>15034</v>
      </c>
      <c r="C3939" s="844" t="s">
        <v>6920</v>
      </c>
      <c r="D3939" s="845" t="s">
        <v>6987</v>
      </c>
      <c r="E3939" s="845">
        <v>160</v>
      </c>
      <c r="F3939" s="844">
        <v>100</v>
      </c>
      <c r="G3939" s="202" t="str">
        <f t="shared" si="61"/>
        <v/>
      </c>
    </row>
    <row r="3940" spans="1:7" s="172" customFormat="1" ht="15" customHeight="1" x14ac:dyDescent="0.25">
      <c r="A3940" s="844" t="s">
        <v>15073</v>
      </c>
      <c r="B3940" s="844" t="s">
        <v>15034</v>
      </c>
      <c r="C3940" s="844" t="s">
        <v>6920</v>
      </c>
      <c r="D3940" s="845" t="s">
        <v>6988</v>
      </c>
      <c r="E3940" s="845">
        <v>160</v>
      </c>
      <c r="F3940" s="844">
        <v>100</v>
      </c>
      <c r="G3940" s="202" t="str">
        <f t="shared" si="61"/>
        <v/>
      </c>
    </row>
    <row r="3941" spans="1:7" s="172" customFormat="1" ht="15" customHeight="1" x14ac:dyDescent="0.25">
      <c r="A3941" s="844" t="s">
        <v>15074</v>
      </c>
      <c r="B3941" s="844" t="s">
        <v>15034</v>
      </c>
      <c r="C3941" s="844" t="s">
        <v>6920</v>
      </c>
      <c r="D3941" s="845" t="s">
        <v>6989</v>
      </c>
      <c r="E3941" s="845">
        <v>100</v>
      </c>
      <c r="F3941" s="844">
        <v>50</v>
      </c>
      <c r="G3941" s="202" t="str">
        <f t="shared" si="61"/>
        <v/>
      </c>
    </row>
    <row r="3942" spans="1:7" s="172" customFormat="1" ht="15" customHeight="1" x14ac:dyDescent="0.25">
      <c r="A3942" s="844" t="s">
        <v>15075</v>
      </c>
      <c r="B3942" s="844" t="s">
        <v>15034</v>
      </c>
      <c r="C3942" s="844" t="s">
        <v>6920</v>
      </c>
      <c r="D3942" s="845" t="s">
        <v>6990</v>
      </c>
      <c r="E3942" s="845">
        <v>100</v>
      </c>
      <c r="F3942" s="844">
        <v>20</v>
      </c>
      <c r="G3942" s="202" t="str">
        <f t="shared" si="61"/>
        <v/>
      </c>
    </row>
    <row r="3943" spans="1:7" s="172" customFormat="1" ht="15" customHeight="1" x14ac:dyDescent="0.25">
      <c r="A3943" s="844" t="s">
        <v>15076</v>
      </c>
      <c r="B3943" s="844" t="s">
        <v>15034</v>
      </c>
      <c r="C3943" s="844" t="s">
        <v>6920</v>
      </c>
      <c r="D3943" s="845" t="s">
        <v>6991</v>
      </c>
      <c r="E3943" s="845">
        <v>250</v>
      </c>
      <c r="F3943" s="844">
        <v>100</v>
      </c>
      <c r="G3943" s="202" t="str">
        <f t="shared" si="61"/>
        <v/>
      </c>
    </row>
    <row r="3944" spans="1:7" s="172" customFormat="1" ht="15" customHeight="1" x14ac:dyDescent="0.25">
      <c r="A3944" s="844" t="s">
        <v>15077</v>
      </c>
      <c r="B3944" s="844" t="s">
        <v>15034</v>
      </c>
      <c r="C3944" s="844" t="s">
        <v>6920</v>
      </c>
      <c r="D3944" s="845" t="s">
        <v>6992</v>
      </c>
      <c r="E3944" s="845">
        <v>30</v>
      </c>
      <c r="F3944" s="844">
        <v>10</v>
      </c>
      <c r="G3944" s="202" t="str">
        <f t="shared" si="61"/>
        <v/>
      </c>
    </row>
    <row r="3945" spans="1:7" s="172" customFormat="1" ht="15" customHeight="1" x14ac:dyDescent="0.25">
      <c r="A3945" s="844" t="s">
        <v>15078</v>
      </c>
      <c r="B3945" s="844" t="s">
        <v>15034</v>
      </c>
      <c r="C3945" s="844" t="s">
        <v>6920</v>
      </c>
      <c r="D3945" s="845" t="s">
        <v>6993</v>
      </c>
      <c r="E3945" s="845">
        <v>30</v>
      </c>
      <c r="F3945" s="844">
        <v>25</v>
      </c>
      <c r="G3945" s="202" t="str">
        <f t="shared" si="61"/>
        <v/>
      </c>
    </row>
    <row r="3946" spans="1:7" s="172" customFormat="1" ht="15" customHeight="1" x14ac:dyDescent="0.25">
      <c r="A3946" s="844" t="s">
        <v>15079</v>
      </c>
      <c r="B3946" s="844" t="s">
        <v>15034</v>
      </c>
      <c r="C3946" s="844" t="s">
        <v>6920</v>
      </c>
      <c r="D3946" s="845" t="s">
        <v>6994</v>
      </c>
      <c r="E3946" s="845">
        <v>60</v>
      </c>
      <c r="F3946" s="844">
        <v>20</v>
      </c>
      <c r="G3946" s="202" t="str">
        <f t="shared" si="61"/>
        <v/>
      </c>
    </row>
    <row r="3947" spans="1:7" s="172" customFormat="1" ht="15" customHeight="1" x14ac:dyDescent="0.25">
      <c r="A3947" s="844" t="s">
        <v>15080</v>
      </c>
      <c r="B3947" s="844" t="s">
        <v>15034</v>
      </c>
      <c r="C3947" s="844" t="s">
        <v>6920</v>
      </c>
      <c r="D3947" s="845" t="s">
        <v>6995</v>
      </c>
      <c r="E3947" s="845">
        <v>160</v>
      </c>
      <c r="F3947" s="844">
        <v>120</v>
      </c>
      <c r="G3947" s="202" t="str">
        <f t="shared" si="61"/>
        <v/>
      </c>
    </row>
    <row r="3948" spans="1:7" s="172" customFormat="1" ht="15" customHeight="1" x14ac:dyDescent="0.25">
      <c r="A3948" s="844" t="s">
        <v>15081</v>
      </c>
      <c r="B3948" s="844" t="s">
        <v>15034</v>
      </c>
      <c r="C3948" s="844" t="s">
        <v>6920</v>
      </c>
      <c r="D3948" s="845" t="s">
        <v>6996</v>
      </c>
      <c r="E3948" s="845">
        <v>250</v>
      </c>
      <c r="F3948" s="844">
        <v>250</v>
      </c>
      <c r="G3948" s="202" t="str">
        <f t="shared" si="61"/>
        <v>не загружен</v>
      </c>
    </row>
    <row r="3949" spans="1:7" s="172" customFormat="1" ht="15" customHeight="1" x14ac:dyDescent="0.25">
      <c r="A3949" s="844" t="s">
        <v>15082</v>
      </c>
      <c r="B3949" s="844" t="s">
        <v>15034</v>
      </c>
      <c r="C3949" s="844" t="s">
        <v>6920</v>
      </c>
      <c r="D3949" s="845" t="s">
        <v>6997</v>
      </c>
      <c r="E3949" s="845">
        <v>400</v>
      </c>
      <c r="F3949" s="844">
        <v>200</v>
      </c>
      <c r="G3949" s="202" t="str">
        <f t="shared" si="61"/>
        <v/>
      </c>
    </row>
    <row r="3950" spans="1:7" s="172" customFormat="1" ht="15" customHeight="1" x14ac:dyDescent="0.25">
      <c r="A3950" s="844" t="s">
        <v>15081</v>
      </c>
      <c r="B3950" s="844" t="s">
        <v>15034</v>
      </c>
      <c r="C3950" s="844" t="s">
        <v>6920</v>
      </c>
      <c r="D3950" s="845" t="s">
        <v>6998</v>
      </c>
      <c r="E3950" s="845">
        <v>60</v>
      </c>
      <c r="F3950" s="844">
        <v>40</v>
      </c>
      <c r="G3950" s="202" t="str">
        <f t="shared" si="61"/>
        <v/>
      </c>
    </row>
    <row r="3951" spans="1:7" s="172" customFormat="1" ht="15" customHeight="1" x14ac:dyDescent="0.25">
      <c r="A3951" s="844" t="s">
        <v>15076</v>
      </c>
      <c r="B3951" s="844" t="s">
        <v>15034</v>
      </c>
      <c r="C3951" s="844" t="s">
        <v>6920</v>
      </c>
      <c r="D3951" s="845" t="s">
        <v>6999</v>
      </c>
      <c r="E3951" s="845">
        <v>250</v>
      </c>
      <c r="F3951" s="844">
        <v>100</v>
      </c>
      <c r="G3951" s="202" t="str">
        <f t="shared" si="61"/>
        <v/>
      </c>
    </row>
    <row r="3952" spans="1:7" s="172" customFormat="1" ht="15" customHeight="1" x14ac:dyDescent="0.25">
      <c r="A3952" s="844" t="s">
        <v>15083</v>
      </c>
      <c r="B3952" s="844" t="s">
        <v>15034</v>
      </c>
      <c r="C3952" s="844" t="s">
        <v>6920</v>
      </c>
      <c r="D3952" s="845" t="s">
        <v>7000</v>
      </c>
      <c r="E3952" s="845">
        <v>400</v>
      </c>
      <c r="F3952" s="844">
        <v>250</v>
      </c>
      <c r="G3952" s="202" t="str">
        <f t="shared" si="61"/>
        <v/>
      </c>
    </row>
    <row r="3953" spans="1:7" s="172" customFormat="1" ht="15" customHeight="1" x14ac:dyDescent="0.25">
      <c r="A3953" s="844" t="s">
        <v>7001</v>
      </c>
      <c r="B3953" s="844" t="s">
        <v>15034</v>
      </c>
      <c r="C3953" s="844" t="s">
        <v>6920</v>
      </c>
      <c r="D3953" s="845" t="s">
        <v>7002</v>
      </c>
      <c r="E3953" s="845">
        <v>60</v>
      </c>
      <c r="F3953" s="844">
        <v>40</v>
      </c>
      <c r="G3953" s="202" t="str">
        <f t="shared" si="61"/>
        <v/>
      </c>
    </row>
    <row r="3954" spans="1:7" s="172" customFormat="1" ht="15" customHeight="1" x14ac:dyDescent="0.25">
      <c r="A3954" s="844" t="s">
        <v>15084</v>
      </c>
      <c r="B3954" s="844" t="s">
        <v>15034</v>
      </c>
      <c r="C3954" s="844" t="s">
        <v>6920</v>
      </c>
      <c r="D3954" s="845" t="s">
        <v>7003</v>
      </c>
      <c r="E3954" s="845">
        <v>10</v>
      </c>
      <c r="F3954" s="844">
        <v>6</v>
      </c>
      <c r="G3954" s="202" t="str">
        <f t="shared" si="61"/>
        <v/>
      </c>
    </row>
    <row r="3955" spans="1:7" s="172" customFormat="1" ht="15" customHeight="1" x14ac:dyDescent="0.25">
      <c r="A3955" s="844" t="s">
        <v>15085</v>
      </c>
      <c r="B3955" s="844" t="s">
        <v>15034</v>
      </c>
      <c r="C3955" s="844" t="s">
        <v>6920</v>
      </c>
      <c r="D3955" s="845" t="s">
        <v>7004</v>
      </c>
      <c r="E3955" s="845">
        <v>100</v>
      </c>
      <c r="F3955" s="844">
        <v>75</v>
      </c>
      <c r="G3955" s="202" t="str">
        <f t="shared" si="61"/>
        <v/>
      </c>
    </row>
    <row r="3956" spans="1:7" s="172" customFormat="1" ht="15" customHeight="1" x14ac:dyDescent="0.25">
      <c r="A3956" s="844" t="s">
        <v>15086</v>
      </c>
      <c r="B3956" s="844" t="s">
        <v>15034</v>
      </c>
      <c r="C3956" s="844" t="s">
        <v>6920</v>
      </c>
      <c r="D3956" s="845" t="s">
        <v>7005</v>
      </c>
      <c r="E3956" s="845">
        <v>10</v>
      </c>
      <c r="F3956" s="844">
        <v>5</v>
      </c>
      <c r="G3956" s="202" t="str">
        <f t="shared" si="61"/>
        <v/>
      </c>
    </row>
    <row r="3957" spans="1:7" s="172" customFormat="1" ht="15" customHeight="1" x14ac:dyDescent="0.25">
      <c r="A3957" s="844" t="s">
        <v>15087</v>
      </c>
      <c r="B3957" s="844" t="s">
        <v>15034</v>
      </c>
      <c r="C3957" s="844" t="s">
        <v>6920</v>
      </c>
      <c r="D3957" s="845" t="s">
        <v>7006</v>
      </c>
      <c r="E3957" s="845">
        <v>100</v>
      </c>
      <c r="F3957" s="844">
        <v>50</v>
      </c>
      <c r="G3957" s="202" t="str">
        <f t="shared" si="61"/>
        <v/>
      </c>
    </row>
    <row r="3958" spans="1:7" s="172" customFormat="1" ht="15" customHeight="1" x14ac:dyDescent="0.25">
      <c r="A3958" s="844" t="s">
        <v>15088</v>
      </c>
      <c r="B3958" s="844" t="s">
        <v>15034</v>
      </c>
      <c r="C3958" s="844" t="s">
        <v>6920</v>
      </c>
      <c r="D3958" s="845" t="s">
        <v>7007</v>
      </c>
      <c r="E3958" s="845">
        <v>250</v>
      </c>
      <c r="F3958" s="844">
        <v>100</v>
      </c>
      <c r="G3958" s="202" t="str">
        <f t="shared" si="61"/>
        <v/>
      </c>
    </row>
    <row r="3959" spans="1:7" s="172" customFormat="1" ht="15" customHeight="1" x14ac:dyDescent="0.25">
      <c r="A3959" s="844" t="s">
        <v>15089</v>
      </c>
      <c r="B3959" s="844" t="s">
        <v>15034</v>
      </c>
      <c r="C3959" s="844" t="s">
        <v>6920</v>
      </c>
      <c r="D3959" s="845" t="s">
        <v>7008</v>
      </c>
      <c r="E3959" s="845">
        <v>60</v>
      </c>
      <c r="F3959" s="844">
        <v>10</v>
      </c>
      <c r="G3959" s="202" t="str">
        <f t="shared" si="61"/>
        <v/>
      </c>
    </row>
    <row r="3960" spans="1:7" s="172" customFormat="1" ht="15" customHeight="1" x14ac:dyDescent="0.25">
      <c r="A3960" s="844" t="s">
        <v>15090</v>
      </c>
      <c r="B3960" s="844" t="s">
        <v>15034</v>
      </c>
      <c r="C3960" s="844" t="s">
        <v>6920</v>
      </c>
      <c r="D3960" s="845" t="s">
        <v>7009</v>
      </c>
      <c r="E3960" s="845">
        <v>30</v>
      </c>
      <c r="F3960" s="844">
        <v>20</v>
      </c>
      <c r="G3960" s="202" t="str">
        <f t="shared" si="61"/>
        <v/>
      </c>
    </row>
    <row r="3961" spans="1:7" s="172" customFormat="1" ht="15" customHeight="1" x14ac:dyDescent="0.25">
      <c r="A3961" s="844" t="s">
        <v>15091</v>
      </c>
      <c r="B3961" s="844" t="s">
        <v>15034</v>
      </c>
      <c r="C3961" s="844" t="s">
        <v>6920</v>
      </c>
      <c r="D3961" s="845" t="s">
        <v>7010</v>
      </c>
      <c r="E3961" s="845">
        <v>30</v>
      </c>
      <c r="F3961" s="844">
        <v>10</v>
      </c>
      <c r="G3961" s="202" t="str">
        <f t="shared" si="61"/>
        <v/>
      </c>
    </row>
    <row r="3962" spans="1:7" s="172" customFormat="1" ht="15" customHeight="1" x14ac:dyDescent="0.25">
      <c r="A3962" s="844" t="s">
        <v>15056</v>
      </c>
      <c r="B3962" s="844" t="s">
        <v>15034</v>
      </c>
      <c r="C3962" s="844" t="s">
        <v>6920</v>
      </c>
      <c r="D3962" s="845" t="s">
        <v>6964</v>
      </c>
      <c r="E3962" s="845">
        <v>30</v>
      </c>
      <c r="F3962" s="844">
        <v>20</v>
      </c>
      <c r="G3962" s="202" t="str">
        <f t="shared" si="61"/>
        <v/>
      </c>
    </row>
    <row r="3963" spans="1:7" s="172" customFormat="1" ht="15" customHeight="1" x14ac:dyDescent="0.25">
      <c r="A3963" s="844" t="s">
        <v>7011</v>
      </c>
      <c r="B3963" s="844" t="s">
        <v>15034</v>
      </c>
      <c r="C3963" s="844" t="s">
        <v>6920</v>
      </c>
      <c r="D3963" s="845" t="s">
        <v>7012</v>
      </c>
      <c r="E3963" s="845">
        <v>60</v>
      </c>
      <c r="F3963" s="844">
        <v>40</v>
      </c>
      <c r="G3963" s="202" t="str">
        <f t="shared" si="61"/>
        <v/>
      </c>
    </row>
    <row r="3964" spans="1:7" s="172" customFormat="1" ht="15" customHeight="1" x14ac:dyDescent="0.25">
      <c r="A3964" s="844" t="s">
        <v>15092</v>
      </c>
      <c r="B3964" s="844" t="s">
        <v>15034</v>
      </c>
      <c r="C3964" s="844" t="s">
        <v>6920</v>
      </c>
      <c r="D3964" s="845" t="s">
        <v>7013</v>
      </c>
      <c r="E3964" s="845">
        <v>250</v>
      </c>
      <c r="F3964" s="844">
        <v>100</v>
      </c>
      <c r="G3964" s="202" t="str">
        <f t="shared" si="61"/>
        <v/>
      </c>
    </row>
    <row r="3965" spans="1:7" s="172" customFormat="1" ht="15" customHeight="1" x14ac:dyDescent="0.25">
      <c r="A3965" s="844" t="s">
        <v>15093</v>
      </c>
      <c r="B3965" s="844" t="s">
        <v>15034</v>
      </c>
      <c r="C3965" s="844" t="s">
        <v>6920</v>
      </c>
      <c r="D3965" s="845" t="s">
        <v>7014</v>
      </c>
      <c r="E3965" s="845">
        <v>160</v>
      </c>
      <c r="F3965" s="844">
        <v>60</v>
      </c>
      <c r="G3965" s="202" t="str">
        <f t="shared" si="61"/>
        <v/>
      </c>
    </row>
    <row r="3966" spans="1:7" s="172" customFormat="1" ht="15" customHeight="1" x14ac:dyDescent="0.25">
      <c r="A3966" s="844" t="s">
        <v>15094</v>
      </c>
      <c r="B3966" s="844" t="s">
        <v>15034</v>
      </c>
      <c r="C3966" s="844" t="s">
        <v>6920</v>
      </c>
      <c r="D3966" s="845" t="s">
        <v>7015</v>
      </c>
      <c r="E3966" s="845">
        <v>400</v>
      </c>
      <c r="F3966" s="844">
        <v>300</v>
      </c>
      <c r="G3966" s="202" t="str">
        <f t="shared" si="61"/>
        <v/>
      </c>
    </row>
    <row r="3967" spans="1:7" s="172" customFormat="1" ht="15" customHeight="1" x14ac:dyDescent="0.25">
      <c r="A3967" s="844" t="s">
        <v>15095</v>
      </c>
      <c r="B3967" s="844" t="s">
        <v>15034</v>
      </c>
      <c r="C3967" s="844" t="s">
        <v>6920</v>
      </c>
      <c r="D3967" s="845" t="s">
        <v>7016</v>
      </c>
      <c r="E3967" s="845">
        <v>60</v>
      </c>
      <c r="F3967" s="844">
        <v>50</v>
      </c>
      <c r="G3967" s="202" t="str">
        <f t="shared" si="61"/>
        <v/>
      </c>
    </row>
    <row r="3968" spans="1:7" s="172" customFormat="1" ht="15" customHeight="1" x14ac:dyDescent="0.25">
      <c r="A3968" s="844" t="s">
        <v>15096</v>
      </c>
      <c r="B3968" s="844" t="s">
        <v>15034</v>
      </c>
      <c r="C3968" s="844" t="s">
        <v>6920</v>
      </c>
      <c r="D3968" s="845" t="s">
        <v>7017</v>
      </c>
      <c r="E3968" s="845">
        <v>160</v>
      </c>
      <c r="F3968" s="844">
        <v>80</v>
      </c>
      <c r="G3968" s="202" t="str">
        <f t="shared" si="61"/>
        <v/>
      </c>
    </row>
    <row r="3969" spans="1:7" s="172" customFormat="1" ht="15" customHeight="1" x14ac:dyDescent="0.25">
      <c r="A3969" s="844" t="s">
        <v>15097</v>
      </c>
      <c r="B3969" s="844" t="s">
        <v>15034</v>
      </c>
      <c r="C3969" s="844" t="s">
        <v>6920</v>
      </c>
      <c r="D3969" s="845" t="s">
        <v>7018</v>
      </c>
      <c r="E3969" s="845">
        <v>160</v>
      </c>
      <c r="F3969" s="844">
        <v>40</v>
      </c>
      <c r="G3969" s="202" t="str">
        <f t="shared" si="61"/>
        <v/>
      </c>
    </row>
    <row r="3970" spans="1:7" s="172" customFormat="1" ht="15" customHeight="1" x14ac:dyDescent="0.25">
      <c r="A3970" s="844" t="s">
        <v>15094</v>
      </c>
      <c r="B3970" s="844" t="s">
        <v>15034</v>
      </c>
      <c r="C3970" s="844" t="s">
        <v>6920</v>
      </c>
      <c r="D3970" s="845" t="s">
        <v>7019</v>
      </c>
      <c r="E3970" s="845">
        <v>250</v>
      </c>
      <c r="F3970" s="844">
        <v>50</v>
      </c>
      <c r="G3970" s="202" t="str">
        <f t="shared" si="61"/>
        <v/>
      </c>
    </row>
    <row r="3971" spans="1:7" s="172" customFormat="1" ht="15" customHeight="1" x14ac:dyDescent="0.25">
      <c r="A3971" s="844" t="s">
        <v>15098</v>
      </c>
      <c r="B3971" s="844" t="s">
        <v>15034</v>
      </c>
      <c r="C3971" s="844" t="s">
        <v>6920</v>
      </c>
      <c r="D3971" s="845" t="s">
        <v>7020</v>
      </c>
      <c r="E3971" s="845">
        <v>250</v>
      </c>
      <c r="F3971" s="844">
        <v>250</v>
      </c>
      <c r="G3971" s="202" t="str">
        <f t="shared" si="61"/>
        <v>не загружен</v>
      </c>
    </row>
    <row r="3972" spans="1:7" s="172" customFormat="1" ht="15" customHeight="1" x14ac:dyDescent="0.25">
      <c r="A3972" s="844" t="s">
        <v>15099</v>
      </c>
      <c r="B3972" s="844" t="s">
        <v>15034</v>
      </c>
      <c r="C3972" s="844" t="s">
        <v>6920</v>
      </c>
      <c r="D3972" s="845" t="s">
        <v>7021</v>
      </c>
      <c r="E3972" s="845">
        <v>160</v>
      </c>
      <c r="F3972" s="844">
        <v>50</v>
      </c>
      <c r="G3972" s="202" t="str">
        <f t="shared" si="61"/>
        <v/>
      </c>
    </row>
    <row r="3973" spans="1:7" s="172" customFormat="1" ht="15" customHeight="1" x14ac:dyDescent="0.25">
      <c r="A3973" s="844" t="s">
        <v>15100</v>
      </c>
      <c r="B3973" s="844" t="s">
        <v>15034</v>
      </c>
      <c r="C3973" s="844" t="s">
        <v>6920</v>
      </c>
      <c r="D3973" s="845" t="s">
        <v>7022</v>
      </c>
      <c r="E3973" s="845">
        <v>400</v>
      </c>
      <c r="F3973" s="844">
        <v>200</v>
      </c>
      <c r="G3973" s="202" t="str">
        <f t="shared" si="61"/>
        <v/>
      </c>
    </row>
    <row r="3974" spans="1:7" s="172" customFormat="1" ht="15" customHeight="1" x14ac:dyDescent="0.25">
      <c r="A3974" s="844" t="s">
        <v>15097</v>
      </c>
      <c r="B3974" s="844" t="s">
        <v>15034</v>
      </c>
      <c r="C3974" s="844" t="s">
        <v>6920</v>
      </c>
      <c r="D3974" s="845" t="s">
        <v>7023</v>
      </c>
      <c r="E3974" s="845">
        <v>400</v>
      </c>
      <c r="F3974" s="844">
        <v>220</v>
      </c>
      <c r="G3974" s="202" t="str">
        <f t="shared" si="61"/>
        <v/>
      </c>
    </row>
    <row r="3975" spans="1:7" s="172" customFormat="1" ht="15" customHeight="1" x14ac:dyDescent="0.25">
      <c r="A3975" s="844" t="s">
        <v>15101</v>
      </c>
      <c r="B3975" s="844" t="s">
        <v>15034</v>
      </c>
      <c r="C3975" s="844" t="s">
        <v>6920</v>
      </c>
      <c r="D3975" s="845" t="s">
        <v>7024</v>
      </c>
      <c r="E3975" s="845">
        <v>60</v>
      </c>
      <c r="F3975" s="844">
        <v>40</v>
      </c>
      <c r="G3975" s="202" t="str">
        <f t="shared" si="61"/>
        <v/>
      </c>
    </row>
    <row r="3976" spans="1:7" s="172" customFormat="1" ht="15" customHeight="1" x14ac:dyDescent="0.25">
      <c r="A3976" s="844" t="s">
        <v>15102</v>
      </c>
      <c r="B3976" s="844" t="s">
        <v>15034</v>
      </c>
      <c r="C3976" s="844" t="s">
        <v>6920</v>
      </c>
      <c r="D3976" s="845" t="s">
        <v>7025</v>
      </c>
      <c r="E3976" s="845">
        <v>250</v>
      </c>
      <c r="F3976" s="844">
        <v>150</v>
      </c>
      <c r="G3976" s="202" t="str">
        <f t="shared" si="61"/>
        <v/>
      </c>
    </row>
    <row r="3977" spans="1:7" s="172" customFormat="1" ht="15" customHeight="1" x14ac:dyDescent="0.25">
      <c r="A3977" s="844" t="s">
        <v>15103</v>
      </c>
      <c r="B3977" s="844" t="s">
        <v>15034</v>
      </c>
      <c r="C3977" s="844" t="s">
        <v>6920</v>
      </c>
      <c r="D3977" s="845" t="s">
        <v>7026</v>
      </c>
      <c r="E3977" s="845">
        <v>100</v>
      </c>
      <c r="F3977" s="844">
        <v>50</v>
      </c>
      <c r="G3977" s="202" t="str">
        <f t="shared" si="61"/>
        <v/>
      </c>
    </row>
    <row r="3978" spans="1:7" s="172" customFormat="1" ht="15" customHeight="1" x14ac:dyDescent="0.25">
      <c r="A3978" s="844" t="s">
        <v>15104</v>
      </c>
      <c r="B3978" s="844" t="s">
        <v>15034</v>
      </c>
      <c r="C3978" s="844" t="s">
        <v>6920</v>
      </c>
      <c r="D3978" s="845" t="s">
        <v>7027</v>
      </c>
      <c r="E3978" s="845">
        <v>60</v>
      </c>
      <c r="F3978" s="844">
        <v>20</v>
      </c>
      <c r="G3978" s="202" t="str">
        <f t="shared" si="61"/>
        <v/>
      </c>
    </row>
    <row r="3979" spans="1:7" s="172" customFormat="1" ht="15" customHeight="1" x14ac:dyDescent="0.25">
      <c r="A3979" s="844" t="s">
        <v>15105</v>
      </c>
      <c r="B3979" s="844" t="s">
        <v>15034</v>
      </c>
      <c r="C3979" s="844" t="s">
        <v>6920</v>
      </c>
      <c r="D3979" s="845" t="s">
        <v>7028</v>
      </c>
      <c r="E3979" s="845">
        <v>60</v>
      </c>
      <c r="F3979" s="844">
        <v>20</v>
      </c>
      <c r="G3979" s="202" t="str">
        <f t="shared" si="61"/>
        <v/>
      </c>
    </row>
    <row r="3980" spans="1:7" s="172" customFormat="1" ht="15" customHeight="1" x14ac:dyDescent="0.25">
      <c r="A3980" s="844" t="s">
        <v>3677</v>
      </c>
      <c r="B3980" s="844" t="s">
        <v>15034</v>
      </c>
      <c r="C3980" s="844" t="s">
        <v>6920</v>
      </c>
      <c r="D3980" s="845" t="s">
        <v>7029</v>
      </c>
      <c r="E3980" s="845">
        <v>50</v>
      </c>
      <c r="F3980" s="844">
        <v>35</v>
      </c>
      <c r="G3980" s="202" t="str">
        <f t="shared" si="61"/>
        <v/>
      </c>
    </row>
    <row r="3981" spans="1:7" s="172" customFormat="1" ht="15" customHeight="1" x14ac:dyDescent="0.25">
      <c r="A3981" s="844" t="s">
        <v>15065</v>
      </c>
      <c r="B3981" s="844" t="s">
        <v>15034</v>
      </c>
      <c r="C3981" s="844" t="s">
        <v>6920</v>
      </c>
      <c r="D3981" s="845" t="s">
        <v>7030</v>
      </c>
      <c r="E3981" s="845">
        <v>160</v>
      </c>
      <c r="F3981" s="844">
        <v>100</v>
      </c>
      <c r="G3981" s="202" t="str">
        <f t="shared" si="61"/>
        <v/>
      </c>
    </row>
    <row r="3982" spans="1:7" s="172" customFormat="1" ht="15" customHeight="1" x14ac:dyDescent="0.25">
      <c r="A3982" s="844" t="s">
        <v>7031</v>
      </c>
      <c r="B3982" s="844" t="s">
        <v>15034</v>
      </c>
      <c r="C3982" s="844" t="s">
        <v>6920</v>
      </c>
      <c r="D3982" s="845" t="s">
        <v>7032</v>
      </c>
      <c r="E3982" s="845">
        <v>630</v>
      </c>
      <c r="F3982" s="844">
        <v>400</v>
      </c>
      <c r="G3982" s="202" t="str">
        <f t="shared" si="61"/>
        <v/>
      </c>
    </row>
    <row r="3983" spans="1:7" s="172" customFormat="1" ht="15" customHeight="1" x14ac:dyDescent="0.25">
      <c r="A3983" s="844" t="s">
        <v>15065</v>
      </c>
      <c r="B3983" s="844" t="s">
        <v>15034</v>
      </c>
      <c r="C3983" s="844" t="s">
        <v>6920</v>
      </c>
      <c r="D3983" s="845" t="s">
        <v>7033</v>
      </c>
      <c r="E3983" s="845">
        <v>400</v>
      </c>
      <c r="F3983" s="844">
        <v>300</v>
      </c>
      <c r="G3983" s="202" t="str">
        <f t="shared" si="61"/>
        <v/>
      </c>
    </row>
    <row r="3984" spans="1:7" s="172" customFormat="1" ht="15" customHeight="1" x14ac:dyDescent="0.25">
      <c r="A3984" s="844" t="s">
        <v>7034</v>
      </c>
      <c r="B3984" s="844" t="s">
        <v>15034</v>
      </c>
      <c r="C3984" s="844" t="s">
        <v>6920</v>
      </c>
      <c r="D3984" s="845" t="s">
        <v>7035</v>
      </c>
      <c r="E3984" s="845">
        <v>40</v>
      </c>
      <c r="F3984" s="844">
        <v>15</v>
      </c>
      <c r="G3984" s="202" t="str">
        <f t="shared" si="61"/>
        <v/>
      </c>
    </row>
    <row r="3985" spans="1:7" s="172" customFormat="1" ht="15" customHeight="1" x14ac:dyDescent="0.25">
      <c r="A3985" s="844" t="s">
        <v>15106</v>
      </c>
      <c r="B3985" s="844" t="s">
        <v>15034</v>
      </c>
      <c r="C3985" s="844" t="s">
        <v>6920</v>
      </c>
      <c r="D3985" s="845" t="s">
        <v>7036</v>
      </c>
      <c r="E3985" s="845">
        <v>20</v>
      </c>
      <c r="F3985" s="844">
        <v>5</v>
      </c>
      <c r="G3985" s="202" t="str">
        <f t="shared" si="61"/>
        <v/>
      </c>
    </row>
    <row r="3986" spans="1:7" s="172" customFormat="1" ht="15" customHeight="1" x14ac:dyDescent="0.25">
      <c r="A3986" s="844" t="s">
        <v>15107</v>
      </c>
      <c r="B3986" s="844" t="s">
        <v>15034</v>
      </c>
      <c r="C3986" s="844" t="s">
        <v>6920</v>
      </c>
      <c r="D3986" s="845" t="s">
        <v>7037</v>
      </c>
      <c r="E3986" s="845">
        <v>30</v>
      </c>
      <c r="F3986" s="844">
        <v>20</v>
      </c>
      <c r="G3986" s="202" t="str">
        <f t="shared" si="61"/>
        <v/>
      </c>
    </row>
    <row r="3987" spans="1:7" s="172" customFormat="1" ht="15" customHeight="1" x14ac:dyDescent="0.25">
      <c r="A3987" s="844" t="s">
        <v>15108</v>
      </c>
      <c r="B3987" s="844" t="s">
        <v>15034</v>
      </c>
      <c r="C3987" s="844" t="s">
        <v>6920</v>
      </c>
      <c r="D3987" s="845" t="s">
        <v>7038</v>
      </c>
      <c r="E3987" s="845">
        <v>100</v>
      </c>
      <c r="F3987" s="844">
        <v>50</v>
      </c>
      <c r="G3987" s="202" t="str">
        <f t="shared" si="61"/>
        <v/>
      </c>
    </row>
    <row r="3988" spans="1:7" s="172" customFormat="1" ht="15" customHeight="1" x14ac:dyDescent="0.25">
      <c r="A3988" s="844" t="s">
        <v>15109</v>
      </c>
      <c r="B3988" s="844" t="s">
        <v>15034</v>
      </c>
      <c r="C3988" s="844" t="s">
        <v>6920</v>
      </c>
      <c r="D3988" s="845" t="s">
        <v>7039</v>
      </c>
      <c r="E3988" s="845">
        <v>60</v>
      </c>
      <c r="F3988" s="844">
        <v>20</v>
      </c>
      <c r="G3988" s="202" t="str">
        <f t="shared" si="61"/>
        <v/>
      </c>
    </row>
    <row r="3989" spans="1:7" s="172" customFormat="1" ht="15" customHeight="1" x14ac:dyDescent="0.25">
      <c r="A3989" s="844" t="s">
        <v>15110</v>
      </c>
      <c r="B3989" s="844" t="s">
        <v>15034</v>
      </c>
      <c r="C3989" s="844" t="s">
        <v>6920</v>
      </c>
      <c r="D3989" s="845" t="s">
        <v>7040</v>
      </c>
      <c r="E3989" s="845">
        <v>100</v>
      </c>
      <c r="F3989" s="844">
        <v>80</v>
      </c>
      <c r="G3989" s="202" t="str">
        <f t="shared" si="61"/>
        <v/>
      </c>
    </row>
    <row r="3990" spans="1:7" s="172" customFormat="1" ht="15" customHeight="1" x14ac:dyDescent="0.25">
      <c r="A3990" s="844" t="s">
        <v>15046</v>
      </c>
      <c r="B3990" s="844" t="s">
        <v>15034</v>
      </c>
      <c r="C3990" s="844" t="s">
        <v>6920</v>
      </c>
      <c r="D3990" s="845" t="s">
        <v>6959</v>
      </c>
      <c r="E3990" s="845">
        <v>400</v>
      </c>
      <c r="F3990" s="844">
        <v>230</v>
      </c>
      <c r="G3990" s="202" t="str">
        <f t="shared" si="61"/>
        <v/>
      </c>
    </row>
    <row r="3991" spans="1:7" s="172" customFormat="1" ht="15" customHeight="1" x14ac:dyDescent="0.25">
      <c r="A3991" s="844" t="s">
        <v>15111</v>
      </c>
      <c r="B3991" s="844" t="s">
        <v>15034</v>
      </c>
      <c r="C3991" s="844" t="s">
        <v>6920</v>
      </c>
      <c r="D3991" s="845" t="s">
        <v>7041</v>
      </c>
      <c r="E3991" s="845">
        <v>160</v>
      </c>
      <c r="F3991" s="844">
        <v>50</v>
      </c>
      <c r="G3991" s="202" t="str">
        <f t="shared" si="61"/>
        <v/>
      </c>
    </row>
    <row r="3992" spans="1:7" s="172" customFormat="1" ht="15" customHeight="1" x14ac:dyDescent="0.25">
      <c r="A3992" s="844" t="s">
        <v>15112</v>
      </c>
      <c r="B3992" s="844" t="s">
        <v>15034</v>
      </c>
      <c r="C3992" s="844" t="s">
        <v>6920</v>
      </c>
      <c r="D3992" s="845" t="s">
        <v>7042</v>
      </c>
      <c r="E3992" s="845">
        <v>100</v>
      </c>
      <c r="F3992" s="844">
        <v>40</v>
      </c>
      <c r="G3992" s="202" t="str">
        <f t="shared" si="61"/>
        <v/>
      </c>
    </row>
    <row r="3993" spans="1:7" s="172" customFormat="1" ht="15" customHeight="1" x14ac:dyDescent="0.25">
      <c r="A3993" s="844" t="s">
        <v>15113</v>
      </c>
      <c r="B3993" s="844" t="s">
        <v>15034</v>
      </c>
      <c r="C3993" s="844" t="s">
        <v>6920</v>
      </c>
      <c r="D3993" s="845" t="s">
        <v>7043</v>
      </c>
      <c r="E3993" s="845">
        <v>30</v>
      </c>
      <c r="F3993" s="844">
        <v>10</v>
      </c>
      <c r="G3993" s="202" t="str">
        <f t="shared" si="61"/>
        <v/>
      </c>
    </row>
    <row r="3994" spans="1:7" s="172" customFormat="1" ht="15" customHeight="1" x14ac:dyDescent="0.25">
      <c r="A3994" s="844" t="s">
        <v>15110</v>
      </c>
      <c r="B3994" s="844" t="s">
        <v>15034</v>
      </c>
      <c r="C3994" s="844" t="s">
        <v>6920</v>
      </c>
      <c r="D3994" s="845" t="s">
        <v>7044</v>
      </c>
      <c r="E3994" s="845">
        <v>30</v>
      </c>
      <c r="F3994" s="844">
        <v>5</v>
      </c>
      <c r="G3994" s="202" t="str">
        <f t="shared" ref="G3994:G4057" si="62">IF(E3994=F3994,"не загружен","")</f>
        <v/>
      </c>
    </row>
    <row r="3995" spans="1:7" s="172" customFormat="1" ht="15" customHeight="1" x14ac:dyDescent="0.25">
      <c r="A3995" s="844" t="s">
        <v>15108</v>
      </c>
      <c r="B3995" s="844" t="s">
        <v>15034</v>
      </c>
      <c r="C3995" s="844" t="s">
        <v>6920</v>
      </c>
      <c r="D3995" s="845" t="s">
        <v>7045</v>
      </c>
      <c r="E3995" s="845" t="s">
        <v>8761</v>
      </c>
      <c r="F3995" s="844">
        <v>20</v>
      </c>
      <c r="G3995" s="202" t="str">
        <f t="shared" si="62"/>
        <v/>
      </c>
    </row>
    <row r="3996" spans="1:7" s="172" customFormat="1" ht="15" customHeight="1" x14ac:dyDescent="0.25">
      <c r="A3996" s="844" t="s">
        <v>15114</v>
      </c>
      <c r="B3996" s="844" t="s">
        <v>15034</v>
      </c>
      <c r="C3996" s="844" t="s">
        <v>6920</v>
      </c>
      <c r="D3996" s="845" t="s">
        <v>7046</v>
      </c>
      <c r="E3996" s="845">
        <v>40</v>
      </c>
      <c r="F3996" s="844">
        <v>20</v>
      </c>
      <c r="G3996" s="202" t="str">
        <f t="shared" si="62"/>
        <v/>
      </c>
    </row>
    <row r="3997" spans="1:7" s="172" customFormat="1" ht="15" customHeight="1" x14ac:dyDescent="0.25">
      <c r="A3997" s="844" t="s">
        <v>15115</v>
      </c>
      <c r="B3997" s="844" t="s">
        <v>15034</v>
      </c>
      <c r="C3997" s="844" t="s">
        <v>6920</v>
      </c>
      <c r="D3997" s="845" t="s">
        <v>7047</v>
      </c>
      <c r="E3997" s="845">
        <v>60</v>
      </c>
      <c r="F3997" s="844">
        <v>20</v>
      </c>
      <c r="G3997" s="202" t="str">
        <f t="shared" si="62"/>
        <v/>
      </c>
    </row>
    <row r="3998" spans="1:7" s="172" customFormat="1" ht="15" customHeight="1" x14ac:dyDescent="0.25">
      <c r="A3998" s="844" t="s">
        <v>15116</v>
      </c>
      <c r="B3998" s="844" t="s">
        <v>15034</v>
      </c>
      <c r="C3998" s="844" t="s">
        <v>6920</v>
      </c>
      <c r="D3998" s="845" t="s">
        <v>7048</v>
      </c>
      <c r="E3998" s="845">
        <v>60</v>
      </c>
      <c r="F3998" s="844">
        <v>20</v>
      </c>
      <c r="G3998" s="202" t="str">
        <f t="shared" si="62"/>
        <v/>
      </c>
    </row>
    <row r="3999" spans="1:7" s="172" customFormat="1" ht="15" customHeight="1" x14ac:dyDescent="0.25">
      <c r="A3999" s="844" t="s">
        <v>15117</v>
      </c>
      <c r="B3999" s="844" t="s">
        <v>15034</v>
      </c>
      <c r="C3999" s="844" t="s">
        <v>6920</v>
      </c>
      <c r="D3999" s="845" t="s">
        <v>7049</v>
      </c>
      <c r="E3999" s="845">
        <v>60</v>
      </c>
      <c r="F3999" s="844">
        <v>10</v>
      </c>
      <c r="G3999" s="202" t="str">
        <f t="shared" si="62"/>
        <v/>
      </c>
    </row>
    <row r="4000" spans="1:7" s="172" customFormat="1" ht="15" customHeight="1" x14ac:dyDescent="0.25">
      <c r="A4000" s="844" t="s">
        <v>15108</v>
      </c>
      <c r="B4000" s="844" t="s">
        <v>15034</v>
      </c>
      <c r="C4000" s="844" t="s">
        <v>6920</v>
      </c>
      <c r="D4000" s="845" t="s">
        <v>7050</v>
      </c>
      <c r="E4000" s="845">
        <v>400</v>
      </c>
      <c r="F4000" s="844">
        <v>200</v>
      </c>
      <c r="G4000" s="202" t="str">
        <f t="shared" si="62"/>
        <v/>
      </c>
    </row>
    <row r="4001" spans="1:7" s="172" customFormat="1" ht="15" customHeight="1" x14ac:dyDescent="0.25">
      <c r="A4001" s="844" t="s">
        <v>15118</v>
      </c>
      <c r="B4001" s="844" t="s">
        <v>15034</v>
      </c>
      <c r="C4001" s="844" t="s">
        <v>6920</v>
      </c>
      <c r="D4001" s="845" t="s">
        <v>7051</v>
      </c>
      <c r="E4001" s="845">
        <v>30</v>
      </c>
      <c r="F4001" s="844">
        <v>10</v>
      </c>
      <c r="G4001" s="202" t="str">
        <f t="shared" si="62"/>
        <v/>
      </c>
    </row>
    <row r="4002" spans="1:7" s="172" customFormat="1" ht="15" customHeight="1" x14ac:dyDescent="0.25">
      <c r="A4002" s="844" t="s">
        <v>15119</v>
      </c>
      <c r="B4002" s="844" t="s">
        <v>15034</v>
      </c>
      <c r="C4002" s="844" t="s">
        <v>6920</v>
      </c>
      <c r="D4002" s="845" t="s">
        <v>7052</v>
      </c>
      <c r="E4002" s="845">
        <v>63</v>
      </c>
      <c r="F4002" s="844">
        <v>10</v>
      </c>
      <c r="G4002" s="202" t="str">
        <f t="shared" si="62"/>
        <v/>
      </c>
    </row>
    <row r="4003" spans="1:7" s="172" customFormat="1" ht="15" customHeight="1" x14ac:dyDescent="0.25">
      <c r="A4003" s="844" t="s">
        <v>15120</v>
      </c>
      <c r="B4003" s="844" t="s">
        <v>15034</v>
      </c>
      <c r="C4003" s="844" t="s">
        <v>6920</v>
      </c>
      <c r="D4003" s="845" t="s">
        <v>7053</v>
      </c>
      <c r="E4003" s="845">
        <v>400</v>
      </c>
      <c r="F4003" s="844">
        <v>150</v>
      </c>
      <c r="G4003" s="202" t="str">
        <f t="shared" si="62"/>
        <v/>
      </c>
    </row>
    <row r="4004" spans="1:7" s="172" customFormat="1" ht="15" customHeight="1" x14ac:dyDescent="0.25">
      <c r="A4004" s="844" t="s">
        <v>15121</v>
      </c>
      <c r="B4004" s="844" t="s">
        <v>15034</v>
      </c>
      <c r="C4004" s="844" t="s">
        <v>6920</v>
      </c>
      <c r="D4004" s="845" t="s">
        <v>7054</v>
      </c>
      <c r="E4004" s="845">
        <v>60</v>
      </c>
      <c r="F4004" s="844">
        <v>30</v>
      </c>
      <c r="G4004" s="202" t="str">
        <f t="shared" si="62"/>
        <v/>
      </c>
    </row>
    <row r="4005" spans="1:7" s="172" customFormat="1" ht="15" customHeight="1" x14ac:dyDescent="0.25">
      <c r="A4005" s="844" t="s">
        <v>15046</v>
      </c>
      <c r="B4005" s="844" t="s">
        <v>15034</v>
      </c>
      <c r="C4005" s="844" t="s">
        <v>6920</v>
      </c>
      <c r="D4005" s="845" t="s">
        <v>7055</v>
      </c>
      <c r="E4005" s="845">
        <v>160</v>
      </c>
      <c r="F4005" s="844">
        <v>40</v>
      </c>
      <c r="G4005" s="202" t="str">
        <f t="shared" si="62"/>
        <v/>
      </c>
    </row>
    <row r="4006" spans="1:7" s="172" customFormat="1" ht="15" customHeight="1" x14ac:dyDescent="0.25">
      <c r="A4006" s="844" t="s">
        <v>7056</v>
      </c>
      <c r="B4006" s="844" t="s">
        <v>15034</v>
      </c>
      <c r="C4006" s="844" t="s">
        <v>6920</v>
      </c>
      <c r="D4006" s="845" t="s">
        <v>7057</v>
      </c>
      <c r="E4006" s="845">
        <v>100</v>
      </c>
      <c r="F4006" s="844">
        <v>55</v>
      </c>
      <c r="G4006" s="202" t="str">
        <f t="shared" si="62"/>
        <v/>
      </c>
    </row>
    <row r="4007" spans="1:7" s="172" customFormat="1" ht="15" customHeight="1" x14ac:dyDescent="0.25">
      <c r="A4007" s="844" t="s">
        <v>15122</v>
      </c>
      <c r="B4007" s="844" t="s">
        <v>15034</v>
      </c>
      <c r="C4007" s="844" t="s">
        <v>6920</v>
      </c>
      <c r="D4007" s="845" t="s">
        <v>7058</v>
      </c>
      <c r="E4007" s="845">
        <v>100</v>
      </c>
      <c r="F4007" s="844">
        <v>80</v>
      </c>
      <c r="G4007" s="202" t="str">
        <f t="shared" si="62"/>
        <v/>
      </c>
    </row>
    <row r="4008" spans="1:7" s="172" customFormat="1" ht="15" customHeight="1" x14ac:dyDescent="0.25">
      <c r="A4008" s="844" t="s">
        <v>15123</v>
      </c>
      <c r="B4008" s="844" t="s">
        <v>15034</v>
      </c>
      <c r="C4008" s="844" t="s">
        <v>6920</v>
      </c>
      <c r="D4008" s="845" t="s">
        <v>7059</v>
      </c>
      <c r="E4008" s="845">
        <v>60</v>
      </c>
      <c r="F4008" s="844">
        <v>30</v>
      </c>
      <c r="G4008" s="202" t="str">
        <f t="shared" si="62"/>
        <v/>
      </c>
    </row>
    <row r="4009" spans="1:7" s="172" customFormat="1" ht="15" customHeight="1" x14ac:dyDescent="0.25">
      <c r="A4009" s="844" t="s">
        <v>7060</v>
      </c>
      <c r="B4009" s="844" t="s">
        <v>15034</v>
      </c>
      <c r="C4009" s="844" t="s">
        <v>6920</v>
      </c>
      <c r="D4009" s="845" t="s">
        <v>7061</v>
      </c>
      <c r="E4009" s="845">
        <v>100</v>
      </c>
      <c r="F4009" s="844">
        <v>90</v>
      </c>
      <c r="G4009" s="202" t="str">
        <f t="shared" si="62"/>
        <v/>
      </c>
    </row>
    <row r="4010" spans="1:7" s="172" customFormat="1" ht="15" customHeight="1" x14ac:dyDescent="0.25">
      <c r="A4010" s="844" t="s">
        <v>15124</v>
      </c>
      <c r="B4010" s="844" t="s">
        <v>15034</v>
      </c>
      <c r="C4010" s="844" t="s">
        <v>6920</v>
      </c>
      <c r="D4010" s="845" t="s">
        <v>7062</v>
      </c>
      <c r="E4010" s="845">
        <v>400</v>
      </c>
      <c r="F4010" s="844">
        <v>200</v>
      </c>
      <c r="G4010" s="202" t="str">
        <f t="shared" si="62"/>
        <v/>
      </c>
    </row>
    <row r="4011" spans="1:7" s="172" customFormat="1" ht="15" customHeight="1" x14ac:dyDescent="0.25">
      <c r="A4011" s="844" t="s">
        <v>6270</v>
      </c>
      <c r="B4011" s="844" t="s">
        <v>15034</v>
      </c>
      <c r="C4011" s="844" t="s">
        <v>6920</v>
      </c>
      <c r="D4011" s="845" t="s">
        <v>7063</v>
      </c>
      <c r="E4011" s="845">
        <v>250</v>
      </c>
      <c r="F4011" s="844">
        <v>200</v>
      </c>
      <c r="G4011" s="202" t="str">
        <f t="shared" si="62"/>
        <v/>
      </c>
    </row>
    <row r="4012" spans="1:7" s="172" customFormat="1" ht="15" customHeight="1" x14ac:dyDescent="0.25">
      <c r="A4012" s="844" t="s">
        <v>15125</v>
      </c>
      <c r="B4012" s="844" t="s">
        <v>15034</v>
      </c>
      <c r="C4012" s="844" t="s">
        <v>6920</v>
      </c>
      <c r="D4012" s="845" t="s">
        <v>7064</v>
      </c>
      <c r="E4012" s="845">
        <v>100</v>
      </c>
      <c r="F4012" s="844">
        <v>40</v>
      </c>
      <c r="G4012" s="202" t="str">
        <f t="shared" si="62"/>
        <v/>
      </c>
    </row>
    <row r="4013" spans="1:7" s="172" customFormat="1" ht="15" customHeight="1" x14ac:dyDescent="0.25">
      <c r="A4013" s="844" t="s">
        <v>15125</v>
      </c>
      <c r="B4013" s="844" t="s">
        <v>15034</v>
      </c>
      <c r="C4013" s="844" t="s">
        <v>6920</v>
      </c>
      <c r="D4013" s="845" t="s">
        <v>7065</v>
      </c>
      <c r="E4013" s="845">
        <v>160</v>
      </c>
      <c r="F4013" s="844">
        <v>160</v>
      </c>
      <c r="G4013" s="202" t="str">
        <f t="shared" si="62"/>
        <v>не загружен</v>
      </c>
    </row>
    <row r="4014" spans="1:7" s="172" customFormat="1" ht="15" customHeight="1" x14ac:dyDescent="0.25">
      <c r="A4014" s="844" t="s">
        <v>15097</v>
      </c>
      <c r="B4014" s="844" t="s">
        <v>15034</v>
      </c>
      <c r="C4014" s="844" t="s">
        <v>6920</v>
      </c>
      <c r="D4014" s="845" t="s">
        <v>7066</v>
      </c>
      <c r="E4014" s="845">
        <v>250</v>
      </c>
      <c r="F4014" s="844">
        <v>80</v>
      </c>
      <c r="G4014" s="202" t="str">
        <f t="shared" si="62"/>
        <v/>
      </c>
    </row>
    <row r="4015" spans="1:7" s="172" customFormat="1" ht="15" customHeight="1" x14ac:dyDescent="0.25">
      <c r="A4015" s="844" t="s">
        <v>15126</v>
      </c>
      <c r="B4015" s="844" t="s">
        <v>15034</v>
      </c>
      <c r="C4015" s="844" t="s">
        <v>6920</v>
      </c>
      <c r="D4015" s="845" t="s">
        <v>7067</v>
      </c>
      <c r="E4015" s="845">
        <v>100</v>
      </c>
      <c r="F4015" s="844">
        <v>30</v>
      </c>
      <c r="G4015" s="202" t="str">
        <f t="shared" si="62"/>
        <v/>
      </c>
    </row>
    <row r="4016" spans="1:7" s="172" customFormat="1" ht="15" customHeight="1" x14ac:dyDescent="0.25">
      <c r="A4016" s="844" t="s">
        <v>15046</v>
      </c>
      <c r="B4016" s="844" t="s">
        <v>15034</v>
      </c>
      <c r="C4016" s="844" t="s">
        <v>6920</v>
      </c>
      <c r="D4016" s="845" t="s">
        <v>7068</v>
      </c>
      <c r="E4016" s="845">
        <v>400</v>
      </c>
      <c r="F4016" s="844">
        <v>90</v>
      </c>
      <c r="G4016" s="202" t="str">
        <f t="shared" si="62"/>
        <v/>
      </c>
    </row>
    <row r="4017" spans="1:7" s="172" customFormat="1" ht="15" customHeight="1" x14ac:dyDescent="0.25">
      <c r="A4017" s="844" t="s">
        <v>15127</v>
      </c>
      <c r="B4017" s="844" t="s">
        <v>15034</v>
      </c>
      <c r="C4017" s="844" t="s">
        <v>6920</v>
      </c>
      <c r="D4017" s="845" t="s">
        <v>7069</v>
      </c>
      <c r="E4017" s="845">
        <v>30</v>
      </c>
      <c r="F4017" s="844">
        <v>25</v>
      </c>
      <c r="G4017" s="202" t="str">
        <f t="shared" si="62"/>
        <v/>
      </c>
    </row>
    <row r="4018" spans="1:7" s="172" customFormat="1" ht="15" customHeight="1" x14ac:dyDescent="0.25">
      <c r="A4018" s="844" t="s">
        <v>15128</v>
      </c>
      <c r="B4018" s="844" t="s">
        <v>15034</v>
      </c>
      <c r="C4018" s="844" t="s">
        <v>6920</v>
      </c>
      <c r="D4018" s="845" t="s">
        <v>7070</v>
      </c>
      <c r="E4018" s="845">
        <v>30</v>
      </c>
      <c r="F4018" s="844">
        <v>10</v>
      </c>
      <c r="G4018" s="202" t="str">
        <f t="shared" si="62"/>
        <v/>
      </c>
    </row>
    <row r="4019" spans="1:7" s="172" customFormat="1" ht="15" customHeight="1" x14ac:dyDescent="0.25">
      <c r="A4019" s="844" t="s">
        <v>15129</v>
      </c>
      <c r="B4019" s="844" t="s">
        <v>15034</v>
      </c>
      <c r="C4019" s="844" t="s">
        <v>6920</v>
      </c>
      <c r="D4019" s="845" t="s">
        <v>7071</v>
      </c>
      <c r="E4019" s="845">
        <v>40</v>
      </c>
      <c r="F4019" s="844">
        <v>5</v>
      </c>
      <c r="G4019" s="202" t="str">
        <f t="shared" si="62"/>
        <v/>
      </c>
    </row>
    <row r="4020" spans="1:7" s="172" customFormat="1" ht="15" customHeight="1" x14ac:dyDescent="0.25">
      <c r="A4020" s="844" t="s">
        <v>15129</v>
      </c>
      <c r="B4020" s="844" t="s">
        <v>15034</v>
      </c>
      <c r="C4020" s="844" t="s">
        <v>6920</v>
      </c>
      <c r="D4020" s="845" t="s">
        <v>7072</v>
      </c>
      <c r="E4020" s="845">
        <v>100</v>
      </c>
      <c r="F4020" s="844">
        <v>60</v>
      </c>
      <c r="G4020" s="202" t="str">
        <f t="shared" si="62"/>
        <v/>
      </c>
    </row>
    <row r="4021" spans="1:7" s="172" customFormat="1" ht="15" customHeight="1" x14ac:dyDescent="0.25">
      <c r="A4021" s="844" t="s">
        <v>15122</v>
      </c>
      <c r="B4021" s="844" t="s">
        <v>15034</v>
      </c>
      <c r="C4021" s="844" t="s">
        <v>6920</v>
      </c>
      <c r="D4021" s="845" t="s">
        <v>7073</v>
      </c>
      <c r="E4021" s="845">
        <v>100</v>
      </c>
      <c r="F4021" s="844">
        <v>80</v>
      </c>
      <c r="G4021" s="202" t="str">
        <f t="shared" si="62"/>
        <v/>
      </c>
    </row>
    <row r="4022" spans="1:7" s="172" customFormat="1" ht="15" customHeight="1" x14ac:dyDescent="0.25">
      <c r="A4022" s="844" t="s">
        <v>15130</v>
      </c>
      <c r="B4022" s="844" t="s">
        <v>15034</v>
      </c>
      <c r="C4022" s="844" t="s">
        <v>6920</v>
      </c>
      <c r="D4022" s="845" t="s">
        <v>7074</v>
      </c>
      <c r="E4022" s="845">
        <v>60</v>
      </c>
      <c r="F4022" s="844">
        <v>18</v>
      </c>
      <c r="G4022" s="202" t="str">
        <f t="shared" si="62"/>
        <v/>
      </c>
    </row>
    <row r="4023" spans="1:7" s="172" customFormat="1" ht="15" customHeight="1" x14ac:dyDescent="0.25">
      <c r="A4023" s="844" t="s">
        <v>7075</v>
      </c>
      <c r="B4023" s="844" t="s">
        <v>15034</v>
      </c>
      <c r="C4023" s="844" t="s">
        <v>6920</v>
      </c>
      <c r="D4023" s="845" t="s">
        <v>7076</v>
      </c>
      <c r="E4023" s="845">
        <v>30</v>
      </c>
      <c r="F4023" s="844">
        <v>0</v>
      </c>
      <c r="G4023" s="202" t="str">
        <f t="shared" si="62"/>
        <v/>
      </c>
    </row>
    <row r="4024" spans="1:7" s="172" customFormat="1" ht="15" customHeight="1" x14ac:dyDescent="0.25">
      <c r="A4024" s="844" t="s">
        <v>15033</v>
      </c>
      <c r="B4024" s="844" t="s">
        <v>15034</v>
      </c>
      <c r="C4024" s="844" t="s">
        <v>6920</v>
      </c>
      <c r="D4024" s="845" t="s">
        <v>7077</v>
      </c>
      <c r="E4024" s="845">
        <v>250</v>
      </c>
      <c r="F4024" s="844">
        <v>55</v>
      </c>
      <c r="G4024" s="202" t="str">
        <f t="shared" si="62"/>
        <v/>
      </c>
    </row>
    <row r="4025" spans="1:7" s="172" customFormat="1" ht="15" customHeight="1" x14ac:dyDescent="0.25">
      <c r="A4025" s="844" t="s">
        <v>15033</v>
      </c>
      <c r="B4025" s="844" t="s">
        <v>15034</v>
      </c>
      <c r="C4025" s="844" t="s">
        <v>6920</v>
      </c>
      <c r="D4025" s="845" t="s">
        <v>7078</v>
      </c>
      <c r="E4025" s="845">
        <v>250</v>
      </c>
      <c r="F4025" s="844">
        <v>90</v>
      </c>
      <c r="G4025" s="202" t="str">
        <f t="shared" si="62"/>
        <v/>
      </c>
    </row>
    <row r="4026" spans="1:7" s="172" customFormat="1" ht="15" customHeight="1" x14ac:dyDescent="0.25">
      <c r="A4026" s="844" t="s">
        <v>15033</v>
      </c>
      <c r="B4026" s="844" t="s">
        <v>15034</v>
      </c>
      <c r="C4026" s="844" t="s">
        <v>6920</v>
      </c>
      <c r="D4026" s="845" t="s">
        <v>7079</v>
      </c>
      <c r="E4026" s="845" t="s">
        <v>8761</v>
      </c>
      <c r="F4026" s="844">
        <v>70</v>
      </c>
      <c r="G4026" s="202" t="str">
        <f t="shared" si="62"/>
        <v/>
      </c>
    </row>
    <row r="4027" spans="1:7" s="172" customFormat="1" ht="15" customHeight="1" x14ac:dyDescent="0.25">
      <c r="A4027" s="844" t="s">
        <v>15131</v>
      </c>
      <c r="B4027" s="844" t="s">
        <v>15034</v>
      </c>
      <c r="C4027" s="844" t="s">
        <v>6920</v>
      </c>
      <c r="D4027" s="845" t="s">
        <v>7080</v>
      </c>
      <c r="E4027" s="845">
        <v>100</v>
      </c>
      <c r="F4027" s="844">
        <v>50</v>
      </c>
      <c r="G4027" s="202" t="str">
        <f t="shared" si="62"/>
        <v/>
      </c>
    </row>
    <row r="4028" spans="1:7" s="172" customFormat="1" ht="15" customHeight="1" x14ac:dyDescent="0.25">
      <c r="A4028" s="844" t="s">
        <v>7081</v>
      </c>
      <c r="B4028" s="844" t="s">
        <v>15034</v>
      </c>
      <c r="C4028" s="844" t="s">
        <v>6920</v>
      </c>
      <c r="D4028" s="845" t="s">
        <v>7082</v>
      </c>
      <c r="E4028" s="845">
        <v>250</v>
      </c>
      <c r="F4028" s="844">
        <v>160</v>
      </c>
      <c r="G4028" s="202" t="str">
        <f t="shared" si="62"/>
        <v/>
      </c>
    </row>
    <row r="4029" spans="1:7" s="172" customFormat="1" ht="15" customHeight="1" x14ac:dyDescent="0.25">
      <c r="A4029" s="844" t="s">
        <v>7083</v>
      </c>
      <c r="B4029" s="844" t="s">
        <v>15034</v>
      </c>
      <c r="C4029" s="844" t="s">
        <v>6920</v>
      </c>
      <c r="D4029" s="845" t="s">
        <v>7084</v>
      </c>
      <c r="E4029" s="845">
        <v>250</v>
      </c>
      <c r="F4029" s="844">
        <v>80</v>
      </c>
      <c r="G4029" s="202" t="str">
        <f t="shared" si="62"/>
        <v/>
      </c>
    </row>
    <row r="4030" spans="1:7" s="172" customFormat="1" ht="15" customHeight="1" x14ac:dyDescent="0.25">
      <c r="A4030" s="844" t="s">
        <v>7085</v>
      </c>
      <c r="B4030" s="844" t="s">
        <v>15034</v>
      </c>
      <c r="C4030" s="844" t="s">
        <v>6920</v>
      </c>
      <c r="D4030" s="845" t="s">
        <v>7086</v>
      </c>
      <c r="E4030" s="845">
        <v>30</v>
      </c>
      <c r="F4030" s="844">
        <v>15</v>
      </c>
      <c r="G4030" s="202" t="str">
        <f t="shared" si="62"/>
        <v/>
      </c>
    </row>
    <row r="4031" spans="1:7" s="172" customFormat="1" ht="15" customHeight="1" x14ac:dyDescent="0.25">
      <c r="A4031" s="844" t="s">
        <v>4812</v>
      </c>
      <c r="B4031" s="844" t="s">
        <v>15034</v>
      </c>
      <c r="C4031" s="844" t="s">
        <v>6920</v>
      </c>
      <c r="D4031" s="845" t="s">
        <v>7087</v>
      </c>
      <c r="E4031" s="845">
        <v>60</v>
      </c>
      <c r="F4031" s="844">
        <v>18</v>
      </c>
      <c r="G4031" s="202" t="str">
        <f t="shared" si="62"/>
        <v/>
      </c>
    </row>
    <row r="4032" spans="1:7" s="172" customFormat="1" ht="15" customHeight="1" x14ac:dyDescent="0.25">
      <c r="A4032" s="844" t="s">
        <v>15033</v>
      </c>
      <c r="B4032" s="844" t="s">
        <v>15034</v>
      </c>
      <c r="C4032" s="844" t="s">
        <v>6920</v>
      </c>
      <c r="D4032" s="845" t="s">
        <v>7088</v>
      </c>
      <c r="E4032" s="845">
        <v>100</v>
      </c>
      <c r="F4032" s="844">
        <v>20</v>
      </c>
      <c r="G4032" s="202" t="str">
        <f t="shared" si="62"/>
        <v/>
      </c>
    </row>
    <row r="4033" spans="1:7" s="172" customFormat="1" ht="15" customHeight="1" x14ac:dyDescent="0.25">
      <c r="A4033" s="844" t="s">
        <v>15033</v>
      </c>
      <c r="B4033" s="844" t="s">
        <v>15034</v>
      </c>
      <c r="C4033" s="844" t="s">
        <v>6920</v>
      </c>
      <c r="D4033" s="845" t="s">
        <v>7089</v>
      </c>
      <c r="E4033" s="845">
        <v>160</v>
      </c>
      <c r="F4033" s="844">
        <v>80</v>
      </c>
      <c r="G4033" s="202" t="str">
        <f t="shared" si="62"/>
        <v/>
      </c>
    </row>
    <row r="4034" spans="1:7" s="172" customFormat="1" ht="15" customHeight="1" x14ac:dyDescent="0.25">
      <c r="A4034" s="844" t="s">
        <v>15132</v>
      </c>
      <c r="B4034" s="844" t="s">
        <v>15034</v>
      </c>
      <c r="C4034" s="844" t="s">
        <v>6920</v>
      </c>
      <c r="D4034" s="845" t="s">
        <v>7090</v>
      </c>
      <c r="E4034" s="845">
        <v>160</v>
      </c>
      <c r="F4034" s="844">
        <v>60</v>
      </c>
      <c r="G4034" s="202" t="str">
        <f t="shared" si="62"/>
        <v/>
      </c>
    </row>
    <row r="4035" spans="1:7" s="172" customFormat="1" ht="15" customHeight="1" x14ac:dyDescent="0.25">
      <c r="A4035" s="844" t="s">
        <v>15133</v>
      </c>
      <c r="B4035" s="844" t="s">
        <v>15034</v>
      </c>
      <c r="C4035" s="844" t="s">
        <v>6920</v>
      </c>
      <c r="D4035" s="845" t="s">
        <v>7091</v>
      </c>
      <c r="E4035" s="845">
        <v>400</v>
      </c>
      <c r="F4035" s="844">
        <v>300</v>
      </c>
      <c r="G4035" s="202" t="str">
        <f t="shared" si="62"/>
        <v/>
      </c>
    </row>
    <row r="4036" spans="1:7" s="172" customFormat="1" ht="15" customHeight="1" x14ac:dyDescent="0.25">
      <c r="A4036" s="844" t="s">
        <v>15134</v>
      </c>
      <c r="B4036" s="844" t="s">
        <v>15034</v>
      </c>
      <c r="C4036" s="844" t="s">
        <v>6920</v>
      </c>
      <c r="D4036" s="845" t="s">
        <v>7092</v>
      </c>
      <c r="E4036" s="845">
        <v>160</v>
      </c>
      <c r="F4036" s="844">
        <v>100</v>
      </c>
      <c r="G4036" s="202" t="str">
        <f t="shared" si="62"/>
        <v/>
      </c>
    </row>
    <row r="4037" spans="1:7" s="172" customFormat="1" ht="15" customHeight="1" x14ac:dyDescent="0.25">
      <c r="A4037" s="844" t="s">
        <v>15135</v>
      </c>
      <c r="B4037" s="844" t="s">
        <v>15034</v>
      </c>
      <c r="C4037" s="844" t="s">
        <v>6920</v>
      </c>
      <c r="D4037" s="845" t="s">
        <v>7093</v>
      </c>
      <c r="E4037" s="845">
        <v>250</v>
      </c>
      <c r="F4037" s="844">
        <v>100</v>
      </c>
      <c r="G4037" s="202" t="str">
        <f t="shared" si="62"/>
        <v/>
      </c>
    </row>
    <row r="4038" spans="1:7" s="172" customFormat="1" ht="15" customHeight="1" x14ac:dyDescent="0.25">
      <c r="A4038" s="844" t="s">
        <v>15132</v>
      </c>
      <c r="B4038" s="844" t="s">
        <v>15034</v>
      </c>
      <c r="C4038" s="844" t="s">
        <v>6920</v>
      </c>
      <c r="D4038" s="845" t="s">
        <v>7094</v>
      </c>
      <c r="E4038" s="845">
        <v>630</v>
      </c>
      <c r="F4038" s="844">
        <v>630</v>
      </c>
      <c r="G4038" s="202" t="str">
        <f t="shared" si="62"/>
        <v>не загружен</v>
      </c>
    </row>
    <row r="4039" spans="1:7" s="172" customFormat="1" ht="15" customHeight="1" x14ac:dyDescent="0.25">
      <c r="A4039" s="844" t="s">
        <v>15134</v>
      </c>
      <c r="B4039" s="844" t="s">
        <v>15034</v>
      </c>
      <c r="C4039" s="844" t="s">
        <v>6920</v>
      </c>
      <c r="D4039" s="845" t="s">
        <v>7095</v>
      </c>
      <c r="E4039" s="845">
        <v>400</v>
      </c>
      <c r="F4039" s="844">
        <v>320</v>
      </c>
      <c r="G4039" s="202" t="str">
        <f t="shared" si="62"/>
        <v/>
      </c>
    </row>
    <row r="4040" spans="1:7" s="172" customFormat="1" ht="15" customHeight="1" x14ac:dyDescent="0.25">
      <c r="A4040" s="844" t="s">
        <v>15136</v>
      </c>
      <c r="B4040" s="844" t="s">
        <v>15034</v>
      </c>
      <c r="C4040" s="844" t="s">
        <v>6920</v>
      </c>
      <c r="D4040" s="845" t="s">
        <v>7096</v>
      </c>
      <c r="E4040" s="845">
        <v>250</v>
      </c>
      <c r="F4040" s="844">
        <v>200</v>
      </c>
      <c r="G4040" s="202" t="str">
        <f t="shared" si="62"/>
        <v/>
      </c>
    </row>
    <row r="4041" spans="1:7" s="172" customFormat="1" ht="15" customHeight="1" x14ac:dyDescent="0.25">
      <c r="A4041" s="844" t="s">
        <v>15134</v>
      </c>
      <c r="B4041" s="844" t="s">
        <v>15034</v>
      </c>
      <c r="C4041" s="844" t="s">
        <v>6920</v>
      </c>
      <c r="D4041" s="845" t="s">
        <v>7097</v>
      </c>
      <c r="E4041" s="845">
        <v>100</v>
      </c>
      <c r="F4041" s="844">
        <v>15</v>
      </c>
      <c r="G4041" s="202" t="str">
        <f t="shared" si="62"/>
        <v/>
      </c>
    </row>
    <row r="4042" spans="1:7" s="172" customFormat="1" ht="15" customHeight="1" x14ac:dyDescent="0.25">
      <c r="A4042" s="844" t="s">
        <v>15132</v>
      </c>
      <c r="B4042" s="844" t="s">
        <v>15034</v>
      </c>
      <c r="C4042" s="844" t="s">
        <v>6920</v>
      </c>
      <c r="D4042" s="845" t="s">
        <v>7098</v>
      </c>
      <c r="E4042" s="845" t="s">
        <v>18244</v>
      </c>
      <c r="F4042" s="844">
        <v>320</v>
      </c>
      <c r="G4042" s="202" t="str">
        <f t="shared" si="62"/>
        <v/>
      </c>
    </row>
    <row r="4043" spans="1:7" s="172" customFormat="1" ht="15" customHeight="1" x14ac:dyDescent="0.25">
      <c r="A4043" s="844" t="s">
        <v>15137</v>
      </c>
      <c r="B4043" s="844" t="s">
        <v>15034</v>
      </c>
      <c r="C4043" s="844" t="s">
        <v>6920</v>
      </c>
      <c r="D4043" s="845" t="s">
        <v>7099</v>
      </c>
      <c r="E4043" s="845">
        <v>400</v>
      </c>
      <c r="F4043" s="844">
        <v>150</v>
      </c>
      <c r="G4043" s="202" t="str">
        <f t="shared" si="62"/>
        <v/>
      </c>
    </row>
    <row r="4044" spans="1:7" s="172" customFormat="1" ht="15" customHeight="1" x14ac:dyDescent="0.25">
      <c r="A4044" s="844" t="s">
        <v>15138</v>
      </c>
      <c r="B4044" s="844" t="s">
        <v>15034</v>
      </c>
      <c r="C4044" s="844" t="s">
        <v>6920</v>
      </c>
      <c r="D4044" s="845" t="s">
        <v>7100</v>
      </c>
      <c r="E4044" s="845">
        <v>60</v>
      </c>
      <c r="F4044" s="844">
        <v>24</v>
      </c>
      <c r="G4044" s="202" t="str">
        <f t="shared" si="62"/>
        <v/>
      </c>
    </row>
    <row r="4045" spans="1:7" s="172" customFormat="1" ht="15" customHeight="1" x14ac:dyDescent="0.25">
      <c r="A4045" s="844" t="s">
        <v>15134</v>
      </c>
      <c r="B4045" s="844" t="s">
        <v>15034</v>
      </c>
      <c r="C4045" s="844" t="s">
        <v>6920</v>
      </c>
      <c r="D4045" s="844" t="s">
        <v>7101</v>
      </c>
      <c r="E4045" s="844">
        <v>250</v>
      </c>
      <c r="F4045" s="844">
        <v>200</v>
      </c>
      <c r="G4045" s="202" t="str">
        <f t="shared" si="62"/>
        <v/>
      </c>
    </row>
    <row r="4046" spans="1:7" s="172" customFormat="1" ht="15" customHeight="1" x14ac:dyDescent="0.25">
      <c r="A4046" s="844" t="s">
        <v>15139</v>
      </c>
      <c r="B4046" s="844" t="s">
        <v>15034</v>
      </c>
      <c r="C4046" s="844" t="s">
        <v>6920</v>
      </c>
      <c r="D4046" s="844" t="s">
        <v>7102</v>
      </c>
      <c r="E4046" s="844">
        <v>63</v>
      </c>
      <c r="F4046" s="844">
        <v>10</v>
      </c>
      <c r="G4046" s="202" t="str">
        <f t="shared" si="62"/>
        <v/>
      </c>
    </row>
    <row r="4047" spans="1:7" s="172" customFormat="1" ht="15" customHeight="1" x14ac:dyDescent="0.25">
      <c r="A4047" s="844" t="s">
        <v>15140</v>
      </c>
      <c r="B4047" s="844" t="s">
        <v>15034</v>
      </c>
      <c r="C4047" s="844" t="s">
        <v>6920</v>
      </c>
      <c r="D4047" s="844" t="s">
        <v>7103</v>
      </c>
      <c r="E4047" s="844">
        <v>160</v>
      </c>
      <c r="F4047" s="844">
        <v>80</v>
      </c>
      <c r="G4047" s="202" t="str">
        <f t="shared" si="62"/>
        <v/>
      </c>
    </row>
    <row r="4048" spans="1:7" s="172" customFormat="1" ht="15" customHeight="1" x14ac:dyDescent="0.25">
      <c r="A4048" s="820" t="s">
        <v>15141</v>
      </c>
      <c r="B4048" s="806" t="s">
        <v>15034</v>
      </c>
      <c r="C4048" s="806" t="s">
        <v>6920</v>
      </c>
      <c r="D4048" s="806" t="s">
        <v>7104</v>
      </c>
      <c r="E4048" s="820">
        <v>100</v>
      </c>
      <c r="F4048" s="816">
        <v>50</v>
      </c>
      <c r="G4048" s="202" t="str">
        <f t="shared" si="62"/>
        <v/>
      </c>
    </row>
    <row r="4049" spans="1:7" s="172" customFormat="1" ht="15" customHeight="1" x14ac:dyDescent="0.25">
      <c r="A4049" s="820" t="s">
        <v>15142</v>
      </c>
      <c r="B4049" s="806" t="s">
        <v>15034</v>
      </c>
      <c r="C4049" s="806" t="s">
        <v>6920</v>
      </c>
      <c r="D4049" s="806" t="s">
        <v>7105</v>
      </c>
      <c r="E4049" s="820">
        <v>10</v>
      </c>
      <c r="F4049" s="816">
        <v>5</v>
      </c>
      <c r="G4049" s="202" t="str">
        <f t="shared" si="62"/>
        <v/>
      </c>
    </row>
    <row r="4050" spans="1:7" s="172" customFormat="1" ht="15" customHeight="1" x14ac:dyDescent="0.25">
      <c r="A4050" s="820" t="s">
        <v>15143</v>
      </c>
      <c r="B4050" s="806" t="s">
        <v>15034</v>
      </c>
      <c r="C4050" s="806" t="s">
        <v>6920</v>
      </c>
      <c r="D4050" s="806" t="s">
        <v>7106</v>
      </c>
      <c r="E4050" s="820">
        <v>100</v>
      </c>
      <c r="F4050" s="816">
        <v>60</v>
      </c>
      <c r="G4050" s="202" t="str">
        <f t="shared" si="62"/>
        <v/>
      </c>
    </row>
    <row r="4051" spans="1:7" s="172" customFormat="1" ht="15" customHeight="1" x14ac:dyDescent="0.25">
      <c r="A4051" s="820" t="s">
        <v>15144</v>
      </c>
      <c r="B4051" s="806" t="s">
        <v>15034</v>
      </c>
      <c r="C4051" s="806" t="s">
        <v>6920</v>
      </c>
      <c r="D4051" s="806" t="s">
        <v>7107</v>
      </c>
      <c r="E4051" s="820">
        <v>30</v>
      </c>
      <c r="F4051" s="816">
        <v>25</v>
      </c>
      <c r="G4051" s="202" t="str">
        <f t="shared" si="62"/>
        <v/>
      </c>
    </row>
    <row r="4052" spans="1:7" s="172" customFormat="1" ht="15" customHeight="1" x14ac:dyDescent="0.25">
      <c r="A4052" s="820" t="s">
        <v>7108</v>
      </c>
      <c r="B4052" s="806" t="s">
        <v>15034</v>
      </c>
      <c r="C4052" s="806" t="s">
        <v>6920</v>
      </c>
      <c r="D4052" s="806" t="s">
        <v>7109</v>
      </c>
      <c r="E4052" s="820">
        <v>100</v>
      </c>
      <c r="F4052" s="816">
        <v>30</v>
      </c>
      <c r="G4052" s="202" t="str">
        <f t="shared" si="62"/>
        <v/>
      </c>
    </row>
    <row r="4053" spans="1:7" s="172" customFormat="1" ht="15" customHeight="1" x14ac:dyDescent="0.25">
      <c r="A4053" s="820" t="s">
        <v>15145</v>
      </c>
      <c r="B4053" s="806" t="s">
        <v>15034</v>
      </c>
      <c r="C4053" s="806" t="s">
        <v>6920</v>
      </c>
      <c r="D4053" s="806" t="s">
        <v>7110</v>
      </c>
      <c r="E4053" s="820">
        <v>160</v>
      </c>
      <c r="F4053" s="816">
        <v>100</v>
      </c>
      <c r="G4053" s="202" t="str">
        <f t="shared" si="62"/>
        <v/>
      </c>
    </row>
    <row r="4054" spans="1:7" s="172" customFormat="1" ht="15" customHeight="1" x14ac:dyDescent="0.25">
      <c r="A4054" s="820" t="s">
        <v>15146</v>
      </c>
      <c r="B4054" s="806" t="s">
        <v>15034</v>
      </c>
      <c r="C4054" s="806" t="s">
        <v>6920</v>
      </c>
      <c r="D4054" s="806" t="s">
        <v>7111</v>
      </c>
      <c r="E4054" s="820">
        <v>400</v>
      </c>
      <c r="F4054" s="816">
        <v>200</v>
      </c>
      <c r="G4054" s="202" t="str">
        <f t="shared" si="62"/>
        <v/>
      </c>
    </row>
    <row r="4055" spans="1:7" s="172" customFormat="1" ht="15" customHeight="1" x14ac:dyDescent="0.25">
      <c r="A4055" s="820" t="s">
        <v>15147</v>
      </c>
      <c r="B4055" s="806" t="s">
        <v>15034</v>
      </c>
      <c r="C4055" s="806" t="s">
        <v>6920</v>
      </c>
      <c r="D4055" s="806" t="s">
        <v>7112</v>
      </c>
      <c r="E4055" s="820">
        <v>250</v>
      </c>
      <c r="F4055" s="816">
        <v>200</v>
      </c>
      <c r="G4055" s="202" t="str">
        <f t="shared" si="62"/>
        <v/>
      </c>
    </row>
    <row r="4056" spans="1:7" s="172" customFormat="1" ht="15" customHeight="1" x14ac:dyDescent="0.25">
      <c r="A4056" s="820" t="s">
        <v>15148</v>
      </c>
      <c r="B4056" s="806" t="s">
        <v>15034</v>
      </c>
      <c r="C4056" s="806" t="s">
        <v>6920</v>
      </c>
      <c r="D4056" s="806" t="s">
        <v>7113</v>
      </c>
      <c r="E4056" s="820">
        <v>160</v>
      </c>
      <c r="F4056" s="816">
        <v>100</v>
      </c>
      <c r="G4056" s="202" t="str">
        <f t="shared" si="62"/>
        <v/>
      </c>
    </row>
    <row r="4057" spans="1:7" s="172" customFormat="1" ht="15" customHeight="1" x14ac:dyDescent="0.25">
      <c r="A4057" s="820" t="s">
        <v>15147</v>
      </c>
      <c r="B4057" s="806" t="s">
        <v>15034</v>
      </c>
      <c r="C4057" s="806" t="s">
        <v>6920</v>
      </c>
      <c r="D4057" s="806" t="s">
        <v>7114</v>
      </c>
      <c r="E4057" s="820">
        <v>250</v>
      </c>
      <c r="F4057" s="816">
        <v>100</v>
      </c>
      <c r="G4057" s="202" t="str">
        <f t="shared" si="62"/>
        <v/>
      </c>
    </row>
    <row r="4058" spans="1:7" s="172" customFormat="1" ht="15" customHeight="1" x14ac:dyDescent="0.25">
      <c r="A4058" s="820" t="s">
        <v>15149</v>
      </c>
      <c r="B4058" s="806" t="s">
        <v>15034</v>
      </c>
      <c r="C4058" s="806" t="s">
        <v>6920</v>
      </c>
      <c r="D4058" s="806" t="s">
        <v>7115</v>
      </c>
      <c r="E4058" s="820">
        <v>400</v>
      </c>
      <c r="F4058" s="816">
        <v>250</v>
      </c>
      <c r="G4058" s="202" t="str">
        <f t="shared" ref="G4058:G4122" si="63">IF(E4058=F4058,"не загружен","")</f>
        <v/>
      </c>
    </row>
    <row r="4059" spans="1:7" s="172" customFormat="1" ht="15" customHeight="1" x14ac:dyDescent="0.25">
      <c r="A4059" s="820" t="s">
        <v>15147</v>
      </c>
      <c r="B4059" s="806" t="s">
        <v>15034</v>
      </c>
      <c r="C4059" s="806" t="s">
        <v>6920</v>
      </c>
      <c r="D4059" s="806" t="s">
        <v>7116</v>
      </c>
      <c r="E4059" s="820">
        <v>400</v>
      </c>
      <c r="F4059" s="816">
        <v>230</v>
      </c>
      <c r="G4059" s="202" t="str">
        <f t="shared" si="63"/>
        <v/>
      </c>
    </row>
    <row r="4060" spans="1:7" s="172" customFormat="1" ht="15" customHeight="1" x14ac:dyDescent="0.25">
      <c r="A4060" s="820" t="s">
        <v>15150</v>
      </c>
      <c r="B4060" s="806" t="s">
        <v>15034</v>
      </c>
      <c r="C4060" s="806" t="s">
        <v>6920</v>
      </c>
      <c r="D4060" s="806" t="s">
        <v>7117</v>
      </c>
      <c r="E4060" s="820">
        <v>30</v>
      </c>
      <c r="F4060" s="816">
        <v>5</v>
      </c>
      <c r="G4060" s="202" t="str">
        <f t="shared" si="63"/>
        <v/>
      </c>
    </row>
    <row r="4061" spans="1:7" s="172" customFormat="1" ht="15" customHeight="1" x14ac:dyDescent="0.25">
      <c r="A4061" s="820" t="s">
        <v>15147</v>
      </c>
      <c r="B4061" s="806" t="s">
        <v>15034</v>
      </c>
      <c r="C4061" s="806" t="s">
        <v>6920</v>
      </c>
      <c r="D4061" s="806" t="s">
        <v>7118</v>
      </c>
      <c r="E4061" s="820">
        <v>100</v>
      </c>
      <c r="F4061" s="816">
        <v>20</v>
      </c>
      <c r="G4061" s="202" t="str">
        <f t="shared" si="63"/>
        <v/>
      </c>
    </row>
    <row r="4062" spans="1:7" s="172" customFormat="1" ht="15" customHeight="1" x14ac:dyDescent="0.25">
      <c r="A4062" s="820" t="s">
        <v>15151</v>
      </c>
      <c r="B4062" s="806" t="s">
        <v>15034</v>
      </c>
      <c r="C4062" s="806" t="s">
        <v>6920</v>
      </c>
      <c r="D4062" s="806" t="s">
        <v>7119</v>
      </c>
      <c r="E4062" s="820">
        <v>30</v>
      </c>
      <c r="F4062" s="816">
        <v>10</v>
      </c>
      <c r="G4062" s="202" t="str">
        <f t="shared" si="63"/>
        <v/>
      </c>
    </row>
    <row r="4063" spans="1:7" s="172" customFormat="1" ht="15" customHeight="1" x14ac:dyDescent="0.25">
      <c r="A4063" s="820" t="s">
        <v>15152</v>
      </c>
      <c r="B4063" s="806" t="s">
        <v>15034</v>
      </c>
      <c r="C4063" s="806" t="s">
        <v>6920</v>
      </c>
      <c r="D4063" s="806" t="s">
        <v>7120</v>
      </c>
      <c r="E4063" s="820">
        <v>30</v>
      </c>
      <c r="F4063" s="816">
        <v>5</v>
      </c>
      <c r="G4063" s="202" t="str">
        <f t="shared" si="63"/>
        <v/>
      </c>
    </row>
    <row r="4064" spans="1:7" s="172" customFormat="1" ht="15" customHeight="1" x14ac:dyDescent="0.25">
      <c r="A4064" s="820" t="s">
        <v>15153</v>
      </c>
      <c r="B4064" s="806" t="s">
        <v>15034</v>
      </c>
      <c r="C4064" s="806" t="s">
        <v>6920</v>
      </c>
      <c r="D4064" s="806" t="s">
        <v>7121</v>
      </c>
      <c r="E4064" s="820">
        <v>100</v>
      </c>
      <c r="F4064" s="816">
        <v>40</v>
      </c>
      <c r="G4064" s="202" t="str">
        <f t="shared" si="63"/>
        <v/>
      </c>
    </row>
    <row r="4065" spans="1:7" s="172" customFormat="1" ht="15" customHeight="1" x14ac:dyDescent="0.25">
      <c r="A4065" s="820" t="s">
        <v>18577</v>
      </c>
      <c r="B4065" s="806" t="s">
        <v>15034</v>
      </c>
      <c r="C4065" s="806" t="s">
        <v>6920</v>
      </c>
      <c r="D4065" s="806" t="s">
        <v>18578</v>
      </c>
      <c r="E4065" s="820">
        <v>25</v>
      </c>
      <c r="F4065" s="816">
        <v>0</v>
      </c>
      <c r="G4065" s="202" t="str">
        <f t="shared" si="63"/>
        <v/>
      </c>
    </row>
    <row r="4066" spans="1:7" s="172" customFormat="1" ht="15" customHeight="1" x14ac:dyDescent="0.25">
      <c r="A4066" s="820" t="s">
        <v>6962</v>
      </c>
      <c r="B4066" s="806" t="s">
        <v>15034</v>
      </c>
      <c r="C4066" s="806" t="s">
        <v>6920</v>
      </c>
      <c r="D4066" s="806" t="s">
        <v>18579</v>
      </c>
      <c r="E4066" s="820">
        <v>25</v>
      </c>
      <c r="F4066" s="816">
        <v>10</v>
      </c>
      <c r="G4066" s="202" t="str">
        <f t="shared" si="63"/>
        <v/>
      </c>
    </row>
    <row r="4067" spans="1:7" s="172" customFormat="1" ht="15" customHeight="1" x14ac:dyDescent="0.25">
      <c r="A4067" s="820" t="s">
        <v>18577</v>
      </c>
      <c r="B4067" s="806" t="s">
        <v>15034</v>
      </c>
      <c r="C4067" s="806" t="s">
        <v>6920</v>
      </c>
      <c r="D4067" s="806" t="s">
        <v>19204</v>
      </c>
      <c r="E4067" s="820">
        <v>250</v>
      </c>
      <c r="F4067" s="816">
        <v>85</v>
      </c>
      <c r="G4067" s="202" t="str">
        <f t="shared" si="63"/>
        <v/>
      </c>
    </row>
    <row r="4068" spans="1:7" s="172" customFormat="1" ht="15" customHeight="1" x14ac:dyDescent="0.25">
      <c r="A4068" s="820" t="s">
        <v>15154</v>
      </c>
      <c r="B4068" s="806" t="s">
        <v>2967</v>
      </c>
      <c r="C4068" s="818" t="s">
        <v>19297</v>
      </c>
      <c r="D4068" s="806" t="s">
        <v>2968</v>
      </c>
      <c r="E4068" s="809">
        <v>40</v>
      </c>
      <c r="F4068" s="816">
        <v>10</v>
      </c>
      <c r="G4068" s="202" t="str">
        <f t="shared" si="63"/>
        <v/>
      </c>
    </row>
    <row r="4069" spans="1:7" s="172" customFormat="1" ht="15" customHeight="1" x14ac:dyDescent="0.25">
      <c r="A4069" s="820" t="s">
        <v>2969</v>
      </c>
      <c r="B4069" s="806" t="s">
        <v>2967</v>
      </c>
      <c r="C4069" s="818" t="s">
        <v>19297</v>
      </c>
      <c r="D4069" s="806" t="s">
        <v>2970</v>
      </c>
      <c r="E4069" s="809">
        <v>100</v>
      </c>
      <c r="F4069" s="816">
        <v>10</v>
      </c>
      <c r="G4069" s="202" t="str">
        <f t="shared" si="63"/>
        <v/>
      </c>
    </row>
    <row r="4070" spans="1:7" s="172" customFormat="1" ht="15" customHeight="1" x14ac:dyDescent="0.25">
      <c r="A4070" s="820" t="s">
        <v>15155</v>
      </c>
      <c r="B4070" s="806" t="s">
        <v>2967</v>
      </c>
      <c r="C4070" s="818" t="s">
        <v>19297</v>
      </c>
      <c r="D4070" s="806" t="s">
        <v>2971</v>
      </c>
      <c r="E4070" s="809">
        <v>100</v>
      </c>
      <c r="F4070" s="816">
        <v>40</v>
      </c>
      <c r="G4070" s="202" t="str">
        <f t="shared" si="63"/>
        <v/>
      </c>
    </row>
    <row r="4071" spans="1:7" s="172" customFormat="1" ht="15" customHeight="1" x14ac:dyDescent="0.25">
      <c r="A4071" s="820" t="s">
        <v>2972</v>
      </c>
      <c r="B4071" s="806" t="s">
        <v>2967</v>
      </c>
      <c r="C4071" s="818" t="s">
        <v>19297</v>
      </c>
      <c r="D4071" s="806" t="s">
        <v>2973</v>
      </c>
      <c r="E4071" s="809">
        <v>160</v>
      </c>
      <c r="F4071" s="816">
        <v>5</v>
      </c>
      <c r="G4071" s="202" t="str">
        <f t="shared" si="63"/>
        <v/>
      </c>
    </row>
    <row r="4072" spans="1:7" s="172" customFormat="1" ht="15" customHeight="1" x14ac:dyDescent="0.25">
      <c r="A4072" s="820" t="s">
        <v>13930</v>
      </c>
      <c r="B4072" s="806" t="s">
        <v>2967</v>
      </c>
      <c r="C4072" s="818" t="s">
        <v>19297</v>
      </c>
      <c r="D4072" s="806" t="s">
        <v>2974</v>
      </c>
      <c r="E4072" s="809">
        <v>400</v>
      </c>
      <c r="F4072" s="816">
        <v>45</v>
      </c>
      <c r="G4072" s="202" t="str">
        <f t="shared" si="63"/>
        <v/>
      </c>
    </row>
    <row r="4073" spans="1:7" s="172" customFormat="1" ht="15" customHeight="1" x14ac:dyDescent="0.25">
      <c r="A4073" s="820" t="s">
        <v>2975</v>
      </c>
      <c r="B4073" s="806" t="s">
        <v>2967</v>
      </c>
      <c r="C4073" s="818" t="s">
        <v>19297</v>
      </c>
      <c r="D4073" s="806" t="s">
        <v>2976</v>
      </c>
      <c r="E4073" s="809">
        <v>400</v>
      </c>
      <c r="F4073" s="816">
        <v>30</v>
      </c>
      <c r="G4073" s="202" t="str">
        <f t="shared" si="63"/>
        <v/>
      </c>
    </row>
    <row r="4074" spans="1:7" s="172" customFormat="1" ht="15" customHeight="1" x14ac:dyDescent="0.25">
      <c r="A4074" s="820" t="s">
        <v>2975</v>
      </c>
      <c r="B4074" s="806" t="s">
        <v>2967</v>
      </c>
      <c r="C4074" s="818" t="s">
        <v>19297</v>
      </c>
      <c r="D4074" s="806" t="s">
        <v>19853</v>
      </c>
      <c r="E4074" s="809">
        <v>63</v>
      </c>
      <c r="F4074" s="816">
        <v>15</v>
      </c>
      <c r="G4074" s="202" t="str">
        <f t="shared" si="63"/>
        <v/>
      </c>
    </row>
    <row r="4075" spans="1:7" s="172" customFormat="1" ht="15" customHeight="1" x14ac:dyDescent="0.25">
      <c r="A4075" s="820" t="s">
        <v>2977</v>
      </c>
      <c r="B4075" s="806" t="s">
        <v>2967</v>
      </c>
      <c r="C4075" s="818" t="s">
        <v>19297</v>
      </c>
      <c r="D4075" s="806" t="s">
        <v>2978</v>
      </c>
      <c r="E4075" s="809">
        <v>250</v>
      </c>
      <c r="F4075" s="816">
        <v>10</v>
      </c>
      <c r="G4075" s="202" t="str">
        <f t="shared" si="63"/>
        <v/>
      </c>
    </row>
    <row r="4076" spans="1:7" s="172" customFormat="1" ht="15" customHeight="1" x14ac:dyDescent="0.25">
      <c r="A4076" s="820" t="s">
        <v>2977</v>
      </c>
      <c r="B4076" s="806" t="s">
        <v>2967</v>
      </c>
      <c r="C4076" s="818" t="s">
        <v>19297</v>
      </c>
      <c r="D4076" s="806" t="s">
        <v>19854</v>
      </c>
      <c r="E4076" s="809">
        <v>160</v>
      </c>
      <c r="F4076" s="816">
        <v>50</v>
      </c>
      <c r="G4076" s="202" t="str">
        <f t="shared" si="63"/>
        <v/>
      </c>
    </row>
    <row r="4077" spans="1:7" s="172" customFormat="1" ht="15" customHeight="1" x14ac:dyDescent="0.25">
      <c r="A4077" s="820" t="s">
        <v>19855</v>
      </c>
      <c r="B4077" s="806" t="s">
        <v>2967</v>
      </c>
      <c r="C4077" s="818" t="s">
        <v>19297</v>
      </c>
      <c r="D4077" s="806" t="s">
        <v>19856</v>
      </c>
      <c r="E4077" s="809">
        <v>160</v>
      </c>
      <c r="F4077" s="816">
        <v>25</v>
      </c>
      <c r="G4077" s="202" t="str">
        <f t="shared" si="63"/>
        <v/>
      </c>
    </row>
    <row r="4078" spans="1:7" s="172" customFormat="1" ht="15" customHeight="1" x14ac:dyDescent="0.25">
      <c r="A4078" s="820" t="s">
        <v>19855</v>
      </c>
      <c r="B4078" s="806" t="s">
        <v>2967</v>
      </c>
      <c r="C4078" s="818" t="s">
        <v>19297</v>
      </c>
      <c r="D4078" s="806" t="s">
        <v>19857</v>
      </c>
      <c r="E4078" s="809">
        <v>100</v>
      </c>
      <c r="F4078" s="816">
        <v>30</v>
      </c>
      <c r="G4078" s="202" t="str">
        <f t="shared" si="63"/>
        <v/>
      </c>
    </row>
    <row r="4079" spans="1:7" s="172" customFormat="1" ht="15" customHeight="1" x14ac:dyDescent="0.25">
      <c r="A4079" s="820" t="s">
        <v>2975</v>
      </c>
      <c r="B4079" s="806" t="s">
        <v>2967</v>
      </c>
      <c r="C4079" s="818" t="s">
        <v>19297</v>
      </c>
      <c r="D4079" s="806" t="s">
        <v>2979</v>
      </c>
      <c r="E4079" s="809">
        <v>63</v>
      </c>
      <c r="F4079" s="816">
        <v>20</v>
      </c>
      <c r="G4079" s="202" t="str">
        <f t="shared" si="63"/>
        <v/>
      </c>
    </row>
    <row r="4080" spans="1:7" s="172" customFormat="1" ht="15" customHeight="1" x14ac:dyDescent="0.25">
      <c r="A4080" s="820" t="s">
        <v>2980</v>
      </c>
      <c r="B4080" s="806" t="s">
        <v>2967</v>
      </c>
      <c r="C4080" s="818" t="s">
        <v>19297</v>
      </c>
      <c r="D4080" s="806" t="s">
        <v>2981</v>
      </c>
      <c r="E4080" s="809">
        <v>160</v>
      </c>
      <c r="F4080" s="816">
        <v>10</v>
      </c>
      <c r="G4080" s="202" t="str">
        <f t="shared" si="63"/>
        <v/>
      </c>
    </row>
    <row r="4081" spans="1:7" s="172" customFormat="1" ht="15" customHeight="1" x14ac:dyDescent="0.25">
      <c r="A4081" s="820" t="s">
        <v>2982</v>
      </c>
      <c r="B4081" s="806" t="s">
        <v>2967</v>
      </c>
      <c r="C4081" s="818" t="s">
        <v>19297</v>
      </c>
      <c r="D4081" s="806" t="s">
        <v>2983</v>
      </c>
      <c r="E4081" s="809">
        <v>100</v>
      </c>
      <c r="F4081" s="816">
        <v>20</v>
      </c>
      <c r="G4081" s="202" t="str">
        <f t="shared" si="63"/>
        <v/>
      </c>
    </row>
    <row r="4082" spans="1:7" s="172" customFormat="1" ht="15" customHeight="1" x14ac:dyDescent="0.25">
      <c r="A4082" s="820" t="s">
        <v>2982</v>
      </c>
      <c r="B4082" s="806" t="s">
        <v>2967</v>
      </c>
      <c r="C4082" s="818" t="s">
        <v>19297</v>
      </c>
      <c r="D4082" s="806" t="s">
        <v>18922</v>
      </c>
      <c r="E4082" s="809">
        <v>630</v>
      </c>
      <c r="F4082" s="816">
        <v>80</v>
      </c>
      <c r="G4082" s="202" t="str">
        <f t="shared" si="63"/>
        <v/>
      </c>
    </row>
    <row r="4083" spans="1:7" s="172" customFormat="1" ht="15" customHeight="1" x14ac:dyDescent="0.25">
      <c r="A4083" s="820" t="s">
        <v>2984</v>
      </c>
      <c r="B4083" s="806" t="s">
        <v>2967</v>
      </c>
      <c r="C4083" s="818" t="s">
        <v>19297</v>
      </c>
      <c r="D4083" s="806" t="s">
        <v>2985</v>
      </c>
      <c r="E4083" s="809">
        <v>60</v>
      </c>
      <c r="F4083" s="816">
        <v>15</v>
      </c>
      <c r="G4083" s="202" t="str">
        <f t="shared" si="63"/>
        <v/>
      </c>
    </row>
    <row r="4084" spans="1:7" s="172" customFormat="1" ht="15" customHeight="1" x14ac:dyDescent="0.25">
      <c r="A4084" s="820" t="s">
        <v>2986</v>
      </c>
      <c r="B4084" s="806" t="s">
        <v>2967</v>
      </c>
      <c r="C4084" s="818" t="s">
        <v>19297</v>
      </c>
      <c r="D4084" s="806" t="s">
        <v>2987</v>
      </c>
      <c r="E4084" s="809">
        <v>250</v>
      </c>
      <c r="F4084" s="816">
        <v>5</v>
      </c>
      <c r="G4084" s="202" t="str">
        <f t="shared" si="63"/>
        <v/>
      </c>
    </row>
    <row r="4085" spans="1:7" s="172" customFormat="1" ht="15" customHeight="1" x14ac:dyDescent="0.25">
      <c r="A4085" s="820" t="s">
        <v>2709</v>
      </c>
      <c r="B4085" s="806" t="s">
        <v>2967</v>
      </c>
      <c r="C4085" s="818" t="s">
        <v>19297</v>
      </c>
      <c r="D4085" s="806" t="s">
        <v>2988</v>
      </c>
      <c r="E4085" s="809">
        <v>63</v>
      </c>
      <c r="F4085" s="816">
        <v>20</v>
      </c>
      <c r="G4085" s="202" t="str">
        <f t="shared" si="63"/>
        <v/>
      </c>
    </row>
    <row r="4086" spans="1:7" s="172" customFormat="1" ht="15" customHeight="1" x14ac:dyDescent="0.25">
      <c r="A4086" s="820" t="s">
        <v>2989</v>
      </c>
      <c r="B4086" s="806" t="s">
        <v>2967</v>
      </c>
      <c r="C4086" s="818" t="s">
        <v>19297</v>
      </c>
      <c r="D4086" s="806" t="s">
        <v>2990</v>
      </c>
      <c r="E4086" s="809">
        <v>250</v>
      </c>
      <c r="F4086" s="816">
        <v>50</v>
      </c>
      <c r="G4086" s="202" t="str">
        <f t="shared" si="63"/>
        <v/>
      </c>
    </row>
    <row r="4087" spans="1:7" s="172" customFormat="1" ht="15" customHeight="1" x14ac:dyDescent="0.25">
      <c r="A4087" s="820" t="s">
        <v>2989</v>
      </c>
      <c r="B4087" s="806" t="s">
        <v>2967</v>
      </c>
      <c r="C4087" s="818" t="s">
        <v>19297</v>
      </c>
      <c r="D4087" s="806" t="s">
        <v>18923</v>
      </c>
      <c r="E4087" s="809">
        <v>160</v>
      </c>
      <c r="F4087" s="816">
        <v>20</v>
      </c>
      <c r="G4087" s="202" t="str">
        <f t="shared" si="63"/>
        <v/>
      </c>
    </row>
    <row r="4088" spans="1:7" s="172" customFormat="1" ht="15" customHeight="1" x14ac:dyDescent="0.25">
      <c r="A4088" s="820" t="s">
        <v>2991</v>
      </c>
      <c r="B4088" s="806" t="s">
        <v>2967</v>
      </c>
      <c r="C4088" s="818" t="s">
        <v>19297</v>
      </c>
      <c r="D4088" s="806" t="s">
        <v>2992</v>
      </c>
      <c r="E4088" s="809">
        <v>160</v>
      </c>
      <c r="F4088" s="816">
        <v>30</v>
      </c>
      <c r="G4088" s="202" t="str">
        <f t="shared" si="63"/>
        <v/>
      </c>
    </row>
    <row r="4089" spans="1:7" s="172" customFormat="1" ht="15" customHeight="1" x14ac:dyDescent="0.25">
      <c r="A4089" s="820" t="s">
        <v>2993</v>
      </c>
      <c r="B4089" s="806" t="s">
        <v>2967</v>
      </c>
      <c r="C4089" s="818" t="s">
        <v>19297</v>
      </c>
      <c r="D4089" s="806" t="s">
        <v>2994</v>
      </c>
      <c r="E4089" s="809">
        <v>100</v>
      </c>
      <c r="F4089" s="816">
        <v>20</v>
      </c>
      <c r="G4089" s="202" t="str">
        <f t="shared" si="63"/>
        <v/>
      </c>
    </row>
    <row r="4090" spans="1:7" s="172" customFormat="1" ht="15" customHeight="1" x14ac:dyDescent="0.25">
      <c r="A4090" s="820" t="s">
        <v>18924</v>
      </c>
      <c r="B4090" s="806" t="s">
        <v>2967</v>
      </c>
      <c r="C4090" s="818" t="s">
        <v>19297</v>
      </c>
      <c r="D4090" s="806" t="s">
        <v>18925</v>
      </c>
      <c r="E4090" s="809">
        <v>100</v>
      </c>
      <c r="F4090" s="816">
        <v>30</v>
      </c>
      <c r="G4090" s="202" t="str">
        <f t="shared" si="63"/>
        <v/>
      </c>
    </row>
    <row r="4091" spans="1:7" s="172" customFormat="1" ht="15" customHeight="1" x14ac:dyDescent="0.25">
      <c r="A4091" s="820" t="s">
        <v>2995</v>
      </c>
      <c r="B4091" s="806" t="s">
        <v>2967</v>
      </c>
      <c r="C4091" s="818" t="s">
        <v>19297</v>
      </c>
      <c r="D4091" s="806" t="s">
        <v>2996</v>
      </c>
      <c r="E4091" s="809">
        <v>160</v>
      </c>
      <c r="F4091" s="816">
        <v>20</v>
      </c>
      <c r="G4091" s="202" t="str">
        <f t="shared" si="63"/>
        <v/>
      </c>
    </row>
    <row r="4092" spans="1:7" s="172" customFormat="1" ht="15" customHeight="1" x14ac:dyDescent="0.25">
      <c r="A4092" s="820" t="s">
        <v>2997</v>
      </c>
      <c r="B4092" s="806" t="s">
        <v>2967</v>
      </c>
      <c r="C4092" s="818" t="s">
        <v>19297</v>
      </c>
      <c r="D4092" s="806" t="s">
        <v>2998</v>
      </c>
      <c r="E4092" s="809">
        <v>100</v>
      </c>
      <c r="F4092" s="816">
        <v>20</v>
      </c>
      <c r="G4092" s="202" t="str">
        <f t="shared" si="63"/>
        <v/>
      </c>
    </row>
    <row r="4093" spans="1:7" s="172" customFormat="1" ht="15" customHeight="1" x14ac:dyDescent="0.25">
      <c r="A4093" s="820" t="s">
        <v>2999</v>
      </c>
      <c r="B4093" s="806" t="s">
        <v>2967</v>
      </c>
      <c r="C4093" s="818" t="s">
        <v>19297</v>
      </c>
      <c r="D4093" s="806" t="s">
        <v>3000</v>
      </c>
      <c r="E4093" s="809">
        <v>160</v>
      </c>
      <c r="F4093" s="816">
        <v>20</v>
      </c>
      <c r="G4093" s="202" t="str">
        <f t="shared" si="63"/>
        <v/>
      </c>
    </row>
    <row r="4094" spans="1:7" s="172" customFormat="1" ht="15" customHeight="1" x14ac:dyDescent="0.25">
      <c r="A4094" s="820" t="s">
        <v>3001</v>
      </c>
      <c r="B4094" s="806" t="s">
        <v>2967</v>
      </c>
      <c r="C4094" s="818" t="s">
        <v>19297</v>
      </c>
      <c r="D4094" s="806" t="s">
        <v>3002</v>
      </c>
      <c r="E4094" s="809">
        <v>160</v>
      </c>
      <c r="F4094" s="816">
        <v>40</v>
      </c>
      <c r="G4094" s="202" t="str">
        <f t="shared" si="63"/>
        <v/>
      </c>
    </row>
    <row r="4095" spans="1:7" s="172" customFormat="1" ht="15" customHeight="1" x14ac:dyDescent="0.25">
      <c r="A4095" s="820" t="s">
        <v>3003</v>
      </c>
      <c r="B4095" s="806" t="s">
        <v>2967</v>
      </c>
      <c r="C4095" s="818" t="s">
        <v>19297</v>
      </c>
      <c r="D4095" s="806" t="s">
        <v>3004</v>
      </c>
      <c r="E4095" s="809">
        <v>250</v>
      </c>
      <c r="F4095" s="816">
        <v>30</v>
      </c>
      <c r="G4095" s="202" t="str">
        <f t="shared" si="63"/>
        <v/>
      </c>
    </row>
    <row r="4096" spans="1:7" s="172" customFormat="1" ht="15" customHeight="1" x14ac:dyDescent="0.25">
      <c r="A4096" s="820" t="s">
        <v>15156</v>
      </c>
      <c r="B4096" s="806" t="s">
        <v>2967</v>
      </c>
      <c r="C4096" s="818" t="s">
        <v>19297</v>
      </c>
      <c r="D4096" s="806" t="s">
        <v>3005</v>
      </c>
      <c r="E4096" s="809">
        <v>400</v>
      </c>
      <c r="F4096" s="816">
        <v>30</v>
      </c>
      <c r="G4096" s="202" t="str">
        <f t="shared" si="63"/>
        <v/>
      </c>
    </row>
    <row r="4097" spans="1:7" s="172" customFormat="1" ht="15" customHeight="1" x14ac:dyDescent="0.25">
      <c r="A4097" s="820" t="s">
        <v>3006</v>
      </c>
      <c r="B4097" s="806" t="s">
        <v>2967</v>
      </c>
      <c r="C4097" s="818" t="s">
        <v>19297</v>
      </c>
      <c r="D4097" s="806" t="s">
        <v>3007</v>
      </c>
      <c r="E4097" s="809">
        <v>400</v>
      </c>
      <c r="F4097" s="816">
        <v>20</v>
      </c>
      <c r="G4097" s="202" t="str">
        <f t="shared" si="63"/>
        <v/>
      </c>
    </row>
    <row r="4098" spans="1:7" s="172" customFormat="1" ht="15" customHeight="1" x14ac:dyDescent="0.25">
      <c r="A4098" s="820" t="s">
        <v>3008</v>
      </c>
      <c r="B4098" s="806" t="s">
        <v>2967</v>
      </c>
      <c r="C4098" s="818" t="s">
        <v>19297</v>
      </c>
      <c r="D4098" s="806" t="s">
        <v>3009</v>
      </c>
      <c r="E4098" s="809">
        <v>30</v>
      </c>
      <c r="F4098" s="816">
        <v>10</v>
      </c>
      <c r="G4098" s="202" t="str">
        <f t="shared" si="63"/>
        <v/>
      </c>
    </row>
    <row r="4099" spans="1:7" s="172" customFormat="1" ht="15" customHeight="1" x14ac:dyDescent="0.25">
      <c r="A4099" s="820" t="s">
        <v>3010</v>
      </c>
      <c r="B4099" s="806" t="s">
        <v>2967</v>
      </c>
      <c r="C4099" s="818" t="s">
        <v>19297</v>
      </c>
      <c r="D4099" s="806" t="s">
        <v>3011</v>
      </c>
      <c r="E4099" s="809">
        <v>160</v>
      </c>
      <c r="F4099" s="816">
        <v>15</v>
      </c>
      <c r="G4099" s="202" t="str">
        <f t="shared" si="63"/>
        <v/>
      </c>
    </row>
    <row r="4100" spans="1:7" s="172" customFormat="1" ht="15" customHeight="1" x14ac:dyDescent="0.25">
      <c r="A4100" s="820" t="s">
        <v>3012</v>
      </c>
      <c r="B4100" s="806" t="s">
        <v>2967</v>
      </c>
      <c r="C4100" s="818" t="s">
        <v>19297</v>
      </c>
      <c r="D4100" s="806" t="s">
        <v>3013</v>
      </c>
      <c r="E4100" s="809">
        <v>160</v>
      </c>
      <c r="F4100" s="816">
        <v>30</v>
      </c>
      <c r="G4100" s="202" t="str">
        <f t="shared" si="63"/>
        <v/>
      </c>
    </row>
    <row r="4101" spans="1:7" s="172" customFormat="1" ht="15" customHeight="1" x14ac:dyDescent="0.25">
      <c r="A4101" s="820" t="s">
        <v>15157</v>
      </c>
      <c r="B4101" s="806" t="s">
        <v>2967</v>
      </c>
      <c r="C4101" s="818" t="s">
        <v>19297</v>
      </c>
      <c r="D4101" s="806" t="s">
        <v>3014</v>
      </c>
      <c r="E4101" s="809">
        <v>60</v>
      </c>
      <c r="F4101" s="816">
        <v>10</v>
      </c>
      <c r="G4101" s="202" t="str">
        <f t="shared" si="63"/>
        <v/>
      </c>
    </row>
    <row r="4102" spans="1:7" s="172" customFormat="1" ht="15" customHeight="1" x14ac:dyDescent="0.25">
      <c r="A4102" s="820" t="s">
        <v>3015</v>
      </c>
      <c r="B4102" s="806" t="s">
        <v>2967</v>
      </c>
      <c r="C4102" s="818" t="s">
        <v>19297</v>
      </c>
      <c r="D4102" s="806" t="s">
        <v>3016</v>
      </c>
      <c r="E4102" s="809">
        <v>100</v>
      </c>
      <c r="F4102" s="816">
        <v>30</v>
      </c>
      <c r="G4102" s="202" t="str">
        <f t="shared" si="63"/>
        <v/>
      </c>
    </row>
    <row r="4103" spans="1:7" s="172" customFormat="1" ht="15" customHeight="1" x14ac:dyDescent="0.25">
      <c r="A4103" s="820" t="s">
        <v>3017</v>
      </c>
      <c r="B4103" s="806" t="s">
        <v>2967</v>
      </c>
      <c r="C4103" s="818" t="s">
        <v>19297</v>
      </c>
      <c r="D4103" s="806" t="s">
        <v>3018</v>
      </c>
      <c r="E4103" s="809">
        <v>160</v>
      </c>
      <c r="F4103" s="816">
        <v>40</v>
      </c>
      <c r="G4103" s="202" t="str">
        <f t="shared" si="63"/>
        <v/>
      </c>
    </row>
    <row r="4104" spans="1:7" s="172" customFormat="1" ht="15" customHeight="1" x14ac:dyDescent="0.25">
      <c r="A4104" s="820" t="s">
        <v>3019</v>
      </c>
      <c r="B4104" s="806" t="s">
        <v>2967</v>
      </c>
      <c r="C4104" s="818" t="s">
        <v>19297</v>
      </c>
      <c r="D4104" s="806" t="s">
        <v>3020</v>
      </c>
      <c r="E4104" s="809">
        <v>160</v>
      </c>
      <c r="F4104" s="816">
        <v>20</v>
      </c>
      <c r="G4104" s="202" t="str">
        <f t="shared" si="63"/>
        <v/>
      </c>
    </row>
    <row r="4105" spans="1:7" s="172" customFormat="1" ht="15" customHeight="1" x14ac:dyDescent="0.25">
      <c r="A4105" s="820" t="s">
        <v>3021</v>
      </c>
      <c r="B4105" s="806" t="s">
        <v>2967</v>
      </c>
      <c r="C4105" s="818" t="s">
        <v>19297</v>
      </c>
      <c r="D4105" s="806" t="s">
        <v>3022</v>
      </c>
      <c r="E4105" s="809">
        <v>250</v>
      </c>
      <c r="F4105" s="816">
        <v>30</v>
      </c>
      <c r="G4105" s="202" t="str">
        <f t="shared" si="63"/>
        <v/>
      </c>
    </row>
    <row r="4106" spans="1:7" s="172" customFormat="1" ht="15" customHeight="1" x14ac:dyDescent="0.25">
      <c r="A4106" s="820" t="s">
        <v>19858</v>
      </c>
      <c r="B4106" s="806" t="s">
        <v>2967</v>
      </c>
      <c r="C4106" s="818" t="s">
        <v>19297</v>
      </c>
      <c r="D4106" s="806" t="s">
        <v>19859</v>
      </c>
      <c r="E4106" s="809">
        <v>250</v>
      </c>
      <c r="F4106" s="816">
        <v>40</v>
      </c>
      <c r="G4106" s="202" t="str">
        <f t="shared" si="63"/>
        <v/>
      </c>
    </row>
    <row r="4107" spans="1:7" s="172" customFormat="1" ht="15" customHeight="1" x14ac:dyDescent="0.25">
      <c r="A4107" s="820" t="s">
        <v>3023</v>
      </c>
      <c r="B4107" s="806" t="s">
        <v>2967</v>
      </c>
      <c r="C4107" s="818" t="s">
        <v>19297</v>
      </c>
      <c r="D4107" s="806" t="s">
        <v>3024</v>
      </c>
      <c r="E4107" s="809">
        <v>63</v>
      </c>
      <c r="F4107" s="816">
        <v>20</v>
      </c>
      <c r="G4107" s="202" t="str">
        <f t="shared" si="63"/>
        <v/>
      </c>
    </row>
    <row r="4108" spans="1:7" s="172" customFormat="1" ht="15" customHeight="1" x14ac:dyDescent="0.25">
      <c r="A4108" s="820" t="s">
        <v>3012</v>
      </c>
      <c r="B4108" s="806" t="s">
        <v>2967</v>
      </c>
      <c r="C4108" s="818" t="s">
        <v>19297</v>
      </c>
      <c r="D4108" s="806" t="s">
        <v>18926</v>
      </c>
      <c r="E4108" s="809">
        <v>63</v>
      </c>
      <c r="F4108" s="816">
        <v>2</v>
      </c>
      <c r="G4108" s="202" t="str">
        <f t="shared" si="63"/>
        <v/>
      </c>
    </row>
    <row r="4109" spans="1:7" s="172" customFormat="1" ht="15" customHeight="1" x14ac:dyDescent="0.25">
      <c r="A4109" s="820" t="s">
        <v>3012</v>
      </c>
      <c r="B4109" s="806" t="s">
        <v>2967</v>
      </c>
      <c r="C4109" s="818" t="s">
        <v>19297</v>
      </c>
      <c r="D4109" s="806" t="s">
        <v>3025</v>
      </c>
      <c r="E4109" s="809">
        <v>30</v>
      </c>
      <c r="F4109" s="816">
        <v>5</v>
      </c>
      <c r="G4109" s="202" t="str">
        <f t="shared" si="63"/>
        <v/>
      </c>
    </row>
    <row r="4110" spans="1:7" s="172" customFormat="1" ht="15" customHeight="1" x14ac:dyDescent="0.25">
      <c r="A4110" s="820" t="s">
        <v>3021</v>
      </c>
      <c r="B4110" s="806" t="s">
        <v>2967</v>
      </c>
      <c r="C4110" s="818" t="s">
        <v>19297</v>
      </c>
      <c r="D4110" s="806" t="s">
        <v>3026</v>
      </c>
      <c r="E4110" s="809">
        <v>30</v>
      </c>
      <c r="F4110" s="816">
        <v>5</v>
      </c>
      <c r="G4110" s="202" t="str">
        <f t="shared" si="63"/>
        <v/>
      </c>
    </row>
    <row r="4111" spans="1:7" s="172" customFormat="1" ht="15" customHeight="1" x14ac:dyDescent="0.25">
      <c r="A4111" s="820" t="s">
        <v>15158</v>
      </c>
      <c r="B4111" s="806" t="s">
        <v>2967</v>
      </c>
      <c r="C4111" s="818" t="s">
        <v>19297</v>
      </c>
      <c r="D4111" s="806" t="s">
        <v>3027</v>
      </c>
      <c r="E4111" s="809">
        <v>400</v>
      </c>
      <c r="F4111" s="816">
        <v>50</v>
      </c>
      <c r="G4111" s="202" t="str">
        <f t="shared" si="63"/>
        <v/>
      </c>
    </row>
    <row r="4112" spans="1:7" s="172" customFormat="1" ht="15" customHeight="1" x14ac:dyDescent="0.25">
      <c r="A4112" s="820" t="s">
        <v>15158</v>
      </c>
      <c r="B4112" s="806" t="s">
        <v>2967</v>
      </c>
      <c r="C4112" s="818" t="s">
        <v>19297</v>
      </c>
      <c r="D4112" s="806" t="s">
        <v>3028</v>
      </c>
      <c r="E4112" s="809">
        <v>180</v>
      </c>
      <c r="F4112" s="816">
        <v>20</v>
      </c>
      <c r="G4112" s="202" t="str">
        <f t="shared" si="63"/>
        <v/>
      </c>
    </row>
    <row r="4113" spans="1:7" s="172" customFormat="1" ht="15" customHeight="1" x14ac:dyDescent="0.25">
      <c r="A4113" s="820" t="s">
        <v>15158</v>
      </c>
      <c r="B4113" s="806" t="s">
        <v>2967</v>
      </c>
      <c r="C4113" s="818" t="s">
        <v>19297</v>
      </c>
      <c r="D4113" s="806" t="s">
        <v>3029</v>
      </c>
      <c r="E4113" s="809">
        <v>250</v>
      </c>
      <c r="F4113" s="816">
        <v>30</v>
      </c>
      <c r="G4113" s="202" t="str">
        <f t="shared" si="63"/>
        <v/>
      </c>
    </row>
    <row r="4114" spans="1:7" s="172" customFormat="1" ht="15" customHeight="1" x14ac:dyDescent="0.25">
      <c r="A4114" s="820" t="s">
        <v>15158</v>
      </c>
      <c r="B4114" s="806" t="s">
        <v>2967</v>
      </c>
      <c r="C4114" s="818" t="s">
        <v>19297</v>
      </c>
      <c r="D4114" s="806" t="s">
        <v>3030</v>
      </c>
      <c r="E4114" s="809" t="s">
        <v>19037</v>
      </c>
      <c r="F4114" s="816">
        <v>70</v>
      </c>
      <c r="G4114" s="202" t="str">
        <f t="shared" si="63"/>
        <v/>
      </c>
    </row>
    <row r="4115" spans="1:7" s="172" customFormat="1" ht="15" customHeight="1" x14ac:dyDescent="0.25">
      <c r="A4115" s="820" t="s">
        <v>15158</v>
      </c>
      <c r="B4115" s="806" t="s">
        <v>2967</v>
      </c>
      <c r="C4115" s="818" t="s">
        <v>19297</v>
      </c>
      <c r="D4115" s="806" t="s">
        <v>3031</v>
      </c>
      <c r="E4115" s="809">
        <v>400</v>
      </c>
      <c r="F4115" s="816">
        <v>60</v>
      </c>
      <c r="G4115" s="202" t="str">
        <f t="shared" si="63"/>
        <v/>
      </c>
    </row>
    <row r="4116" spans="1:7" s="172" customFormat="1" ht="15" customHeight="1" x14ac:dyDescent="0.25">
      <c r="A4116" s="820" t="s">
        <v>15158</v>
      </c>
      <c r="B4116" s="806" t="s">
        <v>2967</v>
      </c>
      <c r="C4116" s="818" t="s">
        <v>19297</v>
      </c>
      <c r="D4116" s="806" t="s">
        <v>3032</v>
      </c>
      <c r="E4116" s="809">
        <v>400</v>
      </c>
      <c r="F4116" s="816">
        <v>90</v>
      </c>
      <c r="G4116" s="202" t="str">
        <f t="shared" si="63"/>
        <v/>
      </c>
    </row>
    <row r="4117" spans="1:7" s="172" customFormat="1" ht="15" customHeight="1" x14ac:dyDescent="0.25">
      <c r="A4117" s="820" t="s">
        <v>15158</v>
      </c>
      <c r="B4117" s="806" t="s">
        <v>2967</v>
      </c>
      <c r="C4117" s="818" t="s">
        <v>19297</v>
      </c>
      <c r="D4117" s="806" t="s">
        <v>3033</v>
      </c>
      <c r="E4117" s="809">
        <v>250</v>
      </c>
      <c r="F4117" s="816">
        <v>40</v>
      </c>
      <c r="G4117" s="202" t="str">
        <f t="shared" si="63"/>
        <v/>
      </c>
    </row>
    <row r="4118" spans="1:7" s="172" customFormat="1" ht="15" customHeight="1" x14ac:dyDescent="0.25">
      <c r="A4118" s="820" t="s">
        <v>15158</v>
      </c>
      <c r="B4118" s="806" t="s">
        <v>2967</v>
      </c>
      <c r="C4118" s="818" t="s">
        <v>19297</v>
      </c>
      <c r="D4118" s="806" t="s">
        <v>3034</v>
      </c>
      <c r="E4118" s="809">
        <v>400</v>
      </c>
      <c r="F4118" s="816">
        <v>10</v>
      </c>
      <c r="G4118" s="202" t="str">
        <f t="shared" si="63"/>
        <v/>
      </c>
    </row>
    <row r="4119" spans="1:7" s="172" customFormat="1" ht="15" customHeight="1" x14ac:dyDescent="0.25">
      <c r="A4119" s="820" t="s">
        <v>15159</v>
      </c>
      <c r="B4119" s="806" t="s">
        <v>2967</v>
      </c>
      <c r="C4119" s="818" t="s">
        <v>19297</v>
      </c>
      <c r="D4119" s="806" t="s">
        <v>3035</v>
      </c>
      <c r="E4119" s="809">
        <v>250</v>
      </c>
      <c r="F4119" s="816">
        <v>5</v>
      </c>
      <c r="G4119" s="202" t="str">
        <f t="shared" si="63"/>
        <v/>
      </c>
    </row>
    <row r="4120" spans="1:7" s="172" customFormat="1" ht="15" customHeight="1" x14ac:dyDescent="0.25">
      <c r="A4120" s="820" t="s">
        <v>15159</v>
      </c>
      <c r="B4120" s="806" t="s">
        <v>2967</v>
      </c>
      <c r="C4120" s="818" t="s">
        <v>19297</v>
      </c>
      <c r="D4120" s="806" t="s">
        <v>3036</v>
      </c>
      <c r="E4120" s="809">
        <v>160</v>
      </c>
      <c r="F4120" s="816">
        <v>5</v>
      </c>
      <c r="G4120" s="202" t="str">
        <f t="shared" si="63"/>
        <v/>
      </c>
    </row>
    <row r="4121" spans="1:7" s="172" customFormat="1" ht="15" customHeight="1" x14ac:dyDescent="0.25">
      <c r="A4121" s="820" t="s">
        <v>20193</v>
      </c>
      <c r="B4121" s="806" t="s">
        <v>2967</v>
      </c>
      <c r="C4121" s="818" t="s">
        <v>19297</v>
      </c>
      <c r="D4121" s="806" t="s">
        <v>20192</v>
      </c>
      <c r="E4121" s="809">
        <v>63</v>
      </c>
      <c r="F4121" s="816">
        <v>3</v>
      </c>
      <c r="G4121" s="202" t="str">
        <f t="shared" si="63"/>
        <v/>
      </c>
    </row>
    <row r="4122" spans="1:7" s="172" customFormat="1" ht="15" customHeight="1" x14ac:dyDescent="0.25">
      <c r="A4122" s="820" t="s">
        <v>3037</v>
      </c>
      <c r="B4122" s="806" t="s">
        <v>2967</v>
      </c>
      <c r="C4122" s="818" t="s">
        <v>19297</v>
      </c>
      <c r="D4122" s="806" t="s">
        <v>3038</v>
      </c>
      <c r="E4122" s="809">
        <v>250</v>
      </c>
      <c r="F4122" s="816">
        <v>30</v>
      </c>
      <c r="G4122" s="202" t="str">
        <f t="shared" si="63"/>
        <v/>
      </c>
    </row>
    <row r="4123" spans="1:7" s="172" customFormat="1" ht="15" customHeight="1" x14ac:dyDescent="0.25">
      <c r="A4123" s="820" t="s">
        <v>3039</v>
      </c>
      <c r="B4123" s="806" t="s">
        <v>2967</v>
      </c>
      <c r="C4123" s="818" t="s">
        <v>19297</v>
      </c>
      <c r="D4123" s="806" t="s">
        <v>3040</v>
      </c>
      <c r="E4123" s="809">
        <v>250</v>
      </c>
      <c r="F4123" s="816">
        <v>5</v>
      </c>
      <c r="G4123" s="202" t="str">
        <f t="shared" ref="G4123:G4186" si="64">IF(E4123=F4123,"не загружен","")</f>
        <v/>
      </c>
    </row>
    <row r="4124" spans="1:7" s="172" customFormat="1" ht="15" customHeight="1" x14ac:dyDescent="0.25">
      <c r="A4124" s="820" t="s">
        <v>3039</v>
      </c>
      <c r="B4124" s="806" t="s">
        <v>2967</v>
      </c>
      <c r="C4124" s="818" t="s">
        <v>19297</v>
      </c>
      <c r="D4124" s="806" t="s">
        <v>3041</v>
      </c>
      <c r="E4124" s="809">
        <v>63</v>
      </c>
      <c r="F4124" s="816">
        <v>20</v>
      </c>
      <c r="G4124" s="202" t="str">
        <f t="shared" si="64"/>
        <v/>
      </c>
    </row>
    <row r="4125" spans="1:7" s="172" customFormat="1" ht="15" customHeight="1" x14ac:dyDescent="0.25">
      <c r="A4125" s="820" t="s">
        <v>3039</v>
      </c>
      <c r="B4125" s="806" t="s">
        <v>2967</v>
      </c>
      <c r="C4125" s="818" t="s">
        <v>19297</v>
      </c>
      <c r="D4125" s="806" t="s">
        <v>3042</v>
      </c>
      <c r="E4125" s="809">
        <v>250</v>
      </c>
      <c r="F4125" s="816">
        <v>40</v>
      </c>
      <c r="G4125" s="202" t="str">
        <f t="shared" si="64"/>
        <v/>
      </c>
    </row>
    <row r="4126" spans="1:7" s="172" customFormat="1" ht="15" customHeight="1" x14ac:dyDescent="0.25">
      <c r="A4126" s="820" t="s">
        <v>3043</v>
      </c>
      <c r="B4126" s="806" t="s">
        <v>2967</v>
      </c>
      <c r="C4126" s="818" t="s">
        <v>19297</v>
      </c>
      <c r="D4126" s="806" t="s">
        <v>3044</v>
      </c>
      <c r="E4126" s="809">
        <v>160</v>
      </c>
      <c r="F4126" s="816">
        <v>20</v>
      </c>
      <c r="G4126" s="202" t="str">
        <f t="shared" si="64"/>
        <v/>
      </c>
    </row>
    <row r="4127" spans="1:7" s="172" customFormat="1" ht="15" customHeight="1" x14ac:dyDescent="0.25">
      <c r="A4127" s="820" t="s">
        <v>3043</v>
      </c>
      <c r="B4127" s="806" t="s">
        <v>2967</v>
      </c>
      <c r="C4127" s="818" t="s">
        <v>19297</v>
      </c>
      <c r="D4127" s="806" t="s">
        <v>3045</v>
      </c>
      <c r="E4127" s="809">
        <v>250</v>
      </c>
      <c r="F4127" s="816">
        <v>40</v>
      </c>
      <c r="G4127" s="202" t="str">
        <f t="shared" si="64"/>
        <v/>
      </c>
    </row>
    <row r="4128" spans="1:7" s="172" customFormat="1" ht="15" customHeight="1" x14ac:dyDescent="0.25">
      <c r="A4128" s="820" t="s">
        <v>3043</v>
      </c>
      <c r="B4128" s="806" t="s">
        <v>2967</v>
      </c>
      <c r="C4128" s="818" t="s">
        <v>19297</v>
      </c>
      <c r="D4128" s="806" t="s">
        <v>3046</v>
      </c>
      <c r="E4128" s="809">
        <v>160</v>
      </c>
      <c r="F4128" s="816">
        <v>30</v>
      </c>
      <c r="G4128" s="202" t="str">
        <f t="shared" si="64"/>
        <v/>
      </c>
    </row>
    <row r="4129" spans="1:7" s="172" customFormat="1" ht="15" customHeight="1" x14ac:dyDescent="0.25">
      <c r="A4129" s="820" t="s">
        <v>3047</v>
      </c>
      <c r="B4129" s="806" t="s">
        <v>2967</v>
      </c>
      <c r="C4129" s="818" t="s">
        <v>19297</v>
      </c>
      <c r="D4129" s="806" t="s">
        <v>3048</v>
      </c>
      <c r="E4129" s="809">
        <v>63</v>
      </c>
      <c r="F4129" s="816">
        <v>20</v>
      </c>
      <c r="G4129" s="202" t="str">
        <f t="shared" si="64"/>
        <v/>
      </c>
    </row>
    <row r="4130" spans="1:7" s="172" customFormat="1" ht="15" customHeight="1" x14ac:dyDescent="0.25">
      <c r="A4130" s="820" t="s">
        <v>3049</v>
      </c>
      <c r="B4130" s="806" t="s">
        <v>2967</v>
      </c>
      <c r="C4130" s="818" t="s">
        <v>19297</v>
      </c>
      <c r="D4130" s="806" t="s">
        <v>3050</v>
      </c>
      <c r="E4130" s="809">
        <v>160</v>
      </c>
      <c r="F4130" s="816">
        <v>10</v>
      </c>
      <c r="G4130" s="202" t="str">
        <f t="shared" si="64"/>
        <v/>
      </c>
    </row>
    <row r="4131" spans="1:7" s="172" customFormat="1" ht="15" customHeight="1" x14ac:dyDescent="0.25">
      <c r="A4131" s="806" t="s">
        <v>3049</v>
      </c>
      <c r="B4131" s="806" t="s">
        <v>2967</v>
      </c>
      <c r="C4131" s="818" t="s">
        <v>19297</v>
      </c>
      <c r="D4131" s="806" t="s">
        <v>3051</v>
      </c>
      <c r="E4131" s="809">
        <v>100</v>
      </c>
      <c r="F4131" s="816">
        <v>30</v>
      </c>
      <c r="G4131" s="202" t="str">
        <f t="shared" si="64"/>
        <v/>
      </c>
    </row>
    <row r="4132" spans="1:7" s="172" customFormat="1" ht="15" customHeight="1" x14ac:dyDescent="0.25">
      <c r="A4132" s="806" t="s">
        <v>3049</v>
      </c>
      <c r="B4132" s="806" t="s">
        <v>2967</v>
      </c>
      <c r="C4132" s="818" t="s">
        <v>19297</v>
      </c>
      <c r="D4132" s="806" t="s">
        <v>3052</v>
      </c>
      <c r="E4132" s="809">
        <v>160</v>
      </c>
      <c r="F4132" s="816">
        <v>40</v>
      </c>
      <c r="G4132" s="202" t="str">
        <f t="shared" si="64"/>
        <v/>
      </c>
    </row>
    <row r="4133" spans="1:7" s="172" customFormat="1" ht="15" customHeight="1" x14ac:dyDescent="0.25">
      <c r="A4133" s="806" t="s">
        <v>15160</v>
      </c>
      <c r="B4133" s="806" t="s">
        <v>2967</v>
      </c>
      <c r="C4133" s="818" t="s">
        <v>19297</v>
      </c>
      <c r="D4133" s="806" t="s">
        <v>3053</v>
      </c>
      <c r="E4133" s="809">
        <v>250</v>
      </c>
      <c r="F4133" s="816">
        <v>10</v>
      </c>
      <c r="G4133" s="202" t="str">
        <f t="shared" si="64"/>
        <v/>
      </c>
    </row>
    <row r="4134" spans="1:7" s="172" customFormat="1" ht="15" customHeight="1" x14ac:dyDescent="0.25">
      <c r="A4134" s="806" t="s">
        <v>15161</v>
      </c>
      <c r="B4134" s="806" t="s">
        <v>2967</v>
      </c>
      <c r="C4134" s="806" t="s">
        <v>19297</v>
      </c>
      <c r="D4134" s="806" t="s">
        <v>3054</v>
      </c>
      <c r="E4134" s="820">
        <v>160</v>
      </c>
      <c r="F4134" s="816">
        <v>20</v>
      </c>
      <c r="G4134" s="202" t="str">
        <f t="shared" si="64"/>
        <v/>
      </c>
    </row>
    <row r="4135" spans="1:7" s="172" customFormat="1" ht="15" customHeight="1" x14ac:dyDescent="0.25">
      <c r="A4135" s="806" t="s">
        <v>3055</v>
      </c>
      <c r="B4135" s="806" t="s">
        <v>2967</v>
      </c>
      <c r="C4135" s="818" t="s">
        <v>19297</v>
      </c>
      <c r="D4135" s="806" t="s">
        <v>3056</v>
      </c>
      <c r="E4135" s="809">
        <v>100</v>
      </c>
      <c r="F4135" s="816">
        <v>10</v>
      </c>
      <c r="G4135" s="202" t="str">
        <f t="shared" si="64"/>
        <v/>
      </c>
    </row>
    <row r="4136" spans="1:7" s="172" customFormat="1" ht="15" customHeight="1" x14ac:dyDescent="0.25">
      <c r="A4136" s="806" t="s">
        <v>3057</v>
      </c>
      <c r="B4136" s="806" t="s">
        <v>2967</v>
      </c>
      <c r="C4136" s="818" t="s">
        <v>19297</v>
      </c>
      <c r="D4136" s="806" t="s">
        <v>3058</v>
      </c>
      <c r="E4136" s="809">
        <v>160</v>
      </c>
      <c r="F4136" s="816">
        <v>30</v>
      </c>
      <c r="G4136" s="202" t="str">
        <f t="shared" si="64"/>
        <v/>
      </c>
    </row>
    <row r="4137" spans="1:7" s="172" customFormat="1" ht="15" customHeight="1" x14ac:dyDescent="0.25">
      <c r="A4137" s="806" t="s">
        <v>3059</v>
      </c>
      <c r="B4137" s="806" t="s">
        <v>2967</v>
      </c>
      <c r="C4137" s="818" t="s">
        <v>19297</v>
      </c>
      <c r="D4137" s="806" t="s">
        <v>3060</v>
      </c>
      <c r="E4137" s="809">
        <v>250</v>
      </c>
      <c r="F4137" s="816">
        <v>50</v>
      </c>
      <c r="G4137" s="202" t="str">
        <f t="shared" si="64"/>
        <v/>
      </c>
    </row>
    <row r="4138" spans="1:7" s="172" customFormat="1" ht="15" customHeight="1" x14ac:dyDescent="0.25">
      <c r="A4138" s="806" t="s">
        <v>3047</v>
      </c>
      <c r="B4138" s="806" t="s">
        <v>2967</v>
      </c>
      <c r="C4138" s="818" t="s">
        <v>19297</v>
      </c>
      <c r="D4138" s="806" t="s">
        <v>3061</v>
      </c>
      <c r="E4138" s="809">
        <v>400</v>
      </c>
      <c r="F4138" s="816">
        <v>30</v>
      </c>
      <c r="G4138" s="202" t="str">
        <f t="shared" si="64"/>
        <v/>
      </c>
    </row>
    <row r="4139" spans="1:7" s="172" customFormat="1" ht="15" customHeight="1" x14ac:dyDescent="0.25">
      <c r="A4139" s="806" t="s">
        <v>3047</v>
      </c>
      <c r="B4139" s="806" t="s">
        <v>2967</v>
      </c>
      <c r="C4139" s="818" t="s">
        <v>19297</v>
      </c>
      <c r="D4139" s="806" t="s">
        <v>3062</v>
      </c>
      <c r="E4139" s="809">
        <v>160</v>
      </c>
      <c r="F4139" s="816">
        <v>60</v>
      </c>
      <c r="G4139" s="202" t="str">
        <f t="shared" si="64"/>
        <v/>
      </c>
    </row>
    <row r="4140" spans="1:7" s="172" customFormat="1" ht="15" customHeight="1" x14ac:dyDescent="0.25">
      <c r="A4140" s="806" t="s">
        <v>3063</v>
      </c>
      <c r="B4140" s="806" t="s">
        <v>2967</v>
      </c>
      <c r="C4140" s="818" t="s">
        <v>19297</v>
      </c>
      <c r="D4140" s="806" t="s">
        <v>3064</v>
      </c>
      <c r="E4140" s="809">
        <v>100</v>
      </c>
      <c r="F4140" s="816">
        <v>10</v>
      </c>
      <c r="G4140" s="202" t="str">
        <f t="shared" si="64"/>
        <v/>
      </c>
    </row>
    <row r="4141" spans="1:7" s="172" customFormat="1" ht="15" customHeight="1" x14ac:dyDescent="0.25">
      <c r="A4141" s="806" t="s">
        <v>3065</v>
      </c>
      <c r="B4141" s="806" t="s">
        <v>2967</v>
      </c>
      <c r="C4141" s="818" t="s">
        <v>19297</v>
      </c>
      <c r="D4141" s="806" t="s">
        <v>3066</v>
      </c>
      <c r="E4141" s="809">
        <v>100</v>
      </c>
      <c r="F4141" s="816">
        <v>20</v>
      </c>
      <c r="G4141" s="202" t="str">
        <f t="shared" si="64"/>
        <v/>
      </c>
    </row>
    <row r="4142" spans="1:7" s="172" customFormat="1" ht="15" customHeight="1" x14ac:dyDescent="0.25">
      <c r="A4142" s="806" t="s">
        <v>3065</v>
      </c>
      <c r="B4142" s="806" t="s">
        <v>2967</v>
      </c>
      <c r="C4142" s="818" t="s">
        <v>19297</v>
      </c>
      <c r="D4142" s="806" t="s">
        <v>18927</v>
      </c>
      <c r="E4142" s="809">
        <v>100</v>
      </c>
      <c r="F4142" s="816">
        <v>40</v>
      </c>
      <c r="G4142" s="202" t="str">
        <f t="shared" si="64"/>
        <v/>
      </c>
    </row>
    <row r="4143" spans="1:7" s="172" customFormat="1" ht="15" customHeight="1" x14ac:dyDescent="0.25">
      <c r="A4143" s="806" t="s">
        <v>2975</v>
      </c>
      <c r="B4143" s="806" t="s">
        <v>2967</v>
      </c>
      <c r="C4143" s="818" t="s">
        <v>19297</v>
      </c>
      <c r="D4143" s="806" t="s">
        <v>3067</v>
      </c>
      <c r="E4143" s="809">
        <v>160</v>
      </c>
      <c r="F4143" s="816">
        <v>40</v>
      </c>
      <c r="G4143" s="202" t="str">
        <f t="shared" si="64"/>
        <v/>
      </c>
    </row>
    <row r="4144" spans="1:7" s="172" customFormat="1" ht="15" customHeight="1" x14ac:dyDescent="0.25">
      <c r="A4144" s="806" t="s">
        <v>3068</v>
      </c>
      <c r="B4144" s="806" t="s">
        <v>2967</v>
      </c>
      <c r="C4144" s="818" t="s">
        <v>19297</v>
      </c>
      <c r="D4144" s="806" t="s">
        <v>3069</v>
      </c>
      <c r="E4144" s="809">
        <v>100</v>
      </c>
      <c r="F4144" s="816">
        <v>30</v>
      </c>
      <c r="G4144" s="202" t="str">
        <f t="shared" si="64"/>
        <v/>
      </c>
    </row>
    <row r="4145" spans="1:7" s="172" customFormat="1" ht="15" customHeight="1" x14ac:dyDescent="0.25">
      <c r="A4145" s="806" t="s">
        <v>3070</v>
      </c>
      <c r="B4145" s="806" t="s">
        <v>2967</v>
      </c>
      <c r="C4145" s="818" t="s">
        <v>19297</v>
      </c>
      <c r="D4145" s="806" t="s">
        <v>3071</v>
      </c>
      <c r="E4145" s="809">
        <v>100</v>
      </c>
      <c r="F4145" s="816">
        <v>20</v>
      </c>
      <c r="G4145" s="202" t="str">
        <f t="shared" si="64"/>
        <v/>
      </c>
    </row>
    <row r="4146" spans="1:7" s="172" customFormat="1" ht="15" customHeight="1" x14ac:dyDescent="0.25">
      <c r="A4146" s="806" t="s">
        <v>3047</v>
      </c>
      <c r="B4146" s="806" t="s">
        <v>2967</v>
      </c>
      <c r="C4146" s="818" t="s">
        <v>19297</v>
      </c>
      <c r="D4146" s="806" t="s">
        <v>3072</v>
      </c>
      <c r="E4146" s="809">
        <v>250</v>
      </c>
      <c r="F4146" s="816">
        <v>80</v>
      </c>
      <c r="G4146" s="202" t="str">
        <f t="shared" si="64"/>
        <v/>
      </c>
    </row>
    <row r="4147" spans="1:7" s="172" customFormat="1" ht="15" customHeight="1" x14ac:dyDescent="0.25">
      <c r="A4147" s="820" t="s">
        <v>3047</v>
      </c>
      <c r="B4147" s="806" t="s">
        <v>2967</v>
      </c>
      <c r="C4147" s="818" t="s">
        <v>19297</v>
      </c>
      <c r="D4147" s="806" t="s">
        <v>3073</v>
      </c>
      <c r="E4147" s="809">
        <v>250</v>
      </c>
      <c r="F4147" s="816">
        <v>35</v>
      </c>
      <c r="G4147" s="202" t="str">
        <f t="shared" si="64"/>
        <v/>
      </c>
    </row>
    <row r="4148" spans="1:7" s="172" customFormat="1" ht="15" customHeight="1" x14ac:dyDescent="0.25">
      <c r="A4148" s="820" t="s">
        <v>3047</v>
      </c>
      <c r="B4148" s="806" t="s">
        <v>2967</v>
      </c>
      <c r="C4148" s="818" t="s">
        <v>19297</v>
      </c>
      <c r="D4148" s="806" t="s">
        <v>3074</v>
      </c>
      <c r="E4148" s="809">
        <v>63</v>
      </c>
      <c r="F4148" s="816">
        <v>10</v>
      </c>
      <c r="G4148" s="202" t="str">
        <f t="shared" si="64"/>
        <v/>
      </c>
    </row>
    <row r="4149" spans="1:7" s="172" customFormat="1" ht="15" customHeight="1" x14ac:dyDescent="0.25">
      <c r="A4149" s="809" t="s">
        <v>3047</v>
      </c>
      <c r="B4149" s="806" t="s">
        <v>2967</v>
      </c>
      <c r="C4149" s="818" t="s">
        <v>19297</v>
      </c>
      <c r="D4149" s="806" t="s">
        <v>3075</v>
      </c>
      <c r="E4149" s="809">
        <v>63</v>
      </c>
      <c r="F4149" s="816">
        <v>20</v>
      </c>
      <c r="G4149" s="202" t="str">
        <f t="shared" si="64"/>
        <v/>
      </c>
    </row>
    <row r="4150" spans="1:7" s="172" customFormat="1" ht="15" customHeight="1" x14ac:dyDescent="0.25">
      <c r="A4150" s="809" t="s">
        <v>3076</v>
      </c>
      <c r="B4150" s="806" t="s">
        <v>2967</v>
      </c>
      <c r="C4150" s="818" t="s">
        <v>19297</v>
      </c>
      <c r="D4150" s="806" t="s">
        <v>3077</v>
      </c>
      <c r="E4150" s="809">
        <v>160</v>
      </c>
      <c r="F4150" s="816">
        <v>90</v>
      </c>
      <c r="G4150" s="202" t="str">
        <f t="shared" si="64"/>
        <v/>
      </c>
    </row>
    <row r="4151" spans="1:7" s="172" customFormat="1" ht="15" customHeight="1" x14ac:dyDescent="0.25">
      <c r="A4151" s="809" t="s">
        <v>3078</v>
      </c>
      <c r="B4151" s="806" t="s">
        <v>2967</v>
      </c>
      <c r="C4151" s="818" t="s">
        <v>19297</v>
      </c>
      <c r="D4151" s="806" t="s">
        <v>3079</v>
      </c>
      <c r="E4151" s="809">
        <v>60</v>
      </c>
      <c r="F4151" s="816">
        <v>20</v>
      </c>
      <c r="G4151" s="202" t="str">
        <f t="shared" si="64"/>
        <v/>
      </c>
    </row>
    <row r="4152" spans="1:7" s="172" customFormat="1" ht="15" customHeight="1" x14ac:dyDescent="0.25">
      <c r="A4152" s="809" t="s">
        <v>3080</v>
      </c>
      <c r="B4152" s="806" t="s">
        <v>2967</v>
      </c>
      <c r="C4152" s="818" t="s">
        <v>19297</v>
      </c>
      <c r="D4152" s="806" t="s">
        <v>3081</v>
      </c>
      <c r="E4152" s="809">
        <v>160</v>
      </c>
      <c r="F4152" s="816">
        <v>50</v>
      </c>
      <c r="G4152" s="202" t="str">
        <f t="shared" si="64"/>
        <v/>
      </c>
    </row>
    <row r="4153" spans="1:7" s="172" customFormat="1" ht="15" customHeight="1" x14ac:dyDescent="0.25">
      <c r="A4153" s="809" t="s">
        <v>3082</v>
      </c>
      <c r="B4153" s="806" t="s">
        <v>2967</v>
      </c>
      <c r="C4153" s="818" t="s">
        <v>19297</v>
      </c>
      <c r="D4153" s="806" t="s">
        <v>3083</v>
      </c>
      <c r="E4153" s="809">
        <v>100</v>
      </c>
      <c r="F4153" s="816">
        <v>30</v>
      </c>
      <c r="G4153" s="202" t="str">
        <f t="shared" si="64"/>
        <v/>
      </c>
    </row>
    <row r="4154" spans="1:7" s="172" customFormat="1" ht="15" customHeight="1" x14ac:dyDescent="0.25">
      <c r="A4154" s="809" t="s">
        <v>3084</v>
      </c>
      <c r="B4154" s="806" t="s">
        <v>2967</v>
      </c>
      <c r="C4154" s="818" t="s">
        <v>19297</v>
      </c>
      <c r="D4154" s="806" t="s">
        <v>3085</v>
      </c>
      <c r="E4154" s="809">
        <v>100</v>
      </c>
      <c r="F4154" s="816">
        <v>40</v>
      </c>
      <c r="G4154" s="202" t="str">
        <f t="shared" si="64"/>
        <v/>
      </c>
    </row>
    <row r="4155" spans="1:7" s="172" customFormat="1" ht="15" customHeight="1" x14ac:dyDescent="0.25">
      <c r="A4155" s="809" t="s">
        <v>15162</v>
      </c>
      <c r="B4155" s="806" t="s">
        <v>2967</v>
      </c>
      <c r="C4155" s="818" t="s">
        <v>19297</v>
      </c>
      <c r="D4155" s="806" t="s">
        <v>3086</v>
      </c>
      <c r="E4155" s="809">
        <v>63</v>
      </c>
      <c r="F4155" s="816">
        <v>30</v>
      </c>
      <c r="G4155" s="202" t="str">
        <f t="shared" si="64"/>
        <v/>
      </c>
    </row>
    <row r="4156" spans="1:7" s="172" customFormat="1" ht="15" customHeight="1" x14ac:dyDescent="0.25">
      <c r="A4156" s="809" t="s">
        <v>15163</v>
      </c>
      <c r="B4156" s="806" t="s">
        <v>2967</v>
      </c>
      <c r="C4156" s="818" t="s">
        <v>19297</v>
      </c>
      <c r="D4156" s="806" t="s">
        <v>3087</v>
      </c>
      <c r="E4156" s="809">
        <v>30</v>
      </c>
      <c r="F4156" s="816">
        <v>10</v>
      </c>
      <c r="G4156" s="202" t="str">
        <f t="shared" si="64"/>
        <v/>
      </c>
    </row>
    <row r="4157" spans="1:7" s="172" customFormat="1" ht="15" customHeight="1" x14ac:dyDescent="0.25">
      <c r="A4157" s="809" t="s">
        <v>15163</v>
      </c>
      <c r="B4157" s="806" t="s">
        <v>2967</v>
      </c>
      <c r="C4157" s="818" t="s">
        <v>19297</v>
      </c>
      <c r="D4157" s="806" t="s">
        <v>3088</v>
      </c>
      <c r="E4157" s="809">
        <v>160</v>
      </c>
      <c r="F4157" s="816">
        <v>40</v>
      </c>
      <c r="G4157" s="202" t="str">
        <f t="shared" si="64"/>
        <v/>
      </c>
    </row>
    <row r="4158" spans="1:7" s="172" customFormat="1" ht="15" customHeight="1" x14ac:dyDescent="0.25">
      <c r="A4158" s="809" t="s">
        <v>15163</v>
      </c>
      <c r="B4158" s="806" t="s">
        <v>2967</v>
      </c>
      <c r="C4158" s="818" t="s">
        <v>19297</v>
      </c>
      <c r="D4158" s="806" t="s">
        <v>3089</v>
      </c>
      <c r="E4158" s="809">
        <v>160</v>
      </c>
      <c r="F4158" s="816">
        <v>50</v>
      </c>
      <c r="G4158" s="202" t="str">
        <f t="shared" si="64"/>
        <v/>
      </c>
    </row>
    <row r="4159" spans="1:7" s="172" customFormat="1" ht="15" customHeight="1" x14ac:dyDescent="0.25">
      <c r="A4159" s="809" t="s">
        <v>15163</v>
      </c>
      <c r="B4159" s="806" t="s">
        <v>2967</v>
      </c>
      <c r="C4159" s="818" t="s">
        <v>19297</v>
      </c>
      <c r="D4159" s="806" t="s">
        <v>3090</v>
      </c>
      <c r="E4159" s="809" t="s">
        <v>19038</v>
      </c>
      <c r="F4159" s="816">
        <v>40</v>
      </c>
      <c r="G4159" s="202" t="str">
        <f t="shared" si="64"/>
        <v/>
      </c>
    </row>
    <row r="4160" spans="1:7" s="172" customFormat="1" ht="15" customHeight="1" x14ac:dyDescent="0.25">
      <c r="A4160" s="809" t="s">
        <v>15163</v>
      </c>
      <c r="B4160" s="806" t="s">
        <v>2967</v>
      </c>
      <c r="C4160" s="818" t="s">
        <v>19297</v>
      </c>
      <c r="D4160" s="806" t="s">
        <v>3091</v>
      </c>
      <c r="E4160" s="809">
        <v>400</v>
      </c>
      <c r="F4160" s="816">
        <v>80</v>
      </c>
      <c r="G4160" s="202" t="str">
        <f t="shared" si="64"/>
        <v/>
      </c>
    </row>
    <row r="4161" spans="1:7" s="172" customFormat="1" ht="15" customHeight="1" x14ac:dyDescent="0.25">
      <c r="A4161" s="809" t="s">
        <v>15163</v>
      </c>
      <c r="B4161" s="806" t="s">
        <v>2967</v>
      </c>
      <c r="C4161" s="818" t="s">
        <v>19297</v>
      </c>
      <c r="D4161" s="806" t="s">
        <v>3092</v>
      </c>
      <c r="E4161" s="809">
        <v>250</v>
      </c>
      <c r="F4161" s="816">
        <v>40</v>
      </c>
      <c r="G4161" s="202" t="str">
        <f t="shared" si="64"/>
        <v/>
      </c>
    </row>
    <row r="4162" spans="1:7" s="172" customFormat="1" ht="15" customHeight="1" x14ac:dyDescent="0.25">
      <c r="A4162" s="809" t="s">
        <v>15163</v>
      </c>
      <c r="B4162" s="806" t="s">
        <v>2967</v>
      </c>
      <c r="C4162" s="818" t="s">
        <v>19297</v>
      </c>
      <c r="D4162" s="806" t="s">
        <v>3093</v>
      </c>
      <c r="E4162" s="809">
        <v>160</v>
      </c>
      <c r="F4162" s="816">
        <v>10</v>
      </c>
      <c r="G4162" s="202" t="str">
        <f t="shared" si="64"/>
        <v/>
      </c>
    </row>
    <row r="4163" spans="1:7" s="172" customFormat="1" ht="15" customHeight="1" x14ac:dyDescent="0.25">
      <c r="A4163" s="809" t="s">
        <v>3023</v>
      </c>
      <c r="B4163" s="806" t="s">
        <v>2967</v>
      </c>
      <c r="C4163" s="818" t="s">
        <v>19297</v>
      </c>
      <c r="D4163" s="806" t="s">
        <v>3094</v>
      </c>
      <c r="E4163" s="809">
        <v>30</v>
      </c>
      <c r="F4163" s="816">
        <v>5</v>
      </c>
      <c r="G4163" s="202" t="str">
        <f t="shared" si="64"/>
        <v/>
      </c>
    </row>
    <row r="4164" spans="1:7" s="172" customFormat="1" ht="15" customHeight="1" x14ac:dyDescent="0.25">
      <c r="A4164" s="809" t="s">
        <v>3095</v>
      </c>
      <c r="B4164" s="806" t="s">
        <v>2967</v>
      </c>
      <c r="C4164" s="818" t="s">
        <v>19297</v>
      </c>
      <c r="D4164" s="806" t="s">
        <v>3096</v>
      </c>
      <c r="E4164" s="809">
        <v>25</v>
      </c>
      <c r="F4164" s="816">
        <v>5</v>
      </c>
      <c r="G4164" s="202" t="str">
        <f t="shared" si="64"/>
        <v/>
      </c>
    </row>
    <row r="4165" spans="1:7" s="172" customFormat="1" ht="15" customHeight="1" x14ac:dyDescent="0.25">
      <c r="A4165" s="809" t="s">
        <v>3097</v>
      </c>
      <c r="B4165" s="806" t="s">
        <v>2967</v>
      </c>
      <c r="C4165" s="818" t="s">
        <v>19297</v>
      </c>
      <c r="D4165" s="806" t="s">
        <v>3098</v>
      </c>
      <c r="E4165" s="809">
        <v>20</v>
      </c>
      <c r="F4165" s="816">
        <v>3</v>
      </c>
      <c r="G4165" s="202" t="str">
        <f t="shared" si="64"/>
        <v/>
      </c>
    </row>
    <row r="4166" spans="1:7" s="172" customFormat="1" ht="15" customHeight="1" x14ac:dyDescent="0.25">
      <c r="A4166" s="809" t="s">
        <v>3099</v>
      </c>
      <c r="B4166" s="806" t="s">
        <v>2967</v>
      </c>
      <c r="C4166" s="818" t="s">
        <v>19297</v>
      </c>
      <c r="D4166" s="806" t="s">
        <v>3100</v>
      </c>
      <c r="E4166" s="809">
        <v>40</v>
      </c>
      <c r="F4166" s="816">
        <v>10</v>
      </c>
      <c r="G4166" s="202" t="str">
        <f t="shared" si="64"/>
        <v/>
      </c>
    </row>
    <row r="4167" spans="1:7" s="172" customFormat="1" ht="15" customHeight="1" x14ac:dyDescent="0.25">
      <c r="A4167" s="809" t="s">
        <v>15163</v>
      </c>
      <c r="B4167" s="806" t="s">
        <v>2967</v>
      </c>
      <c r="C4167" s="818" t="s">
        <v>19297</v>
      </c>
      <c r="D4167" s="806" t="s">
        <v>3101</v>
      </c>
      <c r="E4167" s="809">
        <v>250</v>
      </c>
      <c r="F4167" s="816">
        <v>120</v>
      </c>
      <c r="G4167" s="202" t="str">
        <f t="shared" si="64"/>
        <v/>
      </c>
    </row>
    <row r="4168" spans="1:7" s="172" customFormat="1" ht="15" customHeight="1" x14ac:dyDescent="0.25">
      <c r="A4168" s="809" t="s">
        <v>15163</v>
      </c>
      <c r="B4168" s="806" t="s">
        <v>2967</v>
      </c>
      <c r="C4168" s="818" t="s">
        <v>19297</v>
      </c>
      <c r="D4168" s="806" t="s">
        <v>3102</v>
      </c>
      <c r="E4168" s="809">
        <v>250</v>
      </c>
      <c r="F4168" s="816">
        <v>150</v>
      </c>
      <c r="G4168" s="202" t="str">
        <f t="shared" si="64"/>
        <v/>
      </c>
    </row>
    <row r="4169" spans="1:7" s="172" customFormat="1" ht="15" customHeight="1" x14ac:dyDescent="0.25">
      <c r="A4169" s="809" t="s">
        <v>15163</v>
      </c>
      <c r="B4169" s="806" t="s">
        <v>2967</v>
      </c>
      <c r="C4169" s="818" t="s">
        <v>19297</v>
      </c>
      <c r="D4169" s="806" t="s">
        <v>3103</v>
      </c>
      <c r="E4169" s="809">
        <v>320</v>
      </c>
      <c r="F4169" s="816">
        <v>200</v>
      </c>
      <c r="G4169" s="202" t="str">
        <f t="shared" si="64"/>
        <v/>
      </c>
    </row>
    <row r="4170" spans="1:7" s="172" customFormat="1" ht="15" customHeight="1" x14ac:dyDescent="0.25">
      <c r="A4170" s="809" t="s">
        <v>15163</v>
      </c>
      <c r="B4170" s="806" t="s">
        <v>2967</v>
      </c>
      <c r="C4170" s="818" t="s">
        <v>19297</v>
      </c>
      <c r="D4170" s="806" t="s">
        <v>3104</v>
      </c>
      <c r="E4170" s="809">
        <v>630</v>
      </c>
      <c r="F4170" s="816">
        <v>300</v>
      </c>
      <c r="G4170" s="202" t="str">
        <f t="shared" si="64"/>
        <v/>
      </c>
    </row>
    <row r="4171" spans="1:7" s="172" customFormat="1" ht="15" customHeight="1" x14ac:dyDescent="0.25">
      <c r="A4171" s="809" t="s">
        <v>15163</v>
      </c>
      <c r="B4171" s="806" t="s">
        <v>2967</v>
      </c>
      <c r="C4171" s="818" t="s">
        <v>19297</v>
      </c>
      <c r="D4171" s="806" t="s">
        <v>3105</v>
      </c>
      <c r="E4171" s="809" t="s">
        <v>19039</v>
      </c>
      <c r="F4171" s="816">
        <v>120</v>
      </c>
      <c r="G4171" s="202" t="str">
        <f t="shared" si="64"/>
        <v/>
      </c>
    </row>
    <row r="4172" spans="1:7" s="172" customFormat="1" ht="15" customHeight="1" x14ac:dyDescent="0.25">
      <c r="A4172" s="809" t="s">
        <v>15164</v>
      </c>
      <c r="B4172" s="806" t="s">
        <v>2967</v>
      </c>
      <c r="C4172" s="818" t="s">
        <v>19297</v>
      </c>
      <c r="D4172" s="806" t="s">
        <v>3106</v>
      </c>
      <c r="E4172" s="809">
        <v>160</v>
      </c>
      <c r="F4172" s="816">
        <v>60</v>
      </c>
      <c r="G4172" s="202" t="str">
        <f t="shared" si="64"/>
        <v/>
      </c>
    </row>
    <row r="4173" spans="1:7" s="172" customFormat="1" ht="15" customHeight="1" x14ac:dyDescent="0.25">
      <c r="A4173" s="820" t="s">
        <v>15164</v>
      </c>
      <c r="B4173" s="806" t="s">
        <v>2967</v>
      </c>
      <c r="C4173" s="818" t="s">
        <v>19297</v>
      </c>
      <c r="D4173" s="806" t="s">
        <v>3107</v>
      </c>
      <c r="E4173" s="809">
        <v>30</v>
      </c>
      <c r="F4173" s="816">
        <v>5</v>
      </c>
      <c r="G4173" s="202" t="str">
        <f t="shared" si="64"/>
        <v/>
      </c>
    </row>
    <row r="4174" spans="1:7" s="172" customFormat="1" ht="15" customHeight="1" x14ac:dyDescent="0.25">
      <c r="A4174" s="809" t="s">
        <v>2689</v>
      </c>
      <c r="B4174" s="806" t="s">
        <v>2967</v>
      </c>
      <c r="C4174" s="818" t="s">
        <v>19297</v>
      </c>
      <c r="D4174" s="806" t="s">
        <v>19040</v>
      </c>
      <c r="E4174" s="809">
        <v>180</v>
      </c>
      <c r="F4174" s="816">
        <v>60</v>
      </c>
      <c r="G4174" s="202" t="str">
        <f t="shared" si="64"/>
        <v/>
      </c>
    </row>
    <row r="4175" spans="1:7" s="172" customFormat="1" ht="15" customHeight="1" x14ac:dyDescent="0.25">
      <c r="A4175" s="809" t="s">
        <v>3109</v>
      </c>
      <c r="B4175" s="806" t="s">
        <v>2967</v>
      </c>
      <c r="C4175" s="818" t="s">
        <v>19297</v>
      </c>
      <c r="D4175" s="806" t="s">
        <v>19041</v>
      </c>
      <c r="E4175" s="809">
        <v>160</v>
      </c>
      <c r="F4175" s="816">
        <v>40</v>
      </c>
      <c r="G4175" s="202" t="str">
        <f t="shared" si="64"/>
        <v/>
      </c>
    </row>
    <row r="4176" spans="1:7" s="172" customFormat="1" ht="15" customHeight="1" x14ac:dyDescent="0.25">
      <c r="A4176" s="809" t="s">
        <v>3110</v>
      </c>
      <c r="B4176" s="806" t="s">
        <v>2967</v>
      </c>
      <c r="C4176" s="818" t="s">
        <v>19297</v>
      </c>
      <c r="D4176" s="806" t="s">
        <v>19042</v>
      </c>
      <c r="E4176" s="809">
        <v>400</v>
      </c>
      <c r="F4176" s="816">
        <v>300</v>
      </c>
      <c r="G4176" s="202" t="str">
        <f t="shared" si="64"/>
        <v/>
      </c>
    </row>
    <row r="4177" spans="1:7" s="172" customFormat="1" ht="15" customHeight="1" x14ac:dyDescent="0.25">
      <c r="A4177" s="809" t="s">
        <v>3111</v>
      </c>
      <c r="B4177" s="806" t="s">
        <v>2967</v>
      </c>
      <c r="C4177" s="818" t="s">
        <v>19297</v>
      </c>
      <c r="D4177" s="806" t="s">
        <v>19043</v>
      </c>
      <c r="E4177" s="809">
        <v>63</v>
      </c>
      <c r="F4177" s="816">
        <v>20</v>
      </c>
      <c r="G4177" s="202" t="str">
        <f t="shared" si="64"/>
        <v/>
      </c>
    </row>
    <row r="4178" spans="1:7" s="172" customFormat="1" ht="15" customHeight="1" x14ac:dyDescent="0.25">
      <c r="A4178" s="809" t="s">
        <v>3112</v>
      </c>
      <c r="B4178" s="806" t="s">
        <v>2967</v>
      </c>
      <c r="C4178" s="818" t="s">
        <v>19297</v>
      </c>
      <c r="D4178" s="806" t="s">
        <v>19044</v>
      </c>
      <c r="E4178" s="809">
        <v>160</v>
      </c>
      <c r="F4178" s="816">
        <v>80</v>
      </c>
      <c r="G4178" s="202" t="str">
        <f t="shared" si="64"/>
        <v/>
      </c>
    </row>
    <row r="4179" spans="1:7" s="172" customFormat="1" ht="15" customHeight="1" x14ac:dyDescent="0.25">
      <c r="A4179" s="809" t="s">
        <v>3113</v>
      </c>
      <c r="B4179" s="806" t="s">
        <v>2967</v>
      </c>
      <c r="C4179" s="818" t="s">
        <v>19297</v>
      </c>
      <c r="D4179" s="806" t="s">
        <v>19045</v>
      </c>
      <c r="E4179" s="809">
        <v>20</v>
      </c>
      <c r="F4179" s="816">
        <v>10</v>
      </c>
      <c r="G4179" s="202" t="str">
        <f t="shared" si="64"/>
        <v/>
      </c>
    </row>
    <row r="4180" spans="1:7" s="172" customFormat="1" ht="15" customHeight="1" x14ac:dyDescent="0.25">
      <c r="A4180" s="809" t="s">
        <v>3114</v>
      </c>
      <c r="B4180" s="806" t="s">
        <v>2967</v>
      </c>
      <c r="C4180" s="818" t="s">
        <v>19297</v>
      </c>
      <c r="D4180" s="806" t="s">
        <v>19046</v>
      </c>
      <c r="E4180" s="809">
        <v>63</v>
      </c>
      <c r="F4180" s="816">
        <v>25</v>
      </c>
      <c r="G4180" s="202" t="str">
        <f t="shared" si="64"/>
        <v/>
      </c>
    </row>
    <row r="4181" spans="1:7" s="172" customFormat="1" ht="15" customHeight="1" x14ac:dyDescent="0.25">
      <c r="A4181" s="809" t="s">
        <v>3115</v>
      </c>
      <c r="B4181" s="806" t="s">
        <v>2967</v>
      </c>
      <c r="C4181" s="818" t="s">
        <v>19297</v>
      </c>
      <c r="D4181" s="806" t="s">
        <v>3116</v>
      </c>
      <c r="E4181" s="809">
        <v>30</v>
      </c>
      <c r="F4181" s="816">
        <v>15</v>
      </c>
      <c r="G4181" s="202" t="str">
        <f t="shared" si="64"/>
        <v/>
      </c>
    </row>
    <row r="4182" spans="1:7" s="172" customFormat="1" ht="15" customHeight="1" x14ac:dyDescent="0.25">
      <c r="A4182" s="809" t="s">
        <v>3117</v>
      </c>
      <c r="B4182" s="806" t="s">
        <v>2967</v>
      </c>
      <c r="C4182" s="818" t="s">
        <v>19297</v>
      </c>
      <c r="D4182" s="806" t="s">
        <v>19047</v>
      </c>
      <c r="E4182" s="809">
        <v>60</v>
      </c>
      <c r="F4182" s="816">
        <v>20</v>
      </c>
      <c r="G4182" s="202" t="str">
        <f t="shared" si="64"/>
        <v/>
      </c>
    </row>
    <row r="4183" spans="1:7" s="172" customFormat="1" ht="15" customHeight="1" x14ac:dyDescent="0.25">
      <c r="A4183" s="809" t="s">
        <v>3118</v>
      </c>
      <c r="B4183" s="806" t="s">
        <v>2967</v>
      </c>
      <c r="C4183" s="818" t="s">
        <v>19297</v>
      </c>
      <c r="D4183" s="806" t="s">
        <v>19048</v>
      </c>
      <c r="E4183" s="809">
        <v>100</v>
      </c>
      <c r="F4183" s="816">
        <v>40</v>
      </c>
      <c r="G4183" s="202" t="str">
        <f t="shared" si="64"/>
        <v/>
      </c>
    </row>
    <row r="4184" spans="1:7" s="172" customFormat="1" ht="15" customHeight="1" x14ac:dyDescent="0.25">
      <c r="A4184" s="809" t="s">
        <v>3119</v>
      </c>
      <c r="B4184" s="806" t="s">
        <v>2967</v>
      </c>
      <c r="C4184" s="818" t="s">
        <v>19297</v>
      </c>
      <c r="D4184" s="806" t="s">
        <v>19049</v>
      </c>
      <c r="E4184" s="809">
        <v>20</v>
      </c>
      <c r="F4184" s="816">
        <v>5</v>
      </c>
      <c r="G4184" s="202" t="str">
        <f t="shared" si="64"/>
        <v/>
      </c>
    </row>
    <row r="4185" spans="1:7" s="172" customFormat="1" ht="15" customHeight="1" x14ac:dyDescent="0.25">
      <c r="A4185" s="809" t="s">
        <v>3120</v>
      </c>
      <c r="B4185" s="806" t="s">
        <v>2967</v>
      </c>
      <c r="C4185" s="818" t="s">
        <v>19297</v>
      </c>
      <c r="D4185" s="806" t="s">
        <v>19050</v>
      </c>
      <c r="E4185" s="809">
        <v>160</v>
      </c>
      <c r="F4185" s="816">
        <v>30</v>
      </c>
      <c r="G4185" s="202" t="str">
        <f t="shared" si="64"/>
        <v/>
      </c>
    </row>
    <row r="4186" spans="1:7" s="172" customFormat="1" ht="15" customHeight="1" x14ac:dyDescent="0.25">
      <c r="A4186" s="809" t="s">
        <v>3120</v>
      </c>
      <c r="B4186" s="806" t="s">
        <v>2967</v>
      </c>
      <c r="C4186" s="818" t="s">
        <v>19297</v>
      </c>
      <c r="D4186" s="806" t="s">
        <v>19051</v>
      </c>
      <c r="E4186" s="809">
        <v>630</v>
      </c>
      <c r="F4186" s="816">
        <v>450</v>
      </c>
      <c r="G4186" s="202" t="str">
        <f t="shared" si="64"/>
        <v/>
      </c>
    </row>
    <row r="4187" spans="1:7" s="172" customFormat="1" ht="15" customHeight="1" x14ac:dyDescent="0.25">
      <c r="A4187" s="809" t="s">
        <v>3121</v>
      </c>
      <c r="B4187" s="806" t="s">
        <v>2967</v>
      </c>
      <c r="C4187" s="818" t="s">
        <v>19297</v>
      </c>
      <c r="D4187" s="806" t="s">
        <v>19052</v>
      </c>
      <c r="E4187" s="809">
        <v>63</v>
      </c>
      <c r="F4187" s="816">
        <v>20</v>
      </c>
      <c r="G4187" s="202" t="str">
        <f t="shared" ref="G4187:G4250" si="65">IF(E4187=F4187,"не загружен","")</f>
        <v/>
      </c>
    </row>
    <row r="4188" spans="1:7" s="172" customFormat="1" ht="15" customHeight="1" x14ac:dyDescent="0.25">
      <c r="A4188" s="809" t="s">
        <v>3122</v>
      </c>
      <c r="B4188" s="806" t="s">
        <v>2967</v>
      </c>
      <c r="C4188" s="818" t="s">
        <v>19297</v>
      </c>
      <c r="D4188" s="806" t="s">
        <v>19053</v>
      </c>
      <c r="E4188" s="809">
        <v>30</v>
      </c>
      <c r="F4188" s="816">
        <v>5</v>
      </c>
      <c r="G4188" s="202" t="str">
        <f t="shared" si="65"/>
        <v/>
      </c>
    </row>
    <row r="4189" spans="1:7" s="172" customFormat="1" ht="15" customHeight="1" x14ac:dyDescent="0.25">
      <c r="A4189" s="809" t="s">
        <v>3123</v>
      </c>
      <c r="B4189" s="806" t="s">
        <v>2967</v>
      </c>
      <c r="C4189" s="818" t="s">
        <v>19297</v>
      </c>
      <c r="D4189" s="806" t="s">
        <v>19054</v>
      </c>
      <c r="E4189" s="809">
        <v>30</v>
      </c>
      <c r="F4189" s="816">
        <v>10</v>
      </c>
      <c r="G4189" s="202" t="str">
        <f t="shared" si="65"/>
        <v/>
      </c>
    </row>
    <row r="4190" spans="1:7" s="172" customFormat="1" ht="15" customHeight="1" x14ac:dyDescent="0.25">
      <c r="A4190" s="809" t="s">
        <v>2897</v>
      </c>
      <c r="B4190" s="806" t="s">
        <v>2967</v>
      </c>
      <c r="C4190" s="818" t="s">
        <v>19297</v>
      </c>
      <c r="D4190" s="806" t="s">
        <v>19055</v>
      </c>
      <c r="E4190" s="809">
        <v>100</v>
      </c>
      <c r="F4190" s="816">
        <v>25</v>
      </c>
      <c r="G4190" s="202" t="str">
        <f t="shared" si="65"/>
        <v/>
      </c>
    </row>
    <row r="4191" spans="1:7" s="172" customFormat="1" ht="15" customHeight="1" x14ac:dyDescent="0.25">
      <c r="A4191" s="809" t="s">
        <v>3124</v>
      </c>
      <c r="B4191" s="806" t="s">
        <v>2967</v>
      </c>
      <c r="C4191" s="818" t="s">
        <v>19297</v>
      </c>
      <c r="D4191" s="806" t="s">
        <v>19056</v>
      </c>
      <c r="E4191" s="809">
        <v>63</v>
      </c>
      <c r="F4191" s="816">
        <v>10</v>
      </c>
      <c r="G4191" s="202" t="str">
        <f t="shared" si="65"/>
        <v/>
      </c>
    </row>
    <row r="4192" spans="1:7" s="172" customFormat="1" ht="15" customHeight="1" x14ac:dyDescent="0.25">
      <c r="A4192" s="809" t="s">
        <v>3125</v>
      </c>
      <c r="B4192" s="806" t="s">
        <v>2967</v>
      </c>
      <c r="C4192" s="818" t="s">
        <v>19297</v>
      </c>
      <c r="D4192" s="806" t="s">
        <v>19057</v>
      </c>
      <c r="E4192" s="809">
        <v>30</v>
      </c>
      <c r="F4192" s="816">
        <v>5</v>
      </c>
      <c r="G4192" s="202" t="str">
        <f t="shared" si="65"/>
        <v/>
      </c>
    </row>
    <row r="4193" spans="1:7" s="172" customFormat="1" ht="15" customHeight="1" x14ac:dyDescent="0.25">
      <c r="A4193" s="809" t="s">
        <v>3126</v>
      </c>
      <c r="B4193" s="806" t="s">
        <v>2967</v>
      </c>
      <c r="C4193" s="818" t="s">
        <v>19297</v>
      </c>
      <c r="D4193" s="806" t="s">
        <v>19058</v>
      </c>
      <c r="E4193" s="809">
        <v>160</v>
      </c>
      <c r="F4193" s="816">
        <v>50</v>
      </c>
      <c r="G4193" s="202" t="str">
        <f t="shared" si="65"/>
        <v/>
      </c>
    </row>
    <row r="4194" spans="1:7" s="172" customFormat="1" ht="15" customHeight="1" x14ac:dyDescent="0.25">
      <c r="A4194" s="809" t="s">
        <v>3127</v>
      </c>
      <c r="B4194" s="806" t="s">
        <v>2967</v>
      </c>
      <c r="C4194" s="818" t="s">
        <v>19297</v>
      </c>
      <c r="D4194" s="806" t="s">
        <v>19059</v>
      </c>
      <c r="E4194" s="809">
        <v>25</v>
      </c>
      <c r="F4194" s="816">
        <v>5</v>
      </c>
      <c r="G4194" s="202" t="str">
        <f t="shared" si="65"/>
        <v/>
      </c>
    </row>
    <row r="4195" spans="1:7" s="172" customFormat="1" ht="15" customHeight="1" x14ac:dyDescent="0.25">
      <c r="A4195" s="820" t="s">
        <v>3128</v>
      </c>
      <c r="B4195" s="806" t="s">
        <v>2967</v>
      </c>
      <c r="C4195" s="818" t="s">
        <v>19297</v>
      </c>
      <c r="D4195" s="806" t="s">
        <v>19060</v>
      </c>
      <c r="E4195" s="809">
        <v>63</v>
      </c>
      <c r="F4195" s="816">
        <v>20</v>
      </c>
      <c r="G4195" s="202" t="str">
        <f t="shared" si="65"/>
        <v/>
      </c>
    </row>
    <row r="4196" spans="1:7" s="172" customFormat="1" ht="15" customHeight="1" x14ac:dyDescent="0.25">
      <c r="A4196" s="820" t="s">
        <v>3129</v>
      </c>
      <c r="B4196" s="806" t="s">
        <v>2967</v>
      </c>
      <c r="C4196" s="818" t="s">
        <v>19297</v>
      </c>
      <c r="D4196" s="806" t="s">
        <v>19061</v>
      </c>
      <c r="E4196" s="809">
        <v>100</v>
      </c>
      <c r="F4196" s="816">
        <v>30</v>
      </c>
      <c r="G4196" s="202" t="str">
        <f t="shared" si="65"/>
        <v/>
      </c>
    </row>
    <row r="4197" spans="1:7" s="172" customFormat="1" ht="15" customHeight="1" x14ac:dyDescent="0.25">
      <c r="A4197" s="820" t="s">
        <v>3130</v>
      </c>
      <c r="B4197" s="806" t="s">
        <v>2967</v>
      </c>
      <c r="C4197" s="818" t="s">
        <v>19297</v>
      </c>
      <c r="D4197" s="806" t="s">
        <v>19062</v>
      </c>
      <c r="E4197" s="809">
        <v>100</v>
      </c>
      <c r="F4197" s="816">
        <v>20</v>
      </c>
      <c r="G4197" s="202" t="str">
        <f t="shared" si="65"/>
        <v/>
      </c>
    </row>
    <row r="4198" spans="1:7" s="172" customFormat="1" ht="15" customHeight="1" x14ac:dyDescent="0.25">
      <c r="A4198" s="809" t="s">
        <v>15165</v>
      </c>
      <c r="B4198" s="806" t="s">
        <v>2967</v>
      </c>
      <c r="C4198" s="818" t="s">
        <v>19297</v>
      </c>
      <c r="D4198" s="806" t="s">
        <v>19063</v>
      </c>
      <c r="E4198" s="809">
        <v>160</v>
      </c>
      <c r="F4198" s="816">
        <v>50</v>
      </c>
      <c r="G4198" s="202" t="str">
        <f t="shared" si="65"/>
        <v/>
      </c>
    </row>
    <row r="4199" spans="1:7" s="172" customFormat="1" ht="15" customHeight="1" x14ac:dyDescent="0.25">
      <c r="A4199" s="809" t="s">
        <v>3110</v>
      </c>
      <c r="B4199" s="806" t="s">
        <v>2967</v>
      </c>
      <c r="C4199" s="818" t="s">
        <v>19297</v>
      </c>
      <c r="D4199" s="806" t="s">
        <v>19064</v>
      </c>
      <c r="E4199" s="809">
        <v>63</v>
      </c>
      <c r="F4199" s="816">
        <v>20</v>
      </c>
      <c r="G4199" s="202" t="str">
        <f t="shared" si="65"/>
        <v/>
      </c>
    </row>
    <row r="4200" spans="1:7" s="172" customFormat="1" ht="15" customHeight="1" x14ac:dyDescent="0.25">
      <c r="A4200" s="809" t="s">
        <v>3110</v>
      </c>
      <c r="B4200" s="806" t="s">
        <v>2967</v>
      </c>
      <c r="C4200" s="818" t="s">
        <v>19297</v>
      </c>
      <c r="D4200" s="806" t="s">
        <v>19065</v>
      </c>
      <c r="E4200" s="809">
        <v>160</v>
      </c>
      <c r="F4200" s="816">
        <v>30</v>
      </c>
      <c r="G4200" s="202" t="str">
        <f t="shared" si="65"/>
        <v/>
      </c>
    </row>
    <row r="4201" spans="1:7" s="172" customFormat="1" ht="15" customHeight="1" x14ac:dyDescent="0.25">
      <c r="A4201" s="820" t="s">
        <v>3110</v>
      </c>
      <c r="B4201" s="806" t="s">
        <v>2967</v>
      </c>
      <c r="C4201" s="818" t="s">
        <v>19297</v>
      </c>
      <c r="D4201" s="806" t="s">
        <v>19066</v>
      </c>
      <c r="E4201" s="809">
        <v>250</v>
      </c>
      <c r="F4201" s="816">
        <v>50</v>
      </c>
      <c r="G4201" s="202" t="str">
        <f t="shared" si="65"/>
        <v/>
      </c>
    </row>
    <row r="4202" spans="1:7" s="172" customFormat="1" ht="15" customHeight="1" x14ac:dyDescent="0.25">
      <c r="A4202" s="809" t="s">
        <v>3110</v>
      </c>
      <c r="B4202" s="806" t="s">
        <v>2967</v>
      </c>
      <c r="C4202" s="818" t="s">
        <v>19297</v>
      </c>
      <c r="D4202" s="806" t="s">
        <v>19067</v>
      </c>
      <c r="E4202" s="809">
        <v>160</v>
      </c>
      <c r="F4202" s="816">
        <v>40</v>
      </c>
      <c r="G4202" s="202" t="str">
        <f t="shared" si="65"/>
        <v/>
      </c>
    </row>
    <row r="4203" spans="1:7" s="172" customFormat="1" ht="15" customHeight="1" x14ac:dyDescent="0.25">
      <c r="A4203" s="809" t="s">
        <v>3110</v>
      </c>
      <c r="B4203" s="806" t="s">
        <v>2967</v>
      </c>
      <c r="C4203" s="818" t="s">
        <v>19297</v>
      </c>
      <c r="D4203" s="806" t="s">
        <v>19068</v>
      </c>
      <c r="E4203" s="809">
        <v>100</v>
      </c>
      <c r="F4203" s="816">
        <v>30</v>
      </c>
      <c r="G4203" s="202" t="str">
        <f t="shared" si="65"/>
        <v/>
      </c>
    </row>
    <row r="4204" spans="1:7" s="172" customFormat="1" ht="15" customHeight="1" x14ac:dyDescent="0.25">
      <c r="A4204" s="809" t="s">
        <v>3110</v>
      </c>
      <c r="B4204" s="806" t="s">
        <v>2967</v>
      </c>
      <c r="C4204" s="818" t="s">
        <v>19297</v>
      </c>
      <c r="D4204" s="806" t="s">
        <v>19069</v>
      </c>
      <c r="E4204" s="809">
        <v>160</v>
      </c>
      <c r="F4204" s="816">
        <v>20</v>
      </c>
      <c r="G4204" s="202" t="str">
        <f t="shared" si="65"/>
        <v/>
      </c>
    </row>
    <row r="4205" spans="1:7" s="172" customFormat="1" ht="15" customHeight="1" x14ac:dyDescent="0.25">
      <c r="A4205" s="809" t="s">
        <v>3110</v>
      </c>
      <c r="B4205" s="806" t="s">
        <v>2967</v>
      </c>
      <c r="C4205" s="818" t="s">
        <v>19297</v>
      </c>
      <c r="D4205" s="806" t="s">
        <v>19070</v>
      </c>
      <c r="E4205" s="809">
        <v>250</v>
      </c>
      <c r="F4205" s="816">
        <v>40</v>
      </c>
      <c r="G4205" s="202" t="str">
        <f t="shared" si="65"/>
        <v/>
      </c>
    </row>
    <row r="4206" spans="1:7" s="172" customFormat="1" ht="15" customHeight="1" x14ac:dyDescent="0.25">
      <c r="A4206" s="809" t="s">
        <v>3110</v>
      </c>
      <c r="B4206" s="806" t="s">
        <v>2967</v>
      </c>
      <c r="C4206" s="818" t="s">
        <v>19297</v>
      </c>
      <c r="D4206" s="806" t="s">
        <v>19071</v>
      </c>
      <c r="E4206" s="809" t="s">
        <v>19072</v>
      </c>
      <c r="F4206" s="816">
        <v>60</v>
      </c>
      <c r="G4206" s="202" t="str">
        <f t="shared" si="65"/>
        <v/>
      </c>
    </row>
    <row r="4207" spans="1:7" s="172" customFormat="1" ht="15" customHeight="1" x14ac:dyDescent="0.25">
      <c r="A4207" s="809" t="s">
        <v>3131</v>
      </c>
      <c r="B4207" s="806" t="s">
        <v>2967</v>
      </c>
      <c r="C4207" s="818" t="s">
        <v>19297</v>
      </c>
      <c r="D4207" s="806" t="s">
        <v>19073</v>
      </c>
      <c r="E4207" s="809">
        <v>63</v>
      </c>
      <c r="F4207" s="816">
        <v>20</v>
      </c>
      <c r="G4207" s="202" t="str">
        <f t="shared" si="65"/>
        <v/>
      </c>
    </row>
    <row r="4208" spans="1:7" s="172" customFormat="1" ht="15" customHeight="1" x14ac:dyDescent="0.25">
      <c r="A4208" s="806" t="s">
        <v>3132</v>
      </c>
      <c r="B4208" s="806" t="s">
        <v>2967</v>
      </c>
      <c r="C4208" s="818" t="s">
        <v>19297</v>
      </c>
      <c r="D4208" s="806" t="s">
        <v>19074</v>
      </c>
      <c r="E4208" s="809">
        <v>100</v>
      </c>
      <c r="F4208" s="816">
        <v>40</v>
      </c>
      <c r="G4208" s="202" t="str">
        <f t="shared" si="65"/>
        <v/>
      </c>
    </row>
    <row r="4209" spans="1:7" s="172" customFormat="1" ht="15" customHeight="1" x14ac:dyDescent="0.25">
      <c r="A4209" s="806" t="s">
        <v>3132</v>
      </c>
      <c r="B4209" s="806" t="s">
        <v>2967</v>
      </c>
      <c r="C4209" s="818" t="s">
        <v>19297</v>
      </c>
      <c r="D4209" s="806" t="s">
        <v>19075</v>
      </c>
      <c r="E4209" s="809">
        <v>25</v>
      </c>
      <c r="F4209" s="816">
        <v>10</v>
      </c>
      <c r="G4209" s="202" t="str">
        <f t="shared" si="65"/>
        <v/>
      </c>
    </row>
    <row r="4210" spans="1:7" s="172" customFormat="1" ht="15" customHeight="1" x14ac:dyDescent="0.25">
      <c r="A4210" s="806" t="s">
        <v>3133</v>
      </c>
      <c r="B4210" s="806" t="s">
        <v>2967</v>
      </c>
      <c r="C4210" s="818" t="s">
        <v>19297</v>
      </c>
      <c r="D4210" s="806" t="s">
        <v>19076</v>
      </c>
      <c r="E4210" s="809">
        <v>40</v>
      </c>
      <c r="F4210" s="816">
        <v>10</v>
      </c>
      <c r="G4210" s="202" t="str">
        <f t="shared" si="65"/>
        <v/>
      </c>
    </row>
    <row r="4211" spans="1:7" s="172" customFormat="1" ht="15" customHeight="1" x14ac:dyDescent="0.25">
      <c r="A4211" s="806" t="s">
        <v>3110</v>
      </c>
      <c r="B4211" s="806" t="s">
        <v>2967</v>
      </c>
      <c r="C4211" s="818" t="s">
        <v>19297</v>
      </c>
      <c r="D4211" s="806" t="s">
        <v>19077</v>
      </c>
      <c r="E4211" s="809">
        <v>30</v>
      </c>
      <c r="F4211" s="816">
        <v>5</v>
      </c>
      <c r="G4211" s="202" t="str">
        <f t="shared" si="65"/>
        <v/>
      </c>
    </row>
    <row r="4212" spans="1:7" s="172" customFormat="1" ht="15" customHeight="1" x14ac:dyDescent="0.25">
      <c r="A4212" s="806" t="s">
        <v>3110</v>
      </c>
      <c r="B4212" s="806" t="s">
        <v>2967</v>
      </c>
      <c r="C4212" s="818" t="s">
        <v>19297</v>
      </c>
      <c r="D4212" s="806" t="s">
        <v>19078</v>
      </c>
      <c r="E4212" s="809">
        <v>160</v>
      </c>
      <c r="F4212" s="816">
        <v>45</v>
      </c>
      <c r="G4212" s="202" t="str">
        <f t="shared" si="65"/>
        <v/>
      </c>
    </row>
    <row r="4213" spans="1:7" s="172" customFormat="1" ht="15" customHeight="1" x14ac:dyDescent="0.25">
      <c r="A4213" s="806" t="s">
        <v>3134</v>
      </c>
      <c r="B4213" s="806" t="s">
        <v>2967</v>
      </c>
      <c r="C4213" s="818" t="s">
        <v>19297</v>
      </c>
      <c r="D4213" s="806" t="s">
        <v>19079</v>
      </c>
      <c r="E4213" s="809">
        <v>63</v>
      </c>
      <c r="F4213" s="816">
        <v>20</v>
      </c>
      <c r="G4213" s="202" t="str">
        <f t="shared" si="65"/>
        <v/>
      </c>
    </row>
    <row r="4214" spans="1:7" s="172" customFormat="1" ht="15" customHeight="1" x14ac:dyDescent="0.25">
      <c r="A4214" s="806" t="s">
        <v>3135</v>
      </c>
      <c r="B4214" s="806" t="s">
        <v>2967</v>
      </c>
      <c r="C4214" s="818" t="s">
        <v>19297</v>
      </c>
      <c r="D4214" s="806" t="s">
        <v>19080</v>
      </c>
      <c r="E4214" s="809">
        <v>40</v>
      </c>
      <c r="F4214" s="816">
        <v>15</v>
      </c>
      <c r="G4214" s="202" t="str">
        <f t="shared" si="65"/>
        <v/>
      </c>
    </row>
    <row r="4215" spans="1:7" s="172" customFormat="1" ht="15" customHeight="1" x14ac:dyDescent="0.25">
      <c r="A4215" s="806" t="s">
        <v>3136</v>
      </c>
      <c r="B4215" s="806" t="s">
        <v>2967</v>
      </c>
      <c r="C4215" s="818" t="s">
        <v>19297</v>
      </c>
      <c r="D4215" s="806" t="s">
        <v>19081</v>
      </c>
      <c r="E4215" s="809">
        <v>160</v>
      </c>
      <c r="F4215" s="816">
        <v>50</v>
      </c>
      <c r="G4215" s="202" t="str">
        <f t="shared" si="65"/>
        <v/>
      </c>
    </row>
    <row r="4216" spans="1:7" s="172" customFormat="1" ht="15" customHeight="1" x14ac:dyDescent="0.25">
      <c r="A4216" s="806" t="s">
        <v>3137</v>
      </c>
      <c r="B4216" s="806" t="s">
        <v>2967</v>
      </c>
      <c r="C4216" s="818" t="s">
        <v>19297</v>
      </c>
      <c r="D4216" s="806" t="s">
        <v>19082</v>
      </c>
      <c r="E4216" s="809">
        <v>63</v>
      </c>
      <c r="F4216" s="816">
        <v>25</v>
      </c>
      <c r="G4216" s="202" t="str">
        <f t="shared" si="65"/>
        <v/>
      </c>
    </row>
    <row r="4217" spans="1:7" s="172" customFormat="1" ht="15" customHeight="1" x14ac:dyDescent="0.25">
      <c r="A4217" s="806" t="s">
        <v>3138</v>
      </c>
      <c r="B4217" s="806" t="s">
        <v>2967</v>
      </c>
      <c r="C4217" s="818" t="s">
        <v>19297</v>
      </c>
      <c r="D4217" s="806" t="s">
        <v>19083</v>
      </c>
      <c r="E4217" s="809">
        <v>160</v>
      </c>
      <c r="F4217" s="816">
        <v>40</v>
      </c>
      <c r="G4217" s="202" t="str">
        <f t="shared" si="65"/>
        <v/>
      </c>
    </row>
    <row r="4218" spans="1:7" s="172" customFormat="1" ht="15" customHeight="1" x14ac:dyDescent="0.25">
      <c r="A4218" s="806" t="s">
        <v>3139</v>
      </c>
      <c r="B4218" s="806" t="s">
        <v>2967</v>
      </c>
      <c r="C4218" s="818" t="s">
        <v>19297</v>
      </c>
      <c r="D4218" s="806" t="s">
        <v>19084</v>
      </c>
      <c r="E4218" s="809">
        <v>63</v>
      </c>
      <c r="F4218" s="816">
        <v>20</v>
      </c>
      <c r="G4218" s="202" t="str">
        <f t="shared" si="65"/>
        <v/>
      </c>
    </row>
    <row r="4219" spans="1:7" s="172" customFormat="1" ht="15" customHeight="1" x14ac:dyDescent="0.25">
      <c r="A4219" s="806" t="s">
        <v>3140</v>
      </c>
      <c r="B4219" s="806" t="s">
        <v>2967</v>
      </c>
      <c r="C4219" s="818" t="s">
        <v>19297</v>
      </c>
      <c r="D4219" s="806" t="s">
        <v>19085</v>
      </c>
      <c r="E4219" s="809">
        <v>100</v>
      </c>
      <c r="F4219" s="816">
        <v>20</v>
      </c>
      <c r="G4219" s="202" t="str">
        <f t="shared" si="65"/>
        <v/>
      </c>
    </row>
    <row r="4220" spans="1:7" s="172" customFormat="1" ht="15" customHeight="1" x14ac:dyDescent="0.25">
      <c r="A4220" s="806" t="s">
        <v>3141</v>
      </c>
      <c r="B4220" s="806" t="s">
        <v>2967</v>
      </c>
      <c r="C4220" s="818" t="s">
        <v>19297</v>
      </c>
      <c r="D4220" s="806" t="s">
        <v>19086</v>
      </c>
      <c r="E4220" s="809">
        <v>160</v>
      </c>
      <c r="F4220" s="816">
        <v>10</v>
      </c>
      <c r="G4220" s="202" t="str">
        <f t="shared" si="65"/>
        <v/>
      </c>
    </row>
    <row r="4221" spans="1:7" s="172" customFormat="1" ht="15" customHeight="1" x14ac:dyDescent="0.25">
      <c r="A4221" s="806" t="s">
        <v>5610</v>
      </c>
      <c r="B4221" s="806" t="s">
        <v>2967</v>
      </c>
      <c r="C4221" s="818" t="s">
        <v>19297</v>
      </c>
      <c r="D4221" s="806" t="s">
        <v>19298</v>
      </c>
      <c r="E4221" s="809">
        <v>63</v>
      </c>
      <c r="F4221" s="816">
        <v>10</v>
      </c>
      <c r="G4221" s="202" t="str">
        <f t="shared" si="65"/>
        <v/>
      </c>
    </row>
    <row r="4222" spans="1:7" s="172" customFormat="1" ht="15" customHeight="1" x14ac:dyDescent="0.25">
      <c r="A4222" s="809" t="s">
        <v>12615</v>
      </c>
      <c r="B4222" s="806" t="s">
        <v>2967</v>
      </c>
      <c r="C4222" s="818" t="s">
        <v>19297</v>
      </c>
      <c r="D4222" s="806" t="s">
        <v>19299</v>
      </c>
      <c r="E4222" s="809">
        <v>25</v>
      </c>
      <c r="F4222" s="816">
        <v>5</v>
      </c>
      <c r="G4222" s="202" t="str">
        <f t="shared" si="65"/>
        <v/>
      </c>
    </row>
    <row r="4223" spans="1:7" s="172" customFormat="1" ht="15" customHeight="1" x14ac:dyDescent="0.25">
      <c r="A4223" s="809" t="s">
        <v>18928</v>
      </c>
      <c r="B4223" s="806" t="s">
        <v>2967</v>
      </c>
      <c r="C4223" s="818" t="s">
        <v>19297</v>
      </c>
      <c r="D4223" s="806" t="s">
        <v>19087</v>
      </c>
      <c r="E4223" s="809">
        <v>63</v>
      </c>
      <c r="F4223" s="816">
        <v>20</v>
      </c>
      <c r="G4223" s="202" t="str">
        <f t="shared" si="65"/>
        <v/>
      </c>
    </row>
    <row r="4224" spans="1:7" s="172" customFormat="1" ht="15" customHeight="1" x14ac:dyDescent="0.25">
      <c r="A4224" s="809"/>
      <c r="B4224" s="806" t="s">
        <v>2967</v>
      </c>
      <c r="C4224" s="818" t="s">
        <v>19297</v>
      </c>
      <c r="D4224" s="806" t="s">
        <v>19860</v>
      </c>
      <c r="E4224" s="809">
        <v>630</v>
      </c>
      <c r="F4224" s="816">
        <v>630</v>
      </c>
      <c r="G4224" s="202" t="str">
        <f t="shared" si="65"/>
        <v>не загружен</v>
      </c>
    </row>
    <row r="4225" spans="1:7" s="172" customFormat="1" ht="15" customHeight="1" x14ac:dyDescent="0.25">
      <c r="A4225" s="809" t="s">
        <v>3110</v>
      </c>
      <c r="B4225" s="806" t="s">
        <v>2967</v>
      </c>
      <c r="C4225" s="818" t="s">
        <v>19297</v>
      </c>
      <c r="D4225" s="806" t="s">
        <v>19088</v>
      </c>
      <c r="E4225" s="809">
        <v>160</v>
      </c>
      <c r="F4225" s="816">
        <v>40</v>
      </c>
      <c r="G4225" s="202" t="str">
        <f t="shared" si="65"/>
        <v/>
      </c>
    </row>
    <row r="4226" spans="1:7" s="172" customFormat="1" ht="15" customHeight="1" x14ac:dyDescent="0.25">
      <c r="A4226" s="806" t="s">
        <v>3142</v>
      </c>
      <c r="B4226" s="806" t="s">
        <v>2967</v>
      </c>
      <c r="C4226" s="818" t="s">
        <v>19297</v>
      </c>
      <c r="D4226" s="806" t="s">
        <v>19089</v>
      </c>
      <c r="E4226" s="809">
        <v>100</v>
      </c>
      <c r="F4226" s="816">
        <v>10</v>
      </c>
      <c r="G4226" s="202" t="str">
        <f t="shared" si="65"/>
        <v/>
      </c>
    </row>
    <row r="4227" spans="1:7" s="172" customFormat="1" ht="15" customHeight="1" x14ac:dyDescent="0.25">
      <c r="A4227" s="806" t="s">
        <v>15166</v>
      </c>
      <c r="B4227" s="806" t="s">
        <v>2967</v>
      </c>
      <c r="C4227" s="818" t="s">
        <v>19297</v>
      </c>
      <c r="D4227" s="806" t="s">
        <v>19090</v>
      </c>
      <c r="E4227" s="809">
        <v>63</v>
      </c>
      <c r="F4227" s="816">
        <v>20</v>
      </c>
      <c r="G4227" s="202" t="str">
        <f t="shared" si="65"/>
        <v/>
      </c>
    </row>
    <row r="4228" spans="1:7" s="172" customFormat="1" ht="15" customHeight="1" x14ac:dyDescent="0.25">
      <c r="A4228" s="809" t="s">
        <v>3143</v>
      </c>
      <c r="B4228" s="806" t="s">
        <v>2967</v>
      </c>
      <c r="C4228" s="818" t="s">
        <v>19297</v>
      </c>
      <c r="D4228" s="806" t="s">
        <v>19091</v>
      </c>
      <c r="E4228" s="809">
        <v>63</v>
      </c>
      <c r="F4228" s="816">
        <v>20</v>
      </c>
      <c r="G4228" s="202" t="str">
        <f t="shared" si="65"/>
        <v/>
      </c>
    </row>
    <row r="4229" spans="1:7" s="172" customFormat="1" ht="15" customHeight="1" x14ac:dyDescent="0.25">
      <c r="A4229" s="806" t="s">
        <v>3110</v>
      </c>
      <c r="B4229" s="806" t="s">
        <v>2967</v>
      </c>
      <c r="C4229" s="818" t="s">
        <v>19297</v>
      </c>
      <c r="D4229" s="806" t="s">
        <v>19092</v>
      </c>
      <c r="E4229" s="809">
        <v>10</v>
      </c>
      <c r="F4229" s="816">
        <v>3</v>
      </c>
      <c r="G4229" s="202" t="str">
        <f t="shared" si="65"/>
        <v/>
      </c>
    </row>
    <row r="4230" spans="1:7" s="172" customFormat="1" ht="15" customHeight="1" x14ac:dyDescent="0.25">
      <c r="A4230" s="806" t="s">
        <v>3145</v>
      </c>
      <c r="B4230" s="806" t="s">
        <v>2967</v>
      </c>
      <c r="C4230" s="818" t="s">
        <v>19297</v>
      </c>
      <c r="D4230" s="806" t="s">
        <v>19861</v>
      </c>
      <c r="E4230" s="809">
        <v>160</v>
      </c>
      <c r="F4230" s="816">
        <v>50</v>
      </c>
      <c r="G4230" s="202" t="str">
        <f t="shared" si="65"/>
        <v/>
      </c>
    </row>
    <row r="4231" spans="1:7" s="172" customFormat="1" ht="15" customHeight="1" x14ac:dyDescent="0.25">
      <c r="A4231" s="806" t="s">
        <v>3146</v>
      </c>
      <c r="B4231" s="806" t="s">
        <v>2967</v>
      </c>
      <c r="C4231" s="818" t="s">
        <v>19297</v>
      </c>
      <c r="D4231" s="806" t="s">
        <v>19093</v>
      </c>
      <c r="E4231" s="809">
        <v>30</v>
      </c>
      <c r="F4231" s="816">
        <v>10</v>
      </c>
      <c r="G4231" s="202" t="str">
        <f t="shared" si="65"/>
        <v/>
      </c>
    </row>
    <row r="4232" spans="1:7" s="172" customFormat="1" ht="15" customHeight="1" x14ac:dyDescent="0.25">
      <c r="A4232" s="806" t="s">
        <v>3147</v>
      </c>
      <c r="B4232" s="806" t="s">
        <v>2967</v>
      </c>
      <c r="C4232" s="818" t="s">
        <v>19297</v>
      </c>
      <c r="D4232" s="806" t="s">
        <v>3148</v>
      </c>
      <c r="E4232" s="809">
        <v>250</v>
      </c>
      <c r="F4232" s="816">
        <v>150</v>
      </c>
      <c r="G4232" s="202" t="str">
        <f t="shared" si="65"/>
        <v/>
      </c>
    </row>
    <row r="4233" spans="1:7" s="172" customFormat="1" ht="15" customHeight="1" x14ac:dyDescent="0.25">
      <c r="A4233" s="806" t="s">
        <v>3147</v>
      </c>
      <c r="B4233" s="806" t="s">
        <v>2967</v>
      </c>
      <c r="C4233" s="818" t="s">
        <v>19297</v>
      </c>
      <c r="D4233" s="806" t="s">
        <v>3149</v>
      </c>
      <c r="E4233" s="809">
        <v>40</v>
      </c>
      <c r="F4233" s="816">
        <v>10</v>
      </c>
      <c r="G4233" s="202" t="str">
        <f t="shared" si="65"/>
        <v/>
      </c>
    </row>
    <row r="4234" spans="1:7" s="172" customFormat="1" ht="15" customHeight="1" x14ac:dyDescent="0.25">
      <c r="A4234" s="806" t="s">
        <v>3147</v>
      </c>
      <c r="B4234" s="806" t="s">
        <v>2967</v>
      </c>
      <c r="C4234" s="818" t="s">
        <v>19297</v>
      </c>
      <c r="D4234" s="806" t="s">
        <v>3150</v>
      </c>
      <c r="E4234" s="809">
        <v>250</v>
      </c>
      <c r="F4234" s="816">
        <v>180</v>
      </c>
      <c r="G4234" s="202" t="str">
        <f t="shared" si="65"/>
        <v/>
      </c>
    </row>
    <row r="4235" spans="1:7" s="172" customFormat="1" ht="15" customHeight="1" x14ac:dyDescent="0.25">
      <c r="A4235" s="806" t="s">
        <v>3151</v>
      </c>
      <c r="B4235" s="806" t="s">
        <v>2967</v>
      </c>
      <c r="C4235" s="818" t="s">
        <v>19297</v>
      </c>
      <c r="D4235" s="806" t="s">
        <v>3152</v>
      </c>
      <c r="E4235" s="809">
        <v>25</v>
      </c>
      <c r="F4235" s="816">
        <v>5</v>
      </c>
      <c r="G4235" s="202" t="str">
        <f t="shared" si="65"/>
        <v/>
      </c>
    </row>
    <row r="4236" spans="1:7" s="172" customFormat="1" ht="15" customHeight="1" x14ac:dyDescent="0.25">
      <c r="A4236" s="806" t="s">
        <v>15167</v>
      </c>
      <c r="B4236" s="806" t="s">
        <v>2967</v>
      </c>
      <c r="C4236" s="818" t="s">
        <v>19297</v>
      </c>
      <c r="D4236" s="806" t="s">
        <v>3153</v>
      </c>
      <c r="E4236" s="809">
        <v>60</v>
      </c>
      <c r="F4236" s="816">
        <v>10</v>
      </c>
      <c r="G4236" s="202" t="str">
        <f t="shared" si="65"/>
        <v/>
      </c>
    </row>
    <row r="4237" spans="1:7" s="172" customFormat="1" ht="15" customHeight="1" x14ac:dyDescent="0.25">
      <c r="A4237" s="809" t="s">
        <v>15168</v>
      </c>
      <c r="B4237" s="806" t="s">
        <v>2967</v>
      </c>
      <c r="C4237" s="818" t="s">
        <v>19297</v>
      </c>
      <c r="D4237" s="806" t="s">
        <v>3154</v>
      </c>
      <c r="E4237" s="809">
        <v>100</v>
      </c>
      <c r="F4237" s="816">
        <v>40</v>
      </c>
      <c r="G4237" s="202" t="str">
        <f t="shared" si="65"/>
        <v/>
      </c>
    </row>
    <row r="4238" spans="1:7" s="172" customFormat="1" ht="15" customHeight="1" x14ac:dyDescent="0.25">
      <c r="A4238" s="809" t="s">
        <v>15169</v>
      </c>
      <c r="B4238" s="806" t="s">
        <v>2967</v>
      </c>
      <c r="C4238" s="818" t="s">
        <v>19297</v>
      </c>
      <c r="D4238" s="806" t="s">
        <v>3155</v>
      </c>
      <c r="E4238" s="809">
        <v>250</v>
      </c>
      <c r="F4238" s="816">
        <v>160</v>
      </c>
      <c r="G4238" s="202" t="str">
        <f t="shared" si="65"/>
        <v/>
      </c>
    </row>
    <row r="4239" spans="1:7" s="172" customFormat="1" ht="15" customHeight="1" x14ac:dyDescent="0.25">
      <c r="A4239" s="809" t="s">
        <v>15170</v>
      </c>
      <c r="B4239" s="806" t="s">
        <v>2967</v>
      </c>
      <c r="C4239" s="818" t="s">
        <v>19297</v>
      </c>
      <c r="D4239" s="806" t="s">
        <v>3156</v>
      </c>
      <c r="E4239" s="809">
        <v>100</v>
      </c>
      <c r="F4239" s="816">
        <v>50</v>
      </c>
      <c r="G4239" s="202" t="str">
        <f t="shared" si="65"/>
        <v/>
      </c>
    </row>
    <row r="4240" spans="1:7" s="172" customFormat="1" ht="15" customHeight="1" x14ac:dyDescent="0.25">
      <c r="A4240" s="809" t="s">
        <v>15171</v>
      </c>
      <c r="B4240" s="806" t="s">
        <v>2967</v>
      </c>
      <c r="C4240" s="818" t="s">
        <v>19297</v>
      </c>
      <c r="D4240" s="806" t="s">
        <v>3157</v>
      </c>
      <c r="E4240" s="809">
        <v>10</v>
      </c>
      <c r="F4240" s="816">
        <v>5</v>
      </c>
      <c r="G4240" s="202" t="str">
        <f t="shared" si="65"/>
        <v/>
      </c>
    </row>
    <row r="4241" spans="1:7" s="172" customFormat="1" ht="15" customHeight="1" x14ac:dyDescent="0.25">
      <c r="A4241" s="809" t="s">
        <v>15172</v>
      </c>
      <c r="B4241" s="806" t="s">
        <v>2967</v>
      </c>
      <c r="C4241" s="818" t="s">
        <v>19297</v>
      </c>
      <c r="D4241" s="806" t="s">
        <v>3158</v>
      </c>
      <c r="E4241" s="809">
        <v>25</v>
      </c>
      <c r="F4241" s="816">
        <v>5</v>
      </c>
      <c r="G4241" s="202" t="str">
        <f t="shared" si="65"/>
        <v/>
      </c>
    </row>
    <row r="4242" spans="1:7" s="172" customFormat="1" ht="15" customHeight="1" x14ac:dyDescent="0.25">
      <c r="A4242" s="809" t="s">
        <v>15173</v>
      </c>
      <c r="B4242" s="806" t="s">
        <v>2967</v>
      </c>
      <c r="C4242" s="818" t="s">
        <v>19297</v>
      </c>
      <c r="D4242" s="806" t="s">
        <v>3159</v>
      </c>
      <c r="E4242" s="809">
        <v>25</v>
      </c>
      <c r="F4242" s="816">
        <v>5</v>
      </c>
      <c r="G4242" s="202" t="str">
        <f t="shared" si="65"/>
        <v/>
      </c>
    </row>
    <row r="4243" spans="1:7" s="172" customFormat="1" ht="15" customHeight="1" x14ac:dyDescent="0.25">
      <c r="A4243" s="806" t="s">
        <v>15174</v>
      </c>
      <c r="B4243" s="806" t="s">
        <v>2967</v>
      </c>
      <c r="C4243" s="818" t="s">
        <v>19297</v>
      </c>
      <c r="D4243" s="806" t="s">
        <v>3160</v>
      </c>
      <c r="E4243" s="809">
        <v>30</v>
      </c>
      <c r="F4243" s="816">
        <v>10</v>
      </c>
      <c r="G4243" s="202" t="str">
        <f t="shared" si="65"/>
        <v/>
      </c>
    </row>
    <row r="4244" spans="1:7" s="172" customFormat="1" ht="15" customHeight="1" x14ac:dyDescent="0.25">
      <c r="A4244" s="806" t="s">
        <v>15175</v>
      </c>
      <c r="B4244" s="806" t="s">
        <v>2967</v>
      </c>
      <c r="C4244" s="818" t="s">
        <v>19297</v>
      </c>
      <c r="D4244" s="806" t="s">
        <v>3161</v>
      </c>
      <c r="E4244" s="809">
        <v>40</v>
      </c>
      <c r="F4244" s="816">
        <v>10</v>
      </c>
      <c r="G4244" s="202" t="str">
        <f t="shared" si="65"/>
        <v/>
      </c>
    </row>
    <row r="4245" spans="1:7" s="172" customFormat="1" ht="15" customHeight="1" x14ac:dyDescent="0.25">
      <c r="A4245" s="806" t="s">
        <v>15176</v>
      </c>
      <c r="B4245" s="806" t="s">
        <v>2967</v>
      </c>
      <c r="C4245" s="818" t="s">
        <v>19297</v>
      </c>
      <c r="D4245" s="806" t="s">
        <v>3162</v>
      </c>
      <c r="E4245" s="809">
        <v>160</v>
      </c>
      <c r="F4245" s="816">
        <v>30</v>
      </c>
      <c r="G4245" s="202" t="str">
        <f t="shared" si="65"/>
        <v/>
      </c>
    </row>
    <row r="4246" spans="1:7" s="172" customFormat="1" ht="15" customHeight="1" x14ac:dyDescent="0.25">
      <c r="A4246" s="806" t="s">
        <v>15177</v>
      </c>
      <c r="B4246" s="806" t="s">
        <v>2967</v>
      </c>
      <c r="C4246" s="818" t="s">
        <v>19297</v>
      </c>
      <c r="D4246" s="806" t="s">
        <v>3163</v>
      </c>
      <c r="E4246" s="809">
        <v>63</v>
      </c>
      <c r="F4246" s="816">
        <v>20</v>
      </c>
      <c r="G4246" s="202" t="str">
        <f t="shared" si="65"/>
        <v/>
      </c>
    </row>
    <row r="4247" spans="1:7" s="172" customFormat="1" ht="15" customHeight="1" x14ac:dyDescent="0.25">
      <c r="A4247" s="806" t="s">
        <v>2557</v>
      </c>
      <c r="B4247" s="806" t="s">
        <v>2967</v>
      </c>
      <c r="C4247" s="818" t="s">
        <v>19297</v>
      </c>
      <c r="D4247" s="806" t="s">
        <v>3164</v>
      </c>
      <c r="E4247" s="809">
        <v>63</v>
      </c>
      <c r="F4247" s="816">
        <v>15</v>
      </c>
      <c r="G4247" s="202" t="str">
        <f t="shared" si="65"/>
        <v/>
      </c>
    </row>
    <row r="4248" spans="1:7" s="172" customFormat="1" ht="15" customHeight="1" x14ac:dyDescent="0.25">
      <c r="A4248" s="806" t="s">
        <v>15178</v>
      </c>
      <c r="B4248" s="806" t="s">
        <v>2967</v>
      </c>
      <c r="C4248" s="818" t="s">
        <v>19297</v>
      </c>
      <c r="D4248" s="806" t="s">
        <v>3165</v>
      </c>
      <c r="E4248" s="809">
        <v>30</v>
      </c>
      <c r="F4248" s="816">
        <v>10</v>
      </c>
      <c r="G4248" s="202" t="str">
        <f t="shared" si="65"/>
        <v/>
      </c>
    </row>
    <row r="4249" spans="1:7" s="172" customFormat="1" ht="15" customHeight="1" x14ac:dyDescent="0.25">
      <c r="A4249" s="806" t="s">
        <v>3166</v>
      </c>
      <c r="B4249" s="806" t="s">
        <v>2967</v>
      </c>
      <c r="C4249" s="818" t="s">
        <v>19297</v>
      </c>
      <c r="D4249" s="806" t="s">
        <v>3167</v>
      </c>
      <c r="E4249" s="809">
        <v>160</v>
      </c>
      <c r="F4249" s="816">
        <v>30</v>
      </c>
      <c r="G4249" s="202" t="str">
        <f t="shared" si="65"/>
        <v/>
      </c>
    </row>
    <row r="4250" spans="1:7" s="172" customFormat="1" ht="15" customHeight="1" x14ac:dyDescent="0.25">
      <c r="A4250" s="806" t="s">
        <v>3166</v>
      </c>
      <c r="B4250" s="806" t="s">
        <v>2967</v>
      </c>
      <c r="C4250" s="818" t="s">
        <v>19297</v>
      </c>
      <c r="D4250" s="806" t="s">
        <v>3168</v>
      </c>
      <c r="E4250" s="809">
        <v>40</v>
      </c>
      <c r="F4250" s="816">
        <v>10</v>
      </c>
      <c r="G4250" s="202" t="str">
        <f t="shared" si="65"/>
        <v/>
      </c>
    </row>
    <row r="4251" spans="1:7" s="172" customFormat="1" ht="15" customHeight="1" x14ac:dyDescent="0.25">
      <c r="A4251" s="806" t="s">
        <v>3166</v>
      </c>
      <c r="B4251" s="806" t="s">
        <v>2967</v>
      </c>
      <c r="C4251" s="818" t="s">
        <v>19297</v>
      </c>
      <c r="D4251" s="806" t="s">
        <v>3169</v>
      </c>
      <c r="E4251" s="809">
        <v>400</v>
      </c>
      <c r="F4251" s="816">
        <v>200</v>
      </c>
      <c r="G4251" s="202" t="str">
        <f t="shared" ref="G4251:G4314" si="66">IF(E4251=F4251,"не загружен","")</f>
        <v/>
      </c>
    </row>
    <row r="4252" spans="1:7" s="172" customFormat="1" ht="15" customHeight="1" x14ac:dyDescent="0.25">
      <c r="A4252" s="806" t="s">
        <v>3166</v>
      </c>
      <c r="B4252" s="806" t="s">
        <v>2967</v>
      </c>
      <c r="C4252" s="818" t="s">
        <v>19297</v>
      </c>
      <c r="D4252" s="806" t="s">
        <v>3170</v>
      </c>
      <c r="E4252" s="809" t="s">
        <v>19094</v>
      </c>
      <c r="F4252" s="816">
        <v>70</v>
      </c>
      <c r="G4252" s="202" t="str">
        <f t="shared" si="66"/>
        <v/>
      </c>
    </row>
    <row r="4253" spans="1:7" s="172" customFormat="1" ht="15" customHeight="1" x14ac:dyDescent="0.25">
      <c r="A4253" s="806" t="s">
        <v>3171</v>
      </c>
      <c r="B4253" s="806" t="s">
        <v>2967</v>
      </c>
      <c r="C4253" s="818" t="s">
        <v>19297</v>
      </c>
      <c r="D4253" s="806" t="s">
        <v>3172</v>
      </c>
      <c r="E4253" s="809">
        <v>30</v>
      </c>
      <c r="F4253" s="816">
        <v>5</v>
      </c>
      <c r="G4253" s="202" t="str">
        <f t="shared" si="66"/>
        <v/>
      </c>
    </row>
    <row r="4254" spans="1:7" s="172" customFormat="1" ht="15" customHeight="1" x14ac:dyDescent="0.25">
      <c r="A4254" s="806" t="s">
        <v>15179</v>
      </c>
      <c r="B4254" s="806" t="s">
        <v>2967</v>
      </c>
      <c r="C4254" s="818" t="s">
        <v>19297</v>
      </c>
      <c r="D4254" s="806" t="s">
        <v>3173</v>
      </c>
      <c r="E4254" s="809">
        <v>160</v>
      </c>
      <c r="F4254" s="816">
        <v>45</v>
      </c>
      <c r="G4254" s="202" t="str">
        <f t="shared" si="66"/>
        <v/>
      </c>
    </row>
    <row r="4255" spans="1:7" s="172" customFormat="1" ht="15" customHeight="1" x14ac:dyDescent="0.25">
      <c r="A4255" s="806" t="s">
        <v>3166</v>
      </c>
      <c r="B4255" s="806" t="s">
        <v>2967</v>
      </c>
      <c r="C4255" s="818" t="s">
        <v>19297</v>
      </c>
      <c r="D4255" s="806" t="s">
        <v>3174</v>
      </c>
      <c r="E4255" s="809">
        <v>160</v>
      </c>
      <c r="F4255" s="816">
        <v>30</v>
      </c>
      <c r="G4255" s="202" t="str">
        <f t="shared" si="66"/>
        <v/>
      </c>
    </row>
    <row r="4256" spans="1:7" s="172" customFormat="1" ht="15" customHeight="1" x14ac:dyDescent="0.25">
      <c r="A4256" s="806" t="s">
        <v>15180</v>
      </c>
      <c r="B4256" s="806" t="s">
        <v>2967</v>
      </c>
      <c r="C4256" s="818" t="s">
        <v>19297</v>
      </c>
      <c r="D4256" s="806" t="s">
        <v>3175</v>
      </c>
      <c r="E4256" s="809">
        <v>30</v>
      </c>
      <c r="F4256" s="816">
        <v>10</v>
      </c>
      <c r="G4256" s="202" t="str">
        <f t="shared" si="66"/>
        <v/>
      </c>
    </row>
    <row r="4257" spans="1:7" s="172" customFormat="1" ht="15" customHeight="1" x14ac:dyDescent="0.25">
      <c r="A4257" s="806" t="s">
        <v>15181</v>
      </c>
      <c r="B4257" s="806" t="s">
        <v>2967</v>
      </c>
      <c r="C4257" s="818" t="s">
        <v>19297</v>
      </c>
      <c r="D4257" s="806" t="s">
        <v>3176</v>
      </c>
      <c r="E4257" s="809">
        <v>63</v>
      </c>
      <c r="F4257" s="816">
        <v>20</v>
      </c>
      <c r="G4257" s="202" t="str">
        <f t="shared" si="66"/>
        <v/>
      </c>
    </row>
    <row r="4258" spans="1:7" s="172" customFormat="1" ht="15" customHeight="1" x14ac:dyDescent="0.25">
      <c r="A4258" s="806" t="s">
        <v>15182</v>
      </c>
      <c r="B4258" s="806" t="s">
        <v>2967</v>
      </c>
      <c r="C4258" s="818" t="s">
        <v>19297</v>
      </c>
      <c r="D4258" s="806" t="s">
        <v>3177</v>
      </c>
      <c r="E4258" s="809">
        <v>20</v>
      </c>
      <c r="F4258" s="816">
        <v>5</v>
      </c>
      <c r="G4258" s="202" t="str">
        <f t="shared" si="66"/>
        <v/>
      </c>
    </row>
    <row r="4259" spans="1:7" s="172" customFormat="1" ht="15" customHeight="1" x14ac:dyDescent="0.25">
      <c r="A4259" s="806" t="s">
        <v>15183</v>
      </c>
      <c r="B4259" s="806" t="s">
        <v>2967</v>
      </c>
      <c r="C4259" s="818" t="s">
        <v>19297</v>
      </c>
      <c r="D4259" s="806" t="s">
        <v>3178</v>
      </c>
      <c r="E4259" s="809">
        <v>30</v>
      </c>
      <c r="F4259" s="816">
        <v>10</v>
      </c>
      <c r="G4259" s="202" t="str">
        <f t="shared" si="66"/>
        <v/>
      </c>
    </row>
    <row r="4260" spans="1:7" s="172" customFormat="1" ht="15" customHeight="1" x14ac:dyDescent="0.25">
      <c r="A4260" s="806" t="s">
        <v>15184</v>
      </c>
      <c r="B4260" s="806" t="s">
        <v>2967</v>
      </c>
      <c r="C4260" s="818" t="s">
        <v>19297</v>
      </c>
      <c r="D4260" s="806" t="s">
        <v>3179</v>
      </c>
      <c r="E4260" s="809">
        <v>100</v>
      </c>
      <c r="F4260" s="816">
        <v>35</v>
      </c>
      <c r="G4260" s="202" t="str">
        <f t="shared" si="66"/>
        <v/>
      </c>
    </row>
    <row r="4261" spans="1:7" s="172" customFormat="1" ht="15" customHeight="1" x14ac:dyDescent="0.25">
      <c r="A4261" s="806" t="s">
        <v>19862</v>
      </c>
      <c r="B4261" s="806" t="s">
        <v>2967</v>
      </c>
      <c r="C4261" s="818" t="s">
        <v>19297</v>
      </c>
      <c r="D4261" s="806" t="s">
        <v>19863</v>
      </c>
      <c r="E4261" s="809">
        <v>30</v>
      </c>
      <c r="F4261" s="816">
        <v>0</v>
      </c>
      <c r="G4261" s="202" t="str">
        <f t="shared" si="66"/>
        <v/>
      </c>
    </row>
    <row r="4262" spans="1:7" s="172" customFormat="1" ht="15" customHeight="1" x14ac:dyDescent="0.25">
      <c r="A4262" s="806" t="s">
        <v>3180</v>
      </c>
      <c r="B4262" s="806" t="s">
        <v>2967</v>
      </c>
      <c r="C4262" s="818" t="s">
        <v>19297</v>
      </c>
      <c r="D4262" s="806" t="s">
        <v>3181</v>
      </c>
      <c r="E4262" s="809">
        <v>160</v>
      </c>
      <c r="F4262" s="816">
        <v>40</v>
      </c>
      <c r="G4262" s="202" t="str">
        <f t="shared" si="66"/>
        <v/>
      </c>
    </row>
    <row r="4263" spans="1:7" s="172" customFormat="1" ht="15" customHeight="1" x14ac:dyDescent="0.25">
      <c r="A4263" s="806" t="s">
        <v>3182</v>
      </c>
      <c r="B4263" s="806" t="s">
        <v>2967</v>
      </c>
      <c r="C4263" s="818" t="s">
        <v>19297</v>
      </c>
      <c r="D4263" s="806" t="s">
        <v>3183</v>
      </c>
      <c r="E4263" s="809">
        <v>63</v>
      </c>
      <c r="F4263" s="816">
        <v>25</v>
      </c>
      <c r="G4263" s="202" t="str">
        <f t="shared" si="66"/>
        <v/>
      </c>
    </row>
    <row r="4264" spans="1:7" s="172" customFormat="1" ht="15" customHeight="1" x14ac:dyDescent="0.25">
      <c r="A4264" s="806" t="s">
        <v>15185</v>
      </c>
      <c r="B4264" s="806" t="s">
        <v>2967</v>
      </c>
      <c r="C4264" s="818" t="s">
        <v>19297</v>
      </c>
      <c r="D4264" s="806" t="s">
        <v>3184</v>
      </c>
      <c r="E4264" s="809">
        <v>63</v>
      </c>
      <c r="F4264" s="816">
        <v>20</v>
      </c>
      <c r="G4264" s="202" t="str">
        <f t="shared" si="66"/>
        <v/>
      </c>
    </row>
    <row r="4265" spans="1:7" s="172" customFormat="1" ht="15" customHeight="1" x14ac:dyDescent="0.25">
      <c r="A4265" s="806" t="s">
        <v>19864</v>
      </c>
      <c r="B4265" s="806" t="s">
        <v>2967</v>
      </c>
      <c r="C4265" s="818" t="s">
        <v>19297</v>
      </c>
      <c r="D4265" s="806" t="s">
        <v>19865</v>
      </c>
      <c r="E4265" s="809">
        <v>160</v>
      </c>
      <c r="F4265" s="816">
        <v>40</v>
      </c>
      <c r="G4265" s="202" t="str">
        <f t="shared" si="66"/>
        <v/>
      </c>
    </row>
    <row r="4266" spans="1:7" s="172" customFormat="1" ht="15" customHeight="1" x14ac:dyDescent="0.25">
      <c r="A4266" s="806" t="s">
        <v>19864</v>
      </c>
      <c r="B4266" s="806" t="s">
        <v>2967</v>
      </c>
      <c r="C4266" s="818" t="s">
        <v>19297</v>
      </c>
      <c r="D4266" s="806" t="s">
        <v>19866</v>
      </c>
      <c r="E4266" s="809">
        <v>160</v>
      </c>
      <c r="F4266" s="816">
        <v>50</v>
      </c>
      <c r="G4266" s="202" t="str">
        <f t="shared" si="66"/>
        <v/>
      </c>
    </row>
    <row r="4267" spans="1:7" s="172" customFormat="1" ht="15" customHeight="1" x14ac:dyDescent="0.25">
      <c r="A4267" s="806" t="s">
        <v>3166</v>
      </c>
      <c r="B4267" s="806" t="s">
        <v>2967</v>
      </c>
      <c r="C4267" s="818" t="s">
        <v>19297</v>
      </c>
      <c r="D4267" s="806" t="s">
        <v>3185</v>
      </c>
      <c r="E4267" s="809">
        <v>160</v>
      </c>
      <c r="F4267" s="816">
        <v>40</v>
      </c>
      <c r="G4267" s="202" t="str">
        <f t="shared" si="66"/>
        <v/>
      </c>
    </row>
    <row r="4268" spans="1:7" s="172" customFormat="1" ht="15" customHeight="1" x14ac:dyDescent="0.25">
      <c r="A4268" s="806" t="s">
        <v>3166</v>
      </c>
      <c r="B4268" s="806" t="s">
        <v>2967</v>
      </c>
      <c r="C4268" s="818" t="s">
        <v>19297</v>
      </c>
      <c r="D4268" s="806" t="s">
        <v>3186</v>
      </c>
      <c r="E4268" s="809">
        <v>160</v>
      </c>
      <c r="F4268" s="816">
        <v>35</v>
      </c>
      <c r="G4268" s="202" t="str">
        <f t="shared" si="66"/>
        <v/>
      </c>
    </row>
    <row r="4269" spans="1:7" s="172" customFormat="1" ht="15" customHeight="1" x14ac:dyDescent="0.25">
      <c r="A4269" s="806" t="s">
        <v>3166</v>
      </c>
      <c r="B4269" s="806" t="s">
        <v>2967</v>
      </c>
      <c r="C4269" s="818" t="s">
        <v>19297</v>
      </c>
      <c r="D4269" s="806" t="s">
        <v>3187</v>
      </c>
      <c r="E4269" s="809">
        <v>400</v>
      </c>
      <c r="F4269" s="816">
        <v>80</v>
      </c>
      <c r="G4269" s="202" t="str">
        <f t="shared" si="66"/>
        <v/>
      </c>
    </row>
    <row r="4270" spans="1:7" s="172" customFormat="1" ht="15" customHeight="1" x14ac:dyDescent="0.25">
      <c r="A4270" s="806" t="s">
        <v>3166</v>
      </c>
      <c r="B4270" s="806" t="s">
        <v>2967</v>
      </c>
      <c r="C4270" s="818" t="s">
        <v>19297</v>
      </c>
      <c r="D4270" s="806" t="s">
        <v>3188</v>
      </c>
      <c r="E4270" s="809">
        <v>250</v>
      </c>
      <c r="F4270" s="816">
        <v>40</v>
      </c>
      <c r="G4270" s="202" t="str">
        <f t="shared" si="66"/>
        <v/>
      </c>
    </row>
    <row r="4271" spans="1:7" s="172" customFormat="1" ht="15" customHeight="1" x14ac:dyDescent="0.25">
      <c r="A4271" s="806" t="s">
        <v>3166</v>
      </c>
      <c r="B4271" s="806" t="s">
        <v>2967</v>
      </c>
      <c r="C4271" s="818" t="s">
        <v>19297</v>
      </c>
      <c r="D4271" s="806" t="s">
        <v>3189</v>
      </c>
      <c r="E4271" s="809" t="s">
        <v>19038</v>
      </c>
      <c r="F4271" s="816">
        <v>65</v>
      </c>
      <c r="G4271" s="202" t="str">
        <f t="shared" si="66"/>
        <v/>
      </c>
    </row>
    <row r="4272" spans="1:7" s="172" customFormat="1" ht="15" customHeight="1" x14ac:dyDescent="0.25">
      <c r="A4272" s="806" t="s">
        <v>3166</v>
      </c>
      <c r="B4272" s="806" t="s">
        <v>2967</v>
      </c>
      <c r="C4272" s="818" t="s">
        <v>19297</v>
      </c>
      <c r="D4272" s="806" t="s">
        <v>3190</v>
      </c>
      <c r="E4272" s="809">
        <v>250</v>
      </c>
      <c r="F4272" s="816">
        <v>40</v>
      </c>
      <c r="G4272" s="202" t="str">
        <f t="shared" si="66"/>
        <v/>
      </c>
    </row>
    <row r="4273" spans="1:7" s="172" customFormat="1" ht="15" customHeight="1" x14ac:dyDescent="0.25">
      <c r="A4273" s="806" t="s">
        <v>3191</v>
      </c>
      <c r="B4273" s="806" t="s">
        <v>2967</v>
      </c>
      <c r="C4273" s="818" t="s">
        <v>19297</v>
      </c>
      <c r="D4273" s="806" t="s">
        <v>3192</v>
      </c>
      <c r="E4273" s="809">
        <v>100</v>
      </c>
      <c r="F4273" s="816">
        <v>30</v>
      </c>
      <c r="G4273" s="202" t="str">
        <f t="shared" si="66"/>
        <v/>
      </c>
    </row>
    <row r="4274" spans="1:7" s="172" customFormat="1" ht="15" customHeight="1" x14ac:dyDescent="0.25">
      <c r="A4274" s="820" t="s">
        <v>3193</v>
      </c>
      <c r="B4274" s="806" t="s">
        <v>2967</v>
      </c>
      <c r="C4274" s="818" t="s">
        <v>19297</v>
      </c>
      <c r="D4274" s="806" t="s">
        <v>3194</v>
      </c>
      <c r="E4274" s="809">
        <v>250</v>
      </c>
      <c r="F4274" s="816">
        <v>50</v>
      </c>
      <c r="G4274" s="202" t="str">
        <f t="shared" si="66"/>
        <v/>
      </c>
    </row>
    <row r="4275" spans="1:7" s="172" customFormat="1" ht="15" customHeight="1" x14ac:dyDescent="0.25">
      <c r="A4275" s="809" t="s">
        <v>3195</v>
      </c>
      <c r="B4275" s="806" t="s">
        <v>2967</v>
      </c>
      <c r="C4275" s="818" t="s">
        <v>19297</v>
      </c>
      <c r="D4275" s="806" t="s">
        <v>3196</v>
      </c>
      <c r="E4275" s="809">
        <v>30</v>
      </c>
      <c r="F4275" s="816">
        <v>5</v>
      </c>
      <c r="G4275" s="202" t="str">
        <f t="shared" si="66"/>
        <v/>
      </c>
    </row>
    <row r="4276" spans="1:7" s="172" customFormat="1" ht="15" customHeight="1" x14ac:dyDescent="0.25">
      <c r="A4276" s="809" t="s">
        <v>3197</v>
      </c>
      <c r="B4276" s="806" t="s">
        <v>2967</v>
      </c>
      <c r="C4276" s="818" t="s">
        <v>19297</v>
      </c>
      <c r="D4276" s="806" t="s">
        <v>3198</v>
      </c>
      <c r="E4276" s="809">
        <v>160</v>
      </c>
      <c r="F4276" s="816">
        <v>25</v>
      </c>
      <c r="G4276" s="202" t="str">
        <f t="shared" si="66"/>
        <v/>
      </c>
    </row>
    <row r="4277" spans="1:7" s="172" customFormat="1" ht="15" customHeight="1" x14ac:dyDescent="0.25">
      <c r="A4277" s="809" t="s">
        <v>15186</v>
      </c>
      <c r="B4277" s="806" t="s">
        <v>2967</v>
      </c>
      <c r="C4277" s="818" t="s">
        <v>19297</v>
      </c>
      <c r="D4277" s="806" t="s">
        <v>3199</v>
      </c>
      <c r="E4277" s="809">
        <v>30</v>
      </c>
      <c r="F4277" s="816">
        <v>10</v>
      </c>
      <c r="G4277" s="202" t="str">
        <f t="shared" si="66"/>
        <v/>
      </c>
    </row>
    <row r="4278" spans="1:7" s="172" customFormat="1" ht="15" customHeight="1" x14ac:dyDescent="0.25">
      <c r="A4278" s="809" t="s">
        <v>15187</v>
      </c>
      <c r="B4278" s="806" t="s">
        <v>2967</v>
      </c>
      <c r="C4278" s="818" t="s">
        <v>19297</v>
      </c>
      <c r="D4278" s="806" t="s">
        <v>3200</v>
      </c>
      <c r="E4278" s="809">
        <v>60</v>
      </c>
      <c r="F4278" s="816">
        <v>5</v>
      </c>
      <c r="G4278" s="202" t="str">
        <f t="shared" si="66"/>
        <v/>
      </c>
    </row>
    <row r="4279" spans="1:7" s="172" customFormat="1" ht="15" customHeight="1" x14ac:dyDescent="0.25">
      <c r="A4279" s="809" t="s">
        <v>15188</v>
      </c>
      <c r="B4279" s="806" t="s">
        <v>2967</v>
      </c>
      <c r="C4279" s="818" t="s">
        <v>19297</v>
      </c>
      <c r="D4279" s="806" t="s">
        <v>3201</v>
      </c>
      <c r="E4279" s="809">
        <v>100</v>
      </c>
      <c r="F4279" s="816">
        <v>25</v>
      </c>
      <c r="G4279" s="202" t="str">
        <f t="shared" si="66"/>
        <v/>
      </c>
    </row>
    <row r="4280" spans="1:7" s="172" customFormat="1" ht="15" customHeight="1" x14ac:dyDescent="0.25">
      <c r="A4280" s="806" t="s">
        <v>3202</v>
      </c>
      <c r="B4280" s="806" t="s">
        <v>2967</v>
      </c>
      <c r="C4280" s="818" t="s">
        <v>19297</v>
      </c>
      <c r="D4280" s="806" t="s">
        <v>3203</v>
      </c>
      <c r="E4280" s="809">
        <v>25</v>
      </c>
      <c r="F4280" s="816">
        <v>5</v>
      </c>
      <c r="G4280" s="202" t="str">
        <f t="shared" si="66"/>
        <v/>
      </c>
    </row>
    <row r="4281" spans="1:7" s="172" customFormat="1" ht="15" customHeight="1" x14ac:dyDescent="0.25">
      <c r="A4281" s="806" t="s">
        <v>3204</v>
      </c>
      <c r="B4281" s="806" t="s">
        <v>2967</v>
      </c>
      <c r="C4281" s="818" t="s">
        <v>19297</v>
      </c>
      <c r="D4281" s="806" t="s">
        <v>3205</v>
      </c>
      <c r="E4281" s="809">
        <v>30</v>
      </c>
      <c r="F4281" s="816">
        <v>5</v>
      </c>
      <c r="G4281" s="202" t="str">
        <f t="shared" si="66"/>
        <v/>
      </c>
    </row>
    <row r="4282" spans="1:7" s="172" customFormat="1" ht="15" customHeight="1" x14ac:dyDescent="0.25">
      <c r="A4282" s="806" t="s">
        <v>3206</v>
      </c>
      <c r="B4282" s="806" t="s">
        <v>2967</v>
      </c>
      <c r="C4282" s="818" t="s">
        <v>19297</v>
      </c>
      <c r="D4282" s="806" t="s">
        <v>3207</v>
      </c>
      <c r="E4282" s="809">
        <v>160</v>
      </c>
      <c r="F4282" s="816">
        <v>30</v>
      </c>
      <c r="G4282" s="202" t="str">
        <f t="shared" si="66"/>
        <v/>
      </c>
    </row>
    <row r="4283" spans="1:7" s="172" customFormat="1" ht="15" customHeight="1" x14ac:dyDescent="0.25">
      <c r="A4283" s="806" t="s">
        <v>3208</v>
      </c>
      <c r="B4283" s="806" t="s">
        <v>2967</v>
      </c>
      <c r="C4283" s="818" t="s">
        <v>19297</v>
      </c>
      <c r="D4283" s="806" t="s">
        <v>3209</v>
      </c>
      <c r="E4283" s="809">
        <v>250</v>
      </c>
      <c r="F4283" s="816">
        <v>50</v>
      </c>
      <c r="G4283" s="202" t="str">
        <f t="shared" si="66"/>
        <v/>
      </c>
    </row>
    <row r="4284" spans="1:7" s="172" customFormat="1" ht="15" customHeight="1" x14ac:dyDescent="0.25">
      <c r="A4284" s="806" t="s">
        <v>3210</v>
      </c>
      <c r="B4284" s="806" t="s">
        <v>2967</v>
      </c>
      <c r="C4284" s="818" t="s">
        <v>19297</v>
      </c>
      <c r="D4284" s="806" t="s">
        <v>3211</v>
      </c>
      <c r="E4284" s="809">
        <v>40</v>
      </c>
      <c r="F4284" s="816">
        <v>10</v>
      </c>
      <c r="G4284" s="202" t="str">
        <f t="shared" si="66"/>
        <v/>
      </c>
    </row>
    <row r="4285" spans="1:7" s="172" customFormat="1" ht="15" customHeight="1" x14ac:dyDescent="0.25">
      <c r="A4285" s="806" t="s">
        <v>3212</v>
      </c>
      <c r="B4285" s="806" t="s">
        <v>2967</v>
      </c>
      <c r="C4285" s="818" t="s">
        <v>19297</v>
      </c>
      <c r="D4285" s="806" t="s">
        <v>3213</v>
      </c>
      <c r="E4285" s="809">
        <v>100</v>
      </c>
      <c r="F4285" s="816">
        <v>20</v>
      </c>
      <c r="G4285" s="202" t="str">
        <f t="shared" si="66"/>
        <v/>
      </c>
    </row>
    <row r="4286" spans="1:7" s="172" customFormat="1" ht="15" customHeight="1" x14ac:dyDescent="0.25">
      <c r="A4286" s="806" t="s">
        <v>3212</v>
      </c>
      <c r="B4286" s="806" t="s">
        <v>2967</v>
      </c>
      <c r="C4286" s="818" t="s">
        <v>19297</v>
      </c>
      <c r="D4286" s="806" t="s">
        <v>18929</v>
      </c>
      <c r="E4286" s="809">
        <v>160</v>
      </c>
      <c r="F4286" s="816">
        <v>40</v>
      </c>
      <c r="G4286" s="202" t="str">
        <f t="shared" si="66"/>
        <v/>
      </c>
    </row>
    <row r="4287" spans="1:7" s="172" customFormat="1" ht="15" customHeight="1" x14ac:dyDescent="0.25">
      <c r="A4287" s="806" t="s">
        <v>3212</v>
      </c>
      <c r="B4287" s="806" t="s">
        <v>2967</v>
      </c>
      <c r="C4287" s="818" t="s">
        <v>19297</v>
      </c>
      <c r="D4287" s="806" t="s">
        <v>18930</v>
      </c>
      <c r="E4287" s="809">
        <v>25</v>
      </c>
      <c r="F4287" s="816">
        <v>5</v>
      </c>
      <c r="G4287" s="202" t="str">
        <f t="shared" si="66"/>
        <v/>
      </c>
    </row>
    <row r="4288" spans="1:7" s="172" customFormat="1" ht="15" customHeight="1" x14ac:dyDescent="0.25">
      <c r="A4288" s="806" t="s">
        <v>15189</v>
      </c>
      <c r="B4288" s="806" t="s">
        <v>2967</v>
      </c>
      <c r="C4288" s="818" t="s">
        <v>19297</v>
      </c>
      <c r="D4288" s="806" t="s">
        <v>3214</v>
      </c>
      <c r="E4288" s="809">
        <v>60</v>
      </c>
      <c r="F4288" s="816">
        <v>5</v>
      </c>
      <c r="G4288" s="202" t="str">
        <f t="shared" si="66"/>
        <v/>
      </c>
    </row>
    <row r="4289" spans="1:7" s="172" customFormat="1" ht="15" customHeight="1" x14ac:dyDescent="0.25">
      <c r="A4289" s="806" t="s">
        <v>3215</v>
      </c>
      <c r="B4289" s="806" t="s">
        <v>2967</v>
      </c>
      <c r="C4289" s="818" t="s">
        <v>19297</v>
      </c>
      <c r="D4289" s="806" t="s">
        <v>3216</v>
      </c>
      <c r="E4289" s="809">
        <v>100</v>
      </c>
      <c r="F4289" s="816">
        <v>20</v>
      </c>
      <c r="G4289" s="202" t="str">
        <f t="shared" si="66"/>
        <v/>
      </c>
    </row>
    <row r="4290" spans="1:7" s="172" customFormat="1" ht="15" customHeight="1" x14ac:dyDescent="0.25">
      <c r="A4290" s="806" t="s">
        <v>15190</v>
      </c>
      <c r="B4290" s="806" t="s">
        <v>2967</v>
      </c>
      <c r="C4290" s="818" t="s">
        <v>19297</v>
      </c>
      <c r="D4290" s="806" t="s">
        <v>3217</v>
      </c>
      <c r="E4290" s="809">
        <v>160</v>
      </c>
      <c r="F4290" s="816">
        <v>40</v>
      </c>
      <c r="G4290" s="202" t="str">
        <f t="shared" si="66"/>
        <v/>
      </c>
    </row>
    <row r="4291" spans="1:7" s="172" customFormat="1" ht="15" customHeight="1" x14ac:dyDescent="0.25">
      <c r="A4291" s="806" t="s">
        <v>15191</v>
      </c>
      <c r="B4291" s="806" t="s">
        <v>2967</v>
      </c>
      <c r="C4291" s="818" t="s">
        <v>19297</v>
      </c>
      <c r="D4291" s="846" t="s">
        <v>18931</v>
      </c>
      <c r="E4291" s="809">
        <v>60</v>
      </c>
      <c r="F4291" s="816">
        <v>25</v>
      </c>
      <c r="G4291" s="202" t="str">
        <f t="shared" si="66"/>
        <v/>
      </c>
    </row>
    <row r="4292" spans="1:7" s="172" customFormat="1" ht="15" customHeight="1" x14ac:dyDescent="0.25">
      <c r="A4292" s="806" t="s">
        <v>15192</v>
      </c>
      <c r="B4292" s="806" t="s">
        <v>2967</v>
      </c>
      <c r="C4292" s="818" t="s">
        <v>19297</v>
      </c>
      <c r="D4292" s="806" t="s">
        <v>3218</v>
      </c>
      <c r="E4292" s="809">
        <v>63</v>
      </c>
      <c r="F4292" s="816">
        <v>20</v>
      </c>
      <c r="G4292" s="202" t="str">
        <f t="shared" si="66"/>
        <v/>
      </c>
    </row>
    <row r="4293" spans="1:7" s="172" customFormat="1" ht="15" customHeight="1" x14ac:dyDescent="0.25">
      <c r="A4293" s="806" t="s">
        <v>2899</v>
      </c>
      <c r="B4293" s="806" t="s">
        <v>2967</v>
      </c>
      <c r="C4293" s="818" t="s">
        <v>19297</v>
      </c>
      <c r="D4293" s="806" t="s">
        <v>3219</v>
      </c>
      <c r="E4293" s="809">
        <v>60</v>
      </c>
      <c r="F4293" s="816">
        <v>5</v>
      </c>
      <c r="G4293" s="202" t="str">
        <f t="shared" si="66"/>
        <v/>
      </c>
    </row>
    <row r="4294" spans="1:7" s="172" customFormat="1" ht="15" customHeight="1" x14ac:dyDescent="0.25">
      <c r="A4294" s="806" t="s">
        <v>3220</v>
      </c>
      <c r="B4294" s="806" t="s">
        <v>2967</v>
      </c>
      <c r="C4294" s="818" t="s">
        <v>19297</v>
      </c>
      <c r="D4294" s="806" t="s">
        <v>3221</v>
      </c>
      <c r="E4294" s="809">
        <v>160</v>
      </c>
      <c r="F4294" s="816">
        <v>20</v>
      </c>
      <c r="G4294" s="202" t="str">
        <f t="shared" si="66"/>
        <v/>
      </c>
    </row>
    <row r="4295" spans="1:7" s="172" customFormat="1" ht="15" customHeight="1" x14ac:dyDescent="0.25">
      <c r="A4295" s="806" t="s">
        <v>15193</v>
      </c>
      <c r="B4295" s="806" t="s">
        <v>2967</v>
      </c>
      <c r="C4295" s="818" t="s">
        <v>19297</v>
      </c>
      <c r="D4295" s="806" t="s">
        <v>3222</v>
      </c>
      <c r="E4295" s="809">
        <v>250</v>
      </c>
      <c r="F4295" s="816">
        <v>5</v>
      </c>
      <c r="G4295" s="202" t="str">
        <f t="shared" si="66"/>
        <v/>
      </c>
    </row>
    <row r="4296" spans="1:7" s="172" customFormat="1" ht="15" customHeight="1" x14ac:dyDescent="0.25">
      <c r="A4296" s="806" t="s">
        <v>15194</v>
      </c>
      <c r="B4296" s="806" t="s">
        <v>2967</v>
      </c>
      <c r="C4296" s="818" t="s">
        <v>19297</v>
      </c>
      <c r="D4296" s="806" t="s">
        <v>3223</v>
      </c>
      <c r="E4296" s="809">
        <v>100</v>
      </c>
      <c r="F4296" s="816">
        <v>20</v>
      </c>
      <c r="G4296" s="202" t="str">
        <f t="shared" si="66"/>
        <v/>
      </c>
    </row>
    <row r="4297" spans="1:7" s="172" customFormat="1" ht="15" customHeight="1" x14ac:dyDescent="0.25">
      <c r="A4297" s="806" t="s">
        <v>15195</v>
      </c>
      <c r="B4297" s="806" t="s">
        <v>2967</v>
      </c>
      <c r="C4297" s="818" t="s">
        <v>19297</v>
      </c>
      <c r="D4297" s="806" t="s">
        <v>3224</v>
      </c>
      <c r="E4297" s="809">
        <v>250</v>
      </c>
      <c r="F4297" s="816">
        <v>30</v>
      </c>
      <c r="G4297" s="202" t="str">
        <f t="shared" si="66"/>
        <v/>
      </c>
    </row>
    <row r="4298" spans="1:7" s="172" customFormat="1" ht="15" customHeight="1" x14ac:dyDescent="0.25">
      <c r="A4298" s="806" t="s">
        <v>3220</v>
      </c>
      <c r="B4298" s="806" t="s">
        <v>2967</v>
      </c>
      <c r="C4298" s="818" t="s">
        <v>19297</v>
      </c>
      <c r="D4298" s="806" t="s">
        <v>19867</v>
      </c>
      <c r="E4298" s="809">
        <v>63</v>
      </c>
      <c r="F4298" s="816">
        <v>15</v>
      </c>
      <c r="G4298" s="202" t="str">
        <f t="shared" si="66"/>
        <v/>
      </c>
    </row>
    <row r="4299" spans="1:7" s="172" customFormat="1" ht="15" customHeight="1" x14ac:dyDescent="0.25">
      <c r="A4299" s="806" t="s">
        <v>3220</v>
      </c>
      <c r="B4299" s="806" t="s">
        <v>2967</v>
      </c>
      <c r="C4299" s="818" t="s">
        <v>19297</v>
      </c>
      <c r="D4299" s="806" t="s">
        <v>19868</v>
      </c>
      <c r="E4299" s="809">
        <v>63</v>
      </c>
      <c r="F4299" s="816">
        <v>40</v>
      </c>
      <c r="G4299" s="202" t="str">
        <f t="shared" si="66"/>
        <v/>
      </c>
    </row>
    <row r="4300" spans="1:7" s="172" customFormat="1" ht="15" customHeight="1" x14ac:dyDescent="0.25">
      <c r="A4300" s="806" t="s">
        <v>15196</v>
      </c>
      <c r="B4300" s="806" t="s">
        <v>2967</v>
      </c>
      <c r="C4300" s="818" t="s">
        <v>19297</v>
      </c>
      <c r="D4300" s="806" t="s">
        <v>3225</v>
      </c>
      <c r="E4300" s="809">
        <v>180</v>
      </c>
      <c r="F4300" s="816">
        <v>45</v>
      </c>
      <c r="G4300" s="202" t="str">
        <f t="shared" si="66"/>
        <v/>
      </c>
    </row>
    <row r="4301" spans="1:7" s="172" customFormat="1" ht="15" customHeight="1" x14ac:dyDescent="0.25">
      <c r="A4301" s="806" t="s">
        <v>15197</v>
      </c>
      <c r="B4301" s="806" t="s">
        <v>2967</v>
      </c>
      <c r="C4301" s="818" t="s">
        <v>19297</v>
      </c>
      <c r="D4301" s="806" t="s">
        <v>3226</v>
      </c>
      <c r="E4301" s="809">
        <v>250</v>
      </c>
      <c r="F4301" s="816">
        <v>50</v>
      </c>
      <c r="G4301" s="202" t="str">
        <f t="shared" si="66"/>
        <v/>
      </c>
    </row>
    <row r="4302" spans="1:7" s="172" customFormat="1" ht="15" customHeight="1" x14ac:dyDescent="0.25">
      <c r="A4302" s="806" t="s">
        <v>3227</v>
      </c>
      <c r="B4302" s="806" t="s">
        <v>2967</v>
      </c>
      <c r="C4302" s="818" t="s">
        <v>19297</v>
      </c>
      <c r="D4302" s="806" t="s">
        <v>3228</v>
      </c>
      <c r="E4302" s="809">
        <v>250</v>
      </c>
      <c r="F4302" s="816">
        <v>60</v>
      </c>
      <c r="G4302" s="202" t="str">
        <f t="shared" si="66"/>
        <v/>
      </c>
    </row>
    <row r="4303" spans="1:7" s="172" customFormat="1" ht="15" customHeight="1" x14ac:dyDescent="0.25">
      <c r="A4303" s="806" t="s">
        <v>3227</v>
      </c>
      <c r="B4303" s="806" t="s">
        <v>2967</v>
      </c>
      <c r="C4303" s="818" t="s">
        <v>19297</v>
      </c>
      <c r="D4303" s="806" t="s">
        <v>3229</v>
      </c>
      <c r="E4303" s="809">
        <v>63</v>
      </c>
      <c r="F4303" s="816">
        <v>15</v>
      </c>
      <c r="G4303" s="202" t="str">
        <f t="shared" si="66"/>
        <v/>
      </c>
    </row>
    <row r="4304" spans="1:7" s="172" customFormat="1" ht="15" customHeight="1" x14ac:dyDescent="0.25">
      <c r="A4304" s="806" t="s">
        <v>3227</v>
      </c>
      <c r="B4304" s="806" t="s">
        <v>2967</v>
      </c>
      <c r="C4304" s="818" t="s">
        <v>19297</v>
      </c>
      <c r="D4304" s="806" t="s">
        <v>3230</v>
      </c>
      <c r="E4304" s="809">
        <v>250</v>
      </c>
      <c r="F4304" s="816">
        <v>30</v>
      </c>
      <c r="G4304" s="202" t="str">
        <f t="shared" si="66"/>
        <v/>
      </c>
    </row>
    <row r="4305" spans="1:7" s="172" customFormat="1" ht="15" customHeight="1" x14ac:dyDescent="0.25">
      <c r="A4305" s="806" t="s">
        <v>3231</v>
      </c>
      <c r="B4305" s="806" t="s">
        <v>2967</v>
      </c>
      <c r="C4305" s="818" t="s">
        <v>19297</v>
      </c>
      <c r="D4305" s="806" t="s">
        <v>3232</v>
      </c>
      <c r="E4305" s="809">
        <v>250</v>
      </c>
      <c r="F4305" s="816">
        <v>30</v>
      </c>
      <c r="G4305" s="202" t="str">
        <f t="shared" si="66"/>
        <v/>
      </c>
    </row>
    <row r="4306" spans="1:7" s="172" customFormat="1" ht="15" customHeight="1" x14ac:dyDescent="0.25">
      <c r="A4306" s="806" t="s">
        <v>15198</v>
      </c>
      <c r="B4306" s="806" t="s">
        <v>2967</v>
      </c>
      <c r="C4306" s="818" t="s">
        <v>19297</v>
      </c>
      <c r="D4306" s="806" t="s">
        <v>3233</v>
      </c>
      <c r="E4306" s="809">
        <v>100</v>
      </c>
      <c r="F4306" s="816">
        <v>50</v>
      </c>
      <c r="G4306" s="202" t="str">
        <f t="shared" si="66"/>
        <v/>
      </c>
    </row>
    <row r="4307" spans="1:7" s="172" customFormat="1" ht="15" customHeight="1" x14ac:dyDescent="0.25">
      <c r="A4307" s="806" t="s">
        <v>3166</v>
      </c>
      <c r="B4307" s="806" t="s">
        <v>2967</v>
      </c>
      <c r="C4307" s="818" t="s">
        <v>19297</v>
      </c>
      <c r="D4307" s="806" t="s">
        <v>3234</v>
      </c>
      <c r="E4307" s="809">
        <v>250</v>
      </c>
      <c r="F4307" s="816">
        <v>30</v>
      </c>
      <c r="G4307" s="202" t="str">
        <f t="shared" si="66"/>
        <v/>
      </c>
    </row>
    <row r="4308" spans="1:7" s="172" customFormat="1" ht="15" customHeight="1" x14ac:dyDescent="0.25">
      <c r="A4308" s="806" t="s">
        <v>3166</v>
      </c>
      <c r="B4308" s="806" t="s">
        <v>2967</v>
      </c>
      <c r="C4308" s="818" t="s">
        <v>19297</v>
      </c>
      <c r="D4308" s="806" t="s">
        <v>3235</v>
      </c>
      <c r="E4308" s="809">
        <v>250</v>
      </c>
      <c r="F4308" s="816">
        <v>45</v>
      </c>
      <c r="G4308" s="202" t="str">
        <f t="shared" si="66"/>
        <v/>
      </c>
    </row>
    <row r="4309" spans="1:7" s="172" customFormat="1" ht="15" customHeight="1" x14ac:dyDescent="0.25">
      <c r="A4309" s="806" t="s">
        <v>3047</v>
      </c>
      <c r="B4309" s="806" t="s">
        <v>2967</v>
      </c>
      <c r="C4309" s="818" t="s">
        <v>19297</v>
      </c>
      <c r="D4309" s="806" t="s">
        <v>3236</v>
      </c>
      <c r="E4309" s="809" t="s">
        <v>19095</v>
      </c>
      <c r="F4309" s="816">
        <v>200</v>
      </c>
      <c r="G4309" s="202" t="str">
        <f t="shared" si="66"/>
        <v/>
      </c>
    </row>
    <row r="4310" spans="1:7" s="172" customFormat="1" ht="15" customHeight="1" x14ac:dyDescent="0.25">
      <c r="A4310" s="806" t="s">
        <v>3047</v>
      </c>
      <c r="B4310" s="806" t="s">
        <v>2967</v>
      </c>
      <c r="C4310" s="818" t="s">
        <v>19297</v>
      </c>
      <c r="D4310" s="806" t="s">
        <v>3237</v>
      </c>
      <c r="E4310" s="809">
        <v>160</v>
      </c>
      <c r="F4310" s="816">
        <v>25</v>
      </c>
      <c r="G4310" s="202" t="str">
        <f t="shared" si="66"/>
        <v/>
      </c>
    </row>
    <row r="4311" spans="1:7" s="172" customFormat="1" ht="15" customHeight="1" x14ac:dyDescent="0.25">
      <c r="A4311" s="806" t="s">
        <v>3047</v>
      </c>
      <c r="B4311" s="806" t="s">
        <v>2967</v>
      </c>
      <c r="C4311" s="818" t="s">
        <v>19297</v>
      </c>
      <c r="D4311" s="806" t="s">
        <v>3238</v>
      </c>
      <c r="E4311" s="809" t="s">
        <v>19095</v>
      </c>
      <c r="F4311" s="816">
        <v>250</v>
      </c>
      <c r="G4311" s="202" t="str">
        <f t="shared" si="66"/>
        <v/>
      </c>
    </row>
    <row r="4312" spans="1:7" s="172" customFormat="1" ht="15" customHeight="1" x14ac:dyDescent="0.25">
      <c r="A4312" s="806" t="s">
        <v>3078</v>
      </c>
      <c r="B4312" s="806" t="s">
        <v>2967</v>
      </c>
      <c r="C4312" s="818" t="s">
        <v>19297</v>
      </c>
      <c r="D4312" s="806" t="s">
        <v>19096</v>
      </c>
      <c r="E4312" s="809">
        <v>63</v>
      </c>
      <c r="F4312" s="816">
        <v>15</v>
      </c>
      <c r="G4312" s="202" t="str">
        <f t="shared" si="66"/>
        <v/>
      </c>
    </row>
    <row r="4313" spans="1:7" s="172" customFormat="1" ht="15" customHeight="1" x14ac:dyDescent="0.25">
      <c r="A4313" s="806" t="s">
        <v>15199</v>
      </c>
      <c r="B4313" s="806" t="s">
        <v>2967</v>
      </c>
      <c r="C4313" s="818" t="s">
        <v>19297</v>
      </c>
      <c r="D4313" s="806" t="s">
        <v>3239</v>
      </c>
      <c r="E4313" s="809">
        <v>63</v>
      </c>
      <c r="F4313" s="816">
        <v>20</v>
      </c>
      <c r="G4313" s="202" t="str">
        <f t="shared" si="66"/>
        <v/>
      </c>
    </row>
    <row r="4314" spans="1:7" s="172" customFormat="1" ht="15" customHeight="1" x14ac:dyDescent="0.25">
      <c r="A4314" s="806" t="s">
        <v>15199</v>
      </c>
      <c r="B4314" s="806" t="s">
        <v>2967</v>
      </c>
      <c r="C4314" s="818" t="s">
        <v>19297</v>
      </c>
      <c r="D4314" s="806" t="s">
        <v>19097</v>
      </c>
      <c r="E4314" s="809">
        <v>400</v>
      </c>
      <c r="F4314" s="816">
        <v>100</v>
      </c>
      <c r="G4314" s="202" t="str">
        <f t="shared" si="66"/>
        <v/>
      </c>
    </row>
    <row r="4315" spans="1:7" s="172" customFormat="1" ht="15" customHeight="1" x14ac:dyDescent="0.25">
      <c r="A4315" s="806" t="s">
        <v>15200</v>
      </c>
      <c r="B4315" s="806" t="s">
        <v>2967</v>
      </c>
      <c r="C4315" s="818" t="s">
        <v>19297</v>
      </c>
      <c r="D4315" s="806" t="s">
        <v>19098</v>
      </c>
      <c r="E4315" s="809" t="s">
        <v>19038</v>
      </c>
      <c r="F4315" s="816">
        <v>100</v>
      </c>
      <c r="G4315" s="202" t="str">
        <f t="shared" ref="G4315:G4379" si="67">IF(E4315=F4315,"не загружен","")</f>
        <v/>
      </c>
    </row>
    <row r="4316" spans="1:7" s="172" customFormat="1" ht="15" customHeight="1" x14ac:dyDescent="0.25">
      <c r="A4316" s="809" t="s">
        <v>15201</v>
      </c>
      <c r="B4316" s="806" t="s">
        <v>2967</v>
      </c>
      <c r="C4316" s="818" t="s">
        <v>19297</v>
      </c>
      <c r="D4316" s="806" t="s">
        <v>19099</v>
      </c>
      <c r="E4316" s="809">
        <v>160</v>
      </c>
      <c r="F4316" s="816">
        <v>5</v>
      </c>
      <c r="G4316" s="202" t="str">
        <f t="shared" si="67"/>
        <v/>
      </c>
    </row>
    <row r="4317" spans="1:7" s="172" customFormat="1" ht="15" customHeight="1" x14ac:dyDescent="0.25">
      <c r="A4317" s="809" t="s">
        <v>15202</v>
      </c>
      <c r="B4317" s="806" t="s">
        <v>2967</v>
      </c>
      <c r="C4317" s="818" t="s">
        <v>19297</v>
      </c>
      <c r="D4317" s="806" t="s">
        <v>19100</v>
      </c>
      <c r="E4317" s="809">
        <v>160</v>
      </c>
      <c r="F4317" s="816">
        <v>10</v>
      </c>
      <c r="G4317" s="202" t="str">
        <f t="shared" si="67"/>
        <v/>
      </c>
    </row>
    <row r="4318" spans="1:7" s="172" customFormat="1" ht="15" customHeight="1" x14ac:dyDescent="0.25">
      <c r="A4318" s="809" t="s">
        <v>18932</v>
      </c>
      <c r="B4318" s="806" t="s">
        <v>2967</v>
      </c>
      <c r="C4318" s="818" t="s">
        <v>19297</v>
      </c>
      <c r="D4318" s="806" t="s">
        <v>19101</v>
      </c>
      <c r="E4318" s="809">
        <v>630</v>
      </c>
      <c r="F4318" s="816">
        <v>50</v>
      </c>
      <c r="G4318" s="202" t="str">
        <f t="shared" si="67"/>
        <v/>
      </c>
    </row>
    <row r="4319" spans="1:7" s="172" customFormat="1" ht="15" customHeight="1" x14ac:dyDescent="0.25">
      <c r="A4319" s="809" t="s">
        <v>18932</v>
      </c>
      <c r="B4319" s="806" t="s">
        <v>2967</v>
      </c>
      <c r="C4319" s="818" t="s">
        <v>19297</v>
      </c>
      <c r="D4319" s="806" t="s">
        <v>19102</v>
      </c>
      <c r="E4319" s="809">
        <v>630</v>
      </c>
      <c r="F4319" s="816">
        <v>40</v>
      </c>
      <c r="G4319" s="202" t="str">
        <f t="shared" si="67"/>
        <v/>
      </c>
    </row>
    <row r="4320" spans="1:7" s="172" customFormat="1" ht="15" customHeight="1" x14ac:dyDescent="0.25">
      <c r="A4320" s="809" t="s">
        <v>15203</v>
      </c>
      <c r="B4320" s="806" t="s">
        <v>2967</v>
      </c>
      <c r="C4320" s="818" t="s">
        <v>19297</v>
      </c>
      <c r="D4320" s="806" t="s">
        <v>19103</v>
      </c>
      <c r="E4320" s="809">
        <v>100</v>
      </c>
      <c r="F4320" s="816">
        <v>10</v>
      </c>
      <c r="G4320" s="202" t="str">
        <f t="shared" si="67"/>
        <v/>
      </c>
    </row>
    <row r="4321" spans="1:7" s="172" customFormat="1" ht="15" customHeight="1" x14ac:dyDescent="0.25">
      <c r="A4321" s="809" t="s">
        <v>3240</v>
      </c>
      <c r="B4321" s="806" t="s">
        <v>2967</v>
      </c>
      <c r="C4321" s="818" t="s">
        <v>19297</v>
      </c>
      <c r="D4321" s="806" t="s">
        <v>19104</v>
      </c>
      <c r="E4321" s="809">
        <v>400</v>
      </c>
      <c r="F4321" s="816">
        <v>25</v>
      </c>
      <c r="G4321" s="202" t="str">
        <f t="shared" si="67"/>
        <v/>
      </c>
    </row>
    <row r="4322" spans="1:7" s="172" customFormat="1" ht="15" customHeight="1" x14ac:dyDescent="0.25">
      <c r="A4322" s="820" t="s">
        <v>3241</v>
      </c>
      <c r="B4322" s="806" t="s">
        <v>2967</v>
      </c>
      <c r="C4322" s="818" t="s">
        <v>19297</v>
      </c>
      <c r="D4322" s="806" t="s">
        <v>19105</v>
      </c>
      <c r="E4322" s="809">
        <v>160</v>
      </c>
      <c r="F4322" s="816">
        <v>25</v>
      </c>
      <c r="G4322" s="202" t="str">
        <f t="shared" si="67"/>
        <v/>
      </c>
    </row>
    <row r="4323" spans="1:7" s="172" customFormat="1" ht="15" customHeight="1" x14ac:dyDescent="0.25">
      <c r="A4323" s="820" t="s">
        <v>3241</v>
      </c>
      <c r="B4323" s="806" t="s">
        <v>2967</v>
      </c>
      <c r="C4323" s="818" t="s">
        <v>19297</v>
      </c>
      <c r="D4323" s="806" t="s">
        <v>19106</v>
      </c>
      <c r="E4323" s="809">
        <v>160</v>
      </c>
      <c r="F4323" s="816">
        <v>10</v>
      </c>
      <c r="G4323" s="202" t="str">
        <f t="shared" si="67"/>
        <v/>
      </c>
    </row>
    <row r="4324" spans="1:7" s="172" customFormat="1" ht="15" customHeight="1" x14ac:dyDescent="0.25">
      <c r="A4324" s="820" t="s">
        <v>3241</v>
      </c>
      <c r="B4324" s="806" t="s">
        <v>2967</v>
      </c>
      <c r="C4324" s="818" t="s">
        <v>19297</v>
      </c>
      <c r="D4324" s="806" t="s">
        <v>20194</v>
      </c>
      <c r="E4324" s="809">
        <v>63</v>
      </c>
      <c r="F4324" s="816">
        <v>10</v>
      </c>
      <c r="G4324" s="202" t="str">
        <f t="shared" si="67"/>
        <v/>
      </c>
    </row>
    <row r="4325" spans="1:7" s="172" customFormat="1" ht="15" customHeight="1" x14ac:dyDescent="0.25">
      <c r="A4325" s="820" t="s">
        <v>3242</v>
      </c>
      <c r="B4325" s="806" t="s">
        <v>2967</v>
      </c>
      <c r="C4325" s="818" t="s">
        <v>19297</v>
      </c>
      <c r="D4325" s="806" t="s">
        <v>19107</v>
      </c>
      <c r="E4325" s="809">
        <v>250</v>
      </c>
      <c r="F4325" s="816">
        <v>5</v>
      </c>
      <c r="G4325" s="202" t="str">
        <f t="shared" si="67"/>
        <v/>
      </c>
    </row>
    <row r="4326" spans="1:7" s="172" customFormat="1" ht="15" customHeight="1" x14ac:dyDescent="0.25">
      <c r="A4326" s="806" t="s">
        <v>15204</v>
      </c>
      <c r="B4326" s="806" t="s">
        <v>2967</v>
      </c>
      <c r="C4326" s="818" t="s">
        <v>19297</v>
      </c>
      <c r="D4326" s="806" t="s">
        <v>19108</v>
      </c>
      <c r="E4326" s="809">
        <v>160</v>
      </c>
      <c r="F4326" s="816">
        <v>20</v>
      </c>
      <c r="G4326" s="202" t="str">
        <f t="shared" si="67"/>
        <v/>
      </c>
    </row>
    <row r="4327" spans="1:7" s="172" customFormat="1" ht="15" customHeight="1" x14ac:dyDescent="0.25">
      <c r="A4327" s="806" t="s">
        <v>15205</v>
      </c>
      <c r="B4327" s="806" t="s">
        <v>2967</v>
      </c>
      <c r="C4327" s="818" t="s">
        <v>19297</v>
      </c>
      <c r="D4327" s="806" t="s">
        <v>19109</v>
      </c>
      <c r="E4327" s="809">
        <v>250</v>
      </c>
      <c r="F4327" s="816">
        <v>10</v>
      </c>
      <c r="G4327" s="202" t="str">
        <f t="shared" si="67"/>
        <v/>
      </c>
    </row>
    <row r="4328" spans="1:7" s="172" customFormat="1" ht="15" customHeight="1" x14ac:dyDescent="0.25">
      <c r="A4328" s="806" t="s">
        <v>2664</v>
      </c>
      <c r="B4328" s="806" t="s">
        <v>2967</v>
      </c>
      <c r="C4328" s="818" t="s">
        <v>19297</v>
      </c>
      <c r="D4328" s="806" t="s">
        <v>19110</v>
      </c>
      <c r="E4328" s="809">
        <v>100</v>
      </c>
      <c r="F4328" s="816">
        <v>10</v>
      </c>
      <c r="G4328" s="202" t="str">
        <f t="shared" si="67"/>
        <v/>
      </c>
    </row>
    <row r="4329" spans="1:7" s="172" customFormat="1" ht="15" customHeight="1" x14ac:dyDescent="0.25">
      <c r="A4329" s="806" t="s">
        <v>2664</v>
      </c>
      <c r="B4329" s="806" t="s">
        <v>2967</v>
      </c>
      <c r="C4329" s="818" t="s">
        <v>19297</v>
      </c>
      <c r="D4329" s="806" t="s">
        <v>19111</v>
      </c>
      <c r="E4329" s="809">
        <v>63</v>
      </c>
      <c r="F4329" s="816">
        <v>5</v>
      </c>
      <c r="G4329" s="202" t="str">
        <f t="shared" si="67"/>
        <v/>
      </c>
    </row>
    <row r="4330" spans="1:7" s="172" customFormat="1" ht="15" customHeight="1" x14ac:dyDescent="0.25">
      <c r="A4330" s="806" t="s">
        <v>3243</v>
      </c>
      <c r="B4330" s="806" t="s">
        <v>2967</v>
      </c>
      <c r="C4330" s="818" t="s">
        <v>19297</v>
      </c>
      <c r="D4330" s="806" t="s">
        <v>19112</v>
      </c>
      <c r="E4330" s="809">
        <v>160</v>
      </c>
      <c r="F4330" s="816">
        <v>30</v>
      </c>
      <c r="G4330" s="202" t="str">
        <f t="shared" si="67"/>
        <v/>
      </c>
    </row>
    <row r="4331" spans="1:7" s="172" customFormat="1" ht="15" customHeight="1" x14ac:dyDescent="0.25">
      <c r="A4331" s="806" t="s">
        <v>3243</v>
      </c>
      <c r="B4331" s="806" t="s">
        <v>2967</v>
      </c>
      <c r="C4331" s="818" t="s">
        <v>19297</v>
      </c>
      <c r="D4331" s="806" t="s">
        <v>19113</v>
      </c>
      <c r="E4331" s="809">
        <v>160</v>
      </c>
      <c r="F4331" s="816">
        <v>50</v>
      </c>
      <c r="G4331" s="202" t="str">
        <f t="shared" si="67"/>
        <v/>
      </c>
    </row>
    <row r="4332" spans="1:7" s="172" customFormat="1" ht="15" customHeight="1" x14ac:dyDescent="0.25">
      <c r="A4332" s="806" t="s">
        <v>3244</v>
      </c>
      <c r="B4332" s="806" t="s">
        <v>2967</v>
      </c>
      <c r="C4332" s="818" t="s">
        <v>19297</v>
      </c>
      <c r="D4332" s="806" t="s">
        <v>19114</v>
      </c>
      <c r="E4332" s="809">
        <v>160</v>
      </c>
      <c r="F4332" s="816">
        <v>5</v>
      </c>
      <c r="G4332" s="202" t="str">
        <f t="shared" si="67"/>
        <v/>
      </c>
    </row>
    <row r="4333" spans="1:7" s="172" customFormat="1" ht="15" customHeight="1" x14ac:dyDescent="0.25">
      <c r="A4333" s="806" t="s">
        <v>3245</v>
      </c>
      <c r="B4333" s="806" t="s">
        <v>2967</v>
      </c>
      <c r="C4333" s="818" t="s">
        <v>19297</v>
      </c>
      <c r="D4333" s="806" t="s">
        <v>19115</v>
      </c>
      <c r="E4333" s="809">
        <v>160</v>
      </c>
      <c r="F4333" s="816">
        <v>40</v>
      </c>
      <c r="G4333" s="202" t="str">
        <f t="shared" si="67"/>
        <v/>
      </c>
    </row>
    <row r="4334" spans="1:7" s="172" customFormat="1" ht="15" customHeight="1" x14ac:dyDescent="0.25">
      <c r="A4334" s="806" t="s">
        <v>15206</v>
      </c>
      <c r="B4334" s="806" t="s">
        <v>2967</v>
      </c>
      <c r="C4334" s="818" t="s">
        <v>19297</v>
      </c>
      <c r="D4334" s="806" t="s">
        <v>19116</v>
      </c>
      <c r="E4334" s="809">
        <v>63</v>
      </c>
      <c r="F4334" s="816">
        <v>10</v>
      </c>
      <c r="G4334" s="202" t="str">
        <f t="shared" si="67"/>
        <v/>
      </c>
    </row>
    <row r="4335" spans="1:7" s="172" customFormat="1" ht="15" customHeight="1" x14ac:dyDescent="0.25">
      <c r="A4335" s="806" t="s">
        <v>15206</v>
      </c>
      <c r="B4335" s="806" t="s">
        <v>2967</v>
      </c>
      <c r="C4335" s="818" t="s">
        <v>19297</v>
      </c>
      <c r="D4335" s="806" t="s">
        <v>18933</v>
      </c>
      <c r="E4335" s="809">
        <v>400</v>
      </c>
      <c r="F4335" s="816">
        <v>100</v>
      </c>
      <c r="G4335" s="202" t="str">
        <f t="shared" si="67"/>
        <v/>
      </c>
    </row>
    <row r="4336" spans="1:7" s="172" customFormat="1" ht="15" customHeight="1" x14ac:dyDescent="0.25">
      <c r="A4336" s="806" t="s">
        <v>15206</v>
      </c>
      <c r="B4336" s="806" t="s">
        <v>2967</v>
      </c>
      <c r="C4336" s="818" t="s">
        <v>19297</v>
      </c>
      <c r="D4336" s="806" t="s">
        <v>19869</v>
      </c>
      <c r="E4336" s="809">
        <v>63</v>
      </c>
      <c r="F4336" s="816">
        <v>10</v>
      </c>
      <c r="G4336" s="202" t="str">
        <f t="shared" si="67"/>
        <v/>
      </c>
    </row>
    <row r="4337" spans="1:7" s="172" customFormat="1" ht="15" customHeight="1" x14ac:dyDescent="0.25">
      <c r="A4337" s="806" t="s">
        <v>15207</v>
      </c>
      <c r="B4337" s="806" t="s">
        <v>2967</v>
      </c>
      <c r="C4337" s="818" t="s">
        <v>19297</v>
      </c>
      <c r="D4337" s="806" t="s">
        <v>3246</v>
      </c>
      <c r="E4337" s="809">
        <v>100</v>
      </c>
      <c r="F4337" s="816">
        <v>20</v>
      </c>
      <c r="G4337" s="202" t="str">
        <f t="shared" si="67"/>
        <v/>
      </c>
    </row>
    <row r="4338" spans="1:7" s="172" customFormat="1" ht="15" customHeight="1" x14ac:dyDescent="0.25">
      <c r="A4338" s="806" t="s">
        <v>15208</v>
      </c>
      <c r="B4338" s="806" t="s">
        <v>2967</v>
      </c>
      <c r="C4338" s="818" t="s">
        <v>19297</v>
      </c>
      <c r="D4338" s="806" t="s">
        <v>3247</v>
      </c>
      <c r="E4338" s="809">
        <v>160</v>
      </c>
      <c r="F4338" s="816">
        <v>50</v>
      </c>
      <c r="G4338" s="202" t="str">
        <f t="shared" si="67"/>
        <v/>
      </c>
    </row>
    <row r="4339" spans="1:7" s="172" customFormat="1" ht="15" customHeight="1" x14ac:dyDescent="0.25">
      <c r="A4339" s="806" t="s">
        <v>18934</v>
      </c>
      <c r="B4339" s="806" t="s">
        <v>2967</v>
      </c>
      <c r="C4339" s="818" t="s">
        <v>19297</v>
      </c>
      <c r="D4339" s="806" t="s">
        <v>18935</v>
      </c>
      <c r="E4339" s="809">
        <v>63</v>
      </c>
      <c r="F4339" s="816">
        <v>10</v>
      </c>
      <c r="G4339" s="202" t="str">
        <f t="shared" si="67"/>
        <v/>
      </c>
    </row>
    <row r="4340" spans="1:7" s="172" customFormat="1" ht="15" customHeight="1" x14ac:dyDescent="0.25">
      <c r="A4340" s="806" t="s">
        <v>18936</v>
      </c>
      <c r="B4340" s="806" t="s">
        <v>2967</v>
      </c>
      <c r="C4340" s="818" t="s">
        <v>19297</v>
      </c>
      <c r="D4340" s="806" t="s">
        <v>18937</v>
      </c>
      <c r="E4340" s="809">
        <v>10</v>
      </c>
      <c r="F4340" s="816">
        <v>2</v>
      </c>
      <c r="G4340" s="202" t="str">
        <f t="shared" si="67"/>
        <v/>
      </c>
    </row>
    <row r="4341" spans="1:7" s="172" customFormat="1" ht="15" customHeight="1" x14ac:dyDescent="0.25">
      <c r="A4341" s="806" t="s">
        <v>3248</v>
      </c>
      <c r="B4341" s="806" t="s">
        <v>2967</v>
      </c>
      <c r="C4341" s="818" t="s">
        <v>19297</v>
      </c>
      <c r="D4341" s="806" t="s">
        <v>19117</v>
      </c>
      <c r="E4341" s="809">
        <v>160</v>
      </c>
      <c r="F4341" s="816">
        <v>25</v>
      </c>
      <c r="G4341" s="202" t="str">
        <f t="shared" si="67"/>
        <v/>
      </c>
    </row>
    <row r="4342" spans="1:7" s="172" customFormat="1" ht="15" customHeight="1" x14ac:dyDescent="0.25">
      <c r="A4342" s="806" t="s">
        <v>3248</v>
      </c>
      <c r="B4342" s="806" t="s">
        <v>2967</v>
      </c>
      <c r="C4342" s="818" t="s">
        <v>19297</v>
      </c>
      <c r="D4342" s="806" t="s">
        <v>19118</v>
      </c>
      <c r="E4342" s="809">
        <v>160</v>
      </c>
      <c r="F4342" s="816">
        <v>15</v>
      </c>
      <c r="G4342" s="202" t="str">
        <f t="shared" si="67"/>
        <v/>
      </c>
    </row>
    <row r="4343" spans="1:7" s="172" customFormat="1" ht="15" customHeight="1" x14ac:dyDescent="0.25">
      <c r="A4343" s="806" t="s">
        <v>3249</v>
      </c>
      <c r="B4343" s="806" t="s">
        <v>2967</v>
      </c>
      <c r="C4343" s="818" t="s">
        <v>19297</v>
      </c>
      <c r="D4343" s="806" t="s">
        <v>19119</v>
      </c>
      <c r="E4343" s="809">
        <v>250</v>
      </c>
      <c r="F4343" s="816">
        <v>40</v>
      </c>
      <c r="G4343" s="202" t="str">
        <f t="shared" si="67"/>
        <v/>
      </c>
    </row>
    <row r="4344" spans="1:7" s="172" customFormat="1" ht="15" customHeight="1" x14ac:dyDescent="0.25">
      <c r="A4344" s="806" t="s">
        <v>3249</v>
      </c>
      <c r="B4344" s="806" t="s">
        <v>2967</v>
      </c>
      <c r="C4344" s="818" t="s">
        <v>19297</v>
      </c>
      <c r="D4344" s="806" t="s">
        <v>19120</v>
      </c>
      <c r="E4344" s="809">
        <v>400</v>
      </c>
      <c r="F4344" s="816">
        <v>40</v>
      </c>
      <c r="G4344" s="202" t="str">
        <f t="shared" si="67"/>
        <v/>
      </c>
    </row>
    <row r="4345" spans="1:7" s="172" customFormat="1" ht="15" customHeight="1" x14ac:dyDescent="0.25">
      <c r="A4345" s="806" t="s">
        <v>3249</v>
      </c>
      <c r="B4345" s="806" t="s">
        <v>2967</v>
      </c>
      <c r="C4345" s="818" t="s">
        <v>19297</v>
      </c>
      <c r="D4345" s="806" t="s">
        <v>19121</v>
      </c>
      <c r="E4345" s="809">
        <v>40</v>
      </c>
      <c r="F4345" s="816">
        <v>5</v>
      </c>
      <c r="G4345" s="202" t="str">
        <f t="shared" si="67"/>
        <v/>
      </c>
    </row>
    <row r="4346" spans="1:7" s="172" customFormat="1" ht="15" customHeight="1" x14ac:dyDescent="0.25">
      <c r="A4346" s="806" t="s">
        <v>3249</v>
      </c>
      <c r="B4346" s="806" t="s">
        <v>2967</v>
      </c>
      <c r="C4346" s="818" t="s">
        <v>19297</v>
      </c>
      <c r="D4346" s="806" t="s">
        <v>19870</v>
      </c>
      <c r="E4346" s="809">
        <v>100</v>
      </c>
      <c r="F4346" s="816">
        <v>10</v>
      </c>
      <c r="G4346" s="202" t="str">
        <f t="shared" si="67"/>
        <v/>
      </c>
    </row>
    <row r="4347" spans="1:7" s="172" customFormat="1" ht="15" customHeight="1" x14ac:dyDescent="0.25">
      <c r="A4347" s="806" t="s">
        <v>3249</v>
      </c>
      <c r="B4347" s="806" t="s">
        <v>2967</v>
      </c>
      <c r="C4347" s="818" t="s">
        <v>19297</v>
      </c>
      <c r="D4347" s="806" t="s">
        <v>19122</v>
      </c>
      <c r="E4347" s="809">
        <v>250</v>
      </c>
      <c r="F4347" s="816">
        <v>10</v>
      </c>
      <c r="G4347" s="202" t="str">
        <f t="shared" si="67"/>
        <v/>
      </c>
    </row>
    <row r="4348" spans="1:7" s="172" customFormat="1" ht="15" customHeight="1" x14ac:dyDescent="0.25">
      <c r="A4348" s="806" t="s">
        <v>3249</v>
      </c>
      <c r="B4348" s="806" t="s">
        <v>2967</v>
      </c>
      <c r="C4348" s="818" t="s">
        <v>19297</v>
      </c>
      <c r="D4348" s="806" t="s">
        <v>19123</v>
      </c>
      <c r="E4348" s="809">
        <v>100</v>
      </c>
      <c r="F4348" s="816">
        <v>20</v>
      </c>
      <c r="G4348" s="202" t="str">
        <f t="shared" si="67"/>
        <v/>
      </c>
    </row>
    <row r="4349" spans="1:7" s="172" customFormat="1" ht="15" customHeight="1" x14ac:dyDescent="0.25">
      <c r="A4349" s="806" t="s">
        <v>3249</v>
      </c>
      <c r="B4349" s="806" t="s">
        <v>2967</v>
      </c>
      <c r="C4349" s="818" t="s">
        <v>19297</v>
      </c>
      <c r="D4349" s="806" t="s">
        <v>19124</v>
      </c>
      <c r="E4349" s="809">
        <v>100</v>
      </c>
      <c r="F4349" s="816">
        <v>15</v>
      </c>
      <c r="G4349" s="202" t="str">
        <f t="shared" si="67"/>
        <v/>
      </c>
    </row>
    <row r="4350" spans="1:7" s="172" customFormat="1" ht="15" customHeight="1" x14ac:dyDescent="0.25">
      <c r="A4350" s="806" t="s">
        <v>3250</v>
      </c>
      <c r="B4350" s="806" t="s">
        <v>2967</v>
      </c>
      <c r="C4350" s="818" t="s">
        <v>19297</v>
      </c>
      <c r="D4350" s="806" t="s">
        <v>19125</v>
      </c>
      <c r="E4350" s="809">
        <v>250</v>
      </c>
      <c r="F4350" s="816">
        <v>50</v>
      </c>
      <c r="G4350" s="202" t="str">
        <f t="shared" si="67"/>
        <v/>
      </c>
    </row>
    <row r="4351" spans="1:7" s="172" customFormat="1" ht="15" customHeight="1" x14ac:dyDescent="0.25">
      <c r="A4351" s="806" t="s">
        <v>3250</v>
      </c>
      <c r="B4351" s="806" t="s">
        <v>2967</v>
      </c>
      <c r="C4351" s="818" t="s">
        <v>19297</v>
      </c>
      <c r="D4351" s="806" t="s">
        <v>19126</v>
      </c>
      <c r="E4351" s="809">
        <v>250</v>
      </c>
      <c r="F4351" s="816">
        <v>40</v>
      </c>
      <c r="G4351" s="202" t="str">
        <f t="shared" si="67"/>
        <v/>
      </c>
    </row>
    <row r="4352" spans="1:7" s="172" customFormat="1" ht="15" customHeight="1" x14ac:dyDescent="0.25">
      <c r="A4352" s="806" t="s">
        <v>3250</v>
      </c>
      <c r="B4352" s="806" t="s">
        <v>2967</v>
      </c>
      <c r="C4352" s="818" t="s">
        <v>19297</v>
      </c>
      <c r="D4352" s="806" t="s">
        <v>19127</v>
      </c>
      <c r="E4352" s="809">
        <v>400</v>
      </c>
      <c r="F4352" s="816">
        <v>100</v>
      </c>
      <c r="G4352" s="202" t="str">
        <f t="shared" si="67"/>
        <v/>
      </c>
    </row>
    <row r="4353" spans="1:7" s="172" customFormat="1" ht="15" customHeight="1" x14ac:dyDescent="0.25">
      <c r="A4353" s="806" t="s">
        <v>3250</v>
      </c>
      <c r="B4353" s="806" t="s">
        <v>2967</v>
      </c>
      <c r="C4353" s="818" t="s">
        <v>19297</v>
      </c>
      <c r="D4353" s="806" t="s">
        <v>19128</v>
      </c>
      <c r="E4353" s="809">
        <v>250</v>
      </c>
      <c r="F4353" s="816">
        <v>30</v>
      </c>
      <c r="G4353" s="202" t="str">
        <f t="shared" si="67"/>
        <v/>
      </c>
    </row>
    <row r="4354" spans="1:7" s="172" customFormat="1" ht="15" customHeight="1" x14ac:dyDescent="0.25">
      <c r="A4354" s="806" t="s">
        <v>3250</v>
      </c>
      <c r="B4354" s="806" t="s">
        <v>2967</v>
      </c>
      <c r="C4354" s="818" t="s">
        <v>19297</v>
      </c>
      <c r="D4354" s="806" t="s">
        <v>19129</v>
      </c>
      <c r="E4354" s="809">
        <v>630</v>
      </c>
      <c r="F4354" s="816">
        <v>100</v>
      </c>
      <c r="G4354" s="202" t="str">
        <f t="shared" si="67"/>
        <v/>
      </c>
    </row>
    <row r="4355" spans="1:7" s="172" customFormat="1" ht="15" customHeight="1" x14ac:dyDescent="0.25">
      <c r="A4355" s="806" t="s">
        <v>3250</v>
      </c>
      <c r="B4355" s="806" t="s">
        <v>2967</v>
      </c>
      <c r="C4355" s="818" t="s">
        <v>19297</v>
      </c>
      <c r="D4355" s="806" t="s">
        <v>19130</v>
      </c>
      <c r="E4355" s="809">
        <v>20</v>
      </c>
      <c r="F4355" s="816">
        <v>5</v>
      </c>
      <c r="G4355" s="202" t="str">
        <f t="shared" si="67"/>
        <v/>
      </c>
    </row>
    <row r="4356" spans="1:7" s="172" customFormat="1" ht="15" customHeight="1" x14ac:dyDescent="0.25">
      <c r="A4356" s="806" t="s">
        <v>3242</v>
      </c>
      <c r="B4356" s="806" t="s">
        <v>2967</v>
      </c>
      <c r="C4356" s="818" t="s">
        <v>19297</v>
      </c>
      <c r="D4356" s="806" t="s">
        <v>19871</v>
      </c>
      <c r="E4356" s="809">
        <v>63</v>
      </c>
      <c r="F4356" s="816">
        <v>10</v>
      </c>
      <c r="G4356" s="202" t="str">
        <f t="shared" si="67"/>
        <v/>
      </c>
    </row>
    <row r="4357" spans="1:7" s="172" customFormat="1" ht="15" customHeight="1" x14ac:dyDescent="0.25">
      <c r="A4357" s="806" t="s">
        <v>15209</v>
      </c>
      <c r="B4357" s="806" t="s">
        <v>2967</v>
      </c>
      <c r="C4357" s="818" t="s">
        <v>19297</v>
      </c>
      <c r="D4357" s="806" t="s">
        <v>19131</v>
      </c>
      <c r="E4357" s="809">
        <v>100</v>
      </c>
      <c r="F4357" s="816">
        <v>20</v>
      </c>
      <c r="G4357" s="202" t="str">
        <f t="shared" si="67"/>
        <v/>
      </c>
    </row>
    <row r="4358" spans="1:7" s="172" customFormat="1" ht="15" customHeight="1" x14ac:dyDescent="0.25">
      <c r="A4358" s="806" t="s">
        <v>15209</v>
      </c>
      <c r="B4358" s="806" t="s">
        <v>2967</v>
      </c>
      <c r="C4358" s="818" t="s">
        <v>19297</v>
      </c>
      <c r="D4358" s="806" t="s">
        <v>19132</v>
      </c>
      <c r="E4358" s="809">
        <v>160</v>
      </c>
      <c r="F4358" s="816">
        <v>50</v>
      </c>
      <c r="G4358" s="202" t="str">
        <f t="shared" si="67"/>
        <v/>
      </c>
    </row>
    <row r="4359" spans="1:7" s="172" customFormat="1" ht="15" customHeight="1" x14ac:dyDescent="0.25">
      <c r="A4359" s="806" t="s">
        <v>19872</v>
      </c>
      <c r="B4359" s="806" t="s">
        <v>2967</v>
      </c>
      <c r="C4359" s="818" t="s">
        <v>19297</v>
      </c>
      <c r="D4359" s="806" t="s">
        <v>19873</v>
      </c>
      <c r="E4359" s="809">
        <v>63</v>
      </c>
      <c r="F4359" s="816">
        <v>10</v>
      </c>
      <c r="G4359" s="202" t="str">
        <f t="shared" si="67"/>
        <v/>
      </c>
    </row>
    <row r="4360" spans="1:7" s="172" customFormat="1" ht="15" customHeight="1" x14ac:dyDescent="0.25">
      <c r="A4360" s="806" t="s">
        <v>3251</v>
      </c>
      <c r="B4360" s="806" t="s">
        <v>2967</v>
      </c>
      <c r="C4360" s="818" t="s">
        <v>19297</v>
      </c>
      <c r="D4360" s="806" t="s">
        <v>19133</v>
      </c>
      <c r="E4360" s="809">
        <v>160</v>
      </c>
      <c r="F4360" s="816">
        <v>20</v>
      </c>
      <c r="G4360" s="202" t="str">
        <f t="shared" si="67"/>
        <v/>
      </c>
    </row>
    <row r="4361" spans="1:7" s="172" customFormat="1" ht="15" customHeight="1" x14ac:dyDescent="0.25">
      <c r="A4361" s="806" t="s">
        <v>15172</v>
      </c>
      <c r="B4361" s="806" t="s">
        <v>2967</v>
      </c>
      <c r="C4361" s="818" t="s">
        <v>19297</v>
      </c>
      <c r="D4361" s="806" t="s">
        <v>3252</v>
      </c>
      <c r="E4361" s="809">
        <v>250</v>
      </c>
      <c r="F4361" s="816">
        <v>70</v>
      </c>
      <c r="G4361" s="202" t="str">
        <f t="shared" si="67"/>
        <v/>
      </c>
    </row>
    <row r="4362" spans="1:7" s="172" customFormat="1" ht="15" customHeight="1" x14ac:dyDescent="0.25">
      <c r="A4362" s="806" t="s">
        <v>15210</v>
      </c>
      <c r="B4362" s="806" t="s">
        <v>2967</v>
      </c>
      <c r="C4362" s="818" t="s">
        <v>19297</v>
      </c>
      <c r="D4362" s="806" t="s">
        <v>3253</v>
      </c>
      <c r="E4362" s="809">
        <v>250</v>
      </c>
      <c r="F4362" s="816">
        <v>50</v>
      </c>
      <c r="G4362" s="202" t="str">
        <f t="shared" si="67"/>
        <v/>
      </c>
    </row>
    <row r="4363" spans="1:7" s="172" customFormat="1" ht="15" customHeight="1" x14ac:dyDescent="0.25">
      <c r="A4363" s="806" t="s">
        <v>3254</v>
      </c>
      <c r="B4363" s="806" t="s">
        <v>2967</v>
      </c>
      <c r="C4363" s="818" t="s">
        <v>19297</v>
      </c>
      <c r="D4363" s="806" t="s">
        <v>3255</v>
      </c>
      <c r="E4363" s="809">
        <v>100</v>
      </c>
      <c r="F4363" s="816">
        <v>15</v>
      </c>
      <c r="G4363" s="202" t="str">
        <f t="shared" si="67"/>
        <v/>
      </c>
    </row>
    <row r="4364" spans="1:7" s="172" customFormat="1" ht="15" customHeight="1" x14ac:dyDescent="0.25">
      <c r="A4364" s="806" t="s">
        <v>3256</v>
      </c>
      <c r="B4364" s="806" t="s">
        <v>2967</v>
      </c>
      <c r="C4364" s="818" t="s">
        <v>19297</v>
      </c>
      <c r="D4364" s="806" t="s">
        <v>3257</v>
      </c>
      <c r="E4364" s="809">
        <v>160</v>
      </c>
      <c r="F4364" s="816">
        <v>60</v>
      </c>
      <c r="G4364" s="202" t="str">
        <f t="shared" si="67"/>
        <v/>
      </c>
    </row>
    <row r="4365" spans="1:7" s="172" customFormat="1" ht="15" customHeight="1" x14ac:dyDescent="0.25">
      <c r="A4365" s="806" t="s">
        <v>15211</v>
      </c>
      <c r="B4365" s="806" t="s">
        <v>2967</v>
      </c>
      <c r="C4365" s="818" t="s">
        <v>19297</v>
      </c>
      <c r="D4365" s="806" t="s">
        <v>3258</v>
      </c>
      <c r="E4365" s="809">
        <v>250</v>
      </c>
      <c r="F4365" s="816">
        <v>40</v>
      </c>
      <c r="G4365" s="202" t="str">
        <f t="shared" si="67"/>
        <v/>
      </c>
    </row>
    <row r="4366" spans="1:7" s="172" customFormat="1" ht="15" customHeight="1" x14ac:dyDescent="0.25">
      <c r="A4366" s="806" t="s">
        <v>3259</v>
      </c>
      <c r="B4366" s="806" t="s">
        <v>2967</v>
      </c>
      <c r="C4366" s="818" t="s">
        <v>19297</v>
      </c>
      <c r="D4366" s="806" t="s">
        <v>3260</v>
      </c>
      <c r="E4366" s="809">
        <v>160</v>
      </c>
      <c r="F4366" s="816">
        <v>25</v>
      </c>
      <c r="G4366" s="202" t="str">
        <f t="shared" si="67"/>
        <v/>
      </c>
    </row>
    <row r="4367" spans="1:7" s="172" customFormat="1" ht="15" customHeight="1" x14ac:dyDescent="0.25">
      <c r="A4367" s="806" t="s">
        <v>3259</v>
      </c>
      <c r="B4367" s="806" t="s">
        <v>2967</v>
      </c>
      <c r="C4367" s="818" t="s">
        <v>19297</v>
      </c>
      <c r="D4367" s="806" t="s">
        <v>19874</v>
      </c>
      <c r="E4367" s="809">
        <v>63</v>
      </c>
      <c r="F4367" s="816">
        <v>40</v>
      </c>
      <c r="G4367" s="202" t="str">
        <f t="shared" si="67"/>
        <v/>
      </c>
    </row>
    <row r="4368" spans="1:7" s="172" customFormat="1" ht="15" customHeight="1" x14ac:dyDescent="0.25">
      <c r="A4368" s="806" t="s">
        <v>3261</v>
      </c>
      <c r="B4368" s="806" t="s">
        <v>2967</v>
      </c>
      <c r="C4368" s="818" t="s">
        <v>19297</v>
      </c>
      <c r="D4368" s="806" t="s">
        <v>3262</v>
      </c>
      <c r="E4368" s="809">
        <v>30</v>
      </c>
      <c r="F4368" s="816">
        <v>10</v>
      </c>
      <c r="G4368" s="202" t="str">
        <f t="shared" si="67"/>
        <v/>
      </c>
    </row>
    <row r="4369" spans="1:7" s="172" customFormat="1" ht="15" customHeight="1" x14ac:dyDescent="0.25">
      <c r="A4369" s="806" t="s">
        <v>3263</v>
      </c>
      <c r="B4369" s="806" t="s">
        <v>2967</v>
      </c>
      <c r="C4369" s="818" t="s">
        <v>19297</v>
      </c>
      <c r="D4369" s="806" t="s">
        <v>3264</v>
      </c>
      <c r="E4369" s="809">
        <v>60</v>
      </c>
      <c r="F4369" s="816">
        <v>15</v>
      </c>
      <c r="G4369" s="202" t="str">
        <f t="shared" si="67"/>
        <v/>
      </c>
    </row>
    <row r="4370" spans="1:7" s="172" customFormat="1" ht="15" customHeight="1" x14ac:dyDescent="0.25">
      <c r="A4370" s="806" t="s">
        <v>3265</v>
      </c>
      <c r="B4370" s="806" t="s">
        <v>2967</v>
      </c>
      <c r="C4370" s="818" t="s">
        <v>19297</v>
      </c>
      <c r="D4370" s="806" t="s">
        <v>3266</v>
      </c>
      <c r="E4370" s="809">
        <v>63</v>
      </c>
      <c r="F4370" s="816">
        <v>20</v>
      </c>
      <c r="G4370" s="202" t="str">
        <f t="shared" si="67"/>
        <v/>
      </c>
    </row>
    <row r="4371" spans="1:7" s="172" customFormat="1" ht="15" customHeight="1" x14ac:dyDescent="0.25">
      <c r="A4371" s="806" t="s">
        <v>3267</v>
      </c>
      <c r="B4371" s="806" t="s">
        <v>2967</v>
      </c>
      <c r="C4371" s="818" t="s">
        <v>19297</v>
      </c>
      <c r="D4371" s="806" t="s">
        <v>3268</v>
      </c>
      <c r="E4371" s="809">
        <v>100</v>
      </c>
      <c r="F4371" s="816">
        <v>25</v>
      </c>
      <c r="G4371" s="202" t="str">
        <f t="shared" si="67"/>
        <v/>
      </c>
    </row>
    <row r="4372" spans="1:7" s="172" customFormat="1" ht="15" customHeight="1" x14ac:dyDescent="0.25">
      <c r="A4372" s="806" t="s">
        <v>3269</v>
      </c>
      <c r="B4372" s="806" t="s">
        <v>2967</v>
      </c>
      <c r="C4372" s="818" t="s">
        <v>19297</v>
      </c>
      <c r="D4372" s="806" t="s">
        <v>3270</v>
      </c>
      <c r="E4372" s="809">
        <v>60</v>
      </c>
      <c r="F4372" s="816">
        <v>15</v>
      </c>
      <c r="G4372" s="202" t="str">
        <f t="shared" si="67"/>
        <v/>
      </c>
    </row>
    <row r="4373" spans="1:7" s="172" customFormat="1" ht="15" customHeight="1" x14ac:dyDescent="0.25">
      <c r="A4373" s="806" t="s">
        <v>3271</v>
      </c>
      <c r="B4373" s="806" t="s">
        <v>2967</v>
      </c>
      <c r="C4373" s="818" t="s">
        <v>19297</v>
      </c>
      <c r="D4373" s="806" t="s">
        <v>3272</v>
      </c>
      <c r="E4373" s="809">
        <v>60</v>
      </c>
      <c r="F4373" s="816">
        <v>10</v>
      </c>
      <c r="G4373" s="202" t="str">
        <f t="shared" si="67"/>
        <v/>
      </c>
    </row>
    <row r="4374" spans="1:7" s="172" customFormat="1" ht="15" customHeight="1" x14ac:dyDescent="0.25">
      <c r="A4374" s="806" t="s">
        <v>15212</v>
      </c>
      <c r="B4374" s="806" t="s">
        <v>2967</v>
      </c>
      <c r="C4374" s="818" t="s">
        <v>19297</v>
      </c>
      <c r="D4374" s="806" t="s">
        <v>3273</v>
      </c>
      <c r="E4374" s="809">
        <v>30</v>
      </c>
      <c r="F4374" s="847">
        <v>10</v>
      </c>
      <c r="G4374" s="202" t="str">
        <f t="shared" si="67"/>
        <v/>
      </c>
    </row>
    <row r="4375" spans="1:7" s="172" customFormat="1" ht="15" customHeight="1" x14ac:dyDescent="0.25">
      <c r="A4375" s="806" t="s">
        <v>3274</v>
      </c>
      <c r="B4375" s="806" t="s">
        <v>2967</v>
      </c>
      <c r="C4375" s="818" t="s">
        <v>19297</v>
      </c>
      <c r="D4375" s="806" t="s">
        <v>3275</v>
      </c>
      <c r="E4375" s="809">
        <v>30</v>
      </c>
      <c r="F4375" s="847">
        <v>10</v>
      </c>
      <c r="G4375" s="202" t="str">
        <f t="shared" si="67"/>
        <v/>
      </c>
    </row>
    <row r="4376" spans="1:7" s="172" customFormat="1" ht="15" customHeight="1" x14ac:dyDescent="0.25">
      <c r="A4376" s="806" t="s">
        <v>3276</v>
      </c>
      <c r="B4376" s="806" t="s">
        <v>2967</v>
      </c>
      <c r="C4376" s="818" t="s">
        <v>19297</v>
      </c>
      <c r="D4376" s="806" t="s">
        <v>3277</v>
      </c>
      <c r="E4376" s="809">
        <v>250</v>
      </c>
      <c r="F4376" s="847">
        <v>10</v>
      </c>
      <c r="G4376" s="202" t="str">
        <f t="shared" si="67"/>
        <v/>
      </c>
    </row>
    <row r="4377" spans="1:7" s="172" customFormat="1" ht="15" customHeight="1" x14ac:dyDescent="0.25">
      <c r="A4377" s="806" t="s">
        <v>3278</v>
      </c>
      <c r="B4377" s="806" t="s">
        <v>2967</v>
      </c>
      <c r="C4377" s="818" t="s">
        <v>19297</v>
      </c>
      <c r="D4377" s="806" t="s">
        <v>3279</v>
      </c>
      <c r="E4377" s="809">
        <v>60</v>
      </c>
      <c r="F4377" s="847">
        <v>5</v>
      </c>
      <c r="G4377" s="202" t="str">
        <f t="shared" si="67"/>
        <v/>
      </c>
    </row>
    <row r="4378" spans="1:7" s="172" customFormat="1" ht="15" customHeight="1" x14ac:dyDescent="0.25">
      <c r="A4378" s="806" t="s">
        <v>3254</v>
      </c>
      <c r="B4378" s="806" t="s">
        <v>2967</v>
      </c>
      <c r="C4378" s="818" t="s">
        <v>19297</v>
      </c>
      <c r="D4378" s="806" t="s">
        <v>3280</v>
      </c>
      <c r="E4378" s="809">
        <v>630</v>
      </c>
      <c r="F4378" s="847">
        <v>70</v>
      </c>
      <c r="G4378" s="202" t="str">
        <f t="shared" si="67"/>
        <v/>
      </c>
    </row>
    <row r="4379" spans="1:7" s="172" customFormat="1" ht="15" customHeight="1" x14ac:dyDescent="0.25">
      <c r="A4379" s="806" t="s">
        <v>3254</v>
      </c>
      <c r="B4379" s="806" t="s">
        <v>2967</v>
      </c>
      <c r="C4379" s="818" t="s">
        <v>19297</v>
      </c>
      <c r="D4379" s="806" t="s">
        <v>3281</v>
      </c>
      <c r="E4379" s="809">
        <v>400</v>
      </c>
      <c r="F4379" s="847">
        <v>150</v>
      </c>
      <c r="G4379" s="202" t="str">
        <f t="shared" si="67"/>
        <v/>
      </c>
    </row>
    <row r="4380" spans="1:7" s="172" customFormat="1" ht="15" customHeight="1" x14ac:dyDescent="0.25">
      <c r="A4380" s="806" t="s">
        <v>3282</v>
      </c>
      <c r="B4380" s="806" t="s">
        <v>2967</v>
      </c>
      <c r="C4380" s="818" t="s">
        <v>19297</v>
      </c>
      <c r="D4380" s="806" t="s">
        <v>3283</v>
      </c>
      <c r="E4380" s="809">
        <v>100</v>
      </c>
      <c r="F4380" s="847">
        <v>10</v>
      </c>
      <c r="G4380" s="202" t="str">
        <f t="shared" ref="G4380:G4444" si="68">IF(E4380=F4380,"не загружен","")</f>
        <v/>
      </c>
    </row>
    <row r="4381" spans="1:7" s="172" customFormat="1" ht="15" customHeight="1" x14ac:dyDescent="0.25">
      <c r="A4381" s="806" t="s">
        <v>3284</v>
      </c>
      <c r="B4381" s="806" t="s">
        <v>2967</v>
      </c>
      <c r="C4381" s="818" t="s">
        <v>19297</v>
      </c>
      <c r="D4381" s="825" t="s">
        <v>3285</v>
      </c>
      <c r="E4381" s="809">
        <v>160</v>
      </c>
      <c r="F4381" s="847">
        <v>40</v>
      </c>
      <c r="G4381" s="202" t="str">
        <f t="shared" si="68"/>
        <v/>
      </c>
    </row>
    <row r="4382" spans="1:7" s="172" customFormat="1" ht="15" customHeight="1" x14ac:dyDescent="0.25">
      <c r="A4382" s="806" t="s">
        <v>3284</v>
      </c>
      <c r="B4382" s="806" t="s">
        <v>2967</v>
      </c>
      <c r="C4382" s="818" t="s">
        <v>19297</v>
      </c>
      <c r="D4382" s="806" t="s">
        <v>3286</v>
      </c>
      <c r="E4382" s="809">
        <v>63</v>
      </c>
      <c r="F4382" s="847">
        <v>20</v>
      </c>
      <c r="G4382" s="202" t="str">
        <f t="shared" si="68"/>
        <v/>
      </c>
    </row>
    <row r="4383" spans="1:7" s="172" customFormat="1" ht="15" customHeight="1" x14ac:dyDescent="0.25">
      <c r="A4383" s="806" t="s">
        <v>3284</v>
      </c>
      <c r="B4383" s="806" t="s">
        <v>2967</v>
      </c>
      <c r="C4383" s="818" t="s">
        <v>19297</v>
      </c>
      <c r="D4383" s="806" t="s">
        <v>3287</v>
      </c>
      <c r="E4383" s="809">
        <v>63</v>
      </c>
      <c r="F4383" s="847">
        <v>15</v>
      </c>
      <c r="G4383" s="202" t="str">
        <f t="shared" si="68"/>
        <v/>
      </c>
    </row>
    <row r="4384" spans="1:7" s="172" customFormat="1" ht="15" customHeight="1" x14ac:dyDescent="0.25">
      <c r="A4384" s="806" t="s">
        <v>3288</v>
      </c>
      <c r="B4384" s="806" t="s">
        <v>2967</v>
      </c>
      <c r="C4384" s="818" t="s">
        <v>19297</v>
      </c>
      <c r="D4384" s="806" t="s">
        <v>3289</v>
      </c>
      <c r="E4384" s="809">
        <v>60</v>
      </c>
      <c r="F4384" s="847">
        <v>10</v>
      </c>
      <c r="G4384" s="202" t="str">
        <f t="shared" si="68"/>
        <v/>
      </c>
    </row>
    <row r="4385" spans="1:7" s="172" customFormat="1" ht="15" customHeight="1" x14ac:dyDescent="0.25">
      <c r="A4385" s="806" t="s">
        <v>3290</v>
      </c>
      <c r="B4385" s="806" t="s">
        <v>2967</v>
      </c>
      <c r="C4385" s="818" t="s">
        <v>19297</v>
      </c>
      <c r="D4385" s="806" t="s">
        <v>3291</v>
      </c>
      <c r="E4385" s="809">
        <v>250</v>
      </c>
      <c r="F4385" s="847">
        <v>30</v>
      </c>
      <c r="G4385" s="202" t="str">
        <f t="shared" si="68"/>
        <v/>
      </c>
    </row>
    <row r="4386" spans="1:7" s="172" customFormat="1" ht="15" customHeight="1" x14ac:dyDescent="0.25">
      <c r="A4386" s="806" t="s">
        <v>3290</v>
      </c>
      <c r="B4386" s="806" t="s">
        <v>2967</v>
      </c>
      <c r="C4386" s="818" t="s">
        <v>19297</v>
      </c>
      <c r="D4386" s="806" t="s">
        <v>15213</v>
      </c>
      <c r="E4386" s="809">
        <v>250</v>
      </c>
      <c r="F4386" s="816">
        <v>50</v>
      </c>
      <c r="G4386" s="202" t="str">
        <f t="shared" si="68"/>
        <v/>
      </c>
    </row>
    <row r="4387" spans="1:7" s="172" customFormat="1" ht="15" customHeight="1" x14ac:dyDescent="0.25">
      <c r="A4387" s="806" t="s">
        <v>3292</v>
      </c>
      <c r="B4387" s="806" t="s">
        <v>2967</v>
      </c>
      <c r="C4387" s="818" t="s">
        <v>19297</v>
      </c>
      <c r="D4387" s="806" t="s">
        <v>3293</v>
      </c>
      <c r="E4387" s="809">
        <v>160</v>
      </c>
      <c r="F4387" s="847">
        <v>20</v>
      </c>
      <c r="G4387" s="202" t="str">
        <f t="shared" si="68"/>
        <v/>
      </c>
    </row>
    <row r="4388" spans="1:7" s="172" customFormat="1" ht="15" customHeight="1" x14ac:dyDescent="0.25">
      <c r="A4388" s="806" t="s">
        <v>3294</v>
      </c>
      <c r="B4388" s="806" t="s">
        <v>2967</v>
      </c>
      <c r="C4388" s="818" t="s">
        <v>19297</v>
      </c>
      <c r="D4388" s="825" t="s">
        <v>3295</v>
      </c>
      <c r="E4388" s="809">
        <v>100</v>
      </c>
      <c r="F4388" s="847">
        <v>10</v>
      </c>
      <c r="G4388" s="202" t="str">
        <f t="shared" si="68"/>
        <v/>
      </c>
    </row>
    <row r="4389" spans="1:7" s="172" customFormat="1" ht="15" customHeight="1" x14ac:dyDescent="0.25">
      <c r="A4389" s="806" t="s">
        <v>15214</v>
      </c>
      <c r="B4389" s="806" t="s">
        <v>2967</v>
      </c>
      <c r="C4389" s="818" t="s">
        <v>19297</v>
      </c>
      <c r="D4389" s="806" t="s">
        <v>3296</v>
      </c>
      <c r="E4389" s="809">
        <v>100</v>
      </c>
      <c r="F4389" s="847">
        <v>30</v>
      </c>
      <c r="G4389" s="202" t="str">
        <f t="shared" si="68"/>
        <v/>
      </c>
    </row>
    <row r="4390" spans="1:7" s="172" customFormat="1" ht="15" customHeight="1" x14ac:dyDescent="0.25">
      <c r="A4390" s="806" t="s">
        <v>15215</v>
      </c>
      <c r="B4390" s="806" t="s">
        <v>2967</v>
      </c>
      <c r="C4390" s="818" t="s">
        <v>19297</v>
      </c>
      <c r="D4390" s="806" t="s">
        <v>3297</v>
      </c>
      <c r="E4390" s="809">
        <v>63</v>
      </c>
      <c r="F4390" s="847">
        <v>10</v>
      </c>
      <c r="G4390" s="202" t="str">
        <f t="shared" si="68"/>
        <v/>
      </c>
    </row>
    <row r="4391" spans="1:7" s="172" customFormat="1" ht="15" customHeight="1" x14ac:dyDescent="0.25">
      <c r="A4391" s="806" t="s">
        <v>15216</v>
      </c>
      <c r="B4391" s="806" t="s">
        <v>2967</v>
      </c>
      <c r="C4391" s="818" t="s">
        <v>19297</v>
      </c>
      <c r="D4391" s="806" t="s">
        <v>3298</v>
      </c>
      <c r="E4391" s="809">
        <v>100</v>
      </c>
      <c r="F4391" s="847">
        <v>30</v>
      </c>
      <c r="G4391" s="202" t="str">
        <f t="shared" si="68"/>
        <v/>
      </c>
    </row>
    <row r="4392" spans="1:7" s="172" customFormat="1" ht="15" customHeight="1" x14ac:dyDescent="0.25">
      <c r="A4392" s="806" t="s">
        <v>15217</v>
      </c>
      <c r="B4392" s="806" t="s">
        <v>2967</v>
      </c>
      <c r="C4392" s="818" t="s">
        <v>19297</v>
      </c>
      <c r="D4392" s="806" t="s">
        <v>3299</v>
      </c>
      <c r="E4392" s="809">
        <v>60</v>
      </c>
      <c r="F4392" s="847">
        <v>25</v>
      </c>
      <c r="G4392" s="202" t="str">
        <f t="shared" si="68"/>
        <v/>
      </c>
    </row>
    <row r="4393" spans="1:7" s="172" customFormat="1" ht="15" customHeight="1" x14ac:dyDescent="0.25">
      <c r="A4393" s="806" t="s">
        <v>15218</v>
      </c>
      <c r="B4393" s="806" t="s">
        <v>2967</v>
      </c>
      <c r="C4393" s="818" t="s">
        <v>19297</v>
      </c>
      <c r="D4393" s="806" t="s">
        <v>3300</v>
      </c>
      <c r="E4393" s="809">
        <v>160</v>
      </c>
      <c r="F4393" s="847">
        <v>30</v>
      </c>
      <c r="G4393" s="202" t="str">
        <f t="shared" si="68"/>
        <v/>
      </c>
    </row>
    <row r="4394" spans="1:7" s="172" customFormat="1" ht="15" customHeight="1" x14ac:dyDescent="0.25">
      <c r="A4394" s="806" t="s">
        <v>19875</v>
      </c>
      <c r="B4394" s="806" t="s">
        <v>2967</v>
      </c>
      <c r="C4394" s="818" t="s">
        <v>19297</v>
      </c>
      <c r="D4394" s="806" t="s">
        <v>19876</v>
      </c>
      <c r="E4394" s="809">
        <v>160</v>
      </c>
      <c r="F4394" s="847">
        <v>50</v>
      </c>
      <c r="G4394" s="202" t="str">
        <f t="shared" si="68"/>
        <v/>
      </c>
    </row>
    <row r="4395" spans="1:7" s="172" customFormat="1" ht="15" customHeight="1" x14ac:dyDescent="0.25">
      <c r="A4395" s="806" t="s">
        <v>19875</v>
      </c>
      <c r="B4395" s="806" t="s">
        <v>2967</v>
      </c>
      <c r="C4395" s="818" t="s">
        <v>19297</v>
      </c>
      <c r="D4395" s="806" t="s">
        <v>19877</v>
      </c>
      <c r="E4395" s="809">
        <v>100</v>
      </c>
      <c r="F4395" s="847">
        <v>50</v>
      </c>
      <c r="G4395" s="202" t="str">
        <f t="shared" si="68"/>
        <v/>
      </c>
    </row>
    <row r="4396" spans="1:7" s="172" customFormat="1" ht="15" customHeight="1" x14ac:dyDescent="0.25">
      <c r="A4396" s="806" t="s">
        <v>15219</v>
      </c>
      <c r="B4396" s="806" t="s">
        <v>2967</v>
      </c>
      <c r="C4396" s="818" t="s">
        <v>19297</v>
      </c>
      <c r="D4396" s="825" t="s">
        <v>3301</v>
      </c>
      <c r="E4396" s="809">
        <v>400</v>
      </c>
      <c r="F4396" s="847">
        <v>50</v>
      </c>
      <c r="G4396" s="202" t="str">
        <f t="shared" si="68"/>
        <v/>
      </c>
    </row>
    <row r="4397" spans="1:7" s="172" customFormat="1" ht="15" customHeight="1" x14ac:dyDescent="0.25">
      <c r="A4397" s="806" t="s">
        <v>15220</v>
      </c>
      <c r="B4397" s="806" t="s">
        <v>2967</v>
      </c>
      <c r="C4397" s="818" t="s">
        <v>19297</v>
      </c>
      <c r="D4397" s="806" t="s">
        <v>3302</v>
      </c>
      <c r="E4397" s="809" t="s">
        <v>19095</v>
      </c>
      <c r="F4397" s="847">
        <v>20</v>
      </c>
      <c r="G4397" s="202" t="str">
        <f t="shared" si="68"/>
        <v/>
      </c>
    </row>
    <row r="4398" spans="1:7" s="172" customFormat="1" ht="15" customHeight="1" x14ac:dyDescent="0.25">
      <c r="A4398" s="806" t="s">
        <v>15220</v>
      </c>
      <c r="B4398" s="806" t="s">
        <v>2967</v>
      </c>
      <c r="C4398" s="818" t="s">
        <v>19297</v>
      </c>
      <c r="D4398" s="806" t="s">
        <v>3303</v>
      </c>
      <c r="E4398" s="809">
        <v>100</v>
      </c>
      <c r="F4398" s="847">
        <v>30</v>
      </c>
      <c r="G4398" s="202" t="str">
        <f t="shared" si="68"/>
        <v/>
      </c>
    </row>
    <row r="4399" spans="1:7" s="172" customFormat="1" ht="15" customHeight="1" x14ac:dyDescent="0.25">
      <c r="A4399" s="806" t="s">
        <v>15220</v>
      </c>
      <c r="B4399" s="806" t="s">
        <v>2967</v>
      </c>
      <c r="C4399" s="818" t="s">
        <v>19297</v>
      </c>
      <c r="D4399" s="806" t="s">
        <v>3304</v>
      </c>
      <c r="E4399" s="809" t="s">
        <v>19095</v>
      </c>
      <c r="F4399" s="847">
        <v>40</v>
      </c>
      <c r="G4399" s="202" t="str">
        <f t="shared" si="68"/>
        <v/>
      </c>
    </row>
    <row r="4400" spans="1:7" s="172" customFormat="1" ht="15" customHeight="1" x14ac:dyDescent="0.25">
      <c r="A4400" s="806" t="s">
        <v>15220</v>
      </c>
      <c r="B4400" s="806" t="s">
        <v>2967</v>
      </c>
      <c r="C4400" s="818" t="s">
        <v>19297</v>
      </c>
      <c r="D4400" s="825" t="s">
        <v>3305</v>
      </c>
      <c r="E4400" s="809">
        <v>160</v>
      </c>
      <c r="F4400" s="847">
        <v>30</v>
      </c>
      <c r="G4400" s="202" t="str">
        <f t="shared" si="68"/>
        <v/>
      </c>
    </row>
    <row r="4401" spans="1:7" s="172" customFormat="1" ht="15" customHeight="1" x14ac:dyDescent="0.25">
      <c r="A4401" s="806" t="s">
        <v>15220</v>
      </c>
      <c r="B4401" s="806" t="s">
        <v>2967</v>
      </c>
      <c r="C4401" s="818" t="s">
        <v>19297</v>
      </c>
      <c r="D4401" s="825" t="s">
        <v>3306</v>
      </c>
      <c r="E4401" s="809" t="s">
        <v>19134</v>
      </c>
      <c r="F4401" s="847">
        <v>60</v>
      </c>
      <c r="G4401" s="202" t="str">
        <f t="shared" si="68"/>
        <v/>
      </c>
    </row>
    <row r="4402" spans="1:7" s="172" customFormat="1" ht="15" customHeight="1" x14ac:dyDescent="0.25">
      <c r="A4402" s="806" t="s">
        <v>15220</v>
      </c>
      <c r="B4402" s="806" t="s">
        <v>2967</v>
      </c>
      <c r="C4402" s="818" t="s">
        <v>19297</v>
      </c>
      <c r="D4402" s="806" t="s">
        <v>3307</v>
      </c>
      <c r="E4402" s="809">
        <v>100</v>
      </c>
      <c r="F4402" s="847">
        <v>50</v>
      </c>
      <c r="G4402" s="202" t="str">
        <f t="shared" si="68"/>
        <v/>
      </c>
    </row>
    <row r="4403" spans="1:7" s="172" customFormat="1" ht="15" customHeight="1" x14ac:dyDescent="0.25">
      <c r="A4403" s="806" t="s">
        <v>15220</v>
      </c>
      <c r="B4403" s="806" t="s">
        <v>2967</v>
      </c>
      <c r="C4403" s="818" t="s">
        <v>19297</v>
      </c>
      <c r="D4403" s="806" t="s">
        <v>19878</v>
      </c>
      <c r="E4403" s="809">
        <v>63</v>
      </c>
      <c r="F4403" s="847">
        <v>10</v>
      </c>
      <c r="G4403" s="202" t="str">
        <f t="shared" si="68"/>
        <v/>
      </c>
    </row>
    <row r="4404" spans="1:7" s="172" customFormat="1" ht="15" customHeight="1" x14ac:dyDescent="0.25">
      <c r="A4404" s="806" t="s">
        <v>3308</v>
      </c>
      <c r="B4404" s="806" t="s">
        <v>2967</v>
      </c>
      <c r="C4404" s="818" t="s">
        <v>19297</v>
      </c>
      <c r="D4404" s="806" t="s">
        <v>3309</v>
      </c>
      <c r="E4404" s="809">
        <v>100</v>
      </c>
      <c r="F4404" s="847">
        <v>40</v>
      </c>
      <c r="G4404" s="202" t="str">
        <f t="shared" si="68"/>
        <v/>
      </c>
    </row>
    <row r="4405" spans="1:7" s="172" customFormat="1" ht="15" customHeight="1" x14ac:dyDescent="0.25">
      <c r="A4405" s="806" t="s">
        <v>3310</v>
      </c>
      <c r="B4405" s="806" t="s">
        <v>2967</v>
      </c>
      <c r="C4405" s="818" t="s">
        <v>19297</v>
      </c>
      <c r="D4405" s="806" t="s">
        <v>3311</v>
      </c>
      <c r="E4405" s="809">
        <v>250</v>
      </c>
      <c r="F4405" s="847">
        <v>30</v>
      </c>
      <c r="G4405" s="202" t="str">
        <f t="shared" si="68"/>
        <v/>
      </c>
    </row>
    <row r="4406" spans="1:7" s="172" customFormat="1" ht="15" customHeight="1" x14ac:dyDescent="0.25">
      <c r="A4406" s="806" t="s">
        <v>15221</v>
      </c>
      <c r="B4406" s="806" t="s">
        <v>2967</v>
      </c>
      <c r="C4406" s="818" t="s">
        <v>19297</v>
      </c>
      <c r="D4406" s="806" t="s">
        <v>3312</v>
      </c>
      <c r="E4406" s="809">
        <v>250</v>
      </c>
      <c r="F4406" s="847">
        <v>5</v>
      </c>
      <c r="G4406" s="202" t="str">
        <f t="shared" si="68"/>
        <v/>
      </c>
    </row>
    <row r="4407" spans="1:7" s="172" customFormat="1" ht="15" customHeight="1" x14ac:dyDescent="0.25">
      <c r="A4407" s="806" t="s">
        <v>3310</v>
      </c>
      <c r="B4407" s="806" t="s">
        <v>2967</v>
      </c>
      <c r="C4407" s="818" t="s">
        <v>19297</v>
      </c>
      <c r="D4407" s="806" t="s">
        <v>3313</v>
      </c>
      <c r="E4407" s="809">
        <v>25</v>
      </c>
      <c r="F4407" s="847">
        <v>15</v>
      </c>
      <c r="G4407" s="202" t="str">
        <f t="shared" si="68"/>
        <v/>
      </c>
    </row>
    <row r="4408" spans="1:7" s="172" customFormat="1" ht="15" customHeight="1" x14ac:dyDescent="0.25">
      <c r="A4408" s="806" t="s">
        <v>3314</v>
      </c>
      <c r="B4408" s="806" t="s">
        <v>2967</v>
      </c>
      <c r="C4408" s="818" t="s">
        <v>19297</v>
      </c>
      <c r="D4408" s="806" t="s">
        <v>3315</v>
      </c>
      <c r="E4408" s="809">
        <v>400</v>
      </c>
      <c r="F4408" s="847">
        <v>200</v>
      </c>
      <c r="G4408" s="202" t="str">
        <f t="shared" si="68"/>
        <v/>
      </c>
    </row>
    <row r="4409" spans="1:7" s="172" customFormat="1" ht="15" customHeight="1" x14ac:dyDescent="0.25">
      <c r="A4409" s="806" t="s">
        <v>3310</v>
      </c>
      <c r="B4409" s="806" t="s">
        <v>2967</v>
      </c>
      <c r="C4409" s="818" t="s">
        <v>19297</v>
      </c>
      <c r="D4409" s="806" t="s">
        <v>18938</v>
      </c>
      <c r="E4409" s="809">
        <v>250</v>
      </c>
      <c r="F4409" s="847">
        <v>10</v>
      </c>
      <c r="G4409" s="202" t="str">
        <f t="shared" si="68"/>
        <v/>
      </c>
    </row>
    <row r="4410" spans="1:7" s="172" customFormat="1" ht="15" customHeight="1" x14ac:dyDescent="0.25">
      <c r="A4410" s="806" t="s">
        <v>3310</v>
      </c>
      <c r="B4410" s="806" t="s">
        <v>2967</v>
      </c>
      <c r="C4410" s="818" t="s">
        <v>19297</v>
      </c>
      <c r="D4410" s="806" t="s">
        <v>19879</v>
      </c>
      <c r="E4410" s="809">
        <v>63</v>
      </c>
      <c r="F4410" s="847">
        <v>20</v>
      </c>
      <c r="G4410" s="202" t="str">
        <f t="shared" si="68"/>
        <v/>
      </c>
    </row>
    <row r="4411" spans="1:7" s="172" customFormat="1" ht="15" customHeight="1" x14ac:dyDescent="0.25">
      <c r="A4411" s="806" t="s">
        <v>15222</v>
      </c>
      <c r="B4411" s="806" t="s">
        <v>2967</v>
      </c>
      <c r="C4411" s="818" t="s">
        <v>19297</v>
      </c>
      <c r="D4411" s="806" t="s">
        <v>3316</v>
      </c>
      <c r="E4411" s="809">
        <v>400</v>
      </c>
      <c r="F4411" s="847">
        <v>80</v>
      </c>
      <c r="G4411" s="202" t="str">
        <f t="shared" si="68"/>
        <v/>
      </c>
    </row>
    <row r="4412" spans="1:7" s="172" customFormat="1" ht="15" customHeight="1" x14ac:dyDescent="0.25">
      <c r="A4412" s="806" t="s">
        <v>15223</v>
      </c>
      <c r="B4412" s="806" t="s">
        <v>2967</v>
      </c>
      <c r="C4412" s="818" t="s">
        <v>19297</v>
      </c>
      <c r="D4412" s="806" t="s">
        <v>3317</v>
      </c>
      <c r="E4412" s="809">
        <v>250</v>
      </c>
      <c r="F4412" s="847">
        <v>40</v>
      </c>
      <c r="G4412" s="202" t="str">
        <f t="shared" si="68"/>
        <v/>
      </c>
    </row>
    <row r="4413" spans="1:7" s="172" customFormat="1" ht="15" customHeight="1" x14ac:dyDescent="0.25">
      <c r="A4413" s="806" t="s">
        <v>15223</v>
      </c>
      <c r="B4413" s="806" t="s">
        <v>2967</v>
      </c>
      <c r="C4413" s="818" t="s">
        <v>19297</v>
      </c>
      <c r="D4413" s="806" t="s">
        <v>3318</v>
      </c>
      <c r="E4413" s="809">
        <v>400</v>
      </c>
      <c r="F4413" s="847">
        <v>40</v>
      </c>
      <c r="G4413" s="202" t="str">
        <f t="shared" si="68"/>
        <v/>
      </c>
    </row>
    <row r="4414" spans="1:7" s="172" customFormat="1" ht="15" customHeight="1" x14ac:dyDescent="0.25">
      <c r="A4414" s="806" t="s">
        <v>15223</v>
      </c>
      <c r="B4414" s="806" t="s">
        <v>2967</v>
      </c>
      <c r="C4414" s="818" t="s">
        <v>19297</v>
      </c>
      <c r="D4414" s="806" t="s">
        <v>3319</v>
      </c>
      <c r="E4414" s="809">
        <v>400</v>
      </c>
      <c r="F4414" s="816">
        <v>80</v>
      </c>
      <c r="G4414" s="202" t="str">
        <f t="shared" si="68"/>
        <v/>
      </c>
    </row>
    <row r="4415" spans="1:7" s="172" customFormat="1" ht="15" customHeight="1" x14ac:dyDescent="0.25">
      <c r="A4415" s="806" t="s">
        <v>15223</v>
      </c>
      <c r="B4415" s="806" t="s">
        <v>2967</v>
      </c>
      <c r="C4415" s="818" t="s">
        <v>19297</v>
      </c>
      <c r="D4415" s="806" t="s">
        <v>19135</v>
      </c>
      <c r="E4415" s="809">
        <v>100</v>
      </c>
      <c r="F4415" s="847">
        <v>20</v>
      </c>
      <c r="G4415" s="202" t="str">
        <f t="shared" si="68"/>
        <v/>
      </c>
    </row>
    <row r="4416" spans="1:7" s="172" customFormat="1" ht="15" customHeight="1" x14ac:dyDescent="0.25">
      <c r="A4416" s="806" t="s">
        <v>15223</v>
      </c>
      <c r="B4416" s="806" t="s">
        <v>2967</v>
      </c>
      <c r="C4416" s="818" t="s">
        <v>19297</v>
      </c>
      <c r="D4416" s="806" t="s">
        <v>18939</v>
      </c>
      <c r="E4416" s="809">
        <v>400</v>
      </c>
      <c r="F4416" s="847">
        <v>50</v>
      </c>
      <c r="G4416" s="202"/>
    </row>
    <row r="4417" spans="1:7" s="172" customFormat="1" ht="15" customHeight="1" x14ac:dyDescent="0.25">
      <c r="A4417" s="806" t="s">
        <v>15223</v>
      </c>
      <c r="B4417" s="806" t="s">
        <v>2967</v>
      </c>
      <c r="C4417" s="818" t="s">
        <v>19297</v>
      </c>
      <c r="D4417" s="806" t="s">
        <v>18940</v>
      </c>
      <c r="E4417" s="809">
        <v>160</v>
      </c>
      <c r="F4417" s="847">
        <v>5</v>
      </c>
      <c r="G4417" s="202" t="str">
        <f t="shared" si="68"/>
        <v/>
      </c>
    </row>
    <row r="4418" spans="1:7" s="172" customFormat="1" ht="15" customHeight="1" x14ac:dyDescent="0.25">
      <c r="A4418" s="806" t="s">
        <v>15223</v>
      </c>
      <c r="B4418" s="806" t="s">
        <v>2967</v>
      </c>
      <c r="C4418" s="818" t="s">
        <v>19297</v>
      </c>
      <c r="D4418" s="806" t="s">
        <v>18941</v>
      </c>
      <c r="E4418" s="809">
        <v>630</v>
      </c>
      <c r="F4418" s="847">
        <v>100</v>
      </c>
      <c r="G4418" s="202" t="str">
        <f t="shared" si="68"/>
        <v/>
      </c>
    </row>
    <row r="4419" spans="1:7" s="172" customFormat="1" ht="15" customHeight="1" x14ac:dyDescent="0.25">
      <c r="A4419" s="806" t="s">
        <v>15223</v>
      </c>
      <c r="B4419" s="806" t="s">
        <v>2967</v>
      </c>
      <c r="C4419" s="818" t="s">
        <v>19297</v>
      </c>
      <c r="D4419" s="806" t="s">
        <v>18942</v>
      </c>
      <c r="E4419" s="809">
        <v>630</v>
      </c>
      <c r="F4419" s="847">
        <v>100</v>
      </c>
      <c r="G4419" s="202" t="str">
        <f t="shared" si="68"/>
        <v/>
      </c>
    </row>
    <row r="4420" spans="1:7" s="172" customFormat="1" ht="15" customHeight="1" x14ac:dyDescent="0.25">
      <c r="A4420" s="806" t="s">
        <v>15223</v>
      </c>
      <c r="B4420" s="806" t="s">
        <v>2967</v>
      </c>
      <c r="C4420" s="818" t="s">
        <v>19297</v>
      </c>
      <c r="D4420" s="806" t="s">
        <v>18943</v>
      </c>
      <c r="E4420" s="809">
        <v>400</v>
      </c>
      <c r="F4420" s="847">
        <v>40</v>
      </c>
      <c r="G4420" s="202" t="str">
        <f t="shared" si="68"/>
        <v/>
      </c>
    </row>
    <row r="4421" spans="1:7" s="172" customFormat="1" ht="15" customHeight="1" x14ac:dyDescent="0.25">
      <c r="A4421" s="806" t="s">
        <v>15223</v>
      </c>
      <c r="B4421" s="806" t="s">
        <v>2967</v>
      </c>
      <c r="C4421" s="818" t="s">
        <v>19297</v>
      </c>
      <c r="D4421" s="806" t="s">
        <v>19136</v>
      </c>
      <c r="E4421" s="809">
        <v>160</v>
      </c>
      <c r="F4421" s="847">
        <v>50</v>
      </c>
      <c r="G4421" s="202" t="str">
        <f t="shared" si="68"/>
        <v/>
      </c>
    </row>
    <row r="4422" spans="1:7" s="172" customFormat="1" ht="15" customHeight="1" x14ac:dyDescent="0.25">
      <c r="A4422" s="806" t="s">
        <v>15223</v>
      </c>
      <c r="B4422" s="806" t="s">
        <v>2967</v>
      </c>
      <c r="C4422" s="818" t="s">
        <v>19297</v>
      </c>
      <c r="D4422" s="806" t="s">
        <v>19880</v>
      </c>
      <c r="E4422" s="809">
        <v>63</v>
      </c>
      <c r="F4422" s="847">
        <v>30</v>
      </c>
      <c r="G4422" s="202" t="str">
        <f t="shared" si="68"/>
        <v/>
      </c>
    </row>
    <row r="4423" spans="1:7" s="172" customFormat="1" ht="15" customHeight="1" x14ac:dyDescent="0.25">
      <c r="A4423" s="806" t="s">
        <v>3320</v>
      </c>
      <c r="B4423" s="806" t="s">
        <v>2967</v>
      </c>
      <c r="C4423" s="818" t="s">
        <v>19297</v>
      </c>
      <c r="D4423" s="806" t="s">
        <v>3321</v>
      </c>
      <c r="E4423" s="809">
        <v>160</v>
      </c>
      <c r="F4423" s="847">
        <v>20</v>
      </c>
      <c r="G4423" s="202" t="str">
        <f t="shared" si="68"/>
        <v/>
      </c>
    </row>
    <row r="4424" spans="1:7" s="172" customFormat="1" ht="15" customHeight="1" x14ac:dyDescent="0.25">
      <c r="A4424" s="806" t="s">
        <v>15224</v>
      </c>
      <c r="B4424" s="806" t="s">
        <v>2967</v>
      </c>
      <c r="C4424" s="818" t="s">
        <v>19297</v>
      </c>
      <c r="D4424" s="806" t="s">
        <v>3322</v>
      </c>
      <c r="E4424" s="809">
        <v>160</v>
      </c>
      <c r="F4424" s="847">
        <v>20</v>
      </c>
      <c r="G4424" s="202" t="str">
        <f t="shared" si="68"/>
        <v/>
      </c>
    </row>
    <row r="4425" spans="1:7" s="172" customFormat="1" ht="15" customHeight="1" x14ac:dyDescent="0.25">
      <c r="A4425" s="806" t="s">
        <v>15224</v>
      </c>
      <c r="B4425" s="806" t="s">
        <v>2967</v>
      </c>
      <c r="C4425" s="818" t="s">
        <v>19297</v>
      </c>
      <c r="D4425" s="806" t="s">
        <v>3323</v>
      </c>
      <c r="E4425" s="809">
        <v>160</v>
      </c>
      <c r="F4425" s="847">
        <v>50</v>
      </c>
      <c r="G4425" s="202" t="str">
        <f t="shared" si="68"/>
        <v/>
      </c>
    </row>
    <row r="4426" spans="1:7" s="172" customFormat="1" ht="15" customHeight="1" x14ac:dyDescent="0.25">
      <c r="A4426" s="806" t="s">
        <v>15224</v>
      </c>
      <c r="B4426" s="806" t="s">
        <v>2967</v>
      </c>
      <c r="C4426" s="818" t="s">
        <v>19297</v>
      </c>
      <c r="D4426" s="806" t="s">
        <v>3324</v>
      </c>
      <c r="E4426" s="809">
        <v>160</v>
      </c>
      <c r="F4426" s="847">
        <v>50</v>
      </c>
      <c r="G4426" s="202" t="str">
        <f t="shared" si="68"/>
        <v/>
      </c>
    </row>
    <row r="4427" spans="1:7" s="172" customFormat="1" ht="15" customHeight="1" x14ac:dyDescent="0.25">
      <c r="A4427" s="809" t="s">
        <v>15224</v>
      </c>
      <c r="B4427" s="806" t="s">
        <v>2967</v>
      </c>
      <c r="C4427" s="818" t="s">
        <v>19297</v>
      </c>
      <c r="D4427" s="806" t="s">
        <v>18944</v>
      </c>
      <c r="E4427" s="809">
        <v>100</v>
      </c>
      <c r="F4427" s="847">
        <v>15</v>
      </c>
      <c r="G4427" s="202" t="str">
        <f t="shared" si="68"/>
        <v/>
      </c>
    </row>
    <row r="4428" spans="1:7" s="172" customFormat="1" ht="15" customHeight="1" x14ac:dyDescent="0.25">
      <c r="A4428" s="809" t="s">
        <v>15224</v>
      </c>
      <c r="B4428" s="806" t="s">
        <v>2967</v>
      </c>
      <c r="C4428" s="818" t="s">
        <v>19297</v>
      </c>
      <c r="D4428" s="806" t="s">
        <v>19881</v>
      </c>
      <c r="E4428" s="809">
        <v>63</v>
      </c>
      <c r="F4428" s="847">
        <v>40</v>
      </c>
      <c r="G4428" s="202" t="str">
        <f t="shared" si="68"/>
        <v/>
      </c>
    </row>
    <row r="4429" spans="1:7" s="172" customFormat="1" ht="15" customHeight="1" x14ac:dyDescent="0.25">
      <c r="A4429" s="809" t="s">
        <v>15224</v>
      </c>
      <c r="B4429" s="806" t="s">
        <v>2967</v>
      </c>
      <c r="C4429" s="818" t="s">
        <v>19297</v>
      </c>
      <c r="D4429" s="806" t="s">
        <v>19882</v>
      </c>
      <c r="E4429" s="809">
        <v>160</v>
      </c>
      <c r="F4429" s="847">
        <v>45</v>
      </c>
      <c r="G4429" s="202" t="str">
        <f t="shared" si="68"/>
        <v/>
      </c>
    </row>
    <row r="4430" spans="1:7" s="172" customFormat="1" ht="15" customHeight="1" x14ac:dyDescent="0.25">
      <c r="A4430" s="809" t="s">
        <v>15222</v>
      </c>
      <c r="B4430" s="806" t="s">
        <v>2967</v>
      </c>
      <c r="C4430" s="818" t="s">
        <v>19297</v>
      </c>
      <c r="D4430" s="806" t="s">
        <v>3325</v>
      </c>
      <c r="E4430" s="809">
        <v>400</v>
      </c>
      <c r="F4430" s="847">
        <v>30</v>
      </c>
      <c r="G4430" s="202" t="str">
        <f t="shared" si="68"/>
        <v/>
      </c>
    </row>
    <row r="4431" spans="1:7" s="172" customFormat="1" ht="15" customHeight="1" x14ac:dyDescent="0.25">
      <c r="A4431" s="809" t="s">
        <v>15222</v>
      </c>
      <c r="B4431" s="806" t="s">
        <v>2967</v>
      </c>
      <c r="C4431" s="818" t="s">
        <v>19297</v>
      </c>
      <c r="D4431" s="806" t="s">
        <v>19137</v>
      </c>
      <c r="E4431" s="809">
        <v>160</v>
      </c>
      <c r="F4431" s="847">
        <v>40</v>
      </c>
      <c r="G4431" s="202" t="str">
        <f t="shared" si="68"/>
        <v/>
      </c>
    </row>
    <row r="4432" spans="1:7" s="172" customFormat="1" ht="15" customHeight="1" x14ac:dyDescent="0.25">
      <c r="A4432" s="809" t="s">
        <v>15222</v>
      </c>
      <c r="B4432" s="806" t="s">
        <v>2967</v>
      </c>
      <c r="C4432" s="818" t="s">
        <v>19297</v>
      </c>
      <c r="D4432" s="806" t="s">
        <v>18945</v>
      </c>
      <c r="E4432" s="809">
        <v>63</v>
      </c>
      <c r="F4432" s="847">
        <v>20</v>
      </c>
      <c r="G4432" s="202" t="str">
        <f t="shared" si="68"/>
        <v/>
      </c>
    </row>
    <row r="4433" spans="1:7" s="172" customFormat="1" ht="15" customHeight="1" x14ac:dyDescent="0.25">
      <c r="A4433" s="809" t="s">
        <v>15225</v>
      </c>
      <c r="B4433" s="806" t="s">
        <v>2967</v>
      </c>
      <c r="C4433" s="818" t="s">
        <v>19297</v>
      </c>
      <c r="D4433" s="806" t="s">
        <v>3327</v>
      </c>
      <c r="E4433" s="809">
        <v>100</v>
      </c>
      <c r="F4433" s="847">
        <v>10</v>
      </c>
      <c r="G4433" s="202" t="str">
        <f t="shared" si="68"/>
        <v/>
      </c>
    </row>
    <row r="4434" spans="1:7" s="172" customFormat="1" ht="15" customHeight="1" x14ac:dyDescent="0.25">
      <c r="A4434" s="809" t="s">
        <v>3326</v>
      </c>
      <c r="B4434" s="806" t="s">
        <v>2967</v>
      </c>
      <c r="C4434" s="818" t="s">
        <v>19297</v>
      </c>
      <c r="D4434" s="806" t="s">
        <v>3328</v>
      </c>
      <c r="E4434" s="809">
        <v>160</v>
      </c>
      <c r="F4434" s="847">
        <v>40</v>
      </c>
      <c r="G4434" s="202" t="str">
        <f t="shared" si="68"/>
        <v/>
      </c>
    </row>
    <row r="4435" spans="1:7" s="172" customFormat="1" ht="15" customHeight="1" x14ac:dyDescent="0.25">
      <c r="A4435" s="809" t="s">
        <v>15225</v>
      </c>
      <c r="B4435" s="806" t="s">
        <v>2967</v>
      </c>
      <c r="C4435" s="818" t="s">
        <v>19297</v>
      </c>
      <c r="D4435" s="806" t="s">
        <v>19883</v>
      </c>
      <c r="E4435" s="809">
        <v>100</v>
      </c>
      <c r="F4435" s="847">
        <v>20</v>
      </c>
      <c r="G4435" s="202" t="str">
        <f t="shared" si="68"/>
        <v/>
      </c>
    </row>
    <row r="4436" spans="1:7" s="172" customFormat="1" ht="15" customHeight="1" x14ac:dyDescent="0.25">
      <c r="A4436" s="809" t="s">
        <v>15225</v>
      </c>
      <c r="B4436" s="806" t="s">
        <v>2967</v>
      </c>
      <c r="C4436" s="818" t="s">
        <v>19297</v>
      </c>
      <c r="D4436" s="806" t="s">
        <v>19884</v>
      </c>
      <c r="E4436" s="809">
        <v>63</v>
      </c>
      <c r="F4436" s="847">
        <v>40</v>
      </c>
      <c r="G4436" s="202" t="str">
        <f t="shared" si="68"/>
        <v/>
      </c>
    </row>
    <row r="4437" spans="1:7" s="172" customFormat="1" ht="15" customHeight="1" x14ac:dyDescent="0.25">
      <c r="A4437" s="809" t="s">
        <v>15226</v>
      </c>
      <c r="B4437" s="806" t="s">
        <v>2967</v>
      </c>
      <c r="C4437" s="818" t="s">
        <v>19297</v>
      </c>
      <c r="D4437" s="806" t="s">
        <v>3329</v>
      </c>
      <c r="E4437" s="809">
        <v>63</v>
      </c>
      <c r="F4437" s="847">
        <v>5</v>
      </c>
      <c r="G4437" s="202" t="str">
        <f t="shared" si="68"/>
        <v/>
      </c>
    </row>
    <row r="4438" spans="1:7" s="172" customFormat="1" ht="15" customHeight="1" x14ac:dyDescent="0.25">
      <c r="A4438" s="809" t="s">
        <v>15227</v>
      </c>
      <c r="B4438" s="806" t="s">
        <v>2967</v>
      </c>
      <c r="C4438" s="818" t="s">
        <v>19297</v>
      </c>
      <c r="D4438" s="806" t="s">
        <v>3330</v>
      </c>
      <c r="E4438" s="809">
        <v>160</v>
      </c>
      <c r="F4438" s="847">
        <v>50</v>
      </c>
      <c r="G4438" s="202" t="str">
        <f t="shared" si="68"/>
        <v/>
      </c>
    </row>
    <row r="4439" spans="1:7" s="172" customFormat="1" ht="15" customHeight="1" x14ac:dyDescent="0.25">
      <c r="A4439" s="809" t="s">
        <v>3331</v>
      </c>
      <c r="B4439" s="806" t="s">
        <v>2967</v>
      </c>
      <c r="C4439" s="818" t="s">
        <v>19297</v>
      </c>
      <c r="D4439" s="806" t="s">
        <v>3332</v>
      </c>
      <c r="E4439" s="809">
        <v>100</v>
      </c>
      <c r="F4439" s="847">
        <v>5</v>
      </c>
      <c r="G4439" s="202" t="str">
        <f t="shared" si="68"/>
        <v/>
      </c>
    </row>
    <row r="4440" spans="1:7" s="172" customFormat="1" ht="15" customHeight="1" x14ac:dyDescent="0.25">
      <c r="A4440" s="809" t="s">
        <v>15228</v>
      </c>
      <c r="B4440" s="806" t="s">
        <v>2967</v>
      </c>
      <c r="C4440" s="818" t="s">
        <v>19297</v>
      </c>
      <c r="D4440" s="806" t="s">
        <v>3333</v>
      </c>
      <c r="E4440" s="809">
        <v>400</v>
      </c>
      <c r="F4440" s="847">
        <v>120</v>
      </c>
      <c r="G4440" s="202" t="str">
        <f t="shared" si="68"/>
        <v/>
      </c>
    </row>
    <row r="4441" spans="1:7" s="172" customFormat="1" ht="15" customHeight="1" x14ac:dyDescent="0.25">
      <c r="A4441" s="809" t="s">
        <v>15228</v>
      </c>
      <c r="B4441" s="806" t="s">
        <v>2967</v>
      </c>
      <c r="C4441" s="818" t="s">
        <v>19297</v>
      </c>
      <c r="D4441" s="806" t="s">
        <v>19138</v>
      </c>
      <c r="E4441" s="809">
        <v>63</v>
      </c>
      <c r="F4441" s="847">
        <v>40</v>
      </c>
      <c r="G4441" s="202" t="str">
        <f t="shared" si="68"/>
        <v/>
      </c>
    </row>
    <row r="4442" spans="1:7" s="172" customFormat="1" ht="15" customHeight="1" x14ac:dyDescent="0.25">
      <c r="A4442" s="809" t="s">
        <v>15228</v>
      </c>
      <c r="B4442" s="806" t="s">
        <v>2967</v>
      </c>
      <c r="C4442" s="818" t="s">
        <v>19297</v>
      </c>
      <c r="D4442" s="806" t="s">
        <v>19885</v>
      </c>
      <c r="E4442" s="809">
        <v>63</v>
      </c>
      <c r="F4442" s="847">
        <v>10</v>
      </c>
      <c r="G4442" s="202" t="str">
        <f t="shared" si="68"/>
        <v/>
      </c>
    </row>
    <row r="4443" spans="1:7" s="172" customFormat="1" ht="15" customHeight="1" x14ac:dyDescent="0.25">
      <c r="A4443" s="809" t="s">
        <v>15229</v>
      </c>
      <c r="B4443" s="806" t="s">
        <v>2967</v>
      </c>
      <c r="C4443" s="818" t="s">
        <v>19297</v>
      </c>
      <c r="D4443" s="806" t="s">
        <v>3334</v>
      </c>
      <c r="E4443" s="809">
        <v>160</v>
      </c>
      <c r="F4443" s="847">
        <v>15</v>
      </c>
      <c r="G4443" s="202" t="str">
        <f t="shared" si="68"/>
        <v/>
      </c>
    </row>
    <row r="4444" spans="1:7" s="172" customFormat="1" ht="15" customHeight="1" x14ac:dyDescent="0.25">
      <c r="A4444" s="809" t="s">
        <v>15229</v>
      </c>
      <c r="B4444" s="806" t="s">
        <v>2967</v>
      </c>
      <c r="C4444" s="818" t="s">
        <v>19297</v>
      </c>
      <c r="D4444" s="806" t="s">
        <v>3335</v>
      </c>
      <c r="E4444" s="809">
        <v>100</v>
      </c>
      <c r="F4444" s="847">
        <v>20</v>
      </c>
      <c r="G4444" s="202" t="str">
        <f t="shared" si="68"/>
        <v/>
      </c>
    </row>
    <row r="4445" spans="1:7" s="172" customFormat="1" ht="15" customHeight="1" x14ac:dyDescent="0.25">
      <c r="A4445" s="809" t="s">
        <v>15229</v>
      </c>
      <c r="B4445" s="806" t="s">
        <v>2967</v>
      </c>
      <c r="C4445" s="818" t="s">
        <v>19297</v>
      </c>
      <c r="D4445" s="806" t="s">
        <v>18946</v>
      </c>
      <c r="E4445" s="809">
        <v>25</v>
      </c>
      <c r="F4445" s="847">
        <v>10</v>
      </c>
      <c r="G4445" s="202" t="str">
        <f t="shared" ref="G4445:G4508" si="69">IF(E4445=F4445,"не загружен","")</f>
        <v/>
      </c>
    </row>
    <row r="4446" spans="1:7" s="172" customFormat="1" ht="15" customHeight="1" x14ac:dyDescent="0.25">
      <c r="A4446" s="809" t="s">
        <v>15229</v>
      </c>
      <c r="B4446" s="806" t="s">
        <v>2967</v>
      </c>
      <c r="C4446" s="818" t="s">
        <v>19297</v>
      </c>
      <c r="D4446" s="806" t="s">
        <v>19139</v>
      </c>
      <c r="E4446" s="809">
        <v>160</v>
      </c>
      <c r="F4446" s="847">
        <v>40</v>
      </c>
      <c r="G4446" s="202" t="str">
        <f t="shared" si="69"/>
        <v/>
      </c>
    </row>
    <row r="4447" spans="1:7" s="172" customFormat="1" ht="15" customHeight="1" x14ac:dyDescent="0.25">
      <c r="A4447" s="809" t="s">
        <v>3350</v>
      </c>
      <c r="B4447" s="806" t="s">
        <v>2967</v>
      </c>
      <c r="C4447" s="818" t="s">
        <v>19297</v>
      </c>
      <c r="D4447" s="806" t="s">
        <v>19140</v>
      </c>
      <c r="E4447" s="809">
        <v>63</v>
      </c>
      <c r="F4447" s="847">
        <v>35</v>
      </c>
      <c r="G4447" s="202" t="str">
        <f t="shared" si="69"/>
        <v/>
      </c>
    </row>
    <row r="4448" spans="1:7" s="172" customFormat="1" ht="15" customHeight="1" x14ac:dyDescent="0.25">
      <c r="A4448" s="809" t="s">
        <v>3336</v>
      </c>
      <c r="B4448" s="806" t="s">
        <v>2967</v>
      </c>
      <c r="C4448" s="818" t="s">
        <v>19297</v>
      </c>
      <c r="D4448" s="806" t="s">
        <v>19886</v>
      </c>
      <c r="E4448" s="809">
        <v>63</v>
      </c>
      <c r="F4448" s="847">
        <v>40</v>
      </c>
      <c r="G4448" s="202" t="str">
        <f t="shared" si="69"/>
        <v/>
      </c>
    </row>
    <row r="4449" spans="1:7" s="172" customFormat="1" ht="15" customHeight="1" x14ac:dyDescent="0.25">
      <c r="A4449" s="809" t="s">
        <v>3336</v>
      </c>
      <c r="B4449" s="806" t="s">
        <v>2967</v>
      </c>
      <c r="C4449" s="818" t="s">
        <v>19297</v>
      </c>
      <c r="D4449" s="806" t="s">
        <v>3337</v>
      </c>
      <c r="E4449" s="809">
        <v>100</v>
      </c>
      <c r="F4449" s="847">
        <v>20</v>
      </c>
      <c r="G4449" s="202" t="str">
        <f t="shared" si="69"/>
        <v/>
      </c>
    </row>
    <row r="4450" spans="1:7" s="172" customFormat="1" ht="15" customHeight="1" x14ac:dyDescent="0.25">
      <c r="A4450" s="809" t="s">
        <v>3338</v>
      </c>
      <c r="B4450" s="806" t="s">
        <v>2967</v>
      </c>
      <c r="C4450" s="818" t="s">
        <v>19297</v>
      </c>
      <c r="D4450" s="806" t="s">
        <v>3339</v>
      </c>
      <c r="E4450" s="809">
        <v>63</v>
      </c>
      <c r="F4450" s="847">
        <v>10</v>
      </c>
      <c r="G4450" s="202" t="str">
        <f t="shared" si="69"/>
        <v/>
      </c>
    </row>
    <row r="4451" spans="1:7" s="172" customFormat="1" ht="15" customHeight="1" x14ac:dyDescent="0.25">
      <c r="A4451" s="809" t="s">
        <v>15230</v>
      </c>
      <c r="B4451" s="806" t="s">
        <v>2967</v>
      </c>
      <c r="C4451" s="818" t="s">
        <v>19297</v>
      </c>
      <c r="D4451" s="806" t="s">
        <v>3340</v>
      </c>
      <c r="E4451" s="809">
        <v>40</v>
      </c>
      <c r="F4451" s="847">
        <v>15</v>
      </c>
      <c r="G4451" s="202" t="str">
        <f t="shared" si="69"/>
        <v/>
      </c>
    </row>
    <row r="4452" spans="1:7" s="172" customFormat="1" ht="15" customHeight="1" x14ac:dyDescent="0.25">
      <c r="A4452" s="806" t="s">
        <v>15220</v>
      </c>
      <c r="B4452" s="806" t="s">
        <v>2967</v>
      </c>
      <c r="C4452" s="818" t="s">
        <v>19297</v>
      </c>
      <c r="D4452" s="806" t="s">
        <v>3341</v>
      </c>
      <c r="E4452" s="809">
        <v>100</v>
      </c>
      <c r="F4452" s="847">
        <v>50</v>
      </c>
      <c r="G4452" s="202" t="str">
        <f t="shared" si="69"/>
        <v/>
      </c>
    </row>
    <row r="4453" spans="1:7" s="172" customFormat="1" ht="15" customHeight="1" x14ac:dyDescent="0.25">
      <c r="A4453" s="806" t="s">
        <v>15231</v>
      </c>
      <c r="B4453" s="806" t="s">
        <v>2967</v>
      </c>
      <c r="C4453" s="818" t="s">
        <v>19297</v>
      </c>
      <c r="D4453" s="806" t="s">
        <v>3342</v>
      </c>
      <c r="E4453" s="809">
        <v>160</v>
      </c>
      <c r="F4453" s="816">
        <v>40</v>
      </c>
      <c r="G4453" s="202" t="str">
        <f t="shared" si="69"/>
        <v/>
      </c>
    </row>
    <row r="4454" spans="1:7" s="172" customFormat="1" ht="15" customHeight="1" x14ac:dyDescent="0.25">
      <c r="A4454" s="806" t="s">
        <v>2995</v>
      </c>
      <c r="B4454" s="806" t="s">
        <v>2967</v>
      </c>
      <c r="C4454" s="818" t="s">
        <v>19297</v>
      </c>
      <c r="D4454" s="806" t="s">
        <v>3343</v>
      </c>
      <c r="E4454" s="809">
        <v>60</v>
      </c>
      <c r="F4454" s="816">
        <v>20</v>
      </c>
      <c r="G4454" s="202" t="str">
        <f t="shared" si="69"/>
        <v/>
      </c>
    </row>
    <row r="4455" spans="1:7" s="172" customFormat="1" ht="15" customHeight="1" x14ac:dyDescent="0.25">
      <c r="A4455" s="806" t="s">
        <v>15232</v>
      </c>
      <c r="B4455" s="806" t="s">
        <v>2967</v>
      </c>
      <c r="C4455" s="818" t="s">
        <v>19297</v>
      </c>
      <c r="D4455" s="806" t="s">
        <v>3344</v>
      </c>
      <c r="E4455" s="809">
        <v>100</v>
      </c>
      <c r="F4455" s="847">
        <v>45</v>
      </c>
      <c r="G4455" s="202" t="str">
        <f t="shared" si="69"/>
        <v/>
      </c>
    </row>
    <row r="4456" spans="1:7" s="172" customFormat="1" ht="15" customHeight="1" x14ac:dyDescent="0.25">
      <c r="A4456" s="806" t="s">
        <v>15233</v>
      </c>
      <c r="B4456" s="806" t="s">
        <v>2967</v>
      </c>
      <c r="C4456" s="818" t="s">
        <v>19297</v>
      </c>
      <c r="D4456" s="806" t="s">
        <v>3345</v>
      </c>
      <c r="E4456" s="809">
        <v>250</v>
      </c>
      <c r="F4456" s="847">
        <v>50</v>
      </c>
      <c r="G4456" s="202" t="str">
        <f t="shared" si="69"/>
        <v/>
      </c>
    </row>
    <row r="4457" spans="1:7" s="172" customFormat="1" ht="15" customHeight="1" x14ac:dyDescent="0.25">
      <c r="A4457" s="806" t="s">
        <v>3346</v>
      </c>
      <c r="B4457" s="806" t="s">
        <v>2967</v>
      </c>
      <c r="C4457" s="818" t="s">
        <v>19297</v>
      </c>
      <c r="D4457" s="806" t="s">
        <v>3347</v>
      </c>
      <c r="E4457" s="809">
        <v>160</v>
      </c>
      <c r="F4457" s="847">
        <v>35</v>
      </c>
      <c r="G4457" s="202" t="str">
        <f t="shared" si="69"/>
        <v/>
      </c>
    </row>
    <row r="4458" spans="1:7" s="172" customFormat="1" ht="15" customHeight="1" x14ac:dyDescent="0.25">
      <c r="A4458" s="806" t="s">
        <v>3348</v>
      </c>
      <c r="B4458" s="806" t="s">
        <v>2967</v>
      </c>
      <c r="C4458" s="818" t="s">
        <v>19297</v>
      </c>
      <c r="D4458" s="806" t="s">
        <v>3349</v>
      </c>
      <c r="E4458" s="809">
        <v>250</v>
      </c>
      <c r="F4458" s="847">
        <v>50</v>
      </c>
      <c r="G4458" s="202" t="str">
        <f t="shared" si="69"/>
        <v/>
      </c>
    </row>
    <row r="4459" spans="1:7" s="172" customFormat="1" ht="15" customHeight="1" x14ac:dyDescent="0.25">
      <c r="A4459" s="806" t="s">
        <v>3350</v>
      </c>
      <c r="B4459" s="806" t="s">
        <v>2967</v>
      </c>
      <c r="C4459" s="818" t="s">
        <v>19297</v>
      </c>
      <c r="D4459" s="806" t="s">
        <v>3351</v>
      </c>
      <c r="E4459" s="809">
        <v>100</v>
      </c>
      <c r="F4459" s="847">
        <v>30</v>
      </c>
      <c r="G4459" s="202" t="str">
        <f t="shared" si="69"/>
        <v/>
      </c>
    </row>
    <row r="4460" spans="1:7" s="172" customFormat="1" ht="15" customHeight="1" x14ac:dyDescent="0.25">
      <c r="A4460" s="806" t="s">
        <v>3352</v>
      </c>
      <c r="B4460" s="806" t="s">
        <v>2967</v>
      </c>
      <c r="C4460" s="818" t="s">
        <v>19297</v>
      </c>
      <c r="D4460" s="806" t="s">
        <v>3353</v>
      </c>
      <c r="E4460" s="809">
        <v>160</v>
      </c>
      <c r="F4460" s="847">
        <v>40</v>
      </c>
      <c r="G4460" s="202" t="str">
        <f t="shared" si="69"/>
        <v/>
      </c>
    </row>
    <row r="4461" spans="1:7" s="172" customFormat="1" ht="15" customHeight="1" x14ac:dyDescent="0.25">
      <c r="A4461" s="806" t="s">
        <v>3354</v>
      </c>
      <c r="B4461" s="806" t="s">
        <v>2967</v>
      </c>
      <c r="C4461" s="818" t="s">
        <v>19297</v>
      </c>
      <c r="D4461" s="806" t="s">
        <v>3355</v>
      </c>
      <c r="E4461" s="809">
        <v>160</v>
      </c>
      <c r="F4461" s="847">
        <v>20</v>
      </c>
      <c r="G4461" s="202" t="str">
        <f t="shared" si="69"/>
        <v/>
      </c>
    </row>
    <row r="4462" spans="1:7" s="172" customFormat="1" ht="15" customHeight="1" x14ac:dyDescent="0.25">
      <c r="A4462" s="806" t="s">
        <v>15220</v>
      </c>
      <c r="B4462" s="806" t="s">
        <v>2967</v>
      </c>
      <c r="C4462" s="818" t="s">
        <v>19297</v>
      </c>
      <c r="D4462" s="806" t="s">
        <v>3356</v>
      </c>
      <c r="E4462" s="809">
        <v>160</v>
      </c>
      <c r="F4462" s="847">
        <v>50</v>
      </c>
      <c r="G4462" s="202" t="str">
        <f t="shared" si="69"/>
        <v/>
      </c>
    </row>
    <row r="4463" spans="1:7" s="172" customFormat="1" ht="15" customHeight="1" x14ac:dyDescent="0.25">
      <c r="A4463" s="806" t="s">
        <v>15234</v>
      </c>
      <c r="B4463" s="806" t="s">
        <v>2967</v>
      </c>
      <c r="C4463" s="818" t="s">
        <v>19297</v>
      </c>
      <c r="D4463" s="806" t="s">
        <v>3357</v>
      </c>
      <c r="E4463" s="809" t="s">
        <v>19095</v>
      </c>
      <c r="F4463" s="847">
        <v>80</v>
      </c>
      <c r="G4463" s="202" t="str">
        <f t="shared" si="69"/>
        <v/>
      </c>
    </row>
    <row r="4464" spans="1:7" s="172" customFormat="1" ht="15" customHeight="1" x14ac:dyDescent="0.25">
      <c r="A4464" s="806" t="s">
        <v>15234</v>
      </c>
      <c r="B4464" s="806" t="s">
        <v>2967</v>
      </c>
      <c r="C4464" s="818" t="s">
        <v>19297</v>
      </c>
      <c r="D4464" s="806" t="s">
        <v>19887</v>
      </c>
      <c r="E4464" s="809">
        <v>63</v>
      </c>
      <c r="F4464" s="847">
        <v>30</v>
      </c>
      <c r="G4464" s="202" t="str">
        <f t="shared" si="69"/>
        <v/>
      </c>
    </row>
    <row r="4465" spans="1:7" s="172" customFormat="1" ht="15" customHeight="1" x14ac:dyDescent="0.25">
      <c r="A4465" s="806" t="s">
        <v>15235</v>
      </c>
      <c r="B4465" s="806" t="s">
        <v>2967</v>
      </c>
      <c r="C4465" s="818" t="s">
        <v>19297</v>
      </c>
      <c r="D4465" s="806" t="s">
        <v>3358</v>
      </c>
      <c r="E4465" s="809">
        <v>160</v>
      </c>
      <c r="F4465" s="847">
        <v>70</v>
      </c>
      <c r="G4465" s="202" t="str">
        <f t="shared" si="69"/>
        <v/>
      </c>
    </row>
    <row r="4466" spans="1:7" s="172" customFormat="1" ht="15" customHeight="1" x14ac:dyDescent="0.25">
      <c r="A4466" s="806" t="s">
        <v>15236</v>
      </c>
      <c r="B4466" s="806" t="s">
        <v>2967</v>
      </c>
      <c r="C4466" s="818" t="s">
        <v>19297</v>
      </c>
      <c r="D4466" s="806" t="s">
        <v>3359</v>
      </c>
      <c r="E4466" s="809">
        <v>20</v>
      </c>
      <c r="F4466" s="847">
        <v>5</v>
      </c>
      <c r="G4466" s="202" t="str">
        <f t="shared" si="69"/>
        <v/>
      </c>
    </row>
    <row r="4467" spans="1:7" s="172" customFormat="1" ht="15" customHeight="1" x14ac:dyDescent="0.25">
      <c r="A4467" s="806" t="s">
        <v>3360</v>
      </c>
      <c r="B4467" s="806" t="s">
        <v>2967</v>
      </c>
      <c r="C4467" s="818" t="s">
        <v>19297</v>
      </c>
      <c r="D4467" s="806" t="s">
        <v>3361</v>
      </c>
      <c r="E4467" s="809">
        <v>30</v>
      </c>
      <c r="F4467" s="847">
        <v>5</v>
      </c>
      <c r="G4467" s="202" t="str">
        <f t="shared" si="69"/>
        <v/>
      </c>
    </row>
    <row r="4468" spans="1:7" s="172" customFormat="1" ht="15" customHeight="1" x14ac:dyDescent="0.25">
      <c r="A4468" s="806" t="s">
        <v>3362</v>
      </c>
      <c r="B4468" s="806" t="s">
        <v>2967</v>
      </c>
      <c r="C4468" s="818" t="s">
        <v>19297</v>
      </c>
      <c r="D4468" s="806" t="s">
        <v>3363</v>
      </c>
      <c r="E4468" s="809">
        <v>160</v>
      </c>
      <c r="F4468" s="847">
        <v>60</v>
      </c>
      <c r="G4468" s="202" t="str">
        <f t="shared" si="69"/>
        <v/>
      </c>
    </row>
    <row r="4469" spans="1:7" s="172" customFormat="1" ht="15" customHeight="1" x14ac:dyDescent="0.25">
      <c r="A4469" s="806" t="s">
        <v>15237</v>
      </c>
      <c r="B4469" s="806" t="s">
        <v>2967</v>
      </c>
      <c r="C4469" s="818" t="s">
        <v>19297</v>
      </c>
      <c r="D4469" s="806" t="s">
        <v>3364</v>
      </c>
      <c r="E4469" s="809">
        <v>25</v>
      </c>
      <c r="F4469" s="847">
        <v>5</v>
      </c>
      <c r="G4469" s="202" t="str">
        <f t="shared" si="69"/>
        <v/>
      </c>
    </row>
    <row r="4470" spans="1:7" s="172" customFormat="1" ht="15" customHeight="1" x14ac:dyDescent="0.25">
      <c r="A4470" s="806" t="s">
        <v>15238</v>
      </c>
      <c r="B4470" s="806" t="s">
        <v>2967</v>
      </c>
      <c r="C4470" s="818" t="s">
        <v>19297</v>
      </c>
      <c r="D4470" s="806" t="s">
        <v>3365</v>
      </c>
      <c r="E4470" s="809">
        <v>100</v>
      </c>
      <c r="F4470" s="847">
        <v>30</v>
      </c>
      <c r="G4470" s="202" t="str">
        <f t="shared" si="69"/>
        <v/>
      </c>
    </row>
    <row r="4471" spans="1:7" s="172" customFormat="1" ht="15" customHeight="1" x14ac:dyDescent="0.25">
      <c r="A4471" s="806" t="s">
        <v>15239</v>
      </c>
      <c r="B4471" s="806" t="s">
        <v>2967</v>
      </c>
      <c r="C4471" s="818" t="s">
        <v>19297</v>
      </c>
      <c r="D4471" s="806" t="s">
        <v>3366</v>
      </c>
      <c r="E4471" s="809">
        <v>30</v>
      </c>
      <c r="F4471" s="847">
        <v>10</v>
      </c>
      <c r="G4471" s="202" t="str">
        <f t="shared" si="69"/>
        <v/>
      </c>
    </row>
    <row r="4472" spans="1:7" s="172" customFormat="1" ht="15" customHeight="1" x14ac:dyDescent="0.25">
      <c r="A4472" s="806" t="s">
        <v>15240</v>
      </c>
      <c r="B4472" s="806" t="s">
        <v>2967</v>
      </c>
      <c r="C4472" s="818" t="s">
        <v>19297</v>
      </c>
      <c r="D4472" s="806" t="s">
        <v>3367</v>
      </c>
      <c r="E4472" s="809">
        <v>100</v>
      </c>
      <c r="F4472" s="847">
        <v>40</v>
      </c>
      <c r="G4472" s="202" t="str">
        <f t="shared" si="69"/>
        <v/>
      </c>
    </row>
    <row r="4473" spans="1:7" s="172" customFormat="1" ht="15" customHeight="1" x14ac:dyDescent="0.25">
      <c r="A4473" s="806" t="s">
        <v>15241</v>
      </c>
      <c r="B4473" s="806" t="s">
        <v>2967</v>
      </c>
      <c r="C4473" s="818" t="s">
        <v>19297</v>
      </c>
      <c r="D4473" s="806" t="s">
        <v>3368</v>
      </c>
      <c r="E4473" s="809">
        <v>60</v>
      </c>
      <c r="F4473" s="847">
        <v>25</v>
      </c>
      <c r="G4473" s="202" t="str">
        <f t="shared" si="69"/>
        <v/>
      </c>
    </row>
    <row r="4474" spans="1:7" s="172" customFormat="1" ht="15" customHeight="1" x14ac:dyDescent="0.25">
      <c r="A4474" s="806" t="s">
        <v>3369</v>
      </c>
      <c r="B4474" s="806" t="s">
        <v>2967</v>
      </c>
      <c r="C4474" s="818" t="s">
        <v>19297</v>
      </c>
      <c r="D4474" s="806" t="s">
        <v>3370</v>
      </c>
      <c r="E4474" s="809">
        <v>20</v>
      </c>
      <c r="F4474" s="847">
        <v>5</v>
      </c>
      <c r="G4474" s="202" t="str">
        <f t="shared" si="69"/>
        <v/>
      </c>
    </row>
    <row r="4475" spans="1:7" s="172" customFormat="1" ht="15" customHeight="1" x14ac:dyDescent="0.25">
      <c r="A4475" s="806" t="s">
        <v>3371</v>
      </c>
      <c r="B4475" s="806" t="s">
        <v>2967</v>
      </c>
      <c r="C4475" s="818" t="s">
        <v>19297</v>
      </c>
      <c r="D4475" s="806" t="s">
        <v>3372</v>
      </c>
      <c r="E4475" s="809">
        <v>63</v>
      </c>
      <c r="F4475" s="847">
        <v>20</v>
      </c>
      <c r="G4475" s="202" t="str">
        <f t="shared" si="69"/>
        <v/>
      </c>
    </row>
    <row r="4476" spans="1:7" s="172" customFormat="1" ht="15" customHeight="1" x14ac:dyDescent="0.25">
      <c r="A4476" s="806" t="s">
        <v>3373</v>
      </c>
      <c r="B4476" s="806" t="s">
        <v>2967</v>
      </c>
      <c r="C4476" s="818" t="s">
        <v>19297</v>
      </c>
      <c r="D4476" s="806" t="s">
        <v>3374</v>
      </c>
      <c r="E4476" s="809">
        <v>25</v>
      </c>
      <c r="F4476" s="847">
        <v>10</v>
      </c>
      <c r="G4476" s="202" t="str">
        <f t="shared" si="69"/>
        <v/>
      </c>
    </row>
    <row r="4477" spans="1:7" s="172" customFormat="1" ht="15" customHeight="1" x14ac:dyDescent="0.25">
      <c r="A4477" s="806" t="s">
        <v>3375</v>
      </c>
      <c r="B4477" s="806" t="s">
        <v>2967</v>
      </c>
      <c r="C4477" s="818" t="s">
        <v>19297</v>
      </c>
      <c r="D4477" s="806" t="s">
        <v>3376</v>
      </c>
      <c r="E4477" s="809">
        <v>30</v>
      </c>
      <c r="F4477" s="847">
        <v>5</v>
      </c>
      <c r="G4477" s="202" t="str">
        <f t="shared" si="69"/>
        <v/>
      </c>
    </row>
    <row r="4478" spans="1:7" s="172" customFormat="1" ht="15" customHeight="1" x14ac:dyDescent="0.25">
      <c r="A4478" s="806" t="s">
        <v>3377</v>
      </c>
      <c r="B4478" s="806" t="s">
        <v>2967</v>
      </c>
      <c r="C4478" s="818" t="s">
        <v>19297</v>
      </c>
      <c r="D4478" s="806" t="s">
        <v>3378</v>
      </c>
      <c r="E4478" s="809">
        <v>30</v>
      </c>
      <c r="F4478" s="847">
        <v>10</v>
      </c>
      <c r="G4478" s="202" t="str">
        <f t="shared" si="69"/>
        <v/>
      </c>
    </row>
    <row r="4479" spans="1:7" s="172" customFormat="1" ht="15" customHeight="1" x14ac:dyDescent="0.25">
      <c r="A4479" s="806" t="s">
        <v>3379</v>
      </c>
      <c r="B4479" s="806" t="s">
        <v>2967</v>
      </c>
      <c r="C4479" s="818" t="s">
        <v>19297</v>
      </c>
      <c r="D4479" s="806" t="s">
        <v>3380</v>
      </c>
      <c r="E4479" s="809">
        <v>60</v>
      </c>
      <c r="F4479" s="847">
        <v>20</v>
      </c>
      <c r="G4479" s="202" t="str">
        <f t="shared" si="69"/>
        <v/>
      </c>
    </row>
    <row r="4480" spans="1:7" s="172" customFormat="1" ht="15" customHeight="1" x14ac:dyDescent="0.25">
      <c r="A4480" s="806" t="s">
        <v>3122</v>
      </c>
      <c r="B4480" s="806" t="s">
        <v>2967</v>
      </c>
      <c r="C4480" s="818" t="s">
        <v>19297</v>
      </c>
      <c r="D4480" s="806" t="s">
        <v>3381</v>
      </c>
      <c r="E4480" s="809">
        <v>100</v>
      </c>
      <c r="F4480" s="847">
        <v>30</v>
      </c>
      <c r="G4480" s="202" t="str">
        <f t="shared" si="69"/>
        <v/>
      </c>
    </row>
    <row r="4481" spans="1:7" s="172" customFormat="1" ht="15" customHeight="1" x14ac:dyDescent="0.25">
      <c r="A4481" s="806" t="s">
        <v>3382</v>
      </c>
      <c r="B4481" s="806" t="s">
        <v>2967</v>
      </c>
      <c r="C4481" s="818" t="s">
        <v>19297</v>
      </c>
      <c r="D4481" s="806" t="s">
        <v>3383</v>
      </c>
      <c r="E4481" s="809">
        <v>250</v>
      </c>
      <c r="F4481" s="847">
        <v>60</v>
      </c>
      <c r="G4481" s="202" t="str">
        <f t="shared" si="69"/>
        <v/>
      </c>
    </row>
    <row r="4482" spans="1:7" s="172" customFormat="1" ht="15" customHeight="1" x14ac:dyDescent="0.25">
      <c r="A4482" s="806" t="s">
        <v>3382</v>
      </c>
      <c r="B4482" s="806" t="s">
        <v>2967</v>
      </c>
      <c r="C4482" s="818" t="s">
        <v>19297</v>
      </c>
      <c r="D4482" s="806" t="s">
        <v>3384</v>
      </c>
      <c r="E4482" s="809">
        <v>160</v>
      </c>
      <c r="F4482" s="847">
        <v>50</v>
      </c>
      <c r="G4482" s="202" t="str">
        <f t="shared" si="69"/>
        <v/>
      </c>
    </row>
    <row r="4483" spans="1:7" s="172" customFormat="1" ht="15" customHeight="1" x14ac:dyDescent="0.25">
      <c r="A4483" s="806" t="s">
        <v>3382</v>
      </c>
      <c r="B4483" s="806" t="s">
        <v>2967</v>
      </c>
      <c r="C4483" s="818" t="s">
        <v>19297</v>
      </c>
      <c r="D4483" s="806" t="s">
        <v>3385</v>
      </c>
      <c r="E4483" s="809">
        <v>160</v>
      </c>
      <c r="F4483" s="847">
        <v>70</v>
      </c>
      <c r="G4483" s="202" t="str">
        <f t="shared" si="69"/>
        <v/>
      </c>
    </row>
    <row r="4484" spans="1:7" s="172" customFormat="1" ht="15" customHeight="1" x14ac:dyDescent="0.25">
      <c r="A4484" s="806" t="s">
        <v>3382</v>
      </c>
      <c r="B4484" s="806" t="s">
        <v>2967</v>
      </c>
      <c r="C4484" s="818" t="s">
        <v>19297</v>
      </c>
      <c r="D4484" s="806" t="s">
        <v>3386</v>
      </c>
      <c r="E4484" s="809">
        <v>30</v>
      </c>
      <c r="F4484" s="847">
        <v>10</v>
      </c>
      <c r="G4484" s="202" t="str">
        <f t="shared" si="69"/>
        <v/>
      </c>
    </row>
    <row r="4485" spans="1:7" s="172" customFormat="1" ht="15" customHeight="1" x14ac:dyDescent="0.25">
      <c r="A4485" s="806" t="s">
        <v>3387</v>
      </c>
      <c r="B4485" s="806" t="s">
        <v>2967</v>
      </c>
      <c r="C4485" s="818" t="s">
        <v>19297</v>
      </c>
      <c r="D4485" s="806" t="s">
        <v>3388</v>
      </c>
      <c r="E4485" s="809">
        <v>63</v>
      </c>
      <c r="F4485" s="847">
        <v>10</v>
      </c>
      <c r="G4485" s="202" t="str">
        <f t="shared" si="69"/>
        <v/>
      </c>
    </row>
    <row r="4486" spans="1:7" s="172" customFormat="1" ht="15" customHeight="1" x14ac:dyDescent="0.25">
      <c r="A4486" s="806" t="s">
        <v>3389</v>
      </c>
      <c r="B4486" s="806" t="s">
        <v>2967</v>
      </c>
      <c r="C4486" s="818" t="s">
        <v>19297</v>
      </c>
      <c r="D4486" s="806" t="s">
        <v>3390</v>
      </c>
      <c r="E4486" s="809">
        <v>160</v>
      </c>
      <c r="F4486" s="847">
        <v>50</v>
      </c>
      <c r="G4486" s="202" t="str">
        <f t="shared" si="69"/>
        <v/>
      </c>
    </row>
    <row r="4487" spans="1:7" s="172" customFormat="1" ht="15" customHeight="1" x14ac:dyDescent="0.25">
      <c r="A4487" s="806" t="s">
        <v>3391</v>
      </c>
      <c r="B4487" s="806" t="s">
        <v>2967</v>
      </c>
      <c r="C4487" s="818" t="s">
        <v>19297</v>
      </c>
      <c r="D4487" s="806" t="s">
        <v>3392</v>
      </c>
      <c r="E4487" s="809">
        <v>160</v>
      </c>
      <c r="F4487" s="847">
        <v>70</v>
      </c>
      <c r="G4487" s="202" t="str">
        <f t="shared" si="69"/>
        <v/>
      </c>
    </row>
    <row r="4488" spans="1:7" s="172" customFormat="1" ht="15" customHeight="1" x14ac:dyDescent="0.25">
      <c r="A4488" s="806" t="s">
        <v>3391</v>
      </c>
      <c r="B4488" s="806" t="s">
        <v>2967</v>
      </c>
      <c r="C4488" s="818" t="s">
        <v>19297</v>
      </c>
      <c r="D4488" s="806" t="s">
        <v>19888</v>
      </c>
      <c r="E4488" s="809">
        <v>400</v>
      </c>
      <c r="F4488" s="847">
        <v>80</v>
      </c>
      <c r="G4488" s="202" t="str">
        <f t="shared" si="69"/>
        <v/>
      </c>
    </row>
    <row r="4489" spans="1:7" s="172" customFormat="1" ht="15" customHeight="1" x14ac:dyDescent="0.25">
      <c r="A4489" s="806" t="s">
        <v>3393</v>
      </c>
      <c r="B4489" s="806" t="s">
        <v>2967</v>
      </c>
      <c r="C4489" s="818" t="s">
        <v>19297</v>
      </c>
      <c r="D4489" s="806" t="s">
        <v>3394</v>
      </c>
      <c r="E4489" s="809">
        <v>160</v>
      </c>
      <c r="F4489" s="847">
        <v>60</v>
      </c>
      <c r="G4489" s="202" t="str">
        <f t="shared" si="69"/>
        <v/>
      </c>
    </row>
    <row r="4490" spans="1:7" s="172" customFormat="1" ht="15" customHeight="1" x14ac:dyDescent="0.25">
      <c r="A4490" s="806" t="s">
        <v>3395</v>
      </c>
      <c r="B4490" s="806" t="s">
        <v>2967</v>
      </c>
      <c r="C4490" s="818" t="s">
        <v>19297</v>
      </c>
      <c r="D4490" s="806" t="s">
        <v>3396</v>
      </c>
      <c r="E4490" s="809">
        <v>20</v>
      </c>
      <c r="F4490" s="847">
        <v>5</v>
      </c>
      <c r="G4490" s="202" t="str">
        <f t="shared" si="69"/>
        <v/>
      </c>
    </row>
    <row r="4491" spans="1:7" s="172" customFormat="1" ht="15" customHeight="1" x14ac:dyDescent="0.25">
      <c r="A4491" s="806" t="s">
        <v>3397</v>
      </c>
      <c r="B4491" s="806" t="s">
        <v>2967</v>
      </c>
      <c r="C4491" s="818" t="s">
        <v>19297</v>
      </c>
      <c r="D4491" s="806" t="s">
        <v>3398</v>
      </c>
      <c r="E4491" s="809">
        <v>40</v>
      </c>
      <c r="F4491" s="847">
        <v>10</v>
      </c>
      <c r="G4491" s="202" t="str">
        <f t="shared" si="69"/>
        <v/>
      </c>
    </row>
    <row r="4492" spans="1:7" s="172" customFormat="1" ht="15" customHeight="1" x14ac:dyDescent="0.25">
      <c r="A4492" s="806" t="s">
        <v>3399</v>
      </c>
      <c r="B4492" s="806" t="s">
        <v>2967</v>
      </c>
      <c r="C4492" s="818" t="s">
        <v>19297</v>
      </c>
      <c r="D4492" s="806" t="s">
        <v>3400</v>
      </c>
      <c r="E4492" s="809">
        <v>60</v>
      </c>
      <c r="F4492" s="847">
        <v>20</v>
      </c>
      <c r="G4492" s="202" t="str">
        <f t="shared" si="69"/>
        <v/>
      </c>
    </row>
    <row r="4493" spans="1:7" s="172" customFormat="1" ht="15" customHeight="1" x14ac:dyDescent="0.25">
      <c r="A4493" s="806" t="s">
        <v>3401</v>
      </c>
      <c r="B4493" s="806" t="s">
        <v>2967</v>
      </c>
      <c r="C4493" s="818" t="s">
        <v>19297</v>
      </c>
      <c r="D4493" s="806" t="s">
        <v>3402</v>
      </c>
      <c r="E4493" s="809">
        <v>63</v>
      </c>
      <c r="F4493" s="847">
        <v>15</v>
      </c>
      <c r="G4493" s="202" t="str">
        <f t="shared" si="69"/>
        <v/>
      </c>
    </row>
    <row r="4494" spans="1:7" s="172" customFormat="1" ht="15" customHeight="1" x14ac:dyDescent="0.25">
      <c r="A4494" s="806" t="s">
        <v>3403</v>
      </c>
      <c r="B4494" s="806" t="s">
        <v>2967</v>
      </c>
      <c r="C4494" s="818" t="s">
        <v>19297</v>
      </c>
      <c r="D4494" s="806" t="s">
        <v>3404</v>
      </c>
      <c r="E4494" s="809">
        <v>63</v>
      </c>
      <c r="F4494" s="847">
        <v>15</v>
      </c>
      <c r="G4494" s="202" t="str">
        <f t="shared" si="69"/>
        <v/>
      </c>
    </row>
    <row r="4495" spans="1:7" s="172" customFormat="1" ht="15" customHeight="1" x14ac:dyDescent="0.25">
      <c r="A4495" s="806" t="s">
        <v>3405</v>
      </c>
      <c r="B4495" s="806" t="s">
        <v>2967</v>
      </c>
      <c r="C4495" s="818" t="s">
        <v>19297</v>
      </c>
      <c r="D4495" s="806" t="s">
        <v>3406</v>
      </c>
      <c r="E4495" s="809">
        <v>63</v>
      </c>
      <c r="F4495" s="847">
        <v>20</v>
      </c>
      <c r="G4495" s="202" t="str">
        <f t="shared" si="69"/>
        <v/>
      </c>
    </row>
    <row r="4496" spans="1:7" s="172" customFormat="1" ht="15" customHeight="1" x14ac:dyDescent="0.25">
      <c r="A4496" s="806" t="s">
        <v>15242</v>
      </c>
      <c r="B4496" s="806" t="s">
        <v>2967</v>
      </c>
      <c r="C4496" s="818" t="s">
        <v>19297</v>
      </c>
      <c r="D4496" s="806" t="s">
        <v>3407</v>
      </c>
      <c r="E4496" s="809">
        <v>63</v>
      </c>
      <c r="F4496" s="847">
        <v>15</v>
      </c>
      <c r="G4496" s="202" t="str">
        <f t="shared" si="69"/>
        <v/>
      </c>
    </row>
    <row r="4497" spans="1:7" s="172" customFormat="1" ht="15" customHeight="1" x14ac:dyDescent="0.25">
      <c r="A4497" s="806" t="s">
        <v>3408</v>
      </c>
      <c r="B4497" s="806" t="s">
        <v>2967</v>
      </c>
      <c r="C4497" s="818" t="s">
        <v>19297</v>
      </c>
      <c r="D4497" s="806" t="s">
        <v>3409</v>
      </c>
      <c r="E4497" s="809">
        <v>30</v>
      </c>
      <c r="F4497" s="847">
        <v>10</v>
      </c>
      <c r="G4497" s="202" t="str">
        <f t="shared" si="69"/>
        <v/>
      </c>
    </row>
    <row r="4498" spans="1:7" s="172" customFormat="1" ht="15" customHeight="1" x14ac:dyDescent="0.25">
      <c r="A4498" s="806" t="s">
        <v>3410</v>
      </c>
      <c r="B4498" s="806" t="s">
        <v>2967</v>
      </c>
      <c r="C4498" s="818" t="s">
        <v>19297</v>
      </c>
      <c r="D4498" s="806" t="s">
        <v>3411</v>
      </c>
      <c r="E4498" s="809">
        <v>10</v>
      </c>
      <c r="F4498" s="847">
        <v>2</v>
      </c>
      <c r="G4498" s="202" t="str">
        <f t="shared" si="69"/>
        <v/>
      </c>
    </row>
    <row r="4499" spans="1:7" s="172" customFormat="1" ht="15" customHeight="1" x14ac:dyDescent="0.25">
      <c r="A4499" s="806" t="s">
        <v>3412</v>
      </c>
      <c r="B4499" s="806" t="s">
        <v>2967</v>
      </c>
      <c r="C4499" s="818" t="s">
        <v>19297</v>
      </c>
      <c r="D4499" s="806" t="s">
        <v>3413</v>
      </c>
      <c r="E4499" s="809">
        <v>60</v>
      </c>
      <c r="F4499" s="847">
        <v>20</v>
      </c>
      <c r="G4499" s="202" t="str">
        <f t="shared" si="69"/>
        <v/>
      </c>
    </row>
    <row r="4500" spans="1:7" s="172" customFormat="1" ht="15" customHeight="1" x14ac:dyDescent="0.25">
      <c r="A4500" s="806" t="s">
        <v>15243</v>
      </c>
      <c r="B4500" s="806" t="s">
        <v>2967</v>
      </c>
      <c r="C4500" s="818" t="s">
        <v>19297</v>
      </c>
      <c r="D4500" s="806" t="s">
        <v>3414</v>
      </c>
      <c r="E4500" s="809">
        <v>160</v>
      </c>
      <c r="F4500" s="847">
        <v>50</v>
      </c>
      <c r="G4500" s="202" t="str">
        <f t="shared" si="69"/>
        <v/>
      </c>
    </row>
    <row r="4501" spans="1:7" s="172" customFormat="1" ht="15" customHeight="1" x14ac:dyDescent="0.25">
      <c r="A4501" s="806" t="s">
        <v>19300</v>
      </c>
      <c r="B4501" s="806" t="s">
        <v>2967</v>
      </c>
      <c r="C4501" s="818" t="s">
        <v>19297</v>
      </c>
      <c r="D4501" s="806" t="s">
        <v>3415</v>
      </c>
      <c r="E4501" s="809">
        <v>400</v>
      </c>
      <c r="F4501" s="847">
        <v>50</v>
      </c>
      <c r="G4501" s="202" t="str">
        <f t="shared" si="69"/>
        <v/>
      </c>
    </row>
    <row r="4502" spans="1:7" s="172" customFormat="1" ht="15" customHeight="1" x14ac:dyDescent="0.25">
      <c r="A4502" s="806" t="s">
        <v>19301</v>
      </c>
      <c r="B4502" s="806" t="s">
        <v>2967</v>
      </c>
      <c r="C4502" s="818" t="s">
        <v>19297</v>
      </c>
      <c r="D4502" s="806" t="s">
        <v>19302</v>
      </c>
      <c r="E4502" s="809">
        <v>63</v>
      </c>
      <c r="F4502" s="847">
        <v>10</v>
      </c>
      <c r="G4502" s="202" t="str">
        <f t="shared" si="69"/>
        <v/>
      </c>
    </row>
    <row r="4503" spans="1:7" s="172" customFormat="1" ht="15" customHeight="1" x14ac:dyDescent="0.25">
      <c r="A4503" s="806" t="s">
        <v>15244</v>
      </c>
      <c r="B4503" s="806" t="s">
        <v>2967</v>
      </c>
      <c r="C4503" s="818" t="s">
        <v>19297</v>
      </c>
      <c r="D4503" s="806" t="s">
        <v>3416</v>
      </c>
      <c r="E4503" s="809">
        <v>30</v>
      </c>
      <c r="F4503" s="847">
        <v>10</v>
      </c>
      <c r="G4503" s="202" t="str">
        <f t="shared" si="69"/>
        <v/>
      </c>
    </row>
    <row r="4504" spans="1:7" s="172" customFormat="1" ht="15" customHeight="1" x14ac:dyDescent="0.25">
      <c r="A4504" s="806" t="s">
        <v>15245</v>
      </c>
      <c r="B4504" s="806" t="s">
        <v>2967</v>
      </c>
      <c r="C4504" s="818" t="s">
        <v>19297</v>
      </c>
      <c r="D4504" s="806" t="s">
        <v>3417</v>
      </c>
      <c r="E4504" s="809">
        <v>30</v>
      </c>
      <c r="F4504" s="816">
        <v>5</v>
      </c>
      <c r="G4504" s="202" t="str">
        <f t="shared" si="69"/>
        <v/>
      </c>
    </row>
    <row r="4505" spans="1:7" s="172" customFormat="1" ht="15" customHeight="1" x14ac:dyDescent="0.25">
      <c r="A4505" s="806" t="s">
        <v>15246</v>
      </c>
      <c r="B4505" s="806" t="s">
        <v>2967</v>
      </c>
      <c r="C4505" s="818" t="s">
        <v>19297</v>
      </c>
      <c r="D4505" s="806" t="s">
        <v>3418</v>
      </c>
      <c r="E4505" s="809">
        <v>63</v>
      </c>
      <c r="F4505" s="816">
        <v>15</v>
      </c>
      <c r="G4505" s="202" t="str">
        <f t="shared" si="69"/>
        <v/>
      </c>
    </row>
    <row r="4506" spans="1:7" s="172" customFormat="1" ht="15" customHeight="1" x14ac:dyDescent="0.25">
      <c r="A4506" s="806" t="s">
        <v>3113</v>
      </c>
      <c r="B4506" s="806" t="s">
        <v>2967</v>
      </c>
      <c r="C4506" s="818" t="s">
        <v>19297</v>
      </c>
      <c r="D4506" s="806" t="s">
        <v>3419</v>
      </c>
      <c r="E4506" s="809">
        <v>400</v>
      </c>
      <c r="F4506" s="816">
        <v>250</v>
      </c>
      <c r="G4506" s="202" t="str">
        <f t="shared" si="69"/>
        <v/>
      </c>
    </row>
    <row r="4507" spans="1:7" s="172" customFormat="1" ht="15" customHeight="1" x14ac:dyDescent="0.25">
      <c r="A4507" s="806" t="s">
        <v>15247</v>
      </c>
      <c r="B4507" s="806" t="s">
        <v>2967</v>
      </c>
      <c r="C4507" s="818" t="s">
        <v>19297</v>
      </c>
      <c r="D4507" s="806" t="s">
        <v>3420</v>
      </c>
      <c r="E4507" s="809">
        <v>63</v>
      </c>
      <c r="F4507" s="847">
        <v>25</v>
      </c>
      <c r="G4507" s="202" t="str">
        <f t="shared" si="69"/>
        <v/>
      </c>
    </row>
    <row r="4508" spans="1:7" s="172" customFormat="1" ht="15" customHeight="1" x14ac:dyDescent="0.25">
      <c r="A4508" s="806" t="s">
        <v>15248</v>
      </c>
      <c r="B4508" s="806" t="s">
        <v>2967</v>
      </c>
      <c r="C4508" s="818" t="s">
        <v>19297</v>
      </c>
      <c r="D4508" s="806" t="s">
        <v>3421</v>
      </c>
      <c r="E4508" s="809">
        <v>30</v>
      </c>
      <c r="F4508" s="847">
        <v>10</v>
      </c>
      <c r="G4508" s="202" t="str">
        <f t="shared" si="69"/>
        <v/>
      </c>
    </row>
    <row r="4509" spans="1:7" s="172" customFormat="1" ht="15" customHeight="1" x14ac:dyDescent="0.25">
      <c r="A4509" s="806" t="s">
        <v>15249</v>
      </c>
      <c r="B4509" s="806" t="s">
        <v>2967</v>
      </c>
      <c r="C4509" s="818" t="s">
        <v>19297</v>
      </c>
      <c r="D4509" s="806" t="s">
        <v>3422</v>
      </c>
      <c r="E4509" s="809">
        <v>60</v>
      </c>
      <c r="F4509" s="847">
        <v>20</v>
      </c>
      <c r="G4509" s="202" t="str">
        <f t="shared" ref="G4509:G4572" si="70">IF(E4509=F4509,"не загружен","")</f>
        <v/>
      </c>
    </row>
    <row r="4510" spans="1:7" s="172" customFormat="1" ht="15" customHeight="1" x14ac:dyDescent="0.25">
      <c r="A4510" s="806" t="s">
        <v>3113</v>
      </c>
      <c r="B4510" s="806" t="s">
        <v>2967</v>
      </c>
      <c r="C4510" s="818" t="s">
        <v>19297</v>
      </c>
      <c r="D4510" s="806" t="s">
        <v>3423</v>
      </c>
      <c r="E4510" s="809">
        <v>160</v>
      </c>
      <c r="F4510" s="847">
        <v>40</v>
      </c>
      <c r="G4510" s="202" t="str">
        <f t="shared" si="70"/>
        <v/>
      </c>
    </row>
    <row r="4511" spans="1:7" s="172" customFormat="1" ht="15" customHeight="1" x14ac:dyDescent="0.25">
      <c r="A4511" s="806" t="s">
        <v>3424</v>
      </c>
      <c r="B4511" s="806" t="s">
        <v>2967</v>
      </c>
      <c r="C4511" s="818" t="s">
        <v>19297</v>
      </c>
      <c r="D4511" s="806" t="s">
        <v>3425</v>
      </c>
      <c r="E4511" s="809">
        <v>63</v>
      </c>
      <c r="F4511" s="847">
        <v>15</v>
      </c>
      <c r="G4511" s="202" t="str">
        <f t="shared" si="70"/>
        <v/>
      </c>
    </row>
    <row r="4512" spans="1:7" s="172" customFormat="1" ht="15" customHeight="1" x14ac:dyDescent="0.25">
      <c r="A4512" s="806" t="s">
        <v>15250</v>
      </c>
      <c r="B4512" s="806" t="s">
        <v>2967</v>
      </c>
      <c r="C4512" s="818" t="s">
        <v>19297</v>
      </c>
      <c r="D4512" s="806" t="s">
        <v>3426</v>
      </c>
      <c r="E4512" s="809">
        <v>160</v>
      </c>
      <c r="F4512" s="847">
        <v>45</v>
      </c>
      <c r="G4512" s="202" t="str">
        <f t="shared" si="70"/>
        <v/>
      </c>
    </row>
    <row r="4513" spans="1:7" s="172" customFormat="1" ht="15" customHeight="1" x14ac:dyDescent="0.25">
      <c r="A4513" s="806" t="s">
        <v>15251</v>
      </c>
      <c r="B4513" s="806" t="s">
        <v>2967</v>
      </c>
      <c r="C4513" s="818" t="s">
        <v>19297</v>
      </c>
      <c r="D4513" s="806" t="s">
        <v>3427</v>
      </c>
      <c r="E4513" s="809">
        <v>20</v>
      </c>
      <c r="F4513" s="847">
        <v>5</v>
      </c>
      <c r="G4513" s="202" t="str">
        <f t="shared" si="70"/>
        <v/>
      </c>
    </row>
    <row r="4514" spans="1:7" s="172" customFormat="1" ht="15" customHeight="1" x14ac:dyDescent="0.25">
      <c r="A4514" s="806" t="s">
        <v>15252</v>
      </c>
      <c r="B4514" s="806" t="s">
        <v>2967</v>
      </c>
      <c r="C4514" s="818" t="s">
        <v>19297</v>
      </c>
      <c r="D4514" s="806" t="s">
        <v>3428</v>
      </c>
      <c r="E4514" s="809">
        <v>40</v>
      </c>
      <c r="F4514" s="847">
        <v>10</v>
      </c>
      <c r="G4514" s="202" t="str">
        <f t="shared" si="70"/>
        <v/>
      </c>
    </row>
    <row r="4515" spans="1:7" s="172" customFormat="1" ht="15" customHeight="1" x14ac:dyDescent="0.25">
      <c r="A4515" s="806" t="s">
        <v>3429</v>
      </c>
      <c r="B4515" s="806" t="s">
        <v>2967</v>
      </c>
      <c r="C4515" s="818" t="s">
        <v>19297</v>
      </c>
      <c r="D4515" s="806" t="s">
        <v>3430</v>
      </c>
      <c r="E4515" s="809">
        <v>100</v>
      </c>
      <c r="F4515" s="847">
        <v>20</v>
      </c>
      <c r="G4515" s="202" t="str">
        <f t="shared" si="70"/>
        <v/>
      </c>
    </row>
    <row r="4516" spans="1:7" s="172" customFormat="1" ht="15" customHeight="1" x14ac:dyDescent="0.25">
      <c r="A4516" s="806" t="s">
        <v>3431</v>
      </c>
      <c r="B4516" s="806" t="s">
        <v>2967</v>
      </c>
      <c r="C4516" s="818" t="s">
        <v>19297</v>
      </c>
      <c r="D4516" s="806" t="s">
        <v>3432</v>
      </c>
      <c r="E4516" s="809">
        <v>30</v>
      </c>
      <c r="F4516" s="847">
        <v>10</v>
      </c>
      <c r="G4516" s="202" t="str">
        <f t="shared" si="70"/>
        <v/>
      </c>
    </row>
    <row r="4517" spans="1:7" s="172" customFormat="1" ht="15" customHeight="1" x14ac:dyDescent="0.25">
      <c r="A4517" s="806" t="s">
        <v>15253</v>
      </c>
      <c r="B4517" s="806" t="s">
        <v>2967</v>
      </c>
      <c r="C4517" s="818" t="s">
        <v>19297</v>
      </c>
      <c r="D4517" s="806" t="s">
        <v>3433</v>
      </c>
      <c r="E4517" s="809">
        <v>30</v>
      </c>
      <c r="F4517" s="816">
        <v>5</v>
      </c>
      <c r="G4517" s="202" t="str">
        <f t="shared" si="70"/>
        <v/>
      </c>
    </row>
    <row r="4518" spans="1:7" s="172" customFormat="1" ht="15" customHeight="1" x14ac:dyDescent="0.25">
      <c r="A4518" s="806" t="s">
        <v>3429</v>
      </c>
      <c r="B4518" s="806" t="s">
        <v>2967</v>
      </c>
      <c r="C4518" s="818" t="s">
        <v>19297</v>
      </c>
      <c r="D4518" s="806" t="s">
        <v>3434</v>
      </c>
      <c r="E4518" s="809">
        <v>400</v>
      </c>
      <c r="F4518" s="816">
        <v>50</v>
      </c>
      <c r="G4518" s="202" t="str">
        <f t="shared" si="70"/>
        <v/>
      </c>
    </row>
    <row r="4519" spans="1:7" s="172" customFormat="1" ht="15" customHeight="1" x14ac:dyDescent="0.25">
      <c r="A4519" s="806" t="s">
        <v>3429</v>
      </c>
      <c r="B4519" s="806" t="s">
        <v>2967</v>
      </c>
      <c r="C4519" s="818" t="s">
        <v>19297</v>
      </c>
      <c r="D4519" s="806" t="s">
        <v>3341</v>
      </c>
      <c r="E4519" s="809">
        <v>400</v>
      </c>
      <c r="F4519" s="847">
        <v>250</v>
      </c>
      <c r="G4519" s="202" t="str">
        <f t="shared" si="70"/>
        <v/>
      </c>
    </row>
    <row r="4520" spans="1:7" s="172" customFormat="1" ht="15" customHeight="1" x14ac:dyDescent="0.25">
      <c r="A4520" s="806" t="s">
        <v>15254</v>
      </c>
      <c r="B4520" s="806" t="s">
        <v>2967</v>
      </c>
      <c r="C4520" s="818" t="s">
        <v>19297</v>
      </c>
      <c r="D4520" s="806" t="s">
        <v>3435</v>
      </c>
      <c r="E4520" s="809">
        <v>400</v>
      </c>
      <c r="F4520" s="847">
        <v>130</v>
      </c>
      <c r="G4520" s="202" t="str">
        <f t="shared" si="70"/>
        <v/>
      </c>
    </row>
    <row r="4521" spans="1:7" s="172" customFormat="1" ht="15" customHeight="1" x14ac:dyDescent="0.25">
      <c r="A4521" s="806" t="s">
        <v>15254</v>
      </c>
      <c r="B4521" s="806" t="s">
        <v>2967</v>
      </c>
      <c r="C4521" s="818" t="s">
        <v>19297</v>
      </c>
      <c r="D4521" s="806" t="s">
        <v>3436</v>
      </c>
      <c r="E4521" s="809">
        <v>250</v>
      </c>
      <c r="F4521" s="847">
        <v>50</v>
      </c>
      <c r="G4521" s="202" t="str">
        <f t="shared" si="70"/>
        <v/>
      </c>
    </row>
    <row r="4522" spans="1:7" s="172" customFormat="1" ht="15" customHeight="1" x14ac:dyDescent="0.25">
      <c r="A4522" s="806" t="s">
        <v>15255</v>
      </c>
      <c r="B4522" s="806" t="s">
        <v>2967</v>
      </c>
      <c r="C4522" s="818" t="s">
        <v>19297</v>
      </c>
      <c r="D4522" s="806" t="s">
        <v>3437</v>
      </c>
      <c r="E4522" s="809">
        <v>100</v>
      </c>
      <c r="F4522" s="847">
        <v>35</v>
      </c>
      <c r="G4522" s="202" t="str">
        <f t="shared" si="70"/>
        <v/>
      </c>
    </row>
    <row r="4523" spans="1:7" s="172" customFormat="1" ht="15" customHeight="1" x14ac:dyDescent="0.25">
      <c r="A4523" s="806" t="s">
        <v>3438</v>
      </c>
      <c r="B4523" s="806" t="s">
        <v>2967</v>
      </c>
      <c r="C4523" s="818" t="s">
        <v>19297</v>
      </c>
      <c r="D4523" s="806" t="s">
        <v>3438</v>
      </c>
      <c r="E4523" s="809">
        <v>160</v>
      </c>
      <c r="F4523" s="847">
        <v>60</v>
      </c>
      <c r="G4523" s="202" t="str">
        <f t="shared" si="70"/>
        <v/>
      </c>
    </row>
    <row r="4524" spans="1:7" s="172" customFormat="1" ht="15" customHeight="1" x14ac:dyDescent="0.25">
      <c r="A4524" s="806" t="s">
        <v>3439</v>
      </c>
      <c r="B4524" s="806" t="s">
        <v>2967</v>
      </c>
      <c r="C4524" s="818" t="s">
        <v>19297</v>
      </c>
      <c r="D4524" s="806" t="s">
        <v>3440</v>
      </c>
      <c r="E4524" s="809">
        <v>400</v>
      </c>
      <c r="F4524" s="847">
        <v>75</v>
      </c>
      <c r="G4524" s="202" t="str">
        <f t="shared" si="70"/>
        <v/>
      </c>
    </row>
    <row r="4525" spans="1:7" s="172" customFormat="1" ht="15" customHeight="1" x14ac:dyDescent="0.25">
      <c r="A4525" s="806" t="s">
        <v>3439</v>
      </c>
      <c r="B4525" s="806" t="s">
        <v>2967</v>
      </c>
      <c r="C4525" s="818" t="s">
        <v>19297</v>
      </c>
      <c r="D4525" s="806" t="s">
        <v>3441</v>
      </c>
      <c r="E4525" s="809">
        <v>250</v>
      </c>
      <c r="F4525" s="847">
        <v>50</v>
      </c>
      <c r="G4525" s="202" t="str">
        <f t="shared" si="70"/>
        <v/>
      </c>
    </row>
    <row r="4526" spans="1:7" s="172" customFormat="1" ht="15" customHeight="1" x14ac:dyDescent="0.25">
      <c r="A4526" s="806" t="s">
        <v>15256</v>
      </c>
      <c r="B4526" s="806" t="s">
        <v>2967</v>
      </c>
      <c r="C4526" s="818" t="s">
        <v>19297</v>
      </c>
      <c r="D4526" s="806" t="s">
        <v>3442</v>
      </c>
      <c r="E4526" s="809">
        <v>100</v>
      </c>
      <c r="F4526" s="847">
        <v>30</v>
      </c>
      <c r="G4526" s="202" t="str">
        <f t="shared" si="70"/>
        <v/>
      </c>
    </row>
    <row r="4527" spans="1:7" s="172" customFormat="1" ht="15" customHeight="1" x14ac:dyDescent="0.25">
      <c r="A4527" s="806" t="s">
        <v>3443</v>
      </c>
      <c r="B4527" s="806" t="s">
        <v>2967</v>
      </c>
      <c r="C4527" s="818" t="s">
        <v>19297</v>
      </c>
      <c r="D4527" s="806" t="s">
        <v>3444</v>
      </c>
      <c r="E4527" s="809">
        <v>100</v>
      </c>
      <c r="F4527" s="847">
        <v>35</v>
      </c>
      <c r="G4527" s="202" t="str">
        <f t="shared" si="70"/>
        <v/>
      </c>
    </row>
    <row r="4528" spans="1:7" s="172" customFormat="1" ht="15" customHeight="1" x14ac:dyDescent="0.25">
      <c r="A4528" s="806" t="s">
        <v>15257</v>
      </c>
      <c r="B4528" s="806" t="s">
        <v>2967</v>
      </c>
      <c r="C4528" s="818" t="s">
        <v>19297</v>
      </c>
      <c r="D4528" s="806" t="s">
        <v>3445</v>
      </c>
      <c r="E4528" s="809">
        <v>60</v>
      </c>
      <c r="F4528" s="847">
        <v>20</v>
      </c>
      <c r="G4528" s="202" t="str">
        <f t="shared" si="70"/>
        <v/>
      </c>
    </row>
    <row r="4529" spans="1:7" s="172" customFormat="1" ht="15" customHeight="1" x14ac:dyDescent="0.25">
      <c r="A4529" s="806" t="s">
        <v>3446</v>
      </c>
      <c r="B4529" s="806" t="s">
        <v>2967</v>
      </c>
      <c r="C4529" s="818" t="s">
        <v>19297</v>
      </c>
      <c r="D4529" s="806" t="s">
        <v>3447</v>
      </c>
      <c r="E4529" s="809">
        <v>60</v>
      </c>
      <c r="F4529" s="847">
        <v>25</v>
      </c>
      <c r="G4529" s="202" t="str">
        <f t="shared" si="70"/>
        <v/>
      </c>
    </row>
    <row r="4530" spans="1:7" s="172" customFormat="1" ht="15" customHeight="1" x14ac:dyDescent="0.25">
      <c r="A4530" s="806" t="s">
        <v>15258</v>
      </c>
      <c r="B4530" s="806" t="s">
        <v>2967</v>
      </c>
      <c r="C4530" s="818" t="s">
        <v>19297</v>
      </c>
      <c r="D4530" s="806" t="s">
        <v>3448</v>
      </c>
      <c r="E4530" s="809">
        <v>100</v>
      </c>
      <c r="F4530" s="847">
        <v>30</v>
      </c>
      <c r="G4530" s="202" t="str">
        <f t="shared" si="70"/>
        <v/>
      </c>
    </row>
    <row r="4531" spans="1:7" s="172" customFormat="1" ht="15" customHeight="1" x14ac:dyDescent="0.25">
      <c r="A4531" s="806" t="s">
        <v>3449</v>
      </c>
      <c r="B4531" s="806" t="s">
        <v>2967</v>
      </c>
      <c r="C4531" s="818" t="s">
        <v>19297</v>
      </c>
      <c r="D4531" s="806" t="s">
        <v>3450</v>
      </c>
      <c r="E4531" s="809">
        <v>160</v>
      </c>
      <c r="F4531" s="847">
        <v>40</v>
      </c>
      <c r="G4531" s="202" t="str">
        <f t="shared" si="70"/>
        <v/>
      </c>
    </row>
    <row r="4532" spans="1:7" s="172" customFormat="1" ht="15" customHeight="1" x14ac:dyDescent="0.25">
      <c r="A4532" s="806" t="s">
        <v>3143</v>
      </c>
      <c r="B4532" s="806" t="s">
        <v>2967</v>
      </c>
      <c r="C4532" s="818" t="s">
        <v>19297</v>
      </c>
      <c r="D4532" s="806" t="s">
        <v>3144</v>
      </c>
      <c r="E4532" s="809">
        <v>63</v>
      </c>
      <c r="F4532" s="847">
        <v>25</v>
      </c>
      <c r="G4532" s="202" t="str">
        <f t="shared" si="70"/>
        <v/>
      </c>
    </row>
    <row r="4533" spans="1:7" s="172" customFormat="1" ht="15" customHeight="1" x14ac:dyDescent="0.25">
      <c r="A4533" s="806" t="s">
        <v>15259</v>
      </c>
      <c r="B4533" s="806" t="s">
        <v>2967</v>
      </c>
      <c r="C4533" s="818" t="s">
        <v>19297</v>
      </c>
      <c r="D4533" s="806" t="s">
        <v>3108</v>
      </c>
      <c r="E4533" s="809">
        <v>100</v>
      </c>
      <c r="F4533" s="847">
        <v>30</v>
      </c>
      <c r="G4533" s="202" t="str">
        <f t="shared" si="70"/>
        <v/>
      </c>
    </row>
    <row r="4534" spans="1:7" s="172" customFormat="1" ht="15" customHeight="1" x14ac:dyDescent="0.25">
      <c r="A4534" s="806" t="s">
        <v>15260</v>
      </c>
      <c r="B4534" s="806" t="s">
        <v>2967</v>
      </c>
      <c r="C4534" s="818" t="s">
        <v>19297</v>
      </c>
      <c r="D4534" s="806" t="s">
        <v>3451</v>
      </c>
      <c r="E4534" s="809">
        <v>100</v>
      </c>
      <c r="F4534" s="847">
        <v>35</v>
      </c>
      <c r="G4534" s="202" t="str">
        <f t="shared" si="70"/>
        <v/>
      </c>
    </row>
    <row r="4535" spans="1:7" s="172" customFormat="1" ht="15" customHeight="1" x14ac:dyDescent="0.25">
      <c r="A4535" s="806" t="s">
        <v>3452</v>
      </c>
      <c r="B4535" s="806" t="s">
        <v>2967</v>
      </c>
      <c r="C4535" s="818" t="s">
        <v>19297</v>
      </c>
      <c r="D4535" s="806" t="s">
        <v>3453</v>
      </c>
      <c r="E4535" s="809">
        <v>250</v>
      </c>
      <c r="F4535" s="847">
        <v>120</v>
      </c>
      <c r="G4535" s="202" t="str">
        <f t="shared" si="70"/>
        <v/>
      </c>
    </row>
    <row r="4536" spans="1:7" s="172" customFormat="1" ht="15" customHeight="1" x14ac:dyDescent="0.25">
      <c r="A4536" s="806" t="s">
        <v>15261</v>
      </c>
      <c r="B4536" s="806" t="s">
        <v>2967</v>
      </c>
      <c r="C4536" s="818" t="s">
        <v>19297</v>
      </c>
      <c r="D4536" s="806" t="s">
        <v>3454</v>
      </c>
      <c r="E4536" s="809">
        <v>40</v>
      </c>
      <c r="F4536" s="847">
        <v>10</v>
      </c>
      <c r="G4536" s="202" t="str">
        <f t="shared" si="70"/>
        <v/>
      </c>
    </row>
    <row r="4537" spans="1:7" s="172" customFormat="1" ht="15" customHeight="1" x14ac:dyDescent="0.25">
      <c r="A4537" s="806" t="s">
        <v>15262</v>
      </c>
      <c r="B4537" s="806" t="s">
        <v>2967</v>
      </c>
      <c r="C4537" s="818" t="s">
        <v>19297</v>
      </c>
      <c r="D4537" s="806" t="s">
        <v>3455</v>
      </c>
      <c r="E4537" s="809">
        <v>30</v>
      </c>
      <c r="F4537" s="847">
        <v>5</v>
      </c>
      <c r="G4537" s="202" t="str">
        <f t="shared" si="70"/>
        <v/>
      </c>
    </row>
    <row r="4538" spans="1:7" s="172" customFormat="1" ht="15" customHeight="1" x14ac:dyDescent="0.25">
      <c r="A4538" s="806" t="s">
        <v>15263</v>
      </c>
      <c r="B4538" s="806" t="s">
        <v>2967</v>
      </c>
      <c r="C4538" s="818" t="s">
        <v>19297</v>
      </c>
      <c r="D4538" s="806" t="s">
        <v>3456</v>
      </c>
      <c r="E4538" s="809">
        <v>160</v>
      </c>
      <c r="F4538" s="847">
        <v>60</v>
      </c>
      <c r="G4538" s="202" t="str">
        <f t="shared" si="70"/>
        <v/>
      </c>
    </row>
    <row r="4539" spans="1:7" s="172" customFormat="1" ht="15" customHeight="1" x14ac:dyDescent="0.25">
      <c r="A4539" s="806" t="s">
        <v>3457</v>
      </c>
      <c r="B4539" s="806" t="s">
        <v>2967</v>
      </c>
      <c r="C4539" s="818" t="s">
        <v>19297</v>
      </c>
      <c r="D4539" s="806" t="s">
        <v>3458</v>
      </c>
      <c r="E4539" s="809">
        <v>60</v>
      </c>
      <c r="F4539" s="847">
        <v>20</v>
      </c>
      <c r="G4539" s="202" t="str">
        <f t="shared" si="70"/>
        <v/>
      </c>
    </row>
    <row r="4540" spans="1:7" s="172" customFormat="1" ht="15" customHeight="1" x14ac:dyDescent="0.25">
      <c r="A4540" s="806" t="s">
        <v>3459</v>
      </c>
      <c r="B4540" s="806" t="s">
        <v>2967</v>
      </c>
      <c r="C4540" s="818" t="s">
        <v>19297</v>
      </c>
      <c r="D4540" s="806" t="s">
        <v>3460</v>
      </c>
      <c r="E4540" s="809">
        <v>40</v>
      </c>
      <c r="F4540" s="847">
        <v>5</v>
      </c>
      <c r="G4540" s="202" t="str">
        <f t="shared" si="70"/>
        <v/>
      </c>
    </row>
    <row r="4541" spans="1:7" s="172" customFormat="1" ht="15" customHeight="1" x14ac:dyDescent="0.25">
      <c r="A4541" s="806" t="s">
        <v>15264</v>
      </c>
      <c r="B4541" s="806" t="s">
        <v>2967</v>
      </c>
      <c r="C4541" s="818" t="s">
        <v>19297</v>
      </c>
      <c r="D4541" s="806" t="s">
        <v>3461</v>
      </c>
      <c r="E4541" s="809">
        <v>100</v>
      </c>
      <c r="F4541" s="847">
        <v>30</v>
      </c>
      <c r="G4541" s="202" t="str">
        <f t="shared" si="70"/>
        <v/>
      </c>
    </row>
    <row r="4542" spans="1:7" s="172" customFormat="1" ht="15" customHeight="1" x14ac:dyDescent="0.25">
      <c r="A4542" s="806" t="s">
        <v>3462</v>
      </c>
      <c r="B4542" s="806" t="s">
        <v>2967</v>
      </c>
      <c r="C4542" s="818" t="s">
        <v>19297</v>
      </c>
      <c r="D4542" s="806" t="s">
        <v>3463</v>
      </c>
      <c r="E4542" s="809">
        <v>60</v>
      </c>
      <c r="F4542" s="847">
        <v>15</v>
      </c>
      <c r="G4542" s="202" t="str">
        <f t="shared" si="70"/>
        <v/>
      </c>
    </row>
    <row r="4543" spans="1:7" s="172" customFormat="1" ht="15" customHeight="1" x14ac:dyDescent="0.25">
      <c r="A4543" s="806" t="s">
        <v>3346</v>
      </c>
      <c r="B4543" s="806" t="s">
        <v>2967</v>
      </c>
      <c r="C4543" s="818" t="s">
        <v>19297</v>
      </c>
      <c r="D4543" s="806" t="s">
        <v>3347</v>
      </c>
      <c r="E4543" s="809">
        <v>63</v>
      </c>
      <c r="F4543" s="847">
        <v>20</v>
      </c>
      <c r="G4543" s="202" t="str">
        <f t="shared" si="70"/>
        <v/>
      </c>
    </row>
    <row r="4544" spans="1:7" s="172" customFormat="1" ht="15" customHeight="1" x14ac:dyDescent="0.25">
      <c r="A4544" s="806" t="s">
        <v>15265</v>
      </c>
      <c r="B4544" s="806" t="s">
        <v>2967</v>
      </c>
      <c r="C4544" s="818" t="s">
        <v>19297</v>
      </c>
      <c r="D4544" s="806" t="s">
        <v>3464</v>
      </c>
      <c r="E4544" s="809">
        <v>30</v>
      </c>
      <c r="F4544" s="847">
        <v>10</v>
      </c>
      <c r="G4544" s="202" t="str">
        <f t="shared" si="70"/>
        <v/>
      </c>
    </row>
    <row r="4545" spans="1:7" s="172" customFormat="1" ht="15" customHeight="1" x14ac:dyDescent="0.25">
      <c r="A4545" s="805" t="s">
        <v>15266</v>
      </c>
      <c r="B4545" s="805" t="s">
        <v>2967</v>
      </c>
      <c r="C4545" s="805" t="s">
        <v>19297</v>
      </c>
      <c r="D4545" s="805" t="s">
        <v>3465</v>
      </c>
      <c r="E4545" s="805">
        <v>30</v>
      </c>
      <c r="F4545" s="805">
        <v>15</v>
      </c>
      <c r="G4545" s="202" t="str">
        <f t="shared" si="70"/>
        <v/>
      </c>
    </row>
    <row r="4546" spans="1:7" s="172" customFormat="1" ht="15" customHeight="1" x14ac:dyDescent="0.25">
      <c r="A4546" s="805" t="s">
        <v>15267</v>
      </c>
      <c r="B4546" s="805" t="s">
        <v>2967</v>
      </c>
      <c r="C4546" s="805" t="s">
        <v>19297</v>
      </c>
      <c r="D4546" s="805" t="s">
        <v>3466</v>
      </c>
      <c r="E4546" s="805">
        <v>100</v>
      </c>
      <c r="F4546" s="805">
        <v>20</v>
      </c>
      <c r="G4546" s="202" t="str">
        <f t="shared" si="70"/>
        <v/>
      </c>
    </row>
    <row r="4547" spans="1:7" s="172" customFormat="1" ht="15" customHeight="1" x14ac:dyDescent="0.25">
      <c r="A4547" s="805" t="s">
        <v>15267</v>
      </c>
      <c r="B4547" s="805" t="s">
        <v>2967</v>
      </c>
      <c r="C4547" s="805" t="s">
        <v>19297</v>
      </c>
      <c r="D4547" s="805" t="s">
        <v>3467</v>
      </c>
      <c r="E4547" s="805">
        <v>160</v>
      </c>
      <c r="F4547" s="805">
        <v>45</v>
      </c>
      <c r="G4547" s="202" t="str">
        <f t="shared" si="70"/>
        <v/>
      </c>
    </row>
    <row r="4548" spans="1:7" s="172" customFormat="1" ht="15" customHeight="1" x14ac:dyDescent="0.25">
      <c r="A4548" s="805" t="s">
        <v>15268</v>
      </c>
      <c r="B4548" s="805" t="s">
        <v>2967</v>
      </c>
      <c r="C4548" s="805" t="s">
        <v>19297</v>
      </c>
      <c r="D4548" s="805" t="s">
        <v>3468</v>
      </c>
      <c r="E4548" s="805">
        <v>100</v>
      </c>
      <c r="F4548" s="805">
        <v>30</v>
      </c>
      <c r="G4548" s="202" t="str">
        <f t="shared" si="70"/>
        <v/>
      </c>
    </row>
    <row r="4549" spans="1:7" s="172" customFormat="1" ht="15" customHeight="1" x14ac:dyDescent="0.25">
      <c r="A4549" s="805" t="s">
        <v>15267</v>
      </c>
      <c r="B4549" s="805" t="s">
        <v>2967</v>
      </c>
      <c r="C4549" s="805" t="s">
        <v>19297</v>
      </c>
      <c r="D4549" s="805" t="s">
        <v>3469</v>
      </c>
      <c r="E4549" s="805">
        <v>25</v>
      </c>
      <c r="F4549" s="805">
        <v>5</v>
      </c>
      <c r="G4549" s="202" t="str">
        <f t="shared" si="70"/>
        <v/>
      </c>
    </row>
    <row r="4550" spans="1:7" s="172" customFormat="1" ht="15" customHeight="1" x14ac:dyDescent="0.25">
      <c r="A4550" s="805" t="s">
        <v>3470</v>
      </c>
      <c r="B4550" s="805" t="s">
        <v>2967</v>
      </c>
      <c r="C4550" s="805" t="s">
        <v>19297</v>
      </c>
      <c r="D4550" s="805" t="s">
        <v>3471</v>
      </c>
      <c r="E4550" s="805">
        <v>250</v>
      </c>
      <c r="F4550" s="805">
        <v>65</v>
      </c>
      <c r="G4550" s="202" t="str">
        <f t="shared" si="70"/>
        <v/>
      </c>
    </row>
    <row r="4551" spans="1:7" s="172" customFormat="1" ht="15" customHeight="1" x14ac:dyDescent="0.25">
      <c r="A4551" s="805" t="s">
        <v>3470</v>
      </c>
      <c r="B4551" s="805" t="s">
        <v>2967</v>
      </c>
      <c r="C4551" s="805" t="s">
        <v>19297</v>
      </c>
      <c r="D4551" s="805" t="s">
        <v>3472</v>
      </c>
      <c r="E4551" s="805">
        <v>40</v>
      </c>
      <c r="F4551" s="805">
        <v>15</v>
      </c>
      <c r="G4551" s="202" t="str">
        <f t="shared" si="70"/>
        <v/>
      </c>
    </row>
    <row r="4552" spans="1:7" s="172" customFormat="1" ht="15" customHeight="1" x14ac:dyDescent="0.25">
      <c r="A4552" s="805" t="s">
        <v>15269</v>
      </c>
      <c r="B4552" s="805" t="s">
        <v>2967</v>
      </c>
      <c r="C4552" s="805" t="s">
        <v>19297</v>
      </c>
      <c r="D4552" s="805" t="s">
        <v>15270</v>
      </c>
      <c r="E4552" s="805">
        <v>160</v>
      </c>
      <c r="F4552" s="805">
        <v>60</v>
      </c>
      <c r="G4552" s="202" t="str">
        <f t="shared" si="70"/>
        <v/>
      </c>
    </row>
    <row r="4553" spans="1:7" s="172" customFormat="1" ht="15" customHeight="1" x14ac:dyDescent="0.25">
      <c r="A4553" s="805" t="s">
        <v>3473</v>
      </c>
      <c r="B4553" s="805" t="s">
        <v>2967</v>
      </c>
      <c r="C4553" s="805" t="s">
        <v>19297</v>
      </c>
      <c r="D4553" s="805" t="s">
        <v>19141</v>
      </c>
      <c r="E4553" s="805">
        <v>160</v>
      </c>
      <c r="F4553" s="805">
        <v>40</v>
      </c>
      <c r="G4553" s="202" t="str">
        <f t="shared" si="70"/>
        <v/>
      </c>
    </row>
    <row r="4554" spans="1:7" s="172" customFormat="1" ht="15" customHeight="1" x14ac:dyDescent="0.25">
      <c r="A4554" s="805" t="s">
        <v>19142</v>
      </c>
      <c r="B4554" s="805" t="s">
        <v>2967</v>
      </c>
      <c r="C4554" s="805" t="s">
        <v>19297</v>
      </c>
      <c r="D4554" s="805" t="s">
        <v>19143</v>
      </c>
      <c r="E4554" s="805">
        <v>400</v>
      </c>
      <c r="F4554" s="805">
        <v>50</v>
      </c>
      <c r="G4554" s="202" t="str">
        <f t="shared" si="70"/>
        <v/>
      </c>
    </row>
    <row r="4555" spans="1:7" s="172" customFormat="1" ht="15" customHeight="1" x14ac:dyDescent="0.25">
      <c r="A4555" s="805" t="s">
        <v>15271</v>
      </c>
      <c r="B4555" s="805" t="s">
        <v>2967</v>
      </c>
      <c r="C4555" s="805" t="s">
        <v>19297</v>
      </c>
      <c r="D4555" s="805" t="s">
        <v>3474</v>
      </c>
      <c r="E4555" s="805">
        <v>30</v>
      </c>
      <c r="F4555" s="805">
        <v>10</v>
      </c>
      <c r="G4555" s="202" t="str">
        <f t="shared" si="70"/>
        <v/>
      </c>
    </row>
    <row r="4556" spans="1:7" s="172" customFormat="1" ht="15" customHeight="1" x14ac:dyDescent="0.25">
      <c r="A4556" s="805" t="s">
        <v>3475</v>
      </c>
      <c r="B4556" s="805" t="s">
        <v>2967</v>
      </c>
      <c r="C4556" s="805" t="s">
        <v>19297</v>
      </c>
      <c r="D4556" s="805" t="s">
        <v>3476</v>
      </c>
      <c r="E4556" s="805">
        <v>60</v>
      </c>
      <c r="F4556" s="805">
        <v>15</v>
      </c>
      <c r="G4556" s="202" t="str">
        <f t="shared" si="70"/>
        <v/>
      </c>
    </row>
    <row r="4557" spans="1:7" s="172" customFormat="1" ht="15" customHeight="1" x14ac:dyDescent="0.25">
      <c r="A4557" s="805" t="s">
        <v>15272</v>
      </c>
      <c r="B4557" s="805" t="s">
        <v>2967</v>
      </c>
      <c r="C4557" s="805" t="s">
        <v>19297</v>
      </c>
      <c r="D4557" s="805" t="s">
        <v>3477</v>
      </c>
      <c r="E4557" s="805">
        <v>60</v>
      </c>
      <c r="F4557" s="805">
        <v>10</v>
      </c>
      <c r="G4557" s="202" t="str">
        <f t="shared" si="70"/>
        <v/>
      </c>
    </row>
    <row r="4558" spans="1:7" s="172" customFormat="1" ht="15" customHeight="1" x14ac:dyDescent="0.25">
      <c r="A4558" s="805" t="s">
        <v>3478</v>
      </c>
      <c r="B4558" s="805" t="s">
        <v>2967</v>
      </c>
      <c r="C4558" s="805" t="s">
        <v>19297</v>
      </c>
      <c r="D4558" s="805" t="s">
        <v>3478</v>
      </c>
      <c r="E4558" s="805">
        <v>63</v>
      </c>
      <c r="F4558" s="805">
        <v>15</v>
      </c>
      <c r="G4558" s="202" t="str">
        <f t="shared" si="70"/>
        <v/>
      </c>
    </row>
    <row r="4559" spans="1:7" s="172" customFormat="1" ht="15" customHeight="1" x14ac:dyDescent="0.25">
      <c r="A4559" s="805" t="s">
        <v>15273</v>
      </c>
      <c r="B4559" s="805" t="s">
        <v>2967</v>
      </c>
      <c r="C4559" s="805" t="s">
        <v>19297</v>
      </c>
      <c r="D4559" s="805" t="s">
        <v>3479</v>
      </c>
      <c r="E4559" s="805">
        <v>63</v>
      </c>
      <c r="F4559" s="805">
        <v>10</v>
      </c>
      <c r="G4559" s="202" t="str">
        <f t="shared" si="70"/>
        <v/>
      </c>
    </row>
    <row r="4560" spans="1:7" s="172" customFormat="1" ht="15" customHeight="1" x14ac:dyDescent="0.25">
      <c r="A4560" s="805" t="s">
        <v>15273</v>
      </c>
      <c r="B4560" s="805" t="s">
        <v>2967</v>
      </c>
      <c r="C4560" s="805" t="s">
        <v>19297</v>
      </c>
      <c r="D4560" s="805" t="s">
        <v>3479</v>
      </c>
      <c r="E4560" s="805">
        <v>250</v>
      </c>
      <c r="F4560" s="805">
        <v>45</v>
      </c>
      <c r="G4560" s="202" t="str">
        <f t="shared" si="70"/>
        <v/>
      </c>
    </row>
    <row r="4561" spans="1:7" s="172" customFormat="1" ht="15" customHeight="1" x14ac:dyDescent="0.25">
      <c r="A4561" s="805" t="s">
        <v>3480</v>
      </c>
      <c r="B4561" s="805" t="s">
        <v>2967</v>
      </c>
      <c r="C4561" s="805" t="s">
        <v>19297</v>
      </c>
      <c r="D4561" s="805" t="s">
        <v>3481</v>
      </c>
      <c r="E4561" s="805">
        <v>63</v>
      </c>
      <c r="F4561" s="805">
        <v>15</v>
      </c>
      <c r="G4561" s="202" t="str">
        <f t="shared" si="70"/>
        <v/>
      </c>
    </row>
    <row r="4562" spans="1:7" s="172" customFormat="1" ht="15" customHeight="1" x14ac:dyDescent="0.25">
      <c r="A4562" s="805" t="s">
        <v>19303</v>
      </c>
      <c r="B4562" s="805" t="s">
        <v>2967</v>
      </c>
      <c r="C4562" s="805" t="s">
        <v>19297</v>
      </c>
      <c r="D4562" s="805" t="s">
        <v>3482</v>
      </c>
      <c r="E4562" s="805">
        <v>100</v>
      </c>
      <c r="F4562" s="805">
        <v>25</v>
      </c>
      <c r="G4562" s="202" t="str">
        <f t="shared" si="70"/>
        <v/>
      </c>
    </row>
    <row r="4563" spans="1:7" s="172" customFormat="1" ht="15" customHeight="1" x14ac:dyDescent="0.25">
      <c r="A4563" s="805" t="s">
        <v>15274</v>
      </c>
      <c r="B4563" s="805" t="s">
        <v>2967</v>
      </c>
      <c r="C4563" s="805" t="s">
        <v>19297</v>
      </c>
      <c r="D4563" s="805" t="s">
        <v>3483</v>
      </c>
      <c r="E4563" s="805">
        <v>30</v>
      </c>
      <c r="F4563" s="805">
        <v>5</v>
      </c>
      <c r="G4563" s="202" t="str">
        <f t="shared" si="70"/>
        <v/>
      </c>
    </row>
    <row r="4564" spans="1:7" s="172" customFormat="1" ht="15" customHeight="1" x14ac:dyDescent="0.25">
      <c r="A4564" s="805" t="s">
        <v>3484</v>
      </c>
      <c r="B4564" s="805" t="s">
        <v>2967</v>
      </c>
      <c r="C4564" s="805" t="s">
        <v>19297</v>
      </c>
      <c r="D4564" s="805" t="s">
        <v>3485</v>
      </c>
      <c r="E4564" s="805">
        <v>60</v>
      </c>
      <c r="F4564" s="805">
        <v>15</v>
      </c>
      <c r="G4564" s="202" t="str">
        <f t="shared" si="70"/>
        <v/>
      </c>
    </row>
    <row r="4565" spans="1:7" s="172" customFormat="1" ht="15" customHeight="1" x14ac:dyDescent="0.25">
      <c r="A4565" s="805" t="s">
        <v>19144</v>
      </c>
      <c r="B4565" s="805" t="s">
        <v>2967</v>
      </c>
      <c r="C4565" s="805" t="s">
        <v>19297</v>
      </c>
      <c r="D4565" s="805" t="s">
        <v>19145</v>
      </c>
      <c r="E4565" s="805">
        <v>160</v>
      </c>
      <c r="F4565" s="805">
        <v>30</v>
      </c>
      <c r="G4565" s="202" t="str">
        <f t="shared" si="70"/>
        <v/>
      </c>
    </row>
    <row r="4566" spans="1:7" s="172" customFormat="1" ht="15" customHeight="1" x14ac:dyDescent="0.25">
      <c r="A4566" s="805" t="s">
        <v>12169</v>
      </c>
      <c r="B4566" s="805" t="s">
        <v>2967</v>
      </c>
      <c r="C4566" s="805" t="s">
        <v>19297</v>
      </c>
      <c r="D4566" s="805" t="s">
        <v>19146</v>
      </c>
      <c r="E4566" s="805">
        <v>160</v>
      </c>
      <c r="F4566" s="805">
        <v>40</v>
      </c>
      <c r="G4566" s="202" t="str">
        <f t="shared" si="70"/>
        <v/>
      </c>
    </row>
    <row r="4567" spans="1:7" s="172" customFormat="1" ht="15" customHeight="1" x14ac:dyDescent="0.25">
      <c r="A4567" s="805" t="s">
        <v>3486</v>
      </c>
      <c r="B4567" s="805" t="s">
        <v>2967</v>
      </c>
      <c r="C4567" s="805" t="s">
        <v>19297</v>
      </c>
      <c r="D4567" s="805" t="s">
        <v>3487</v>
      </c>
      <c r="E4567" s="805">
        <v>20</v>
      </c>
      <c r="F4567" s="805">
        <v>5</v>
      </c>
      <c r="G4567" s="202" t="str">
        <f t="shared" si="70"/>
        <v/>
      </c>
    </row>
    <row r="4568" spans="1:7" s="172" customFormat="1" ht="15" customHeight="1" x14ac:dyDescent="0.25">
      <c r="A4568" s="805" t="s">
        <v>3488</v>
      </c>
      <c r="B4568" s="805" t="s">
        <v>2967</v>
      </c>
      <c r="C4568" s="805" t="s">
        <v>19297</v>
      </c>
      <c r="D4568" s="805" t="s">
        <v>3489</v>
      </c>
      <c r="E4568" s="805">
        <v>63</v>
      </c>
      <c r="F4568" s="805">
        <v>15</v>
      </c>
      <c r="G4568" s="202" t="str">
        <f t="shared" si="70"/>
        <v/>
      </c>
    </row>
    <row r="4569" spans="1:7" s="172" customFormat="1" ht="15" customHeight="1" x14ac:dyDescent="0.25">
      <c r="A4569" s="805" t="s">
        <v>15275</v>
      </c>
      <c r="B4569" s="805" t="s">
        <v>2967</v>
      </c>
      <c r="C4569" s="805" t="s">
        <v>19297</v>
      </c>
      <c r="D4569" s="805" t="s">
        <v>3490</v>
      </c>
      <c r="E4569" s="805">
        <v>100</v>
      </c>
      <c r="F4569" s="805">
        <v>30</v>
      </c>
      <c r="G4569" s="202" t="str">
        <f t="shared" si="70"/>
        <v/>
      </c>
    </row>
    <row r="4570" spans="1:7" s="172" customFormat="1" ht="15" customHeight="1" x14ac:dyDescent="0.25">
      <c r="A4570" s="805" t="s">
        <v>3491</v>
      </c>
      <c r="B4570" s="805" t="s">
        <v>2967</v>
      </c>
      <c r="C4570" s="805" t="s">
        <v>19297</v>
      </c>
      <c r="D4570" s="805" t="s">
        <v>3492</v>
      </c>
      <c r="E4570" s="805">
        <v>100</v>
      </c>
      <c r="F4570" s="805">
        <v>25</v>
      </c>
      <c r="G4570" s="202" t="str">
        <f t="shared" si="70"/>
        <v/>
      </c>
    </row>
    <row r="4571" spans="1:7" s="172" customFormat="1" ht="15" customHeight="1" x14ac:dyDescent="0.25">
      <c r="A4571" s="805" t="s">
        <v>15276</v>
      </c>
      <c r="B4571" s="805" t="s">
        <v>2967</v>
      </c>
      <c r="C4571" s="805" t="s">
        <v>19297</v>
      </c>
      <c r="D4571" s="805" t="s">
        <v>3493</v>
      </c>
      <c r="E4571" s="805">
        <v>250</v>
      </c>
      <c r="F4571" s="805">
        <v>30</v>
      </c>
      <c r="G4571" s="202" t="str">
        <f t="shared" si="70"/>
        <v/>
      </c>
    </row>
    <row r="4572" spans="1:7" s="172" customFormat="1" ht="15" customHeight="1" x14ac:dyDescent="0.25">
      <c r="A4572" s="805" t="s">
        <v>15277</v>
      </c>
      <c r="B4572" s="805" t="s">
        <v>2967</v>
      </c>
      <c r="C4572" s="805" t="s">
        <v>19297</v>
      </c>
      <c r="D4572" s="805" t="s">
        <v>3494</v>
      </c>
      <c r="E4572" s="805">
        <v>160</v>
      </c>
      <c r="F4572" s="805">
        <v>20</v>
      </c>
      <c r="G4572" s="202" t="str">
        <f t="shared" si="70"/>
        <v/>
      </c>
    </row>
    <row r="4573" spans="1:7" s="172" customFormat="1" ht="15" customHeight="1" x14ac:dyDescent="0.25">
      <c r="A4573" s="805" t="s">
        <v>3495</v>
      </c>
      <c r="B4573" s="805" t="s">
        <v>2967</v>
      </c>
      <c r="C4573" s="805" t="s">
        <v>19297</v>
      </c>
      <c r="D4573" s="805" t="s">
        <v>3496</v>
      </c>
      <c r="E4573" s="805">
        <v>63</v>
      </c>
      <c r="F4573" s="805">
        <v>15</v>
      </c>
      <c r="G4573" s="202" t="str">
        <f t="shared" ref="G4573:G4636" si="71">IF(E4573=F4573,"не загружен","")</f>
        <v/>
      </c>
    </row>
    <row r="4574" spans="1:7" s="172" customFormat="1" ht="15" customHeight="1" x14ac:dyDescent="0.25">
      <c r="A4574" s="805" t="s">
        <v>3497</v>
      </c>
      <c r="B4574" s="805" t="s">
        <v>2967</v>
      </c>
      <c r="C4574" s="805" t="s">
        <v>19297</v>
      </c>
      <c r="D4574" s="805" t="s">
        <v>3498</v>
      </c>
      <c r="E4574" s="805">
        <v>30</v>
      </c>
      <c r="F4574" s="805">
        <v>10</v>
      </c>
      <c r="G4574" s="202" t="str">
        <f t="shared" si="71"/>
        <v/>
      </c>
    </row>
    <row r="4575" spans="1:7" s="172" customFormat="1" ht="15" customHeight="1" x14ac:dyDescent="0.25">
      <c r="A4575" s="805" t="s">
        <v>7583</v>
      </c>
      <c r="B4575" s="805" t="s">
        <v>2967</v>
      </c>
      <c r="C4575" s="805" t="s">
        <v>19297</v>
      </c>
      <c r="D4575" s="805" t="s">
        <v>19147</v>
      </c>
      <c r="E4575" s="805">
        <v>100</v>
      </c>
      <c r="F4575" s="805">
        <v>25</v>
      </c>
      <c r="G4575" s="202" t="str">
        <f t="shared" si="71"/>
        <v/>
      </c>
    </row>
    <row r="4576" spans="1:7" s="172" customFormat="1" ht="15" customHeight="1" x14ac:dyDescent="0.25">
      <c r="A4576" s="805" t="s">
        <v>3231</v>
      </c>
      <c r="B4576" s="805" t="s">
        <v>2967</v>
      </c>
      <c r="C4576" s="805" t="s">
        <v>19297</v>
      </c>
      <c r="D4576" s="805" t="s">
        <v>19148</v>
      </c>
      <c r="E4576" s="805">
        <v>100</v>
      </c>
      <c r="F4576" s="805">
        <v>25</v>
      </c>
      <c r="G4576" s="202" t="str">
        <f t="shared" si="71"/>
        <v/>
      </c>
    </row>
    <row r="4577" spans="1:7" s="172" customFormat="1" ht="15" customHeight="1" x14ac:dyDescent="0.25">
      <c r="A4577" s="805" t="s">
        <v>3499</v>
      </c>
      <c r="B4577" s="805" t="s">
        <v>2967</v>
      </c>
      <c r="C4577" s="805" t="s">
        <v>19297</v>
      </c>
      <c r="D4577" s="805" t="s">
        <v>3499</v>
      </c>
      <c r="E4577" s="805">
        <v>30</v>
      </c>
      <c r="F4577" s="805">
        <v>5</v>
      </c>
      <c r="G4577" s="202" t="str">
        <f t="shared" si="71"/>
        <v/>
      </c>
    </row>
    <row r="4578" spans="1:7" s="172" customFormat="1" ht="15" customHeight="1" x14ac:dyDescent="0.25">
      <c r="A4578" s="805" t="s">
        <v>3470</v>
      </c>
      <c r="B4578" s="805" t="s">
        <v>2967</v>
      </c>
      <c r="C4578" s="805" t="s">
        <v>19297</v>
      </c>
      <c r="D4578" s="805" t="s">
        <v>3500</v>
      </c>
      <c r="E4578" s="805">
        <v>250</v>
      </c>
      <c r="F4578" s="805">
        <v>30</v>
      </c>
      <c r="G4578" s="202" t="str">
        <f t="shared" si="71"/>
        <v/>
      </c>
    </row>
    <row r="4579" spans="1:7" s="172" customFormat="1" ht="15" customHeight="1" x14ac:dyDescent="0.25">
      <c r="A4579" s="805" t="s">
        <v>3470</v>
      </c>
      <c r="B4579" s="805" t="s">
        <v>2967</v>
      </c>
      <c r="C4579" s="805" t="s">
        <v>19297</v>
      </c>
      <c r="D4579" s="805" t="s">
        <v>3501</v>
      </c>
      <c r="E4579" s="805">
        <v>60</v>
      </c>
      <c r="F4579" s="805">
        <v>15</v>
      </c>
      <c r="G4579" s="202" t="str">
        <f t="shared" si="71"/>
        <v/>
      </c>
    </row>
    <row r="4580" spans="1:7" s="172" customFormat="1" ht="15" customHeight="1" x14ac:dyDescent="0.25">
      <c r="A4580" s="805" t="s">
        <v>15278</v>
      </c>
      <c r="B4580" s="805" t="s">
        <v>2967</v>
      </c>
      <c r="C4580" s="805" t="s">
        <v>19297</v>
      </c>
      <c r="D4580" s="805" t="s">
        <v>3502</v>
      </c>
      <c r="E4580" s="805">
        <v>160</v>
      </c>
      <c r="F4580" s="805">
        <v>15</v>
      </c>
      <c r="G4580" s="202" t="str">
        <f t="shared" si="71"/>
        <v/>
      </c>
    </row>
    <row r="4581" spans="1:7" s="172" customFormat="1" ht="15" customHeight="1" x14ac:dyDescent="0.25">
      <c r="A4581" s="805" t="s">
        <v>3350</v>
      </c>
      <c r="B4581" s="805" t="s">
        <v>2967</v>
      </c>
      <c r="C4581" s="805" t="s">
        <v>19297</v>
      </c>
      <c r="D4581" s="805" t="s">
        <v>19149</v>
      </c>
      <c r="E4581" s="805">
        <v>400</v>
      </c>
      <c r="F4581" s="805">
        <v>100</v>
      </c>
      <c r="G4581" s="202" t="str">
        <f t="shared" si="71"/>
        <v/>
      </c>
    </row>
    <row r="4582" spans="1:7" s="172" customFormat="1" ht="15" customHeight="1" x14ac:dyDescent="0.25">
      <c r="A4582" s="805" t="s">
        <v>3350</v>
      </c>
      <c r="B4582" s="805" t="s">
        <v>2967</v>
      </c>
      <c r="C4582" s="805" t="s">
        <v>19297</v>
      </c>
      <c r="D4582" s="805" t="s">
        <v>19150</v>
      </c>
      <c r="E4582" s="805">
        <v>250</v>
      </c>
      <c r="F4582" s="805">
        <v>10</v>
      </c>
      <c r="G4582" s="202" t="str">
        <f t="shared" si="71"/>
        <v/>
      </c>
    </row>
    <row r="4583" spans="1:7" s="172" customFormat="1" ht="15" customHeight="1" x14ac:dyDescent="0.25">
      <c r="A4583" s="805" t="s">
        <v>3350</v>
      </c>
      <c r="B4583" s="805" t="s">
        <v>2967</v>
      </c>
      <c r="C4583" s="805" t="s">
        <v>19297</v>
      </c>
      <c r="D4583" s="805" t="s">
        <v>19151</v>
      </c>
      <c r="E4583" s="805">
        <v>160</v>
      </c>
      <c r="F4583" s="805">
        <v>40</v>
      </c>
      <c r="G4583" s="202" t="str">
        <f t="shared" si="71"/>
        <v/>
      </c>
    </row>
    <row r="4584" spans="1:7" s="172" customFormat="1" ht="15" customHeight="1" x14ac:dyDescent="0.25">
      <c r="A4584" s="805" t="s">
        <v>3350</v>
      </c>
      <c r="B4584" s="805" t="s">
        <v>2967</v>
      </c>
      <c r="C4584" s="805" t="s">
        <v>19297</v>
      </c>
      <c r="D4584" s="805" t="s">
        <v>19152</v>
      </c>
      <c r="E4584" s="805">
        <v>400</v>
      </c>
      <c r="F4584" s="805">
        <v>80</v>
      </c>
      <c r="G4584" s="202" t="str">
        <f t="shared" si="71"/>
        <v/>
      </c>
    </row>
    <row r="4585" spans="1:7" s="172" customFormat="1" ht="15" customHeight="1" x14ac:dyDescent="0.25">
      <c r="A4585" s="805" t="s">
        <v>3504</v>
      </c>
      <c r="B4585" s="805" t="s">
        <v>2967</v>
      </c>
      <c r="C4585" s="805" t="s">
        <v>19297</v>
      </c>
      <c r="D4585" s="805" t="s">
        <v>19153</v>
      </c>
      <c r="E4585" s="805">
        <v>400</v>
      </c>
      <c r="F4585" s="805">
        <v>105</v>
      </c>
      <c r="G4585" s="202" t="str">
        <f t="shared" si="71"/>
        <v/>
      </c>
    </row>
    <row r="4586" spans="1:7" s="172" customFormat="1" ht="15" customHeight="1" x14ac:dyDescent="0.25">
      <c r="A4586" s="805" t="s">
        <v>3503</v>
      </c>
      <c r="B4586" s="805" t="s">
        <v>2967</v>
      </c>
      <c r="C4586" s="805" t="s">
        <v>19297</v>
      </c>
      <c r="D4586" s="805" t="s">
        <v>19154</v>
      </c>
      <c r="E4586" s="805">
        <v>63</v>
      </c>
      <c r="F4586" s="805">
        <v>15</v>
      </c>
      <c r="G4586" s="202" t="str">
        <f t="shared" si="71"/>
        <v/>
      </c>
    </row>
    <row r="4587" spans="1:7" s="172" customFormat="1" ht="15" customHeight="1" x14ac:dyDescent="0.25">
      <c r="A4587" s="805" t="s">
        <v>3503</v>
      </c>
      <c r="B4587" s="805" t="s">
        <v>2967</v>
      </c>
      <c r="C4587" s="805" t="s">
        <v>19297</v>
      </c>
      <c r="D4587" s="805" t="s">
        <v>19155</v>
      </c>
      <c r="E4587" s="805">
        <v>100</v>
      </c>
      <c r="F4587" s="805">
        <v>15</v>
      </c>
      <c r="G4587" s="202" t="str">
        <f t="shared" si="71"/>
        <v/>
      </c>
    </row>
    <row r="4588" spans="1:7" s="172" customFormat="1" ht="15" customHeight="1" x14ac:dyDescent="0.25">
      <c r="A4588" s="805" t="s">
        <v>15279</v>
      </c>
      <c r="B4588" s="805" t="s">
        <v>2967</v>
      </c>
      <c r="C4588" s="805" t="s">
        <v>19297</v>
      </c>
      <c r="D4588" s="805" t="s">
        <v>19156</v>
      </c>
      <c r="E4588" s="805">
        <v>40</v>
      </c>
      <c r="F4588" s="805">
        <v>10</v>
      </c>
      <c r="G4588" s="202" t="str">
        <f t="shared" si="71"/>
        <v/>
      </c>
    </row>
    <row r="4589" spans="1:7" s="172" customFormat="1" ht="15" customHeight="1" x14ac:dyDescent="0.25">
      <c r="A4589" s="805" t="s">
        <v>15280</v>
      </c>
      <c r="B4589" s="805" t="s">
        <v>2967</v>
      </c>
      <c r="C4589" s="805" t="s">
        <v>19297</v>
      </c>
      <c r="D4589" s="805" t="s">
        <v>19157</v>
      </c>
      <c r="E4589" s="805">
        <v>160</v>
      </c>
      <c r="F4589" s="805">
        <v>20</v>
      </c>
      <c r="G4589" s="202" t="str">
        <f t="shared" si="71"/>
        <v/>
      </c>
    </row>
    <row r="4590" spans="1:7" s="172" customFormat="1" ht="15" customHeight="1" x14ac:dyDescent="0.25">
      <c r="A4590" s="805" t="s">
        <v>15281</v>
      </c>
      <c r="B4590" s="805" t="s">
        <v>2967</v>
      </c>
      <c r="C4590" s="805" t="s">
        <v>19297</v>
      </c>
      <c r="D4590" s="805" t="s">
        <v>19158</v>
      </c>
      <c r="E4590" s="805">
        <v>100</v>
      </c>
      <c r="F4590" s="805">
        <v>5</v>
      </c>
      <c r="G4590" s="202" t="str">
        <f t="shared" si="71"/>
        <v/>
      </c>
    </row>
    <row r="4591" spans="1:7" s="172" customFormat="1" ht="15" customHeight="1" x14ac:dyDescent="0.25">
      <c r="A4591" s="805" t="s">
        <v>15281</v>
      </c>
      <c r="B4591" s="805" t="s">
        <v>2967</v>
      </c>
      <c r="C4591" s="805" t="s">
        <v>19297</v>
      </c>
      <c r="D4591" s="805" t="s">
        <v>19159</v>
      </c>
      <c r="E4591" s="805">
        <v>100</v>
      </c>
      <c r="F4591" s="805">
        <v>10</v>
      </c>
      <c r="G4591" s="202" t="str">
        <f t="shared" si="71"/>
        <v/>
      </c>
    </row>
    <row r="4592" spans="1:7" s="172" customFormat="1" ht="15" customHeight="1" x14ac:dyDescent="0.25">
      <c r="A4592" s="805" t="s">
        <v>15280</v>
      </c>
      <c r="B4592" s="805" t="s">
        <v>2967</v>
      </c>
      <c r="C4592" s="805" t="s">
        <v>19297</v>
      </c>
      <c r="D4592" s="805" t="s">
        <v>19160</v>
      </c>
      <c r="E4592" s="805">
        <v>250</v>
      </c>
      <c r="F4592" s="805">
        <v>30</v>
      </c>
      <c r="G4592" s="202" t="str">
        <f t="shared" si="71"/>
        <v/>
      </c>
    </row>
    <row r="4593" spans="1:7" s="172" customFormat="1" ht="15" customHeight="1" x14ac:dyDescent="0.25">
      <c r="A4593" s="805" t="s">
        <v>11519</v>
      </c>
      <c r="B4593" s="805" t="s">
        <v>11509</v>
      </c>
      <c r="C4593" s="805" t="s">
        <v>11509</v>
      </c>
      <c r="D4593" s="805" t="s">
        <v>11510</v>
      </c>
      <c r="E4593" s="805">
        <v>400</v>
      </c>
      <c r="F4593" s="805">
        <v>334</v>
      </c>
      <c r="G4593" s="202" t="str">
        <f t="shared" si="71"/>
        <v/>
      </c>
    </row>
    <row r="4594" spans="1:7" s="172" customFormat="1" ht="15" customHeight="1" x14ac:dyDescent="0.25">
      <c r="A4594" s="805" t="s">
        <v>11519</v>
      </c>
      <c r="B4594" s="805" t="s">
        <v>11509</v>
      </c>
      <c r="C4594" s="805" t="s">
        <v>11509</v>
      </c>
      <c r="D4594" s="805" t="s">
        <v>11511</v>
      </c>
      <c r="E4594" s="805">
        <v>100</v>
      </c>
      <c r="F4594" s="805">
        <v>83</v>
      </c>
      <c r="G4594" s="202" t="str">
        <f t="shared" si="71"/>
        <v/>
      </c>
    </row>
    <row r="4595" spans="1:7" s="172" customFormat="1" ht="15" customHeight="1" x14ac:dyDescent="0.25">
      <c r="A4595" s="805" t="s">
        <v>11519</v>
      </c>
      <c r="B4595" s="805" t="s">
        <v>11509</v>
      </c>
      <c r="C4595" s="805" t="s">
        <v>11509</v>
      </c>
      <c r="D4595" s="805" t="s">
        <v>11512</v>
      </c>
      <c r="E4595" s="805" t="s">
        <v>18590</v>
      </c>
      <c r="F4595" s="805" t="s">
        <v>18591</v>
      </c>
      <c r="G4595" s="202" t="str">
        <f t="shared" si="71"/>
        <v/>
      </c>
    </row>
    <row r="4596" spans="1:7" s="172" customFormat="1" ht="15" customHeight="1" x14ac:dyDescent="0.25">
      <c r="A4596" s="805" t="s">
        <v>11519</v>
      </c>
      <c r="B4596" s="805" t="s">
        <v>11509</v>
      </c>
      <c r="C4596" s="805" t="s">
        <v>11509</v>
      </c>
      <c r="D4596" s="805" t="s">
        <v>11513</v>
      </c>
      <c r="E4596" s="805">
        <v>100</v>
      </c>
      <c r="F4596" s="805">
        <v>83</v>
      </c>
      <c r="G4596" s="202" t="str">
        <f t="shared" si="71"/>
        <v/>
      </c>
    </row>
    <row r="4597" spans="1:7" s="172" customFormat="1" ht="15" customHeight="1" x14ac:dyDescent="0.25">
      <c r="A4597" s="805" t="s">
        <v>11514</v>
      </c>
      <c r="B4597" s="805" t="s">
        <v>11509</v>
      </c>
      <c r="C4597" s="805" t="s">
        <v>11509</v>
      </c>
      <c r="D4597" s="805" t="s">
        <v>11515</v>
      </c>
      <c r="E4597" s="805">
        <v>100</v>
      </c>
      <c r="F4597" s="805">
        <v>70</v>
      </c>
      <c r="G4597" s="202" t="str">
        <f t="shared" si="71"/>
        <v/>
      </c>
    </row>
    <row r="4598" spans="1:7" s="172" customFormat="1" ht="15" customHeight="1" x14ac:dyDescent="0.25">
      <c r="A4598" s="805" t="s">
        <v>11516</v>
      </c>
      <c r="B4598" s="805" t="s">
        <v>11509</v>
      </c>
      <c r="C4598" s="805" t="s">
        <v>11509</v>
      </c>
      <c r="D4598" s="805" t="s">
        <v>11517</v>
      </c>
      <c r="E4598" s="805">
        <v>400</v>
      </c>
      <c r="F4598" s="805">
        <v>90</v>
      </c>
      <c r="G4598" s="202" t="str">
        <f t="shared" si="71"/>
        <v/>
      </c>
    </row>
    <row r="4599" spans="1:7" s="172" customFormat="1" ht="15" customHeight="1" x14ac:dyDescent="0.25">
      <c r="A4599" s="805" t="s">
        <v>13271</v>
      </c>
      <c r="B4599" s="805" t="s">
        <v>11509</v>
      </c>
      <c r="C4599" s="805" t="s">
        <v>11509</v>
      </c>
      <c r="D4599" s="805" t="s">
        <v>11518</v>
      </c>
      <c r="E4599" s="805">
        <v>100</v>
      </c>
      <c r="F4599" s="805">
        <v>10</v>
      </c>
      <c r="G4599" s="202" t="str">
        <f t="shared" si="71"/>
        <v/>
      </c>
    </row>
    <row r="4600" spans="1:7" s="172" customFormat="1" ht="15" customHeight="1" x14ac:dyDescent="0.25">
      <c r="A4600" s="805" t="s">
        <v>11519</v>
      </c>
      <c r="B4600" s="805" t="s">
        <v>11509</v>
      </c>
      <c r="C4600" s="805" t="s">
        <v>11509</v>
      </c>
      <c r="D4600" s="805" t="s">
        <v>11520</v>
      </c>
      <c r="E4600" s="805">
        <v>40</v>
      </c>
      <c r="F4600" s="805">
        <v>30</v>
      </c>
      <c r="G4600" s="202" t="str">
        <f t="shared" si="71"/>
        <v/>
      </c>
    </row>
    <row r="4601" spans="1:7" s="172" customFormat="1" ht="15" customHeight="1" x14ac:dyDescent="0.25">
      <c r="A4601" s="805" t="s">
        <v>11519</v>
      </c>
      <c r="B4601" s="805" t="s">
        <v>11509</v>
      </c>
      <c r="C4601" s="805" t="s">
        <v>11509</v>
      </c>
      <c r="D4601" s="805" t="s">
        <v>11521</v>
      </c>
      <c r="E4601" s="805">
        <v>250</v>
      </c>
      <c r="F4601" s="805">
        <v>80</v>
      </c>
      <c r="G4601" s="202" t="str">
        <f t="shared" si="71"/>
        <v/>
      </c>
    </row>
    <row r="4602" spans="1:7" s="172" customFormat="1" ht="15" customHeight="1" x14ac:dyDescent="0.25">
      <c r="A4602" s="805" t="s">
        <v>11522</v>
      </c>
      <c r="B4602" s="805" t="s">
        <v>11509</v>
      </c>
      <c r="C4602" s="805" t="s">
        <v>11509</v>
      </c>
      <c r="D4602" s="805" t="s">
        <v>11523</v>
      </c>
      <c r="E4602" s="805">
        <v>100</v>
      </c>
      <c r="F4602" s="805">
        <v>5</v>
      </c>
      <c r="G4602" s="202" t="str">
        <f t="shared" si="71"/>
        <v/>
      </c>
    </row>
    <row r="4603" spans="1:7" s="172" customFormat="1" ht="15" customHeight="1" x14ac:dyDescent="0.25">
      <c r="A4603" s="805" t="s">
        <v>11524</v>
      </c>
      <c r="B4603" s="805" t="s">
        <v>11509</v>
      </c>
      <c r="C4603" s="805" t="s">
        <v>11509</v>
      </c>
      <c r="D4603" s="805" t="s">
        <v>11525</v>
      </c>
      <c r="E4603" s="805">
        <v>400</v>
      </c>
      <c r="F4603" s="805">
        <v>170</v>
      </c>
      <c r="G4603" s="202" t="str">
        <f t="shared" si="71"/>
        <v/>
      </c>
    </row>
    <row r="4604" spans="1:7" s="172" customFormat="1" ht="15" customHeight="1" x14ac:dyDescent="0.25">
      <c r="A4604" s="805" t="s">
        <v>11524</v>
      </c>
      <c r="B4604" s="805" t="s">
        <v>11509</v>
      </c>
      <c r="C4604" s="805" t="s">
        <v>11509</v>
      </c>
      <c r="D4604" s="805" t="s">
        <v>11526</v>
      </c>
      <c r="E4604" s="805">
        <v>250</v>
      </c>
      <c r="F4604" s="805">
        <v>70</v>
      </c>
      <c r="G4604" s="202" t="str">
        <f t="shared" si="71"/>
        <v/>
      </c>
    </row>
    <row r="4605" spans="1:7" s="172" customFormat="1" ht="15" customHeight="1" x14ac:dyDescent="0.25">
      <c r="A4605" s="805" t="s">
        <v>11519</v>
      </c>
      <c r="B4605" s="805" t="s">
        <v>11509</v>
      </c>
      <c r="C4605" s="805" t="s">
        <v>11509</v>
      </c>
      <c r="D4605" s="805" t="s">
        <v>11527</v>
      </c>
      <c r="E4605" s="805">
        <v>100</v>
      </c>
      <c r="F4605" s="805">
        <v>10</v>
      </c>
      <c r="G4605" s="202" t="str">
        <f t="shared" si="71"/>
        <v/>
      </c>
    </row>
    <row r="4606" spans="1:7" s="172" customFormat="1" ht="15" customHeight="1" x14ac:dyDescent="0.25">
      <c r="A4606" s="805" t="s">
        <v>13272</v>
      </c>
      <c r="B4606" s="805" t="s">
        <v>11509</v>
      </c>
      <c r="C4606" s="805" t="s">
        <v>11509</v>
      </c>
      <c r="D4606" s="805" t="s">
        <v>11528</v>
      </c>
      <c r="E4606" s="805">
        <v>100</v>
      </c>
      <c r="F4606" s="805">
        <v>24</v>
      </c>
      <c r="G4606" s="202" t="str">
        <f t="shared" si="71"/>
        <v/>
      </c>
    </row>
    <row r="4607" spans="1:7" s="172" customFormat="1" ht="15" customHeight="1" x14ac:dyDescent="0.25">
      <c r="A4607" s="805" t="s">
        <v>11519</v>
      </c>
      <c r="B4607" s="805" t="s">
        <v>11509</v>
      </c>
      <c r="C4607" s="805" t="s">
        <v>11509</v>
      </c>
      <c r="D4607" s="805" t="s">
        <v>11529</v>
      </c>
      <c r="E4607" s="805">
        <v>250</v>
      </c>
      <c r="F4607" s="805">
        <v>75</v>
      </c>
      <c r="G4607" s="202" t="str">
        <f t="shared" si="71"/>
        <v/>
      </c>
    </row>
    <row r="4608" spans="1:7" s="172" customFormat="1" ht="15" customHeight="1" x14ac:dyDescent="0.25">
      <c r="A4608" s="805" t="s">
        <v>11519</v>
      </c>
      <c r="B4608" s="805" t="s">
        <v>11509</v>
      </c>
      <c r="C4608" s="805" t="s">
        <v>11509</v>
      </c>
      <c r="D4608" s="805" t="s">
        <v>11530</v>
      </c>
      <c r="E4608" s="805">
        <v>100</v>
      </c>
      <c r="F4608" s="805">
        <v>9</v>
      </c>
      <c r="G4608" s="202" t="str">
        <f t="shared" si="71"/>
        <v/>
      </c>
    </row>
    <row r="4609" spans="1:7" s="172" customFormat="1" ht="15" customHeight="1" x14ac:dyDescent="0.25">
      <c r="A4609" s="805" t="s">
        <v>11519</v>
      </c>
      <c r="B4609" s="805" t="s">
        <v>11509</v>
      </c>
      <c r="C4609" s="805" t="s">
        <v>11509</v>
      </c>
      <c r="D4609" s="805" t="s">
        <v>11531</v>
      </c>
      <c r="E4609" s="805">
        <v>200</v>
      </c>
      <c r="F4609" s="805">
        <v>80</v>
      </c>
      <c r="G4609" s="202" t="str">
        <f t="shared" si="71"/>
        <v/>
      </c>
    </row>
    <row r="4610" spans="1:7" s="172" customFormat="1" ht="15" customHeight="1" x14ac:dyDescent="0.25">
      <c r="A4610" s="805" t="s">
        <v>11519</v>
      </c>
      <c r="B4610" s="805" t="s">
        <v>11509</v>
      </c>
      <c r="C4610" s="805" t="s">
        <v>11509</v>
      </c>
      <c r="D4610" s="805" t="s">
        <v>11532</v>
      </c>
      <c r="E4610" s="805">
        <v>400</v>
      </c>
      <c r="F4610" s="805">
        <v>275</v>
      </c>
      <c r="G4610" s="202" t="str">
        <f t="shared" si="71"/>
        <v/>
      </c>
    </row>
    <row r="4611" spans="1:7" s="172" customFormat="1" ht="15" customHeight="1" x14ac:dyDescent="0.25">
      <c r="A4611" s="805" t="s">
        <v>11519</v>
      </c>
      <c r="B4611" s="805" t="s">
        <v>11509</v>
      </c>
      <c r="C4611" s="805" t="s">
        <v>11509</v>
      </c>
      <c r="D4611" s="805" t="s">
        <v>11533</v>
      </c>
      <c r="E4611" s="805">
        <v>250</v>
      </c>
      <c r="F4611" s="805">
        <v>60</v>
      </c>
      <c r="G4611" s="202" t="str">
        <f t="shared" si="71"/>
        <v/>
      </c>
    </row>
    <row r="4612" spans="1:7" s="172" customFormat="1" ht="15" customHeight="1" x14ac:dyDescent="0.25">
      <c r="A4612" s="805" t="s">
        <v>11519</v>
      </c>
      <c r="B4612" s="805" t="s">
        <v>11509</v>
      </c>
      <c r="C4612" s="805" t="s">
        <v>11509</v>
      </c>
      <c r="D4612" s="805" t="s">
        <v>11534</v>
      </c>
      <c r="E4612" s="805">
        <v>180</v>
      </c>
      <c r="F4612" s="805">
        <v>58</v>
      </c>
      <c r="G4612" s="202" t="str">
        <f t="shared" si="71"/>
        <v/>
      </c>
    </row>
    <row r="4613" spans="1:7" s="172" customFormat="1" ht="15" customHeight="1" x14ac:dyDescent="0.25">
      <c r="A4613" s="805" t="s">
        <v>31</v>
      </c>
      <c r="B4613" s="805" t="s">
        <v>11509</v>
      </c>
      <c r="C4613" s="805" t="s">
        <v>11509</v>
      </c>
      <c r="D4613" s="805" t="s">
        <v>11535</v>
      </c>
      <c r="E4613" s="805">
        <v>160</v>
      </c>
      <c r="F4613" s="805">
        <v>48</v>
      </c>
      <c r="G4613" s="202" t="str">
        <f t="shared" si="71"/>
        <v/>
      </c>
    </row>
    <row r="4614" spans="1:7" s="172" customFormat="1" ht="15" customHeight="1" x14ac:dyDescent="0.25">
      <c r="A4614" s="805" t="s">
        <v>31</v>
      </c>
      <c r="B4614" s="805" t="s">
        <v>11509</v>
      </c>
      <c r="C4614" s="805" t="s">
        <v>11509</v>
      </c>
      <c r="D4614" s="805" t="s">
        <v>11536</v>
      </c>
      <c r="E4614" s="805">
        <v>160</v>
      </c>
      <c r="F4614" s="805">
        <v>53</v>
      </c>
      <c r="G4614" s="202" t="str">
        <f t="shared" si="71"/>
        <v/>
      </c>
    </row>
    <row r="4615" spans="1:7" s="172" customFormat="1" ht="15" customHeight="1" x14ac:dyDescent="0.25">
      <c r="A4615" s="805" t="s">
        <v>11537</v>
      </c>
      <c r="B4615" s="805" t="s">
        <v>11509</v>
      </c>
      <c r="C4615" s="805" t="s">
        <v>11509</v>
      </c>
      <c r="D4615" s="805" t="s">
        <v>11538</v>
      </c>
      <c r="E4615" s="805">
        <v>160</v>
      </c>
      <c r="F4615" s="805">
        <v>0</v>
      </c>
      <c r="G4615" s="202" t="str">
        <f t="shared" si="71"/>
        <v/>
      </c>
    </row>
    <row r="4616" spans="1:7" s="172" customFormat="1" ht="15" customHeight="1" x14ac:dyDescent="0.25">
      <c r="A4616" s="805" t="s">
        <v>11537</v>
      </c>
      <c r="B4616" s="805" t="s">
        <v>11509</v>
      </c>
      <c r="C4616" s="805" t="s">
        <v>11509</v>
      </c>
      <c r="D4616" s="805" t="s">
        <v>11539</v>
      </c>
      <c r="E4616" s="805">
        <v>250</v>
      </c>
      <c r="F4616" s="805">
        <v>204</v>
      </c>
      <c r="G4616" s="202" t="str">
        <f t="shared" si="71"/>
        <v/>
      </c>
    </row>
    <row r="4617" spans="1:7" s="172" customFormat="1" ht="15" customHeight="1" x14ac:dyDescent="0.25">
      <c r="A4617" s="805" t="s">
        <v>31</v>
      </c>
      <c r="B4617" s="805" t="s">
        <v>11509</v>
      </c>
      <c r="C4617" s="805" t="s">
        <v>11509</v>
      </c>
      <c r="D4617" s="805" t="s">
        <v>11540</v>
      </c>
      <c r="E4617" s="805">
        <v>160</v>
      </c>
      <c r="F4617" s="805">
        <v>93</v>
      </c>
      <c r="G4617" s="202" t="str">
        <f t="shared" si="71"/>
        <v/>
      </c>
    </row>
    <row r="4618" spans="1:7" s="172" customFormat="1" ht="15" customHeight="1" x14ac:dyDescent="0.25">
      <c r="A4618" s="805" t="s">
        <v>11541</v>
      </c>
      <c r="B4618" s="805" t="s">
        <v>11509</v>
      </c>
      <c r="C4618" s="805" t="s">
        <v>11509</v>
      </c>
      <c r="D4618" s="805" t="s">
        <v>11542</v>
      </c>
      <c r="E4618" s="805">
        <v>250</v>
      </c>
      <c r="F4618" s="805">
        <v>100</v>
      </c>
      <c r="G4618" s="202" t="str">
        <f t="shared" si="71"/>
        <v/>
      </c>
    </row>
    <row r="4619" spans="1:7" s="172" customFormat="1" ht="15" customHeight="1" x14ac:dyDescent="0.25">
      <c r="A4619" s="805" t="s">
        <v>31</v>
      </c>
      <c r="B4619" s="805" t="s">
        <v>11509</v>
      </c>
      <c r="C4619" s="805" t="s">
        <v>11509</v>
      </c>
      <c r="D4619" s="805" t="s">
        <v>11543</v>
      </c>
      <c r="E4619" s="805">
        <v>100</v>
      </c>
      <c r="F4619" s="805">
        <v>16</v>
      </c>
      <c r="G4619" s="202" t="str">
        <f t="shared" si="71"/>
        <v/>
      </c>
    </row>
    <row r="4620" spans="1:7" s="172" customFormat="1" ht="15" customHeight="1" x14ac:dyDescent="0.25">
      <c r="A4620" s="805" t="s">
        <v>31</v>
      </c>
      <c r="B4620" s="805" t="s">
        <v>11509</v>
      </c>
      <c r="C4620" s="805" t="s">
        <v>11509</v>
      </c>
      <c r="D4620" s="805" t="s">
        <v>11544</v>
      </c>
      <c r="E4620" s="805">
        <v>250</v>
      </c>
      <c r="F4620" s="805">
        <v>90</v>
      </c>
      <c r="G4620" s="202" t="str">
        <f t="shared" si="71"/>
        <v/>
      </c>
    </row>
    <row r="4621" spans="1:7" s="172" customFormat="1" ht="15" customHeight="1" x14ac:dyDescent="0.25">
      <c r="A4621" s="805" t="s">
        <v>31</v>
      </c>
      <c r="B4621" s="805" t="s">
        <v>11509</v>
      </c>
      <c r="C4621" s="805" t="s">
        <v>11509</v>
      </c>
      <c r="D4621" s="805" t="s">
        <v>11545</v>
      </c>
      <c r="E4621" s="805">
        <v>160</v>
      </c>
      <c r="F4621" s="805">
        <v>130</v>
      </c>
      <c r="G4621" s="202" t="str">
        <f t="shared" si="71"/>
        <v/>
      </c>
    </row>
    <row r="4622" spans="1:7" s="172" customFormat="1" ht="15" customHeight="1" x14ac:dyDescent="0.25">
      <c r="A4622" s="805" t="s">
        <v>11546</v>
      </c>
      <c r="B4622" s="805" t="s">
        <v>11509</v>
      </c>
      <c r="C4622" s="805" t="s">
        <v>11509</v>
      </c>
      <c r="D4622" s="805" t="s">
        <v>11547</v>
      </c>
      <c r="E4622" s="805">
        <v>180</v>
      </c>
      <c r="F4622" s="805">
        <v>30</v>
      </c>
      <c r="G4622" s="202" t="str">
        <f t="shared" si="71"/>
        <v/>
      </c>
    </row>
    <row r="4623" spans="1:7" s="172" customFormat="1" ht="15" customHeight="1" x14ac:dyDescent="0.25">
      <c r="A4623" s="805" t="s">
        <v>31</v>
      </c>
      <c r="B4623" s="805" t="s">
        <v>11509</v>
      </c>
      <c r="C4623" s="805" t="s">
        <v>11509</v>
      </c>
      <c r="D4623" s="805" t="s">
        <v>11548</v>
      </c>
      <c r="E4623" s="805">
        <v>160</v>
      </c>
      <c r="F4623" s="805">
        <v>30</v>
      </c>
      <c r="G4623" s="202" t="str">
        <f t="shared" si="71"/>
        <v/>
      </c>
    </row>
    <row r="4624" spans="1:7" s="172" customFormat="1" ht="15" customHeight="1" x14ac:dyDescent="0.25">
      <c r="A4624" s="805" t="s">
        <v>11549</v>
      </c>
      <c r="B4624" s="805" t="s">
        <v>11509</v>
      </c>
      <c r="C4624" s="805" t="s">
        <v>11509</v>
      </c>
      <c r="D4624" s="805" t="s">
        <v>11550</v>
      </c>
      <c r="E4624" s="805">
        <v>100</v>
      </c>
      <c r="F4624" s="805">
        <v>45</v>
      </c>
      <c r="G4624" s="202" t="str">
        <f t="shared" si="71"/>
        <v/>
      </c>
    </row>
    <row r="4625" spans="1:7" s="172" customFormat="1" ht="15" customHeight="1" x14ac:dyDescent="0.25">
      <c r="A4625" s="805" t="s">
        <v>11551</v>
      </c>
      <c r="B4625" s="805" t="s">
        <v>11509</v>
      </c>
      <c r="C4625" s="805" t="s">
        <v>11509</v>
      </c>
      <c r="D4625" s="805" t="s">
        <v>11552</v>
      </c>
      <c r="E4625" s="805">
        <v>50</v>
      </c>
      <c r="F4625" s="805">
        <v>15</v>
      </c>
      <c r="G4625" s="202" t="str">
        <f t="shared" si="71"/>
        <v/>
      </c>
    </row>
    <row r="4626" spans="1:7" s="172" customFormat="1" ht="15" customHeight="1" x14ac:dyDescent="0.25">
      <c r="A4626" s="805" t="s">
        <v>11553</v>
      </c>
      <c r="B4626" s="805" t="s">
        <v>11509</v>
      </c>
      <c r="C4626" s="805" t="s">
        <v>11509</v>
      </c>
      <c r="D4626" s="805" t="s">
        <v>11554</v>
      </c>
      <c r="E4626" s="805">
        <v>250</v>
      </c>
      <c r="F4626" s="805">
        <v>183</v>
      </c>
      <c r="G4626" s="202" t="str">
        <f t="shared" si="71"/>
        <v/>
      </c>
    </row>
    <row r="4627" spans="1:7" s="172" customFormat="1" ht="15" customHeight="1" x14ac:dyDescent="0.25">
      <c r="A4627" s="805" t="s">
        <v>11553</v>
      </c>
      <c r="B4627" s="805" t="s">
        <v>11509</v>
      </c>
      <c r="C4627" s="805" t="s">
        <v>11509</v>
      </c>
      <c r="D4627" s="805" t="s">
        <v>11555</v>
      </c>
      <c r="E4627" s="805">
        <v>160</v>
      </c>
      <c r="F4627" s="805">
        <v>5</v>
      </c>
      <c r="G4627" s="202" t="str">
        <f t="shared" si="71"/>
        <v/>
      </c>
    </row>
    <row r="4628" spans="1:7" s="172" customFormat="1" ht="15" customHeight="1" x14ac:dyDescent="0.25">
      <c r="A4628" s="805" t="s">
        <v>13273</v>
      </c>
      <c r="B4628" s="805" t="s">
        <v>11509</v>
      </c>
      <c r="C4628" s="805" t="s">
        <v>11509</v>
      </c>
      <c r="D4628" s="805" t="s">
        <v>11556</v>
      </c>
      <c r="E4628" s="805">
        <v>250</v>
      </c>
      <c r="F4628" s="805">
        <v>125</v>
      </c>
      <c r="G4628" s="202" t="str">
        <f t="shared" si="71"/>
        <v/>
      </c>
    </row>
    <row r="4629" spans="1:7" s="172" customFormat="1" ht="15" customHeight="1" x14ac:dyDescent="0.25">
      <c r="A4629" s="805" t="s">
        <v>13273</v>
      </c>
      <c r="B4629" s="805" t="s">
        <v>11509</v>
      </c>
      <c r="C4629" s="805" t="s">
        <v>11509</v>
      </c>
      <c r="D4629" s="805" t="s">
        <v>11557</v>
      </c>
      <c r="E4629" s="805">
        <v>100</v>
      </c>
      <c r="F4629" s="805">
        <v>0</v>
      </c>
      <c r="G4629" s="202" t="str">
        <f t="shared" si="71"/>
        <v/>
      </c>
    </row>
    <row r="4630" spans="1:7" s="172" customFormat="1" ht="15" customHeight="1" x14ac:dyDescent="0.25">
      <c r="A4630" s="805" t="s">
        <v>11514</v>
      </c>
      <c r="B4630" s="805" t="s">
        <v>11509</v>
      </c>
      <c r="C4630" s="805" t="s">
        <v>11509</v>
      </c>
      <c r="D4630" s="805" t="s">
        <v>11558</v>
      </c>
      <c r="E4630" s="805">
        <v>160</v>
      </c>
      <c r="F4630" s="805">
        <v>50</v>
      </c>
      <c r="G4630" s="202" t="str">
        <f t="shared" si="71"/>
        <v/>
      </c>
    </row>
    <row r="4631" spans="1:7" s="172" customFormat="1" ht="15" customHeight="1" x14ac:dyDescent="0.25">
      <c r="A4631" s="805" t="s">
        <v>13273</v>
      </c>
      <c r="B4631" s="805" t="s">
        <v>11509</v>
      </c>
      <c r="C4631" s="805" t="s">
        <v>11509</v>
      </c>
      <c r="D4631" s="805" t="s">
        <v>11559</v>
      </c>
      <c r="E4631" s="805">
        <v>250</v>
      </c>
      <c r="F4631" s="805">
        <v>0</v>
      </c>
      <c r="G4631" s="202" t="str">
        <f t="shared" si="71"/>
        <v/>
      </c>
    </row>
    <row r="4632" spans="1:7" s="172" customFormat="1" ht="15" customHeight="1" x14ac:dyDescent="0.25">
      <c r="A4632" s="805" t="s">
        <v>13273</v>
      </c>
      <c r="B4632" s="805" t="s">
        <v>11509</v>
      </c>
      <c r="C4632" s="805" t="s">
        <v>11509</v>
      </c>
      <c r="D4632" s="805" t="s">
        <v>11560</v>
      </c>
      <c r="E4632" s="805">
        <v>180</v>
      </c>
      <c r="F4632" s="805">
        <v>70</v>
      </c>
      <c r="G4632" s="202" t="str">
        <f t="shared" si="71"/>
        <v/>
      </c>
    </row>
    <row r="4633" spans="1:7" s="172" customFormat="1" ht="15" customHeight="1" x14ac:dyDescent="0.25">
      <c r="A4633" s="805" t="s">
        <v>13273</v>
      </c>
      <c r="B4633" s="805" t="s">
        <v>11509</v>
      </c>
      <c r="C4633" s="805" t="s">
        <v>11509</v>
      </c>
      <c r="D4633" s="805" t="s">
        <v>11561</v>
      </c>
      <c r="E4633" s="805" t="s">
        <v>18592</v>
      </c>
      <c r="F4633" s="805" t="s">
        <v>18593</v>
      </c>
      <c r="G4633" s="202" t="str">
        <f t="shared" si="71"/>
        <v/>
      </c>
    </row>
    <row r="4634" spans="1:7" s="172" customFormat="1" ht="15" customHeight="1" x14ac:dyDescent="0.25">
      <c r="A4634" s="805" t="s">
        <v>11514</v>
      </c>
      <c r="B4634" s="805" t="s">
        <v>11509</v>
      </c>
      <c r="C4634" s="805" t="s">
        <v>11509</v>
      </c>
      <c r="D4634" s="805" t="s">
        <v>11562</v>
      </c>
      <c r="E4634" s="805">
        <v>250</v>
      </c>
      <c r="F4634" s="805">
        <v>110</v>
      </c>
      <c r="G4634" s="202" t="str">
        <f t="shared" si="71"/>
        <v/>
      </c>
    </row>
    <row r="4635" spans="1:7" s="172" customFormat="1" ht="15" customHeight="1" x14ac:dyDescent="0.25">
      <c r="A4635" s="805" t="s">
        <v>13273</v>
      </c>
      <c r="B4635" s="805" t="s">
        <v>11509</v>
      </c>
      <c r="C4635" s="805" t="s">
        <v>11509</v>
      </c>
      <c r="D4635" s="805" t="s">
        <v>11563</v>
      </c>
      <c r="E4635" s="805">
        <v>250</v>
      </c>
      <c r="F4635" s="805">
        <v>0</v>
      </c>
      <c r="G4635" s="202" t="str">
        <f t="shared" si="71"/>
        <v/>
      </c>
    </row>
    <row r="4636" spans="1:7" s="172" customFormat="1" ht="15" customHeight="1" x14ac:dyDescent="0.25">
      <c r="A4636" s="805" t="s">
        <v>13273</v>
      </c>
      <c r="B4636" s="805" t="s">
        <v>11509</v>
      </c>
      <c r="C4636" s="805" t="s">
        <v>11509</v>
      </c>
      <c r="D4636" s="805" t="s">
        <v>11564</v>
      </c>
      <c r="E4636" s="805">
        <v>160</v>
      </c>
      <c r="F4636" s="805">
        <v>120</v>
      </c>
      <c r="G4636" s="202" t="str">
        <f t="shared" si="71"/>
        <v/>
      </c>
    </row>
    <row r="4637" spans="1:7" s="172" customFormat="1" ht="15" customHeight="1" x14ac:dyDescent="0.25">
      <c r="A4637" s="805" t="s">
        <v>13273</v>
      </c>
      <c r="B4637" s="805" t="s">
        <v>11509</v>
      </c>
      <c r="C4637" s="805" t="s">
        <v>11509</v>
      </c>
      <c r="D4637" s="805" t="s">
        <v>11565</v>
      </c>
      <c r="E4637" s="805">
        <v>250</v>
      </c>
      <c r="F4637" s="805">
        <v>210</v>
      </c>
      <c r="G4637" s="202" t="str">
        <f t="shared" ref="G4637:G4700" si="72">IF(E4637=F4637,"не загружен","")</f>
        <v/>
      </c>
    </row>
    <row r="4638" spans="1:7" s="172" customFormat="1" ht="15" customHeight="1" x14ac:dyDescent="0.25">
      <c r="A4638" s="805" t="s">
        <v>13273</v>
      </c>
      <c r="B4638" s="805" t="s">
        <v>11509</v>
      </c>
      <c r="C4638" s="805" t="s">
        <v>11509</v>
      </c>
      <c r="D4638" s="805" t="s">
        <v>11566</v>
      </c>
      <c r="E4638" s="805" t="s">
        <v>18197</v>
      </c>
      <c r="F4638" s="805">
        <v>250</v>
      </c>
      <c r="G4638" s="202" t="str">
        <f t="shared" si="72"/>
        <v/>
      </c>
    </row>
    <row r="4639" spans="1:7" s="172" customFormat="1" ht="15" customHeight="1" x14ac:dyDescent="0.25">
      <c r="A4639" s="805" t="s">
        <v>13273</v>
      </c>
      <c r="B4639" s="805" t="s">
        <v>11509</v>
      </c>
      <c r="C4639" s="805" t="s">
        <v>11509</v>
      </c>
      <c r="D4639" s="805" t="s">
        <v>11567</v>
      </c>
      <c r="E4639" s="805">
        <v>400</v>
      </c>
      <c r="F4639" s="805">
        <v>5</v>
      </c>
      <c r="G4639" s="202" t="str">
        <f t="shared" si="72"/>
        <v/>
      </c>
    </row>
    <row r="4640" spans="1:7" s="172" customFormat="1" ht="15" customHeight="1" x14ac:dyDescent="0.25">
      <c r="A4640" s="805" t="s">
        <v>13273</v>
      </c>
      <c r="B4640" s="805" t="s">
        <v>11509</v>
      </c>
      <c r="C4640" s="805" t="s">
        <v>11509</v>
      </c>
      <c r="D4640" s="805" t="s">
        <v>15282</v>
      </c>
      <c r="E4640" s="805">
        <v>63</v>
      </c>
      <c r="F4640" s="805">
        <v>35</v>
      </c>
      <c r="G4640" s="202" t="str">
        <f t="shared" si="72"/>
        <v/>
      </c>
    </row>
    <row r="4641" spans="1:7" s="172" customFormat="1" ht="15" customHeight="1" x14ac:dyDescent="0.25">
      <c r="A4641" s="805" t="s">
        <v>13273</v>
      </c>
      <c r="B4641" s="805" t="s">
        <v>11509</v>
      </c>
      <c r="C4641" s="805" t="s">
        <v>11509</v>
      </c>
      <c r="D4641" s="805" t="s">
        <v>15283</v>
      </c>
      <c r="E4641" s="805">
        <v>100</v>
      </c>
      <c r="F4641" s="805">
        <v>80</v>
      </c>
      <c r="G4641" s="202" t="str">
        <f t="shared" si="72"/>
        <v/>
      </c>
    </row>
    <row r="4642" spans="1:7" s="172" customFormat="1" ht="15" customHeight="1" x14ac:dyDescent="0.25">
      <c r="A4642" s="805" t="s">
        <v>11519</v>
      </c>
      <c r="B4642" s="805" t="s">
        <v>11509</v>
      </c>
      <c r="C4642" s="805" t="s">
        <v>11509</v>
      </c>
      <c r="D4642" s="805" t="s">
        <v>11568</v>
      </c>
      <c r="E4642" s="805">
        <v>400</v>
      </c>
      <c r="F4642" s="805">
        <v>200</v>
      </c>
      <c r="G4642" s="202" t="str">
        <f t="shared" si="72"/>
        <v/>
      </c>
    </row>
    <row r="4643" spans="1:7" s="172" customFormat="1" ht="15" customHeight="1" x14ac:dyDescent="0.25">
      <c r="A4643" s="805" t="s">
        <v>11519</v>
      </c>
      <c r="B4643" s="805" t="s">
        <v>11509</v>
      </c>
      <c r="C4643" s="805" t="s">
        <v>11509</v>
      </c>
      <c r="D4643" s="805" t="s">
        <v>11569</v>
      </c>
      <c r="E4643" s="805">
        <v>250</v>
      </c>
      <c r="F4643" s="805">
        <v>65</v>
      </c>
      <c r="G4643" s="202" t="str">
        <f t="shared" si="72"/>
        <v/>
      </c>
    </row>
    <row r="4644" spans="1:7" s="172" customFormat="1" ht="15" customHeight="1" x14ac:dyDescent="0.25">
      <c r="A4644" s="805" t="s">
        <v>11519</v>
      </c>
      <c r="B4644" s="805" t="s">
        <v>11509</v>
      </c>
      <c r="C4644" s="805" t="s">
        <v>11509</v>
      </c>
      <c r="D4644" s="805" t="s">
        <v>11570</v>
      </c>
      <c r="E4644" s="805">
        <v>400</v>
      </c>
      <c r="F4644" s="805">
        <v>200</v>
      </c>
      <c r="G4644" s="202" t="str">
        <f t="shared" si="72"/>
        <v/>
      </c>
    </row>
    <row r="4645" spans="1:7" s="172" customFormat="1" ht="15" customHeight="1" x14ac:dyDescent="0.25">
      <c r="A4645" s="805" t="s">
        <v>11519</v>
      </c>
      <c r="B4645" s="805" t="s">
        <v>11509</v>
      </c>
      <c r="C4645" s="805" t="s">
        <v>11509</v>
      </c>
      <c r="D4645" s="805" t="s">
        <v>11571</v>
      </c>
      <c r="E4645" s="805">
        <v>160</v>
      </c>
      <c r="F4645" s="805">
        <v>0</v>
      </c>
      <c r="G4645" s="202" t="str">
        <f t="shared" si="72"/>
        <v/>
      </c>
    </row>
    <row r="4646" spans="1:7" s="172" customFormat="1" ht="15" customHeight="1" x14ac:dyDescent="0.25">
      <c r="A4646" s="805" t="s">
        <v>11519</v>
      </c>
      <c r="B4646" s="805" t="s">
        <v>11509</v>
      </c>
      <c r="C4646" s="805" t="s">
        <v>11509</v>
      </c>
      <c r="D4646" s="805" t="s">
        <v>11572</v>
      </c>
      <c r="E4646" s="805" t="s">
        <v>18594</v>
      </c>
      <c r="F4646" s="805">
        <v>250</v>
      </c>
      <c r="G4646" s="202" t="str">
        <f t="shared" si="72"/>
        <v/>
      </c>
    </row>
    <row r="4647" spans="1:7" s="172" customFormat="1" ht="15" customHeight="1" x14ac:dyDescent="0.25">
      <c r="A4647" s="805" t="s">
        <v>11519</v>
      </c>
      <c r="B4647" s="805" t="s">
        <v>11509</v>
      </c>
      <c r="C4647" s="805" t="s">
        <v>11509</v>
      </c>
      <c r="D4647" s="805" t="s">
        <v>11573</v>
      </c>
      <c r="E4647" s="805">
        <v>250</v>
      </c>
      <c r="F4647" s="805">
        <v>0</v>
      </c>
      <c r="G4647" s="202" t="str">
        <f t="shared" si="72"/>
        <v/>
      </c>
    </row>
    <row r="4648" spans="1:7" s="172" customFormat="1" ht="15" customHeight="1" x14ac:dyDescent="0.25">
      <c r="A4648" s="805" t="s">
        <v>31</v>
      </c>
      <c r="B4648" s="805" t="s">
        <v>11509</v>
      </c>
      <c r="C4648" s="805" t="s">
        <v>11509</v>
      </c>
      <c r="D4648" s="805" t="s">
        <v>11574</v>
      </c>
      <c r="E4648" s="805">
        <v>320</v>
      </c>
      <c r="F4648" s="805">
        <v>130</v>
      </c>
      <c r="G4648" s="202" t="str">
        <f t="shared" si="72"/>
        <v/>
      </c>
    </row>
    <row r="4649" spans="1:7" s="172" customFormat="1" ht="15" customHeight="1" x14ac:dyDescent="0.25">
      <c r="A4649" s="805" t="s">
        <v>13274</v>
      </c>
      <c r="B4649" s="805" t="s">
        <v>11509</v>
      </c>
      <c r="C4649" s="805" t="s">
        <v>11509</v>
      </c>
      <c r="D4649" s="805" t="s">
        <v>11575</v>
      </c>
      <c r="E4649" s="805">
        <v>250</v>
      </c>
      <c r="F4649" s="805">
        <v>90</v>
      </c>
      <c r="G4649" s="202" t="str">
        <f t="shared" si="72"/>
        <v/>
      </c>
    </row>
    <row r="4650" spans="1:7" s="172" customFormat="1" ht="15" customHeight="1" x14ac:dyDescent="0.25">
      <c r="A4650" s="805" t="s">
        <v>13274</v>
      </c>
      <c r="B4650" s="805" t="s">
        <v>11509</v>
      </c>
      <c r="C4650" s="805" t="s">
        <v>11509</v>
      </c>
      <c r="D4650" s="805" t="s">
        <v>11576</v>
      </c>
      <c r="E4650" s="805">
        <v>160</v>
      </c>
      <c r="F4650" s="805">
        <v>50</v>
      </c>
      <c r="G4650" s="202" t="str">
        <f t="shared" si="72"/>
        <v/>
      </c>
    </row>
    <row r="4651" spans="1:7" s="172" customFormat="1" ht="15" customHeight="1" x14ac:dyDescent="0.25">
      <c r="A4651" s="805" t="s">
        <v>13275</v>
      </c>
      <c r="B4651" s="805" t="s">
        <v>11509</v>
      </c>
      <c r="C4651" s="805" t="s">
        <v>11509</v>
      </c>
      <c r="D4651" s="805" t="s">
        <v>11577</v>
      </c>
      <c r="E4651" s="805">
        <v>250</v>
      </c>
      <c r="F4651" s="805">
        <v>0</v>
      </c>
      <c r="G4651" s="202" t="str">
        <f t="shared" si="72"/>
        <v/>
      </c>
    </row>
    <row r="4652" spans="1:7" s="172" customFormat="1" ht="15" customHeight="1" x14ac:dyDescent="0.25">
      <c r="A4652" s="805" t="s">
        <v>13275</v>
      </c>
      <c r="B4652" s="805" t="s">
        <v>11509</v>
      </c>
      <c r="C4652" s="805" t="s">
        <v>11509</v>
      </c>
      <c r="D4652" s="805" t="s">
        <v>11578</v>
      </c>
      <c r="E4652" s="805">
        <v>250</v>
      </c>
      <c r="F4652" s="805">
        <v>115</v>
      </c>
      <c r="G4652" s="202" t="str">
        <f t="shared" si="72"/>
        <v/>
      </c>
    </row>
    <row r="4653" spans="1:7" s="172" customFormat="1" ht="15" customHeight="1" x14ac:dyDescent="0.25">
      <c r="A4653" s="805" t="s">
        <v>13275</v>
      </c>
      <c r="B4653" s="805" t="s">
        <v>11509</v>
      </c>
      <c r="C4653" s="805" t="s">
        <v>11509</v>
      </c>
      <c r="D4653" s="805" t="s">
        <v>11579</v>
      </c>
      <c r="E4653" s="805" t="s">
        <v>18196</v>
      </c>
      <c r="F4653" s="805">
        <v>400</v>
      </c>
      <c r="G4653" s="202" t="str">
        <f t="shared" si="72"/>
        <v/>
      </c>
    </row>
    <row r="4654" spans="1:7" s="172" customFormat="1" ht="15" customHeight="1" x14ac:dyDescent="0.25">
      <c r="A4654" s="805" t="s">
        <v>13275</v>
      </c>
      <c r="B4654" s="805" t="s">
        <v>11509</v>
      </c>
      <c r="C4654" s="805" t="s">
        <v>11509</v>
      </c>
      <c r="D4654" s="805" t="s">
        <v>11580</v>
      </c>
      <c r="E4654" s="805">
        <v>160</v>
      </c>
      <c r="F4654" s="805">
        <v>87</v>
      </c>
      <c r="G4654" s="202" t="str">
        <f t="shared" si="72"/>
        <v/>
      </c>
    </row>
    <row r="4655" spans="1:7" s="172" customFormat="1" ht="15" customHeight="1" x14ac:dyDescent="0.25">
      <c r="A4655" s="805" t="s">
        <v>13276</v>
      </c>
      <c r="B4655" s="805" t="s">
        <v>11509</v>
      </c>
      <c r="C4655" s="805" t="s">
        <v>11509</v>
      </c>
      <c r="D4655" s="805" t="s">
        <v>11581</v>
      </c>
      <c r="E4655" s="805">
        <v>250</v>
      </c>
      <c r="F4655" s="805">
        <v>50</v>
      </c>
      <c r="G4655" s="202" t="str">
        <f t="shared" si="72"/>
        <v/>
      </c>
    </row>
    <row r="4656" spans="1:7" s="172" customFormat="1" ht="15" customHeight="1" x14ac:dyDescent="0.25">
      <c r="A4656" s="805" t="s">
        <v>13276</v>
      </c>
      <c r="B4656" s="805" t="s">
        <v>11509</v>
      </c>
      <c r="C4656" s="805" t="s">
        <v>11509</v>
      </c>
      <c r="D4656" s="805" t="s">
        <v>11582</v>
      </c>
      <c r="E4656" s="805">
        <v>63</v>
      </c>
      <c r="F4656" s="805">
        <v>10</v>
      </c>
      <c r="G4656" s="202" t="str">
        <f t="shared" si="72"/>
        <v/>
      </c>
    </row>
    <row r="4657" spans="1:7" s="172" customFormat="1" ht="15" customHeight="1" x14ac:dyDescent="0.25">
      <c r="A4657" s="805" t="s">
        <v>13276</v>
      </c>
      <c r="B4657" s="805" t="s">
        <v>11509</v>
      </c>
      <c r="C4657" s="805" t="s">
        <v>11509</v>
      </c>
      <c r="D4657" s="805" t="s">
        <v>11583</v>
      </c>
      <c r="E4657" s="805">
        <v>250</v>
      </c>
      <c r="F4657" s="805">
        <v>70</v>
      </c>
      <c r="G4657" s="202" t="str">
        <f t="shared" si="72"/>
        <v/>
      </c>
    </row>
    <row r="4658" spans="1:7" s="172" customFormat="1" ht="15" customHeight="1" x14ac:dyDescent="0.25">
      <c r="A4658" s="805" t="s">
        <v>13276</v>
      </c>
      <c r="B4658" s="805" t="s">
        <v>11509</v>
      </c>
      <c r="C4658" s="805" t="s">
        <v>11509</v>
      </c>
      <c r="D4658" s="805" t="s">
        <v>11584</v>
      </c>
      <c r="E4658" s="805">
        <v>160</v>
      </c>
      <c r="F4658" s="805">
        <v>130</v>
      </c>
      <c r="G4658" s="202" t="str">
        <f t="shared" si="72"/>
        <v/>
      </c>
    </row>
    <row r="4659" spans="1:7" s="172" customFormat="1" ht="15" customHeight="1" x14ac:dyDescent="0.25">
      <c r="A4659" s="805" t="s">
        <v>13277</v>
      </c>
      <c r="B4659" s="805" t="s">
        <v>11509</v>
      </c>
      <c r="C4659" s="805" t="s">
        <v>11509</v>
      </c>
      <c r="D4659" s="805" t="s">
        <v>11585</v>
      </c>
      <c r="E4659" s="805">
        <v>400</v>
      </c>
      <c r="F4659" s="805">
        <v>150</v>
      </c>
      <c r="G4659" s="202" t="str">
        <f t="shared" si="72"/>
        <v/>
      </c>
    </row>
    <row r="4660" spans="1:7" s="172" customFormat="1" ht="15" customHeight="1" x14ac:dyDescent="0.25">
      <c r="A4660" s="805" t="s">
        <v>13278</v>
      </c>
      <c r="B4660" s="805" t="s">
        <v>11509</v>
      </c>
      <c r="C4660" s="805" t="s">
        <v>11509</v>
      </c>
      <c r="D4660" s="805" t="s">
        <v>11586</v>
      </c>
      <c r="E4660" s="805">
        <v>100</v>
      </c>
      <c r="F4660" s="805">
        <v>40</v>
      </c>
      <c r="G4660" s="202" t="str">
        <f t="shared" si="72"/>
        <v/>
      </c>
    </row>
    <row r="4661" spans="1:7" s="172" customFormat="1" ht="15" customHeight="1" x14ac:dyDescent="0.25">
      <c r="A4661" s="805" t="s">
        <v>13278</v>
      </c>
      <c r="B4661" s="805" t="s">
        <v>11509</v>
      </c>
      <c r="C4661" s="805" t="s">
        <v>11509</v>
      </c>
      <c r="D4661" s="805" t="s">
        <v>11587</v>
      </c>
      <c r="E4661" s="805">
        <v>63</v>
      </c>
      <c r="F4661" s="805">
        <v>20</v>
      </c>
      <c r="G4661" s="202" t="str">
        <f t="shared" si="72"/>
        <v/>
      </c>
    </row>
    <row r="4662" spans="1:7" s="172" customFormat="1" ht="15" customHeight="1" x14ac:dyDescent="0.25">
      <c r="A4662" s="805" t="s">
        <v>13278</v>
      </c>
      <c r="B4662" s="805" t="s">
        <v>11509</v>
      </c>
      <c r="C4662" s="805" t="s">
        <v>11509</v>
      </c>
      <c r="D4662" s="805" t="s">
        <v>11588</v>
      </c>
      <c r="E4662" s="805">
        <v>100</v>
      </c>
      <c r="F4662" s="805">
        <v>20</v>
      </c>
      <c r="G4662" s="202" t="str">
        <f t="shared" si="72"/>
        <v/>
      </c>
    </row>
    <row r="4663" spans="1:7" s="172" customFormat="1" ht="15" customHeight="1" x14ac:dyDescent="0.25">
      <c r="A4663" s="805" t="s">
        <v>13279</v>
      </c>
      <c r="B4663" s="805" t="s">
        <v>11509</v>
      </c>
      <c r="C4663" s="805" t="s">
        <v>11509</v>
      </c>
      <c r="D4663" s="805" t="s">
        <v>11589</v>
      </c>
      <c r="E4663" s="805">
        <v>400</v>
      </c>
      <c r="F4663" s="805">
        <v>160</v>
      </c>
      <c r="G4663" s="202" t="str">
        <f t="shared" si="72"/>
        <v/>
      </c>
    </row>
    <row r="4664" spans="1:7" s="172" customFormat="1" ht="15" customHeight="1" x14ac:dyDescent="0.25">
      <c r="A4664" s="805" t="s">
        <v>13280</v>
      </c>
      <c r="B4664" s="805" t="s">
        <v>11509</v>
      </c>
      <c r="C4664" s="805" t="s">
        <v>11509</v>
      </c>
      <c r="D4664" s="805" t="s">
        <v>11590</v>
      </c>
      <c r="E4664" s="805">
        <v>400</v>
      </c>
      <c r="F4664" s="805">
        <v>150</v>
      </c>
      <c r="G4664" s="202" t="str">
        <f t="shared" si="72"/>
        <v/>
      </c>
    </row>
    <row r="4665" spans="1:7" s="172" customFormat="1" ht="15" customHeight="1" x14ac:dyDescent="0.25">
      <c r="A4665" s="805" t="s">
        <v>13281</v>
      </c>
      <c r="B4665" s="805" t="s">
        <v>11509</v>
      </c>
      <c r="C4665" s="805" t="s">
        <v>11509</v>
      </c>
      <c r="D4665" s="805" t="s">
        <v>11591</v>
      </c>
      <c r="E4665" s="805">
        <v>250</v>
      </c>
      <c r="F4665" s="805">
        <v>96</v>
      </c>
      <c r="G4665" s="202" t="str">
        <f t="shared" si="72"/>
        <v/>
      </c>
    </row>
    <row r="4666" spans="1:7" s="172" customFormat="1" ht="15" customHeight="1" x14ac:dyDescent="0.25">
      <c r="A4666" s="805" t="s">
        <v>13282</v>
      </c>
      <c r="B4666" s="805" t="s">
        <v>11509</v>
      </c>
      <c r="C4666" s="805" t="s">
        <v>11509</v>
      </c>
      <c r="D4666" s="805" t="s">
        <v>11592</v>
      </c>
      <c r="E4666" s="805">
        <v>180</v>
      </c>
      <c r="F4666" s="805">
        <v>30</v>
      </c>
      <c r="G4666" s="202" t="str">
        <f t="shared" si="72"/>
        <v/>
      </c>
    </row>
    <row r="4667" spans="1:7" s="172" customFormat="1" ht="15" customHeight="1" x14ac:dyDescent="0.25">
      <c r="A4667" s="805" t="s">
        <v>13283</v>
      </c>
      <c r="B4667" s="805" t="s">
        <v>11509</v>
      </c>
      <c r="C4667" s="805" t="s">
        <v>11509</v>
      </c>
      <c r="D4667" s="805" t="s">
        <v>11593</v>
      </c>
      <c r="E4667" s="805">
        <v>250</v>
      </c>
      <c r="F4667" s="805">
        <v>130</v>
      </c>
      <c r="G4667" s="202" t="str">
        <f t="shared" si="72"/>
        <v/>
      </c>
    </row>
    <row r="4668" spans="1:7" s="172" customFormat="1" ht="15" customHeight="1" x14ac:dyDescent="0.25">
      <c r="A4668" s="805" t="s">
        <v>13283</v>
      </c>
      <c r="B4668" s="805" t="s">
        <v>11509</v>
      </c>
      <c r="C4668" s="805" t="s">
        <v>11509</v>
      </c>
      <c r="D4668" s="805" t="s">
        <v>11594</v>
      </c>
      <c r="E4668" s="805">
        <v>250</v>
      </c>
      <c r="F4668" s="805">
        <v>150</v>
      </c>
      <c r="G4668" s="202" t="str">
        <f t="shared" si="72"/>
        <v/>
      </c>
    </row>
    <row r="4669" spans="1:7" s="172" customFormat="1" ht="15" customHeight="1" x14ac:dyDescent="0.25">
      <c r="A4669" s="805" t="s">
        <v>13283</v>
      </c>
      <c r="B4669" s="805" t="s">
        <v>11509</v>
      </c>
      <c r="C4669" s="805" t="s">
        <v>11509</v>
      </c>
      <c r="D4669" s="805" t="s">
        <v>11595</v>
      </c>
      <c r="E4669" s="805" t="s">
        <v>18595</v>
      </c>
      <c r="F4669" s="805">
        <v>400</v>
      </c>
      <c r="G4669" s="202" t="str">
        <f t="shared" si="72"/>
        <v/>
      </c>
    </row>
    <row r="4670" spans="1:7" s="172" customFormat="1" ht="15" customHeight="1" x14ac:dyDescent="0.25">
      <c r="A4670" s="805" t="s">
        <v>13283</v>
      </c>
      <c r="B4670" s="805" t="s">
        <v>11509</v>
      </c>
      <c r="C4670" s="805" t="s">
        <v>11509</v>
      </c>
      <c r="D4670" s="805" t="s">
        <v>11596</v>
      </c>
      <c r="E4670" s="805">
        <v>400</v>
      </c>
      <c r="F4670" s="805">
        <v>200</v>
      </c>
      <c r="G4670" s="202" t="str">
        <f t="shared" si="72"/>
        <v/>
      </c>
    </row>
    <row r="4671" spans="1:7" s="172" customFormat="1" ht="15" customHeight="1" x14ac:dyDescent="0.25">
      <c r="A4671" s="805" t="s">
        <v>13283</v>
      </c>
      <c r="B4671" s="805" t="s">
        <v>11509</v>
      </c>
      <c r="C4671" s="805" t="s">
        <v>11509</v>
      </c>
      <c r="D4671" s="805" t="s">
        <v>11597</v>
      </c>
      <c r="E4671" s="805">
        <v>400</v>
      </c>
      <c r="F4671" s="805">
        <v>200</v>
      </c>
      <c r="G4671" s="202" t="str">
        <f t="shared" si="72"/>
        <v/>
      </c>
    </row>
    <row r="4672" spans="1:7" s="172" customFormat="1" ht="15" customHeight="1" x14ac:dyDescent="0.25">
      <c r="A4672" s="805" t="s">
        <v>13283</v>
      </c>
      <c r="B4672" s="805" t="s">
        <v>11509</v>
      </c>
      <c r="C4672" s="805" t="s">
        <v>11509</v>
      </c>
      <c r="D4672" s="805" t="s">
        <v>11598</v>
      </c>
      <c r="E4672" s="805">
        <v>400</v>
      </c>
      <c r="F4672" s="805">
        <v>250</v>
      </c>
      <c r="G4672" s="202" t="str">
        <f t="shared" si="72"/>
        <v/>
      </c>
    </row>
    <row r="4673" spans="1:7" s="172" customFormat="1" ht="15" customHeight="1" x14ac:dyDescent="0.25">
      <c r="A4673" s="805" t="s">
        <v>13283</v>
      </c>
      <c r="B4673" s="805" t="s">
        <v>11509</v>
      </c>
      <c r="C4673" s="805" t="s">
        <v>11509</v>
      </c>
      <c r="D4673" s="805" t="s">
        <v>11599</v>
      </c>
      <c r="E4673" s="805">
        <v>400</v>
      </c>
      <c r="F4673" s="805">
        <v>270</v>
      </c>
      <c r="G4673" s="202" t="str">
        <f t="shared" si="72"/>
        <v/>
      </c>
    </row>
    <row r="4674" spans="1:7" s="172" customFormat="1" ht="15" customHeight="1" x14ac:dyDescent="0.25">
      <c r="A4674" s="805" t="s">
        <v>13283</v>
      </c>
      <c r="B4674" s="805" t="s">
        <v>11509</v>
      </c>
      <c r="C4674" s="805" t="s">
        <v>11509</v>
      </c>
      <c r="D4674" s="805" t="s">
        <v>11600</v>
      </c>
      <c r="E4674" s="805" t="s">
        <v>18596</v>
      </c>
      <c r="F4674" s="805">
        <v>320</v>
      </c>
      <c r="G4674" s="202" t="str">
        <f t="shared" si="72"/>
        <v/>
      </c>
    </row>
    <row r="4675" spans="1:7" s="172" customFormat="1" ht="15" customHeight="1" x14ac:dyDescent="0.25">
      <c r="A4675" s="805" t="s">
        <v>13283</v>
      </c>
      <c r="B4675" s="805" t="s">
        <v>11509</v>
      </c>
      <c r="C4675" s="805" t="s">
        <v>11509</v>
      </c>
      <c r="D4675" s="805" t="s">
        <v>11601</v>
      </c>
      <c r="E4675" s="805" t="s">
        <v>18200</v>
      </c>
      <c r="F4675" s="805">
        <v>400</v>
      </c>
      <c r="G4675" s="202" t="str">
        <f t="shared" si="72"/>
        <v/>
      </c>
    </row>
    <row r="4676" spans="1:7" s="172" customFormat="1" ht="15" customHeight="1" x14ac:dyDescent="0.25">
      <c r="A4676" s="805" t="s">
        <v>13283</v>
      </c>
      <c r="B4676" s="805" t="s">
        <v>11509</v>
      </c>
      <c r="C4676" s="805" t="s">
        <v>11509</v>
      </c>
      <c r="D4676" s="805" t="s">
        <v>11602</v>
      </c>
      <c r="E4676" s="805">
        <v>160</v>
      </c>
      <c r="F4676" s="805">
        <v>60</v>
      </c>
      <c r="G4676" s="202" t="str">
        <f t="shared" si="72"/>
        <v/>
      </c>
    </row>
    <row r="4677" spans="1:7" s="172" customFormat="1" ht="15" customHeight="1" x14ac:dyDescent="0.25">
      <c r="A4677" s="805" t="s">
        <v>13283</v>
      </c>
      <c r="B4677" s="805" t="s">
        <v>11509</v>
      </c>
      <c r="C4677" s="805" t="s">
        <v>11509</v>
      </c>
      <c r="D4677" s="805" t="s">
        <v>11603</v>
      </c>
      <c r="E4677" s="805">
        <v>250</v>
      </c>
      <c r="F4677" s="805">
        <v>150</v>
      </c>
      <c r="G4677" s="202" t="str">
        <f t="shared" si="72"/>
        <v/>
      </c>
    </row>
    <row r="4678" spans="1:7" s="172" customFormat="1" ht="15" customHeight="1" x14ac:dyDescent="0.25">
      <c r="A4678" s="805" t="s">
        <v>13283</v>
      </c>
      <c r="B4678" s="805" t="s">
        <v>11509</v>
      </c>
      <c r="C4678" s="805" t="s">
        <v>11509</v>
      </c>
      <c r="D4678" s="805" t="s">
        <v>11604</v>
      </c>
      <c r="E4678" s="805">
        <v>250</v>
      </c>
      <c r="F4678" s="805">
        <v>50</v>
      </c>
      <c r="G4678" s="202" t="str">
        <f t="shared" si="72"/>
        <v/>
      </c>
    </row>
    <row r="4679" spans="1:7" s="172" customFormat="1" ht="15" customHeight="1" x14ac:dyDescent="0.25">
      <c r="A4679" s="805" t="s">
        <v>13284</v>
      </c>
      <c r="B4679" s="805" t="s">
        <v>11509</v>
      </c>
      <c r="C4679" s="805" t="s">
        <v>11509</v>
      </c>
      <c r="D4679" s="805" t="s">
        <v>11605</v>
      </c>
      <c r="E4679" s="805">
        <v>630</v>
      </c>
      <c r="F4679" s="805">
        <v>230</v>
      </c>
      <c r="G4679" s="202" t="str">
        <f t="shared" si="72"/>
        <v/>
      </c>
    </row>
    <row r="4680" spans="1:7" s="172" customFormat="1" ht="15" customHeight="1" x14ac:dyDescent="0.25">
      <c r="A4680" s="805" t="s">
        <v>13284</v>
      </c>
      <c r="B4680" s="805" t="s">
        <v>11509</v>
      </c>
      <c r="C4680" s="805" t="s">
        <v>11509</v>
      </c>
      <c r="D4680" s="805" t="s">
        <v>11606</v>
      </c>
      <c r="E4680" s="805">
        <v>400</v>
      </c>
      <c r="F4680" s="805">
        <v>300</v>
      </c>
      <c r="G4680" s="202" t="str">
        <f t="shared" si="72"/>
        <v/>
      </c>
    </row>
    <row r="4681" spans="1:7" s="172" customFormat="1" ht="15" customHeight="1" x14ac:dyDescent="0.25">
      <c r="A4681" s="805" t="s">
        <v>13284</v>
      </c>
      <c r="B4681" s="805" t="s">
        <v>11509</v>
      </c>
      <c r="C4681" s="805" t="s">
        <v>11509</v>
      </c>
      <c r="D4681" s="805" t="s">
        <v>11607</v>
      </c>
      <c r="E4681" s="805">
        <v>250</v>
      </c>
      <c r="F4681" s="805">
        <v>43</v>
      </c>
      <c r="G4681" s="202" t="str">
        <f t="shared" si="72"/>
        <v/>
      </c>
    </row>
    <row r="4682" spans="1:7" s="172" customFormat="1" ht="15" customHeight="1" x14ac:dyDescent="0.25">
      <c r="A4682" s="805" t="s">
        <v>13284</v>
      </c>
      <c r="B4682" s="805" t="s">
        <v>11509</v>
      </c>
      <c r="C4682" s="805" t="s">
        <v>11509</v>
      </c>
      <c r="D4682" s="805" t="s">
        <v>11608</v>
      </c>
      <c r="E4682" s="805">
        <v>250</v>
      </c>
      <c r="F4682" s="805">
        <v>50</v>
      </c>
      <c r="G4682" s="202" t="str">
        <f t="shared" si="72"/>
        <v/>
      </c>
    </row>
    <row r="4683" spans="1:7" s="172" customFormat="1" ht="15" customHeight="1" x14ac:dyDescent="0.25">
      <c r="A4683" s="805" t="s">
        <v>11609</v>
      </c>
      <c r="B4683" s="805" t="s">
        <v>11509</v>
      </c>
      <c r="C4683" s="805" t="s">
        <v>11509</v>
      </c>
      <c r="D4683" s="805" t="s">
        <v>11610</v>
      </c>
      <c r="E4683" s="805">
        <v>250</v>
      </c>
      <c r="F4683" s="805">
        <v>0</v>
      </c>
      <c r="G4683" s="202" t="str">
        <f t="shared" si="72"/>
        <v/>
      </c>
    </row>
    <row r="4684" spans="1:7" s="172" customFormat="1" ht="15" customHeight="1" x14ac:dyDescent="0.25">
      <c r="A4684" s="805" t="s">
        <v>11609</v>
      </c>
      <c r="B4684" s="805" t="s">
        <v>11509</v>
      </c>
      <c r="C4684" s="805" t="s">
        <v>11509</v>
      </c>
      <c r="D4684" s="805" t="s">
        <v>11611</v>
      </c>
      <c r="E4684" s="805">
        <v>63</v>
      </c>
      <c r="F4684" s="805">
        <v>0</v>
      </c>
      <c r="G4684" s="202" t="str">
        <f t="shared" si="72"/>
        <v/>
      </c>
    </row>
    <row r="4685" spans="1:7" s="172" customFormat="1" ht="15" customHeight="1" x14ac:dyDescent="0.25">
      <c r="A4685" s="805" t="s">
        <v>11612</v>
      </c>
      <c r="B4685" s="805" t="s">
        <v>11509</v>
      </c>
      <c r="C4685" s="805" t="s">
        <v>11509</v>
      </c>
      <c r="D4685" s="805" t="s">
        <v>11613</v>
      </c>
      <c r="E4685" s="805">
        <v>560</v>
      </c>
      <c r="F4685" s="805">
        <v>200</v>
      </c>
      <c r="G4685" s="202" t="str">
        <f t="shared" si="72"/>
        <v/>
      </c>
    </row>
    <row r="4686" spans="1:7" s="172" customFormat="1" ht="15" customHeight="1" x14ac:dyDescent="0.25">
      <c r="A4686" s="805" t="s">
        <v>13285</v>
      </c>
      <c r="B4686" s="805" t="s">
        <v>11509</v>
      </c>
      <c r="C4686" s="805" t="s">
        <v>11509</v>
      </c>
      <c r="D4686" s="805" t="s">
        <v>11614</v>
      </c>
      <c r="E4686" s="805" t="s">
        <v>18202</v>
      </c>
      <c r="F4686" s="805">
        <v>630</v>
      </c>
      <c r="G4686" s="202" t="str">
        <f t="shared" si="72"/>
        <v/>
      </c>
    </row>
    <row r="4687" spans="1:7" s="172" customFormat="1" ht="15" customHeight="1" x14ac:dyDescent="0.25">
      <c r="A4687" s="805" t="s">
        <v>13285</v>
      </c>
      <c r="B4687" s="805" t="s">
        <v>11509</v>
      </c>
      <c r="C4687" s="805" t="s">
        <v>11509</v>
      </c>
      <c r="D4687" s="805" t="s">
        <v>11615</v>
      </c>
      <c r="E4687" s="805" t="s">
        <v>18202</v>
      </c>
      <c r="F4687" s="805">
        <v>630</v>
      </c>
      <c r="G4687" s="202" t="str">
        <f t="shared" si="72"/>
        <v/>
      </c>
    </row>
    <row r="4688" spans="1:7" s="172" customFormat="1" ht="15" customHeight="1" x14ac:dyDescent="0.25">
      <c r="A4688" s="805" t="s">
        <v>13286</v>
      </c>
      <c r="B4688" s="805" t="s">
        <v>11509</v>
      </c>
      <c r="C4688" s="805" t="s">
        <v>11509</v>
      </c>
      <c r="D4688" s="805" t="s">
        <v>11616</v>
      </c>
      <c r="E4688" s="805">
        <v>630</v>
      </c>
      <c r="F4688" s="805">
        <v>600</v>
      </c>
      <c r="G4688" s="202" t="str">
        <f t="shared" si="72"/>
        <v/>
      </c>
    </row>
    <row r="4689" spans="1:7" s="172" customFormat="1" ht="15" customHeight="1" x14ac:dyDescent="0.25">
      <c r="A4689" s="805" t="s">
        <v>4555</v>
      </c>
      <c r="B4689" s="805" t="s">
        <v>11509</v>
      </c>
      <c r="C4689" s="805" t="s">
        <v>11509</v>
      </c>
      <c r="D4689" s="805" t="s">
        <v>11617</v>
      </c>
      <c r="E4689" s="805">
        <v>250</v>
      </c>
      <c r="F4689" s="805">
        <v>0</v>
      </c>
      <c r="G4689" s="202" t="str">
        <f t="shared" si="72"/>
        <v/>
      </c>
    </row>
    <row r="4690" spans="1:7" s="172" customFormat="1" ht="15" customHeight="1" x14ac:dyDescent="0.25">
      <c r="A4690" s="805" t="s">
        <v>13287</v>
      </c>
      <c r="B4690" s="805" t="s">
        <v>11509</v>
      </c>
      <c r="C4690" s="805" t="s">
        <v>11509</v>
      </c>
      <c r="D4690" s="805" t="s">
        <v>11618</v>
      </c>
      <c r="E4690" s="805">
        <v>250</v>
      </c>
      <c r="F4690" s="805">
        <v>210</v>
      </c>
      <c r="G4690" s="202" t="str">
        <f t="shared" si="72"/>
        <v/>
      </c>
    </row>
    <row r="4691" spans="1:7" s="172" customFormat="1" ht="15" customHeight="1" x14ac:dyDescent="0.25">
      <c r="A4691" s="805" t="s">
        <v>13288</v>
      </c>
      <c r="B4691" s="805" t="s">
        <v>11509</v>
      </c>
      <c r="C4691" s="805" t="s">
        <v>11509</v>
      </c>
      <c r="D4691" s="805" t="s">
        <v>11619</v>
      </c>
      <c r="E4691" s="805">
        <v>160</v>
      </c>
      <c r="F4691" s="805">
        <v>5</v>
      </c>
      <c r="G4691" s="202" t="str">
        <f t="shared" si="72"/>
        <v/>
      </c>
    </row>
    <row r="4692" spans="1:7" s="172" customFormat="1" ht="15" customHeight="1" x14ac:dyDescent="0.25">
      <c r="A4692" s="805" t="s">
        <v>13289</v>
      </c>
      <c r="B4692" s="805" t="s">
        <v>11509</v>
      </c>
      <c r="C4692" s="805" t="s">
        <v>11509</v>
      </c>
      <c r="D4692" s="805" t="s">
        <v>11620</v>
      </c>
      <c r="E4692" s="805">
        <v>160</v>
      </c>
      <c r="F4692" s="805">
        <v>65</v>
      </c>
      <c r="G4692" s="202" t="str">
        <f t="shared" si="72"/>
        <v/>
      </c>
    </row>
    <row r="4693" spans="1:7" s="172" customFormat="1" ht="15" customHeight="1" x14ac:dyDescent="0.25">
      <c r="A4693" s="805" t="s">
        <v>13290</v>
      </c>
      <c r="B4693" s="805" t="s">
        <v>11509</v>
      </c>
      <c r="C4693" s="805" t="s">
        <v>11509</v>
      </c>
      <c r="D4693" s="805" t="s">
        <v>11621</v>
      </c>
      <c r="E4693" s="805">
        <v>160</v>
      </c>
      <c r="F4693" s="805">
        <v>43</v>
      </c>
      <c r="G4693" s="202" t="str">
        <f t="shared" si="72"/>
        <v/>
      </c>
    </row>
    <row r="4694" spans="1:7" s="172" customFormat="1" ht="15" customHeight="1" x14ac:dyDescent="0.25">
      <c r="A4694" s="805" t="s">
        <v>13291</v>
      </c>
      <c r="B4694" s="805" t="s">
        <v>11509</v>
      </c>
      <c r="C4694" s="805" t="s">
        <v>11509</v>
      </c>
      <c r="D4694" s="805" t="s">
        <v>11622</v>
      </c>
      <c r="E4694" s="805">
        <v>250</v>
      </c>
      <c r="F4694" s="805">
        <v>80</v>
      </c>
      <c r="G4694" s="202" t="str">
        <f t="shared" si="72"/>
        <v/>
      </c>
    </row>
    <row r="4695" spans="1:7" s="172" customFormat="1" ht="15" customHeight="1" x14ac:dyDescent="0.25">
      <c r="A4695" s="805" t="s">
        <v>13287</v>
      </c>
      <c r="B4695" s="805" t="s">
        <v>11509</v>
      </c>
      <c r="C4695" s="805" t="s">
        <v>11509</v>
      </c>
      <c r="D4695" s="805" t="s">
        <v>11623</v>
      </c>
      <c r="E4695" s="805">
        <v>400</v>
      </c>
      <c r="F4695" s="805">
        <v>285</v>
      </c>
      <c r="G4695" s="202" t="str">
        <f t="shared" si="72"/>
        <v/>
      </c>
    </row>
    <row r="4696" spans="1:7" s="172" customFormat="1" ht="15" customHeight="1" x14ac:dyDescent="0.25">
      <c r="A4696" s="805" t="s">
        <v>13292</v>
      </c>
      <c r="B4696" s="805" t="s">
        <v>11509</v>
      </c>
      <c r="C4696" s="805" t="s">
        <v>11509</v>
      </c>
      <c r="D4696" s="805" t="s">
        <v>11624</v>
      </c>
      <c r="E4696" s="805">
        <v>160</v>
      </c>
      <c r="F4696" s="805">
        <v>60</v>
      </c>
      <c r="G4696" s="202" t="str">
        <f t="shared" si="72"/>
        <v/>
      </c>
    </row>
    <row r="4697" spans="1:7" s="172" customFormat="1" ht="15" customHeight="1" x14ac:dyDescent="0.25">
      <c r="A4697" s="805" t="s">
        <v>13292</v>
      </c>
      <c r="B4697" s="805" t="s">
        <v>11509</v>
      </c>
      <c r="C4697" s="805" t="s">
        <v>11509</v>
      </c>
      <c r="D4697" s="805" t="s">
        <v>11625</v>
      </c>
      <c r="E4697" s="805">
        <v>250</v>
      </c>
      <c r="F4697" s="805">
        <v>100</v>
      </c>
      <c r="G4697" s="202" t="str">
        <f t="shared" si="72"/>
        <v/>
      </c>
    </row>
    <row r="4698" spans="1:7" s="172" customFormat="1" ht="15" customHeight="1" x14ac:dyDescent="0.25">
      <c r="A4698" s="805" t="s">
        <v>13293</v>
      </c>
      <c r="B4698" s="805" t="s">
        <v>11509</v>
      </c>
      <c r="C4698" s="805" t="s">
        <v>11509</v>
      </c>
      <c r="D4698" s="805" t="s">
        <v>11626</v>
      </c>
      <c r="E4698" s="805">
        <v>160</v>
      </c>
      <c r="F4698" s="805">
        <v>151</v>
      </c>
      <c r="G4698" s="202" t="str">
        <f t="shared" si="72"/>
        <v/>
      </c>
    </row>
    <row r="4699" spans="1:7" s="172" customFormat="1" ht="15" customHeight="1" x14ac:dyDescent="0.25">
      <c r="A4699" s="805" t="s">
        <v>13293</v>
      </c>
      <c r="B4699" s="805" t="s">
        <v>11509</v>
      </c>
      <c r="C4699" s="805" t="s">
        <v>11509</v>
      </c>
      <c r="D4699" s="805" t="s">
        <v>11627</v>
      </c>
      <c r="E4699" s="805">
        <v>630</v>
      </c>
      <c r="F4699" s="805">
        <v>230</v>
      </c>
      <c r="G4699" s="202" t="str">
        <f t="shared" si="72"/>
        <v/>
      </c>
    </row>
    <row r="4700" spans="1:7" s="172" customFormat="1" ht="15" customHeight="1" x14ac:dyDescent="0.25">
      <c r="A4700" s="805" t="s">
        <v>13294</v>
      </c>
      <c r="B4700" s="805" t="s">
        <v>11509</v>
      </c>
      <c r="C4700" s="805" t="s">
        <v>11509</v>
      </c>
      <c r="D4700" s="805" t="s">
        <v>11628</v>
      </c>
      <c r="E4700" s="805">
        <v>400</v>
      </c>
      <c r="F4700" s="805">
        <v>200</v>
      </c>
      <c r="G4700" s="202" t="str">
        <f t="shared" si="72"/>
        <v/>
      </c>
    </row>
    <row r="4701" spans="1:7" s="172" customFormat="1" ht="15" customHeight="1" x14ac:dyDescent="0.25">
      <c r="A4701" s="805" t="s">
        <v>13294</v>
      </c>
      <c r="B4701" s="805" t="s">
        <v>11509</v>
      </c>
      <c r="C4701" s="805" t="s">
        <v>11509</v>
      </c>
      <c r="D4701" s="805" t="s">
        <v>11629</v>
      </c>
      <c r="E4701" s="805">
        <v>250</v>
      </c>
      <c r="F4701" s="805">
        <v>60</v>
      </c>
      <c r="G4701" s="202" t="str">
        <f t="shared" ref="G4701:G4764" si="73">IF(E4701=F4701,"не загружен","")</f>
        <v/>
      </c>
    </row>
    <row r="4702" spans="1:7" s="172" customFormat="1" ht="15" customHeight="1" x14ac:dyDescent="0.25">
      <c r="A4702" s="805" t="s">
        <v>13294</v>
      </c>
      <c r="B4702" s="805" t="s">
        <v>11509</v>
      </c>
      <c r="C4702" s="805" t="s">
        <v>11509</v>
      </c>
      <c r="D4702" s="805" t="s">
        <v>11630</v>
      </c>
      <c r="E4702" s="805" t="s">
        <v>18196</v>
      </c>
      <c r="F4702" s="805" t="s">
        <v>18595</v>
      </c>
      <c r="G4702" s="202" t="str">
        <f t="shared" si="73"/>
        <v/>
      </c>
    </row>
    <row r="4703" spans="1:7" s="172" customFormat="1" ht="15" customHeight="1" x14ac:dyDescent="0.25">
      <c r="A4703" s="805" t="s">
        <v>13286</v>
      </c>
      <c r="B4703" s="805" t="s">
        <v>11509</v>
      </c>
      <c r="C4703" s="805" t="s">
        <v>11509</v>
      </c>
      <c r="D4703" s="805" t="s">
        <v>11631</v>
      </c>
      <c r="E4703" s="805">
        <v>100</v>
      </c>
      <c r="F4703" s="805">
        <v>63</v>
      </c>
      <c r="G4703" s="202" t="str">
        <f t="shared" si="73"/>
        <v/>
      </c>
    </row>
    <row r="4704" spans="1:7" s="172" customFormat="1" ht="15" customHeight="1" x14ac:dyDescent="0.25">
      <c r="A4704" s="805" t="s">
        <v>13295</v>
      </c>
      <c r="B4704" s="805" t="s">
        <v>11509</v>
      </c>
      <c r="C4704" s="805" t="s">
        <v>11509</v>
      </c>
      <c r="D4704" s="805" t="s">
        <v>11632</v>
      </c>
      <c r="E4704" s="805">
        <v>160</v>
      </c>
      <c r="F4704" s="805">
        <v>14</v>
      </c>
      <c r="G4704" s="202" t="str">
        <f t="shared" si="73"/>
        <v/>
      </c>
    </row>
    <row r="4705" spans="1:7" s="172" customFormat="1" ht="15" customHeight="1" x14ac:dyDescent="0.25">
      <c r="A4705" s="805" t="s">
        <v>13286</v>
      </c>
      <c r="B4705" s="805" t="s">
        <v>11509</v>
      </c>
      <c r="C4705" s="805" t="s">
        <v>11509</v>
      </c>
      <c r="D4705" s="805" t="s">
        <v>11633</v>
      </c>
      <c r="E4705" s="805" t="s">
        <v>18197</v>
      </c>
      <c r="F4705" s="805" t="s">
        <v>18597</v>
      </c>
      <c r="G4705" s="202" t="str">
        <f t="shared" si="73"/>
        <v/>
      </c>
    </row>
    <row r="4706" spans="1:7" s="172" customFormat="1" ht="15" customHeight="1" x14ac:dyDescent="0.25">
      <c r="A4706" s="805" t="s">
        <v>13292</v>
      </c>
      <c r="B4706" s="805" t="s">
        <v>11509</v>
      </c>
      <c r="C4706" s="805" t="s">
        <v>11509</v>
      </c>
      <c r="D4706" s="805" t="s">
        <v>11634</v>
      </c>
      <c r="E4706" s="805">
        <v>63</v>
      </c>
      <c r="F4706" s="805">
        <v>0</v>
      </c>
      <c r="G4706" s="202" t="str">
        <f t="shared" si="73"/>
        <v/>
      </c>
    </row>
    <row r="4707" spans="1:7" s="172" customFormat="1" ht="15" customHeight="1" x14ac:dyDescent="0.25">
      <c r="A4707" s="805" t="s">
        <v>13292</v>
      </c>
      <c r="B4707" s="805" t="s">
        <v>11509</v>
      </c>
      <c r="C4707" s="805" t="s">
        <v>11509</v>
      </c>
      <c r="D4707" s="805" t="s">
        <v>11635</v>
      </c>
      <c r="E4707" s="805">
        <v>25</v>
      </c>
      <c r="F4707" s="805">
        <v>5</v>
      </c>
      <c r="G4707" s="202" t="str">
        <f t="shared" si="73"/>
        <v/>
      </c>
    </row>
    <row r="4708" spans="1:7" s="172" customFormat="1" ht="15" customHeight="1" x14ac:dyDescent="0.25">
      <c r="A4708" s="805" t="s">
        <v>4853</v>
      </c>
      <c r="B4708" s="805" t="s">
        <v>11509</v>
      </c>
      <c r="C4708" s="805" t="s">
        <v>11509</v>
      </c>
      <c r="D4708" s="805" t="s">
        <v>11636</v>
      </c>
      <c r="E4708" s="805" t="s">
        <v>18198</v>
      </c>
      <c r="F4708" s="805">
        <v>160</v>
      </c>
      <c r="G4708" s="202" t="str">
        <f t="shared" si="73"/>
        <v/>
      </c>
    </row>
    <row r="4709" spans="1:7" s="172" customFormat="1" ht="15" customHeight="1" x14ac:dyDescent="0.25">
      <c r="A4709" s="805" t="s">
        <v>4853</v>
      </c>
      <c r="B4709" s="805" t="s">
        <v>11509</v>
      </c>
      <c r="C4709" s="805" t="s">
        <v>11509</v>
      </c>
      <c r="D4709" s="805" t="s">
        <v>11637</v>
      </c>
      <c r="E4709" s="805">
        <v>160</v>
      </c>
      <c r="F4709" s="805">
        <v>20</v>
      </c>
      <c r="G4709" s="202" t="str">
        <f t="shared" si="73"/>
        <v/>
      </c>
    </row>
    <row r="4710" spans="1:7" s="172" customFormat="1" ht="15" customHeight="1" x14ac:dyDescent="0.25">
      <c r="A4710" s="805" t="s">
        <v>12611</v>
      </c>
      <c r="B4710" s="805" t="s">
        <v>11509</v>
      </c>
      <c r="C4710" s="805" t="s">
        <v>11509</v>
      </c>
      <c r="D4710" s="805" t="s">
        <v>11638</v>
      </c>
      <c r="E4710" s="805">
        <v>100</v>
      </c>
      <c r="F4710" s="805">
        <v>18</v>
      </c>
      <c r="G4710" s="202" t="str">
        <f t="shared" si="73"/>
        <v/>
      </c>
    </row>
    <row r="4711" spans="1:7" s="172" customFormat="1" ht="15" customHeight="1" x14ac:dyDescent="0.25">
      <c r="A4711" s="805" t="s">
        <v>12611</v>
      </c>
      <c r="B4711" s="805" t="s">
        <v>11509</v>
      </c>
      <c r="C4711" s="805" t="s">
        <v>11509</v>
      </c>
      <c r="D4711" s="805" t="s">
        <v>11639</v>
      </c>
      <c r="E4711" s="805">
        <v>160</v>
      </c>
      <c r="F4711" s="805">
        <v>100</v>
      </c>
      <c r="G4711" s="202" t="str">
        <f t="shared" si="73"/>
        <v/>
      </c>
    </row>
    <row r="4712" spans="1:7" s="172" customFormat="1" ht="15" customHeight="1" x14ac:dyDescent="0.25">
      <c r="A4712" s="805" t="s">
        <v>12611</v>
      </c>
      <c r="B4712" s="805" t="s">
        <v>11509</v>
      </c>
      <c r="C4712" s="805" t="s">
        <v>11509</v>
      </c>
      <c r="D4712" s="805" t="s">
        <v>11640</v>
      </c>
      <c r="E4712" s="805">
        <v>400</v>
      </c>
      <c r="F4712" s="805">
        <v>400</v>
      </c>
      <c r="G4712" s="202" t="str">
        <f t="shared" si="73"/>
        <v>не загружен</v>
      </c>
    </row>
    <row r="4713" spans="1:7" s="172" customFormat="1" ht="15" customHeight="1" x14ac:dyDescent="0.25">
      <c r="A4713" s="805" t="s">
        <v>13296</v>
      </c>
      <c r="B4713" s="805" t="s">
        <v>11509</v>
      </c>
      <c r="C4713" s="805" t="s">
        <v>11509</v>
      </c>
      <c r="D4713" s="805" t="s">
        <v>11641</v>
      </c>
      <c r="E4713" s="805">
        <v>100</v>
      </c>
      <c r="F4713" s="805">
        <v>30</v>
      </c>
      <c r="G4713" s="202" t="str">
        <f t="shared" si="73"/>
        <v/>
      </c>
    </row>
    <row r="4714" spans="1:7" s="172" customFormat="1" ht="15" customHeight="1" x14ac:dyDescent="0.25">
      <c r="A4714" s="805" t="s">
        <v>13297</v>
      </c>
      <c r="B4714" s="805" t="s">
        <v>11509</v>
      </c>
      <c r="C4714" s="805" t="s">
        <v>11509</v>
      </c>
      <c r="D4714" s="805" t="s">
        <v>11642</v>
      </c>
      <c r="E4714" s="805">
        <v>250</v>
      </c>
      <c r="F4714" s="805">
        <v>90</v>
      </c>
      <c r="G4714" s="202" t="str">
        <f t="shared" si="73"/>
        <v/>
      </c>
    </row>
    <row r="4715" spans="1:7" s="172" customFormat="1" ht="15" customHeight="1" x14ac:dyDescent="0.25">
      <c r="A4715" s="805" t="s">
        <v>13298</v>
      </c>
      <c r="B4715" s="805" t="s">
        <v>10501</v>
      </c>
      <c r="C4715" s="805" t="s">
        <v>11509</v>
      </c>
      <c r="D4715" s="805" t="s">
        <v>11643</v>
      </c>
      <c r="E4715" s="805">
        <v>160</v>
      </c>
      <c r="F4715" s="805">
        <v>45</v>
      </c>
      <c r="G4715" s="202" t="str">
        <f t="shared" si="73"/>
        <v/>
      </c>
    </row>
    <row r="4716" spans="1:7" s="172" customFormat="1" ht="15" customHeight="1" x14ac:dyDescent="0.25">
      <c r="A4716" s="805" t="s">
        <v>13299</v>
      </c>
      <c r="B4716" s="805" t="s">
        <v>10501</v>
      </c>
      <c r="C4716" s="805" t="s">
        <v>11509</v>
      </c>
      <c r="D4716" s="805" t="s">
        <v>11644</v>
      </c>
      <c r="E4716" s="805">
        <v>160</v>
      </c>
      <c r="F4716" s="805">
        <v>80</v>
      </c>
      <c r="G4716" s="202" t="str">
        <f t="shared" si="73"/>
        <v/>
      </c>
    </row>
    <row r="4717" spans="1:7" s="172" customFormat="1" ht="15" customHeight="1" x14ac:dyDescent="0.25">
      <c r="A4717" s="805" t="s">
        <v>13300</v>
      </c>
      <c r="B4717" s="805" t="s">
        <v>10501</v>
      </c>
      <c r="C4717" s="805" t="s">
        <v>11509</v>
      </c>
      <c r="D4717" s="805" t="s">
        <v>11645</v>
      </c>
      <c r="E4717" s="805">
        <v>100</v>
      </c>
      <c r="F4717" s="805">
        <v>60</v>
      </c>
      <c r="G4717" s="202" t="str">
        <f t="shared" si="73"/>
        <v/>
      </c>
    </row>
    <row r="4718" spans="1:7" s="172" customFormat="1" ht="15" customHeight="1" x14ac:dyDescent="0.25">
      <c r="A4718" s="805" t="s">
        <v>13301</v>
      </c>
      <c r="B4718" s="805" t="s">
        <v>10501</v>
      </c>
      <c r="C4718" s="805" t="s">
        <v>11509</v>
      </c>
      <c r="D4718" s="805" t="s">
        <v>11646</v>
      </c>
      <c r="E4718" s="805">
        <v>100</v>
      </c>
      <c r="F4718" s="805">
        <v>57</v>
      </c>
      <c r="G4718" s="202" t="str">
        <f t="shared" si="73"/>
        <v/>
      </c>
    </row>
    <row r="4719" spans="1:7" s="172" customFormat="1" ht="15" customHeight="1" x14ac:dyDescent="0.25">
      <c r="A4719" s="805" t="s">
        <v>13302</v>
      </c>
      <c r="B4719" s="805" t="s">
        <v>10501</v>
      </c>
      <c r="C4719" s="805" t="s">
        <v>11509</v>
      </c>
      <c r="D4719" s="805" t="s">
        <v>11647</v>
      </c>
      <c r="E4719" s="805">
        <v>250</v>
      </c>
      <c r="F4719" s="805">
        <v>200</v>
      </c>
      <c r="G4719" s="202" t="str">
        <f t="shared" si="73"/>
        <v/>
      </c>
    </row>
    <row r="4720" spans="1:7" s="172" customFormat="1" ht="15" customHeight="1" x14ac:dyDescent="0.25">
      <c r="A4720" s="805" t="s">
        <v>13302</v>
      </c>
      <c r="B4720" s="805" t="s">
        <v>10501</v>
      </c>
      <c r="C4720" s="805" t="s">
        <v>11509</v>
      </c>
      <c r="D4720" s="805" t="s">
        <v>11648</v>
      </c>
      <c r="E4720" s="805">
        <v>100</v>
      </c>
      <c r="F4720" s="805">
        <v>5</v>
      </c>
      <c r="G4720" s="202" t="str">
        <f t="shared" si="73"/>
        <v/>
      </c>
    </row>
    <row r="4721" spans="1:7" s="172" customFormat="1" ht="15" customHeight="1" x14ac:dyDescent="0.25">
      <c r="A4721" s="805" t="s">
        <v>13303</v>
      </c>
      <c r="B4721" s="805" t="s">
        <v>10501</v>
      </c>
      <c r="C4721" s="805" t="s">
        <v>11509</v>
      </c>
      <c r="D4721" s="805" t="s">
        <v>11649</v>
      </c>
      <c r="E4721" s="805">
        <v>50</v>
      </c>
      <c r="F4721" s="805">
        <v>5</v>
      </c>
      <c r="G4721" s="202" t="str">
        <f t="shared" si="73"/>
        <v/>
      </c>
    </row>
    <row r="4722" spans="1:7" s="172" customFormat="1" ht="15" customHeight="1" x14ac:dyDescent="0.25">
      <c r="A4722" s="805" t="s">
        <v>13304</v>
      </c>
      <c r="B4722" s="805" t="s">
        <v>10501</v>
      </c>
      <c r="C4722" s="805" t="s">
        <v>11509</v>
      </c>
      <c r="D4722" s="805" t="s">
        <v>11650</v>
      </c>
      <c r="E4722" s="805">
        <v>100</v>
      </c>
      <c r="F4722" s="805">
        <v>75</v>
      </c>
      <c r="G4722" s="202" t="str">
        <f t="shared" si="73"/>
        <v/>
      </c>
    </row>
    <row r="4723" spans="1:7" s="172" customFormat="1" ht="15" customHeight="1" x14ac:dyDescent="0.25">
      <c r="A4723" s="805" t="s">
        <v>13305</v>
      </c>
      <c r="B4723" s="805" t="s">
        <v>10501</v>
      </c>
      <c r="C4723" s="805" t="s">
        <v>11509</v>
      </c>
      <c r="D4723" s="805" t="s">
        <v>11651</v>
      </c>
      <c r="E4723" s="805">
        <v>100</v>
      </c>
      <c r="F4723" s="805">
        <v>0</v>
      </c>
      <c r="G4723" s="202" t="str">
        <f t="shared" si="73"/>
        <v/>
      </c>
    </row>
    <row r="4724" spans="1:7" s="172" customFormat="1" ht="15" customHeight="1" x14ac:dyDescent="0.25">
      <c r="A4724" s="805" t="s">
        <v>13305</v>
      </c>
      <c r="B4724" s="805" t="s">
        <v>10501</v>
      </c>
      <c r="C4724" s="805" t="s">
        <v>11509</v>
      </c>
      <c r="D4724" s="805" t="s">
        <v>11652</v>
      </c>
      <c r="E4724" s="805">
        <v>100</v>
      </c>
      <c r="F4724" s="805">
        <v>0</v>
      </c>
      <c r="G4724" s="202" t="str">
        <f t="shared" si="73"/>
        <v/>
      </c>
    </row>
    <row r="4725" spans="1:7" s="172" customFormat="1" ht="15" customHeight="1" x14ac:dyDescent="0.25">
      <c r="A4725" s="805" t="s">
        <v>13306</v>
      </c>
      <c r="B4725" s="805" t="s">
        <v>10501</v>
      </c>
      <c r="C4725" s="805" t="s">
        <v>11509</v>
      </c>
      <c r="D4725" s="805" t="s">
        <v>11653</v>
      </c>
      <c r="E4725" s="805">
        <v>100</v>
      </c>
      <c r="F4725" s="805">
        <v>30</v>
      </c>
      <c r="G4725" s="202" t="str">
        <f t="shared" si="73"/>
        <v/>
      </c>
    </row>
    <row r="4726" spans="1:7" s="172" customFormat="1" ht="15" customHeight="1" x14ac:dyDescent="0.25">
      <c r="A4726" s="805" t="s">
        <v>13306</v>
      </c>
      <c r="B4726" s="805" t="s">
        <v>10501</v>
      </c>
      <c r="C4726" s="805" t="s">
        <v>11509</v>
      </c>
      <c r="D4726" s="805" t="s">
        <v>11654</v>
      </c>
      <c r="E4726" s="805">
        <v>100</v>
      </c>
      <c r="F4726" s="805">
        <v>40</v>
      </c>
      <c r="G4726" s="202" t="str">
        <f t="shared" si="73"/>
        <v/>
      </c>
    </row>
    <row r="4727" spans="1:7" s="172" customFormat="1" ht="15" customHeight="1" x14ac:dyDescent="0.25">
      <c r="A4727" s="805" t="s">
        <v>13307</v>
      </c>
      <c r="B4727" s="805" t="s">
        <v>10501</v>
      </c>
      <c r="C4727" s="805" t="s">
        <v>11509</v>
      </c>
      <c r="D4727" s="805" t="s">
        <v>11655</v>
      </c>
      <c r="E4727" s="805">
        <v>63</v>
      </c>
      <c r="F4727" s="805">
        <v>5</v>
      </c>
      <c r="G4727" s="202" t="str">
        <f t="shared" si="73"/>
        <v/>
      </c>
    </row>
    <row r="4728" spans="1:7" s="172" customFormat="1" ht="15" customHeight="1" x14ac:dyDescent="0.25">
      <c r="A4728" s="805" t="s">
        <v>13308</v>
      </c>
      <c r="B4728" s="805" t="s">
        <v>10501</v>
      </c>
      <c r="C4728" s="805" t="s">
        <v>11509</v>
      </c>
      <c r="D4728" s="805" t="s">
        <v>11656</v>
      </c>
      <c r="E4728" s="805">
        <v>100</v>
      </c>
      <c r="F4728" s="805">
        <v>50</v>
      </c>
      <c r="G4728" s="202" t="str">
        <f t="shared" si="73"/>
        <v/>
      </c>
    </row>
    <row r="4729" spans="1:7" s="172" customFormat="1" ht="15" customHeight="1" x14ac:dyDescent="0.25">
      <c r="A4729" s="805" t="s">
        <v>13309</v>
      </c>
      <c r="B4729" s="805" t="s">
        <v>11509</v>
      </c>
      <c r="C4729" s="805" t="s">
        <v>11509</v>
      </c>
      <c r="D4729" s="805" t="s">
        <v>11657</v>
      </c>
      <c r="E4729" s="805">
        <v>100</v>
      </c>
      <c r="F4729" s="805">
        <v>20</v>
      </c>
      <c r="G4729" s="202" t="str">
        <f t="shared" si="73"/>
        <v/>
      </c>
    </row>
    <row r="4730" spans="1:7" s="172" customFormat="1" ht="15" customHeight="1" x14ac:dyDescent="0.25">
      <c r="A4730" s="805" t="s">
        <v>13310</v>
      </c>
      <c r="B4730" s="805" t="s">
        <v>10501</v>
      </c>
      <c r="C4730" s="805" t="s">
        <v>11509</v>
      </c>
      <c r="D4730" s="805" t="s">
        <v>11658</v>
      </c>
      <c r="E4730" s="805">
        <v>160</v>
      </c>
      <c r="F4730" s="805">
        <v>90</v>
      </c>
      <c r="G4730" s="202" t="str">
        <f t="shared" si="73"/>
        <v/>
      </c>
    </row>
    <row r="4731" spans="1:7" s="172" customFormat="1" ht="15" customHeight="1" x14ac:dyDescent="0.25">
      <c r="A4731" s="805" t="s">
        <v>13309</v>
      </c>
      <c r="B4731" s="805" t="s">
        <v>11509</v>
      </c>
      <c r="C4731" s="805" t="s">
        <v>11509</v>
      </c>
      <c r="D4731" s="805" t="s">
        <v>11659</v>
      </c>
      <c r="E4731" s="805">
        <v>320</v>
      </c>
      <c r="F4731" s="805">
        <v>40</v>
      </c>
      <c r="G4731" s="202" t="str">
        <f t="shared" si="73"/>
        <v/>
      </c>
    </row>
    <row r="4732" spans="1:7" s="172" customFormat="1" ht="15" customHeight="1" x14ac:dyDescent="0.25">
      <c r="A4732" s="805" t="s">
        <v>13309</v>
      </c>
      <c r="B4732" s="805" t="s">
        <v>11509</v>
      </c>
      <c r="C4732" s="805" t="s">
        <v>11509</v>
      </c>
      <c r="D4732" s="805" t="s">
        <v>11660</v>
      </c>
      <c r="E4732" s="805">
        <v>160</v>
      </c>
      <c r="F4732" s="805">
        <v>90</v>
      </c>
      <c r="G4732" s="202" t="str">
        <f t="shared" si="73"/>
        <v/>
      </c>
    </row>
    <row r="4733" spans="1:7" s="172" customFormat="1" ht="15" customHeight="1" x14ac:dyDescent="0.25">
      <c r="A4733" s="805" t="s">
        <v>13309</v>
      </c>
      <c r="B4733" s="805" t="s">
        <v>11509</v>
      </c>
      <c r="C4733" s="805" t="s">
        <v>11509</v>
      </c>
      <c r="D4733" s="805" t="s">
        <v>11661</v>
      </c>
      <c r="E4733" s="805">
        <v>320</v>
      </c>
      <c r="F4733" s="805">
        <v>16</v>
      </c>
      <c r="G4733" s="202" t="str">
        <f t="shared" si="73"/>
        <v/>
      </c>
    </row>
    <row r="4734" spans="1:7" s="172" customFormat="1" ht="15" customHeight="1" x14ac:dyDescent="0.25">
      <c r="A4734" s="805" t="s">
        <v>13309</v>
      </c>
      <c r="B4734" s="805" t="s">
        <v>11509</v>
      </c>
      <c r="C4734" s="805" t="s">
        <v>11509</v>
      </c>
      <c r="D4734" s="805" t="s">
        <v>11662</v>
      </c>
      <c r="E4734" s="805">
        <v>25</v>
      </c>
      <c r="F4734" s="805">
        <v>1</v>
      </c>
      <c r="G4734" s="202" t="str">
        <f t="shared" si="73"/>
        <v/>
      </c>
    </row>
    <row r="4735" spans="1:7" s="172" customFormat="1" ht="15" customHeight="1" x14ac:dyDescent="0.25">
      <c r="A4735" s="805" t="s">
        <v>13311</v>
      </c>
      <c r="B4735" s="805" t="s">
        <v>11509</v>
      </c>
      <c r="C4735" s="805" t="s">
        <v>11509</v>
      </c>
      <c r="D4735" s="805" t="s">
        <v>11663</v>
      </c>
      <c r="E4735" s="805">
        <v>160</v>
      </c>
      <c r="F4735" s="805">
        <v>48</v>
      </c>
      <c r="G4735" s="202" t="str">
        <f t="shared" si="73"/>
        <v/>
      </c>
    </row>
    <row r="4736" spans="1:7" s="172" customFormat="1" ht="15" customHeight="1" x14ac:dyDescent="0.25">
      <c r="A4736" s="805" t="s">
        <v>13312</v>
      </c>
      <c r="B4736" s="805" t="s">
        <v>11509</v>
      </c>
      <c r="C4736" s="805" t="s">
        <v>11509</v>
      </c>
      <c r="D4736" s="805" t="s">
        <v>11664</v>
      </c>
      <c r="E4736" s="805">
        <v>100</v>
      </c>
      <c r="F4736" s="805">
        <v>0</v>
      </c>
      <c r="G4736" s="202" t="str">
        <f t="shared" si="73"/>
        <v/>
      </c>
    </row>
    <row r="4737" spans="1:7" s="172" customFormat="1" ht="15" customHeight="1" x14ac:dyDescent="0.25">
      <c r="A4737" s="805" t="s">
        <v>13313</v>
      </c>
      <c r="B4737" s="805" t="s">
        <v>11509</v>
      </c>
      <c r="C4737" s="805" t="s">
        <v>11509</v>
      </c>
      <c r="D4737" s="805" t="s">
        <v>11665</v>
      </c>
      <c r="E4737" s="805">
        <v>100</v>
      </c>
      <c r="F4737" s="805">
        <v>20</v>
      </c>
      <c r="G4737" s="202" t="str">
        <f t="shared" si="73"/>
        <v/>
      </c>
    </row>
    <row r="4738" spans="1:7" s="172" customFormat="1" ht="15" customHeight="1" x14ac:dyDescent="0.25">
      <c r="A4738" s="805" t="s">
        <v>13313</v>
      </c>
      <c r="B4738" s="805" t="s">
        <v>11509</v>
      </c>
      <c r="C4738" s="805" t="s">
        <v>11509</v>
      </c>
      <c r="D4738" s="805" t="s">
        <v>11666</v>
      </c>
      <c r="E4738" s="805">
        <v>250</v>
      </c>
      <c r="F4738" s="805">
        <v>225</v>
      </c>
      <c r="G4738" s="202" t="str">
        <f t="shared" si="73"/>
        <v/>
      </c>
    </row>
    <row r="4739" spans="1:7" s="172" customFormat="1" ht="15" customHeight="1" x14ac:dyDescent="0.25">
      <c r="A4739" s="805" t="s">
        <v>13314</v>
      </c>
      <c r="B4739" s="805" t="s">
        <v>11509</v>
      </c>
      <c r="C4739" s="805" t="s">
        <v>11509</v>
      </c>
      <c r="D4739" s="805" t="s">
        <v>11667</v>
      </c>
      <c r="E4739" s="805">
        <v>50</v>
      </c>
      <c r="F4739" s="805">
        <v>15</v>
      </c>
      <c r="G4739" s="202" t="str">
        <f t="shared" si="73"/>
        <v/>
      </c>
    </row>
    <row r="4740" spans="1:7" s="172" customFormat="1" ht="15" customHeight="1" x14ac:dyDescent="0.25">
      <c r="A4740" s="805" t="s">
        <v>13315</v>
      </c>
      <c r="B4740" s="805" t="s">
        <v>11509</v>
      </c>
      <c r="C4740" s="805" t="s">
        <v>11509</v>
      </c>
      <c r="D4740" s="805" t="s">
        <v>11668</v>
      </c>
      <c r="E4740" s="805">
        <v>160</v>
      </c>
      <c r="F4740" s="805">
        <v>20</v>
      </c>
      <c r="G4740" s="202" t="str">
        <f t="shared" si="73"/>
        <v/>
      </c>
    </row>
    <row r="4741" spans="1:7" s="172" customFormat="1" ht="15" customHeight="1" x14ac:dyDescent="0.25">
      <c r="A4741" s="805" t="s">
        <v>13316</v>
      </c>
      <c r="B4741" s="805" t="s">
        <v>11509</v>
      </c>
      <c r="C4741" s="805" t="s">
        <v>11509</v>
      </c>
      <c r="D4741" s="805" t="s">
        <v>11669</v>
      </c>
      <c r="E4741" s="805">
        <v>100</v>
      </c>
      <c r="F4741" s="805">
        <v>50</v>
      </c>
      <c r="G4741" s="202" t="str">
        <f t="shared" si="73"/>
        <v/>
      </c>
    </row>
    <row r="4742" spans="1:7" s="172" customFormat="1" ht="15" customHeight="1" x14ac:dyDescent="0.25">
      <c r="A4742" s="805" t="s">
        <v>13317</v>
      </c>
      <c r="B4742" s="805" t="s">
        <v>11509</v>
      </c>
      <c r="C4742" s="805" t="s">
        <v>11509</v>
      </c>
      <c r="D4742" s="805" t="s">
        <v>11670</v>
      </c>
      <c r="E4742" s="805">
        <v>250</v>
      </c>
      <c r="F4742" s="805">
        <v>50</v>
      </c>
      <c r="G4742" s="202" t="str">
        <f t="shared" si="73"/>
        <v/>
      </c>
    </row>
    <row r="4743" spans="1:7" s="172" customFormat="1" ht="15" customHeight="1" x14ac:dyDescent="0.25">
      <c r="A4743" s="805" t="s">
        <v>13317</v>
      </c>
      <c r="B4743" s="805" t="s">
        <v>11509</v>
      </c>
      <c r="C4743" s="805" t="s">
        <v>11509</v>
      </c>
      <c r="D4743" s="805" t="s">
        <v>11671</v>
      </c>
      <c r="E4743" s="805" t="s">
        <v>18202</v>
      </c>
      <c r="F4743" s="805" t="s">
        <v>18598</v>
      </c>
      <c r="G4743" s="202" t="str">
        <f t="shared" si="73"/>
        <v/>
      </c>
    </row>
    <row r="4744" spans="1:7" s="172" customFormat="1" ht="15" customHeight="1" x14ac:dyDescent="0.25">
      <c r="A4744" s="805" t="s">
        <v>13317</v>
      </c>
      <c r="B4744" s="805" t="s">
        <v>11509</v>
      </c>
      <c r="C4744" s="805" t="s">
        <v>11509</v>
      </c>
      <c r="D4744" s="805" t="s">
        <v>11672</v>
      </c>
      <c r="E4744" s="805" t="s">
        <v>18202</v>
      </c>
      <c r="F4744" s="805" t="s">
        <v>18598</v>
      </c>
      <c r="G4744" s="202" t="str">
        <f t="shared" si="73"/>
        <v/>
      </c>
    </row>
    <row r="4745" spans="1:7" s="172" customFormat="1" ht="15" customHeight="1" x14ac:dyDescent="0.25">
      <c r="A4745" s="805" t="s">
        <v>13318</v>
      </c>
      <c r="B4745" s="805" t="s">
        <v>11509</v>
      </c>
      <c r="C4745" s="805" t="s">
        <v>11509</v>
      </c>
      <c r="D4745" s="805" t="s">
        <v>11673</v>
      </c>
      <c r="E4745" s="805">
        <v>100</v>
      </c>
      <c r="F4745" s="805">
        <v>10</v>
      </c>
      <c r="G4745" s="202" t="str">
        <f t="shared" si="73"/>
        <v/>
      </c>
    </row>
    <row r="4746" spans="1:7" s="172" customFormat="1" ht="15" customHeight="1" x14ac:dyDescent="0.25">
      <c r="A4746" s="805" t="s">
        <v>11676</v>
      </c>
      <c r="B4746" s="805" t="s">
        <v>11509</v>
      </c>
      <c r="C4746" s="805" t="s">
        <v>11509</v>
      </c>
      <c r="D4746" s="805" t="s">
        <v>11674</v>
      </c>
      <c r="E4746" s="805" t="s">
        <v>18197</v>
      </c>
      <c r="F4746" s="805" t="s">
        <v>18199</v>
      </c>
      <c r="G4746" s="202" t="str">
        <f t="shared" si="73"/>
        <v/>
      </c>
    </row>
    <row r="4747" spans="1:7" s="172" customFormat="1" ht="15" customHeight="1" x14ac:dyDescent="0.25">
      <c r="A4747" s="805" t="s">
        <v>11676</v>
      </c>
      <c r="B4747" s="805" t="s">
        <v>11509</v>
      </c>
      <c r="C4747" s="805" t="s">
        <v>11509</v>
      </c>
      <c r="D4747" s="805" t="s">
        <v>11675</v>
      </c>
      <c r="E4747" s="805">
        <v>250</v>
      </c>
      <c r="F4747" s="805">
        <v>39</v>
      </c>
      <c r="G4747" s="202" t="str">
        <f t="shared" si="73"/>
        <v/>
      </c>
    </row>
    <row r="4748" spans="1:7" s="172" customFormat="1" ht="15" customHeight="1" x14ac:dyDescent="0.25">
      <c r="A4748" s="805" t="s">
        <v>11676</v>
      </c>
      <c r="B4748" s="805" t="s">
        <v>11509</v>
      </c>
      <c r="C4748" s="805" t="s">
        <v>11509</v>
      </c>
      <c r="D4748" s="805" t="s">
        <v>11677</v>
      </c>
      <c r="E4748" s="805">
        <v>250</v>
      </c>
      <c r="F4748" s="805">
        <v>120</v>
      </c>
      <c r="G4748" s="202" t="str">
        <f t="shared" si="73"/>
        <v/>
      </c>
    </row>
    <row r="4749" spans="1:7" s="172" customFormat="1" ht="15" customHeight="1" x14ac:dyDescent="0.25">
      <c r="A4749" s="805" t="s">
        <v>11676</v>
      </c>
      <c r="B4749" s="805" t="s">
        <v>11509</v>
      </c>
      <c r="C4749" s="805" t="s">
        <v>11509</v>
      </c>
      <c r="D4749" s="805" t="s">
        <v>11678</v>
      </c>
      <c r="E4749" s="805">
        <v>250</v>
      </c>
      <c r="F4749" s="805">
        <v>50</v>
      </c>
      <c r="G4749" s="202" t="str">
        <f t="shared" si="73"/>
        <v/>
      </c>
    </row>
    <row r="4750" spans="1:7" s="172" customFormat="1" ht="15" customHeight="1" x14ac:dyDescent="0.25">
      <c r="A4750" s="805" t="s">
        <v>11676</v>
      </c>
      <c r="B4750" s="805" t="s">
        <v>11509</v>
      </c>
      <c r="C4750" s="805" t="s">
        <v>11509</v>
      </c>
      <c r="D4750" s="805" t="s">
        <v>11679</v>
      </c>
      <c r="E4750" s="805">
        <v>250</v>
      </c>
      <c r="F4750" s="805">
        <v>150</v>
      </c>
      <c r="G4750" s="202" t="str">
        <f t="shared" si="73"/>
        <v/>
      </c>
    </row>
    <row r="4751" spans="1:7" s="172" customFormat="1" ht="15" customHeight="1" x14ac:dyDescent="0.25">
      <c r="A4751" s="805" t="s">
        <v>11676</v>
      </c>
      <c r="B4751" s="805" t="s">
        <v>11509</v>
      </c>
      <c r="C4751" s="805" t="s">
        <v>11509</v>
      </c>
      <c r="D4751" s="805" t="s">
        <v>11680</v>
      </c>
      <c r="E4751" s="805">
        <v>400</v>
      </c>
      <c r="F4751" s="805">
        <v>190</v>
      </c>
      <c r="G4751" s="202" t="str">
        <f t="shared" si="73"/>
        <v/>
      </c>
    </row>
    <row r="4752" spans="1:7" s="172" customFormat="1" ht="15" customHeight="1" x14ac:dyDescent="0.25">
      <c r="A4752" s="805" t="s">
        <v>11676</v>
      </c>
      <c r="B4752" s="805" t="s">
        <v>11509</v>
      </c>
      <c r="C4752" s="805" t="s">
        <v>11509</v>
      </c>
      <c r="D4752" s="805" t="s">
        <v>11681</v>
      </c>
      <c r="E4752" s="805">
        <v>160</v>
      </c>
      <c r="F4752" s="805">
        <v>10</v>
      </c>
      <c r="G4752" s="202" t="str">
        <f t="shared" si="73"/>
        <v/>
      </c>
    </row>
    <row r="4753" spans="1:7" s="172" customFormat="1" ht="15" customHeight="1" x14ac:dyDescent="0.25">
      <c r="A4753" s="805" t="s">
        <v>13319</v>
      </c>
      <c r="B4753" s="805" t="s">
        <v>11509</v>
      </c>
      <c r="C4753" s="805" t="s">
        <v>11509</v>
      </c>
      <c r="D4753" s="805" t="s">
        <v>11682</v>
      </c>
      <c r="E4753" s="805">
        <v>250</v>
      </c>
      <c r="F4753" s="805">
        <v>60</v>
      </c>
      <c r="G4753" s="202" t="str">
        <f t="shared" si="73"/>
        <v/>
      </c>
    </row>
    <row r="4754" spans="1:7" s="172" customFormat="1" ht="15" customHeight="1" x14ac:dyDescent="0.25">
      <c r="A4754" s="805" t="s">
        <v>13319</v>
      </c>
      <c r="B4754" s="805" t="s">
        <v>11509</v>
      </c>
      <c r="C4754" s="805" t="s">
        <v>11509</v>
      </c>
      <c r="D4754" s="805" t="s">
        <v>11683</v>
      </c>
      <c r="E4754" s="805">
        <v>250</v>
      </c>
      <c r="F4754" s="805">
        <v>70</v>
      </c>
      <c r="G4754" s="202" t="str">
        <f t="shared" si="73"/>
        <v/>
      </c>
    </row>
    <row r="4755" spans="1:7" s="172" customFormat="1" ht="15" customHeight="1" x14ac:dyDescent="0.25">
      <c r="A4755" s="805" t="s">
        <v>13319</v>
      </c>
      <c r="B4755" s="805" t="s">
        <v>11509</v>
      </c>
      <c r="C4755" s="805" t="s">
        <v>11509</v>
      </c>
      <c r="D4755" s="805" t="s">
        <v>11684</v>
      </c>
      <c r="E4755" s="805">
        <v>250</v>
      </c>
      <c r="F4755" s="805">
        <v>60</v>
      </c>
      <c r="G4755" s="202" t="str">
        <f t="shared" si="73"/>
        <v/>
      </c>
    </row>
    <row r="4756" spans="1:7" s="172" customFormat="1" ht="15" customHeight="1" x14ac:dyDescent="0.25">
      <c r="A4756" s="805" t="s">
        <v>13319</v>
      </c>
      <c r="B4756" s="805" t="s">
        <v>11509</v>
      </c>
      <c r="C4756" s="805" t="s">
        <v>11509</v>
      </c>
      <c r="D4756" s="805" t="s">
        <v>11685</v>
      </c>
      <c r="E4756" s="805">
        <v>320</v>
      </c>
      <c r="F4756" s="805">
        <v>80</v>
      </c>
      <c r="G4756" s="202" t="str">
        <f t="shared" si="73"/>
        <v/>
      </c>
    </row>
    <row r="4757" spans="1:7" s="172" customFormat="1" ht="15" customHeight="1" x14ac:dyDescent="0.25">
      <c r="A4757" s="805" t="s">
        <v>13319</v>
      </c>
      <c r="B4757" s="805" t="s">
        <v>11509</v>
      </c>
      <c r="C4757" s="805" t="s">
        <v>11509</v>
      </c>
      <c r="D4757" s="805" t="s">
        <v>11686</v>
      </c>
      <c r="E4757" s="805">
        <v>400</v>
      </c>
      <c r="F4757" s="805">
        <v>170</v>
      </c>
      <c r="G4757" s="202" t="str">
        <f t="shared" si="73"/>
        <v/>
      </c>
    </row>
    <row r="4758" spans="1:7" s="172" customFormat="1" ht="15" customHeight="1" x14ac:dyDescent="0.25">
      <c r="A4758" s="805" t="s">
        <v>13319</v>
      </c>
      <c r="B4758" s="805" t="s">
        <v>11509</v>
      </c>
      <c r="C4758" s="805" t="s">
        <v>11509</v>
      </c>
      <c r="D4758" s="805" t="s">
        <v>11687</v>
      </c>
      <c r="E4758" s="805">
        <v>160</v>
      </c>
      <c r="F4758" s="805">
        <v>60</v>
      </c>
      <c r="G4758" s="202" t="str">
        <f t="shared" si="73"/>
        <v/>
      </c>
    </row>
    <row r="4759" spans="1:7" s="172" customFormat="1" ht="15" customHeight="1" x14ac:dyDescent="0.25">
      <c r="A4759" s="805" t="s">
        <v>13320</v>
      </c>
      <c r="B4759" s="805" t="s">
        <v>11509</v>
      </c>
      <c r="C4759" s="805" t="s">
        <v>11509</v>
      </c>
      <c r="D4759" s="805" t="s">
        <v>11688</v>
      </c>
      <c r="E4759" s="805">
        <v>250</v>
      </c>
      <c r="F4759" s="805">
        <v>0</v>
      </c>
      <c r="G4759" s="202" t="str">
        <f t="shared" si="73"/>
        <v/>
      </c>
    </row>
    <row r="4760" spans="1:7" s="172" customFormat="1" ht="15" customHeight="1" x14ac:dyDescent="0.25">
      <c r="A4760" s="805" t="s">
        <v>13321</v>
      </c>
      <c r="B4760" s="805" t="s">
        <v>11509</v>
      </c>
      <c r="C4760" s="805" t="s">
        <v>11509</v>
      </c>
      <c r="D4760" s="805" t="s">
        <v>11689</v>
      </c>
      <c r="E4760" s="805">
        <v>400</v>
      </c>
      <c r="F4760" s="805">
        <v>385</v>
      </c>
      <c r="G4760" s="202" t="str">
        <f t="shared" si="73"/>
        <v/>
      </c>
    </row>
    <row r="4761" spans="1:7" s="172" customFormat="1" ht="15" customHeight="1" x14ac:dyDescent="0.25">
      <c r="A4761" s="805" t="s">
        <v>13320</v>
      </c>
      <c r="B4761" s="805" t="s">
        <v>11509</v>
      </c>
      <c r="C4761" s="805" t="s">
        <v>11509</v>
      </c>
      <c r="D4761" s="805" t="s">
        <v>11690</v>
      </c>
      <c r="E4761" s="805">
        <v>180</v>
      </c>
      <c r="F4761" s="805">
        <v>104</v>
      </c>
      <c r="G4761" s="202" t="str">
        <f t="shared" si="73"/>
        <v/>
      </c>
    </row>
    <row r="4762" spans="1:7" s="172" customFormat="1" ht="15" customHeight="1" x14ac:dyDescent="0.25">
      <c r="A4762" s="805" t="s">
        <v>13321</v>
      </c>
      <c r="B4762" s="805" t="s">
        <v>11509</v>
      </c>
      <c r="C4762" s="805" t="s">
        <v>11509</v>
      </c>
      <c r="D4762" s="805" t="s">
        <v>11691</v>
      </c>
      <c r="E4762" s="805">
        <v>100</v>
      </c>
      <c r="F4762" s="805">
        <v>25</v>
      </c>
      <c r="G4762" s="202" t="str">
        <f t="shared" si="73"/>
        <v/>
      </c>
    </row>
    <row r="4763" spans="1:7" s="172" customFormat="1" ht="15" customHeight="1" x14ac:dyDescent="0.25">
      <c r="A4763" s="805" t="s">
        <v>13322</v>
      </c>
      <c r="B4763" s="805" t="s">
        <v>11509</v>
      </c>
      <c r="C4763" s="805" t="s">
        <v>11509</v>
      </c>
      <c r="D4763" s="805" t="s">
        <v>11692</v>
      </c>
      <c r="E4763" s="805">
        <v>250</v>
      </c>
      <c r="F4763" s="805">
        <v>50</v>
      </c>
      <c r="G4763" s="202" t="str">
        <f t="shared" si="73"/>
        <v/>
      </c>
    </row>
    <row r="4764" spans="1:7" s="172" customFormat="1" ht="15" customHeight="1" x14ac:dyDescent="0.25">
      <c r="A4764" s="805" t="s">
        <v>13323</v>
      </c>
      <c r="B4764" s="805" t="s">
        <v>11509</v>
      </c>
      <c r="C4764" s="805" t="s">
        <v>11509</v>
      </c>
      <c r="D4764" s="805" t="s">
        <v>11693</v>
      </c>
      <c r="E4764" s="805">
        <v>400</v>
      </c>
      <c r="F4764" s="805">
        <v>260</v>
      </c>
      <c r="G4764" s="202" t="str">
        <f t="shared" si="73"/>
        <v/>
      </c>
    </row>
    <row r="4765" spans="1:7" s="172" customFormat="1" ht="15" customHeight="1" x14ac:dyDescent="0.25">
      <c r="A4765" s="805" t="s">
        <v>13324</v>
      </c>
      <c r="B4765" s="805" t="s">
        <v>11509</v>
      </c>
      <c r="C4765" s="805" t="s">
        <v>11509</v>
      </c>
      <c r="D4765" s="805" t="s">
        <v>18599</v>
      </c>
      <c r="E4765" s="805">
        <v>630</v>
      </c>
      <c r="F4765" s="805">
        <v>250</v>
      </c>
      <c r="G4765" s="202" t="str">
        <f t="shared" ref="G4765:G4828" si="74">IF(E4765=F4765,"не загружен","")</f>
        <v/>
      </c>
    </row>
    <row r="4766" spans="1:7" s="172" customFormat="1" ht="15" customHeight="1" x14ac:dyDescent="0.25">
      <c r="A4766" s="805" t="s">
        <v>13324</v>
      </c>
      <c r="B4766" s="805" t="s">
        <v>11509</v>
      </c>
      <c r="C4766" s="805" t="s">
        <v>11509</v>
      </c>
      <c r="D4766" s="805" t="s">
        <v>18600</v>
      </c>
      <c r="E4766" s="805">
        <v>630</v>
      </c>
      <c r="F4766" s="805">
        <v>230</v>
      </c>
      <c r="G4766" s="202" t="str">
        <f t="shared" si="74"/>
        <v/>
      </c>
    </row>
    <row r="4767" spans="1:7" s="172" customFormat="1" ht="15" customHeight="1" x14ac:dyDescent="0.25">
      <c r="A4767" s="805" t="s">
        <v>13324</v>
      </c>
      <c r="B4767" s="805" t="s">
        <v>11509</v>
      </c>
      <c r="C4767" s="805" t="s">
        <v>11509</v>
      </c>
      <c r="D4767" s="805" t="s">
        <v>11694</v>
      </c>
      <c r="E4767" s="805">
        <v>250</v>
      </c>
      <c r="F4767" s="805">
        <v>220</v>
      </c>
      <c r="G4767" s="202" t="str">
        <f t="shared" si="74"/>
        <v/>
      </c>
    </row>
    <row r="4768" spans="1:7" s="172" customFormat="1" ht="15" customHeight="1" x14ac:dyDescent="0.25">
      <c r="A4768" s="805" t="s">
        <v>13324</v>
      </c>
      <c r="B4768" s="805" t="s">
        <v>11509</v>
      </c>
      <c r="C4768" s="805" t="s">
        <v>11509</v>
      </c>
      <c r="D4768" s="805" t="s">
        <v>18601</v>
      </c>
      <c r="E4768" s="805">
        <v>250</v>
      </c>
      <c r="F4768" s="805">
        <v>150</v>
      </c>
      <c r="G4768" s="202" t="str">
        <f t="shared" si="74"/>
        <v/>
      </c>
    </row>
    <row r="4769" spans="1:7" s="172" customFormat="1" ht="15" customHeight="1" x14ac:dyDescent="0.25">
      <c r="A4769" s="805" t="s">
        <v>13325</v>
      </c>
      <c r="B4769" s="805" t="s">
        <v>11509</v>
      </c>
      <c r="C4769" s="805" t="s">
        <v>11509</v>
      </c>
      <c r="D4769" s="805" t="s">
        <v>11695</v>
      </c>
      <c r="E4769" s="805">
        <v>160</v>
      </c>
      <c r="F4769" s="805">
        <v>90</v>
      </c>
      <c r="G4769" s="202" t="str">
        <f t="shared" si="74"/>
        <v/>
      </c>
    </row>
    <row r="4770" spans="1:7" s="172" customFormat="1" ht="15" customHeight="1" x14ac:dyDescent="0.25">
      <c r="A4770" s="805" t="s">
        <v>13326</v>
      </c>
      <c r="B4770" s="805" t="s">
        <v>11509</v>
      </c>
      <c r="C4770" s="805" t="s">
        <v>11509</v>
      </c>
      <c r="D4770" s="805" t="s">
        <v>18602</v>
      </c>
      <c r="E4770" s="805">
        <v>400</v>
      </c>
      <c r="F4770" s="805">
        <v>100</v>
      </c>
      <c r="G4770" s="202" t="str">
        <f t="shared" si="74"/>
        <v/>
      </c>
    </row>
    <row r="4771" spans="1:7" s="172" customFormat="1" ht="15" customHeight="1" x14ac:dyDescent="0.25">
      <c r="A4771" s="805" t="s">
        <v>13326</v>
      </c>
      <c r="B4771" s="805" t="s">
        <v>11509</v>
      </c>
      <c r="C4771" s="805" t="s">
        <v>11509</v>
      </c>
      <c r="D4771" s="805" t="s">
        <v>11696</v>
      </c>
      <c r="E4771" s="805">
        <v>400</v>
      </c>
      <c r="F4771" s="805">
        <v>100</v>
      </c>
      <c r="G4771" s="202" t="str">
        <f t="shared" si="74"/>
        <v/>
      </c>
    </row>
    <row r="4772" spans="1:7" s="172" customFormat="1" ht="15" customHeight="1" x14ac:dyDescent="0.25">
      <c r="A4772" s="805" t="s">
        <v>13324</v>
      </c>
      <c r="B4772" s="805" t="s">
        <v>11509</v>
      </c>
      <c r="C4772" s="805" t="s">
        <v>11509</v>
      </c>
      <c r="D4772" s="805" t="s">
        <v>11697</v>
      </c>
      <c r="E4772" s="805">
        <v>250</v>
      </c>
      <c r="F4772" s="805">
        <v>200</v>
      </c>
      <c r="G4772" s="202" t="str">
        <f t="shared" si="74"/>
        <v/>
      </c>
    </row>
    <row r="4773" spans="1:7" s="172" customFormat="1" ht="15" customHeight="1" x14ac:dyDescent="0.25">
      <c r="A4773" s="805" t="s">
        <v>13327</v>
      </c>
      <c r="B4773" s="805" t="s">
        <v>11509</v>
      </c>
      <c r="C4773" s="805" t="s">
        <v>11509</v>
      </c>
      <c r="D4773" s="805" t="s">
        <v>11698</v>
      </c>
      <c r="E4773" s="805">
        <v>320</v>
      </c>
      <c r="F4773" s="805">
        <v>140</v>
      </c>
      <c r="G4773" s="202" t="str">
        <f t="shared" si="74"/>
        <v/>
      </c>
    </row>
    <row r="4774" spans="1:7" s="172" customFormat="1" ht="15" customHeight="1" x14ac:dyDescent="0.25">
      <c r="A4774" s="805" t="s">
        <v>13328</v>
      </c>
      <c r="B4774" s="805" t="s">
        <v>11509</v>
      </c>
      <c r="C4774" s="805" t="s">
        <v>11509</v>
      </c>
      <c r="D4774" s="805" t="s">
        <v>11699</v>
      </c>
      <c r="E4774" s="805">
        <v>100</v>
      </c>
      <c r="F4774" s="805">
        <v>10</v>
      </c>
      <c r="G4774" s="202" t="str">
        <f t="shared" si="74"/>
        <v/>
      </c>
    </row>
    <row r="4775" spans="1:7" s="172" customFormat="1" ht="15" customHeight="1" x14ac:dyDescent="0.25">
      <c r="A4775" s="805" t="s">
        <v>13329</v>
      </c>
      <c r="B4775" s="805" t="s">
        <v>11509</v>
      </c>
      <c r="C4775" s="805" t="s">
        <v>11509</v>
      </c>
      <c r="D4775" s="805" t="s">
        <v>11700</v>
      </c>
      <c r="E4775" s="805">
        <v>250</v>
      </c>
      <c r="F4775" s="805">
        <v>160</v>
      </c>
      <c r="G4775" s="202" t="str">
        <f t="shared" si="74"/>
        <v/>
      </c>
    </row>
    <row r="4776" spans="1:7" s="172" customFormat="1" ht="15" customHeight="1" x14ac:dyDescent="0.25">
      <c r="A4776" s="805" t="s">
        <v>13329</v>
      </c>
      <c r="B4776" s="805" t="s">
        <v>11509</v>
      </c>
      <c r="C4776" s="805" t="s">
        <v>11509</v>
      </c>
      <c r="D4776" s="805" t="s">
        <v>11701</v>
      </c>
      <c r="E4776" s="805">
        <v>160</v>
      </c>
      <c r="F4776" s="805">
        <v>0</v>
      </c>
      <c r="G4776" s="202" t="str">
        <f t="shared" si="74"/>
        <v/>
      </c>
    </row>
    <row r="4777" spans="1:7" s="172" customFormat="1" ht="15" customHeight="1" x14ac:dyDescent="0.25">
      <c r="A4777" s="805" t="s">
        <v>13330</v>
      </c>
      <c r="B4777" s="805" t="s">
        <v>11509</v>
      </c>
      <c r="C4777" s="805" t="s">
        <v>11509</v>
      </c>
      <c r="D4777" s="805" t="s">
        <v>11702</v>
      </c>
      <c r="E4777" s="805">
        <v>250</v>
      </c>
      <c r="F4777" s="805">
        <v>100</v>
      </c>
      <c r="G4777" s="202" t="str">
        <f t="shared" si="74"/>
        <v/>
      </c>
    </row>
    <row r="4778" spans="1:7" s="172" customFormat="1" ht="15" customHeight="1" x14ac:dyDescent="0.25">
      <c r="A4778" s="805" t="s">
        <v>13331</v>
      </c>
      <c r="B4778" s="805" t="s">
        <v>11509</v>
      </c>
      <c r="C4778" s="805" t="s">
        <v>11509</v>
      </c>
      <c r="D4778" s="805" t="s">
        <v>11703</v>
      </c>
      <c r="E4778" s="805">
        <v>250</v>
      </c>
      <c r="F4778" s="805">
        <v>185</v>
      </c>
      <c r="G4778" s="202" t="str">
        <f t="shared" si="74"/>
        <v/>
      </c>
    </row>
    <row r="4779" spans="1:7" s="172" customFormat="1" ht="15" customHeight="1" x14ac:dyDescent="0.25">
      <c r="A4779" s="805" t="s">
        <v>13332</v>
      </c>
      <c r="B4779" s="805" t="s">
        <v>11509</v>
      </c>
      <c r="C4779" s="805" t="s">
        <v>11509</v>
      </c>
      <c r="D4779" s="805" t="s">
        <v>11704</v>
      </c>
      <c r="E4779" s="805">
        <v>250</v>
      </c>
      <c r="F4779" s="805">
        <v>160</v>
      </c>
      <c r="G4779" s="202" t="str">
        <f t="shared" si="74"/>
        <v/>
      </c>
    </row>
    <row r="4780" spans="1:7" s="172" customFormat="1" ht="15" customHeight="1" x14ac:dyDescent="0.25">
      <c r="A4780" s="805" t="s">
        <v>13332</v>
      </c>
      <c r="B4780" s="805" t="s">
        <v>11509</v>
      </c>
      <c r="C4780" s="805" t="s">
        <v>11509</v>
      </c>
      <c r="D4780" s="805" t="s">
        <v>11705</v>
      </c>
      <c r="E4780" s="805">
        <v>400</v>
      </c>
      <c r="F4780" s="805">
        <v>340</v>
      </c>
      <c r="G4780" s="202" t="str">
        <f t="shared" si="74"/>
        <v/>
      </c>
    </row>
    <row r="4781" spans="1:7" s="172" customFormat="1" ht="15" customHeight="1" x14ac:dyDescent="0.25">
      <c r="A4781" s="805" t="s">
        <v>13333</v>
      </c>
      <c r="B4781" s="805" t="s">
        <v>11509</v>
      </c>
      <c r="C4781" s="805" t="s">
        <v>11509</v>
      </c>
      <c r="D4781" s="805" t="s">
        <v>11706</v>
      </c>
      <c r="E4781" s="805">
        <v>400</v>
      </c>
      <c r="F4781" s="805">
        <v>148</v>
      </c>
      <c r="G4781" s="202" t="str">
        <f t="shared" si="74"/>
        <v/>
      </c>
    </row>
    <row r="4782" spans="1:7" s="172" customFormat="1" ht="15" customHeight="1" x14ac:dyDescent="0.25">
      <c r="A4782" s="805" t="s">
        <v>13333</v>
      </c>
      <c r="B4782" s="805" t="s">
        <v>11509</v>
      </c>
      <c r="C4782" s="805" t="s">
        <v>11509</v>
      </c>
      <c r="D4782" s="805" t="s">
        <v>11707</v>
      </c>
      <c r="E4782" s="805" t="s">
        <v>18196</v>
      </c>
      <c r="F4782" s="805" t="s">
        <v>18603</v>
      </c>
      <c r="G4782" s="202" t="str">
        <f t="shared" si="74"/>
        <v/>
      </c>
    </row>
    <row r="4783" spans="1:7" s="172" customFormat="1" ht="15" customHeight="1" x14ac:dyDescent="0.25">
      <c r="A4783" s="805" t="s">
        <v>13333</v>
      </c>
      <c r="B4783" s="805" t="s">
        <v>11509</v>
      </c>
      <c r="C4783" s="805" t="s">
        <v>11509</v>
      </c>
      <c r="D4783" s="805" t="s">
        <v>11708</v>
      </c>
      <c r="E4783" s="805">
        <v>400</v>
      </c>
      <c r="F4783" s="805">
        <v>100</v>
      </c>
      <c r="G4783" s="202" t="str">
        <f t="shared" si="74"/>
        <v/>
      </c>
    </row>
    <row r="4784" spans="1:7" s="172" customFormat="1" ht="15" customHeight="1" x14ac:dyDescent="0.25">
      <c r="A4784" s="805" t="s">
        <v>13333</v>
      </c>
      <c r="B4784" s="805" t="s">
        <v>11509</v>
      </c>
      <c r="C4784" s="805" t="s">
        <v>11509</v>
      </c>
      <c r="D4784" s="805" t="s">
        <v>11709</v>
      </c>
      <c r="E4784" s="805">
        <v>160</v>
      </c>
      <c r="F4784" s="805">
        <v>40</v>
      </c>
      <c r="G4784" s="202" t="str">
        <f t="shared" si="74"/>
        <v/>
      </c>
    </row>
    <row r="4785" spans="1:7" s="172" customFormat="1" ht="15" customHeight="1" x14ac:dyDescent="0.25">
      <c r="A4785" s="805" t="s">
        <v>13333</v>
      </c>
      <c r="B4785" s="805" t="s">
        <v>11509</v>
      </c>
      <c r="C4785" s="805" t="s">
        <v>11509</v>
      </c>
      <c r="D4785" s="805" t="s">
        <v>11710</v>
      </c>
      <c r="E4785" s="805">
        <v>250</v>
      </c>
      <c r="F4785" s="805">
        <v>0</v>
      </c>
      <c r="G4785" s="202" t="str">
        <f t="shared" si="74"/>
        <v/>
      </c>
    </row>
    <row r="4786" spans="1:7" s="172" customFormat="1" ht="15" customHeight="1" x14ac:dyDescent="0.25">
      <c r="A4786" s="805" t="s">
        <v>13334</v>
      </c>
      <c r="B4786" s="805" t="s">
        <v>11509</v>
      </c>
      <c r="C4786" s="805" t="s">
        <v>11509</v>
      </c>
      <c r="D4786" s="805" t="s">
        <v>11711</v>
      </c>
      <c r="E4786" s="805">
        <v>100</v>
      </c>
      <c r="F4786" s="805">
        <v>0</v>
      </c>
      <c r="G4786" s="202" t="str">
        <f t="shared" si="74"/>
        <v/>
      </c>
    </row>
    <row r="4787" spans="1:7" s="172" customFormat="1" ht="15" customHeight="1" x14ac:dyDescent="0.25">
      <c r="A4787" s="805" t="s">
        <v>13333</v>
      </c>
      <c r="B4787" s="805" t="s">
        <v>11509</v>
      </c>
      <c r="C4787" s="805" t="s">
        <v>11509</v>
      </c>
      <c r="D4787" s="805" t="s">
        <v>11712</v>
      </c>
      <c r="E4787" s="805">
        <v>160</v>
      </c>
      <c r="F4787" s="805">
        <v>3</v>
      </c>
      <c r="G4787" s="202" t="str">
        <f t="shared" si="74"/>
        <v/>
      </c>
    </row>
    <row r="4788" spans="1:7" s="172" customFormat="1" ht="15" customHeight="1" x14ac:dyDescent="0.25">
      <c r="A4788" s="805" t="s">
        <v>13335</v>
      </c>
      <c r="B4788" s="805" t="s">
        <v>11509</v>
      </c>
      <c r="C4788" s="805" t="s">
        <v>11509</v>
      </c>
      <c r="D4788" s="805" t="s">
        <v>11713</v>
      </c>
      <c r="E4788" s="805">
        <v>63</v>
      </c>
      <c r="F4788" s="805">
        <v>0</v>
      </c>
      <c r="G4788" s="202" t="str">
        <f t="shared" si="74"/>
        <v/>
      </c>
    </row>
    <row r="4789" spans="1:7" s="172" customFormat="1" ht="15" customHeight="1" x14ac:dyDescent="0.25">
      <c r="A4789" s="805" t="s">
        <v>13336</v>
      </c>
      <c r="B4789" s="805" t="s">
        <v>11509</v>
      </c>
      <c r="C4789" s="805" t="s">
        <v>11509</v>
      </c>
      <c r="D4789" s="805" t="s">
        <v>11714</v>
      </c>
      <c r="E4789" s="805">
        <v>160</v>
      </c>
      <c r="F4789" s="805">
        <v>37</v>
      </c>
      <c r="G4789" s="202" t="str">
        <f t="shared" si="74"/>
        <v/>
      </c>
    </row>
    <row r="4790" spans="1:7" s="172" customFormat="1" ht="15" customHeight="1" x14ac:dyDescent="0.25">
      <c r="A4790" s="805" t="s">
        <v>13337</v>
      </c>
      <c r="B4790" s="805" t="s">
        <v>11509</v>
      </c>
      <c r="C4790" s="805" t="s">
        <v>11509</v>
      </c>
      <c r="D4790" s="805" t="s">
        <v>11715</v>
      </c>
      <c r="E4790" s="805">
        <v>30</v>
      </c>
      <c r="F4790" s="805">
        <v>10</v>
      </c>
      <c r="G4790" s="202" t="str">
        <f t="shared" si="74"/>
        <v/>
      </c>
    </row>
    <row r="4791" spans="1:7" s="172" customFormat="1" ht="15" customHeight="1" x14ac:dyDescent="0.25">
      <c r="A4791" s="805" t="s">
        <v>13338</v>
      </c>
      <c r="B4791" s="805" t="s">
        <v>11509</v>
      </c>
      <c r="C4791" s="805" t="s">
        <v>11509</v>
      </c>
      <c r="D4791" s="805" t="s">
        <v>11716</v>
      </c>
      <c r="E4791" s="805">
        <v>63</v>
      </c>
      <c r="F4791" s="805">
        <v>0</v>
      </c>
      <c r="G4791" s="202" t="str">
        <f t="shared" si="74"/>
        <v/>
      </c>
    </row>
    <row r="4792" spans="1:7" s="172" customFormat="1" ht="15" customHeight="1" x14ac:dyDescent="0.25">
      <c r="A4792" s="805" t="s">
        <v>12426</v>
      </c>
      <c r="B4792" s="805" t="s">
        <v>11509</v>
      </c>
      <c r="C4792" s="805" t="s">
        <v>11509</v>
      </c>
      <c r="D4792" s="805" t="s">
        <v>11717</v>
      </c>
      <c r="E4792" s="805">
        <v>250</v>
      </c>
      <c r="F4792" s="805">
        <v>158</v>
      </c>
      <c r="G4792" s="202" t="str">
        <f t="shared" si="74"/>
        <v/>
      </c>
    </row>
    <row r="4793" spans="1:7" s="172" customFormat="1" ht="15" customHeight="1" x14ac:dyDescent="0.25">
      <c r="A4793" s="805" t="s">
        <v>11718</v>
      </c>
      <c r="B4793" s="805" t="s">
        <v>11509</v>
      </c>
      <c r="C4793" s="805" t="s">
        <v>11509</v>
      </c>
      <c r="D4793" s="805" t="s">
        <v>11719</v>
      </c>
      <c r="E4793" s="805">
        <v>250</v>
      </c>
      <c r="F4793" s="805">
        <v>100</v>
      </c>
      <c r="G4793" s="202" t="str">
        <f t="shared" si="74"/>
        <v/>
      </c>
    </row>
    <row r="4794" spans="1:7" s="172" customFormat="1" ht="15" customHeight="1" x14ac:dyDescent="0.25">
      <c r="A4794" s="805" t="s">
        <v>11718</v>
      </c>
      <c r="B4794" s="805" t="s">
        <v>11509</v>
      </c>
      <c r="C4794" s="805" t="s">
        <v>11509</v>
      </c>
      <c r="D4794" s="805" t="s">
        <v>11720</v>
      </c>
      <c r="E4794" s="805">
        <v>400</v>
      </c>
      <c r="F4794" s="805">
        <v>355</v>
      </c>
      <c r="G4794" s="202" t="str">
        <f t="shared" si="74"/>
        <v/>
      </c>
    </row>
    <row r="4795" spans="1:7" s="172" customFormat="1" ht="15" customHeight="1" x14ac:dyDescent="0.25">
      <c r="A4795" s="805" t="s">
        <v>13339</v>
      </c>
      <c r="B4795" s="805" t="s">
        <v>11509</v>
      </c>
      <c r="C4795" s="805" t="s">
        <v>11509</v>
      </c>
      <c r="D4795" s="805" t="s">
        <v>11721</v>
      </c>
      <c r="E4795" s="805">
        <v>100</v>
      </c>
      <c r="F4795" s="805">
        <v>37</v>
      </c>
      <c r="G4795" s="202" t="str">
        <f t="shared" si="74"/>
        <v/>
      </c>
    </row>
    <row r="4796" spans="1:7" s="172" customFormat="1" ht="15" customHeight="1" x14ac:dyDescent="0.25">
      <c r="A4796" s="805" t="s">
        <v>13340</v>
      </c>
      <c r="B4796" s="805" t="s">
        <v>11509</v>
      </c>
      <c r="C4796" s="805" t="s">
        <v>11509</v>
      </c>
      <c r="D4796" s="805" t="s">
        <v>11722</v>
      </c>
      <c r="E4796" s="805" t="s">
        <v>18202</v>
      </c>
      <c r="F4796" s="805" t="s">
        <v>18604</v>
      </c>
      <c r="G4796" s="202" t="str">
        <f t="shared" si="74"/>
        <v/>
      </c>
    </row>
    <row r="4797" spans="1:7" s="172" customFormat="1" ht="15" customHeight="1" x14ac:dyDescent="0.25">
      <c r="A4797" s="805" t="s">
        <v>13341</v>
      </c>
      <c r="B4797" s="805" t="s">
        <v>11509</v>
      </c>
      <c r="C4797" s="805" t="s">
        <v>11509</v>
      </c>
      <c r="D4797" s="805" t="s">
        <v>11723</v>
      </c>
      <c r="E4797" s="805">
        <v>250</v>
      </c>
      <c r="F4797" s="805">
        <v>170</v>
      </c>
      <c r="G4797" s="202" t="str">
        <f t="shared" si="74"/>
        <v/>
      </c>
    </row>
    <row r="4798" spans="1:7" s="172" customFormat="1" ht="15" customHeight="1" x14ac:dyDescent="0.25">
      <c r="A4798" s="805" t="s">
        <v>13342</v>
      </c>
      <c r="B4798" s="805" t="s">
        <v>11509</v>
      </c>
      <c r="C4798" s="805" t="s">
        <v>11509</v>
      </c>
      <c r="D4798" s="805" t="s">
        <v>11724</v>
      </c>
      <c r="E4798" s="805">
        <v>100</v>
      </c>
      <c r="F4798" s="805">
        <v>75</v>
      </c>
      <c r="G4798" s="202" t="str">
        <f t="shared" si="74"/>
        <v/>
      </c>
    </row>
    <row r="4799" spans="1:7" s="172" customFormat="1" ht="15" customHeight="1" x14ac:dyDescent="0.25">
      <c r="A4799" s="805" t="s">
        <v>13343</v>
      </c>
      <c r="B4799" s="805" t="s">
        <v>11509</v>
      </c>
      <c r="C4799" s="805" t="s">
        <v>11509</v>
      </c>
      <c r="D4799" s="805" t="s">
        <v>11725</v>
      </c>
      <c r="E4799" s="805">
        <v>100</v>
      </c>
      <c r="F4799" s="805">
        <v>50</v>
      </c>
      <c r="G4799" s="202" t="str">
        <f t="shared" si="74"/>
        <v/>
      </c>
    </row>
    <row r="4800" spans="1:7" s="172" customFormat="1" ht="15" customHeight="1" x14ac:dyDescent="0.25">
      <c r="A4800" s="823" t="s">
        <v>13344</v>
      </c>
      <c r="B4800" s="805" t="s">
        <v>11509</v>
      </c>
      <c r="C4800" s="805" t="s">
        <v>11509</v>
      </c>
      <c r="D4800" s="823" t="s">
        <v>11726</v>
      </c>
      <c r="E4800" s="823">
        <v>100</v>
      </c>
      <c r="F4800" s="823">
        <v>70</v>
      </c>
      <c r="G4800" s="202" t="str">
        <f t="shared" si="74"/>
        <v/>
      </c>
    </row>
    <row r="4801" spans="1:7" s="172" customFormat="1" ht="15" customHeight="1" x14ac:dyDescent="0.25">
      <c r="A4801" s="823" t="s">
        <v>13345</v>
      </c>
      <c r="B4801" s="805" t="s">
        <v>11509</v>
      </c>
      <c r="C4801" s="805" t="s">
        <v>11509</v>
      </c>
      <c r="D4801" s="823" t="s">
        <v>11727</v>
      </c>
      <c r="E4801" s="823">
        <v>40</v>
      </c>
      <c r="F4801" s="823">
        <v>5</v>
      </c>
      <c r="G4801" s="202" t="str">
        <f t="shared" si="74"/>
        <v/>
      </c>
    </row>
    <row r="4802" spans="1:7" s="172" customFormat="1" ht="15" customHeight="1" x14ac:dyDescent="0.25">
      <c r="A4802" s="823" t="s">
        <v>13346</v>
      </c>
      <c r="B4802" s="805" t="s">
        <v>11509</v>
      </c>
      <c r="C4802" s="805" t="s">
        <v>11509</v>
      </c>
      <c r="D4802" s="818" t="s">
        <v>11728</v>
      </c>
      <c r="E4802" s="848" t="s">
        <v>18197</v>
      </c>
      <c r="F4802" s="815" t="s">
        <v>18605</v>
      </c>
      <c r="G4802" s="202" t="str">
        <f t="shared" si="74"/>
        <v/>
      </c>
    </row>
    <row r="4803" spans="1:7" s="172" customFormat="1" ht="15" customHeight="1" x14ac:dyDescent="0.25">
      <c r="A4803" s="823" t="s">
        <v>13346</v>
      </c>
      <c r="B4803" s="805" t="s">
        <v>11509</v>
      </c>
      <c r="C4803" s="805" t="s">
        <v>11509</v>
      </c>
      <c r="D4803" s="818" t="s">
        <v>11729</v>
      </c>
      <c r="E4803" s="848" t="s">
        <v>18197</v>
      </c>
      <c r="F4803" s="815" t="s">
        <v>18606</v>
      </c>
      <c r="G4803" s="202" t="str">
        <f t="shared" si="74"/>
        <v/>
      </c>
    </row>
    <row r="4804" spans="1:7" s="172" customFormat="1" ht="15" customHeight="1" x14ac:dyDescent="0.25">
      <c r="A4804" s="823" t="s">
        <v>13347</v>
      </c>
      <c r="B4804" s="805" t="s">
        <v>11509</v>
      </c>
      <c r="C4804" s="805" t="s">
        <v>11509</v>
      </c>
      <c r="D4804" s="818" t="s">
        <v>11730</v>
      </c>
      <c r="E4804" s="848">
        <v>100</v>
      </c>
      <c r="F4804" s="815">
        <v>65</v>
      </c>
      <c r="G4804" s="202" t="str">
        <f t="shared" si="74"/>
        <v/>
      </c>
    </row>
    <row r="4805" spans="1:7" s="172" customFormat="1" ht="15" customHeight="1" x14ac:dyDescent="0.25">
      <c r="A4805" s="823" t="s">
        <v>13346</v>
      </c>
      <c r="B4805" s="805" t="s">
        <v>11509</v>
      </c>
      <c r="C4805" s="805" t="s">
        <v>11509</v>
      </c>
      <c r="D4805" s="818" t="s">
        <v>11731</v>
      </c>
      <c r="E4805" s="848">
        <v>400</v>
      </c>
      <c r="F4805" s="815">
        <v>340</v>
      </c>
      <c r="G4805" s="202" t="str">
        <f t="shared" si="74"/>
        <v/>
      </c>
    </row>
    <row r="4806" spans="1:7" s="172" customFormat="1" ht="15" customHeight="1" x14ac:dyDescent="0.25">
      <c r="A4806" s="805" t="s">
        <v>11732</v>
      </c>
      <c r="B4806" s="805" t="s">
        <v>11509</v>
      </c>
      <c r="C4806" s="805" t="s">
        <v>11509</v>
      </c>
      <c r="D4806" s="805" t="s">
        <v>11733</v>
      </c>
      <c r="E4806" s="805">
        <v>10</v>
      </c>
      <c r="F4806" s="849">
        <v>2</v>
      </c>
      <c r="G4806" s="202" t="str">
        <f t="shared" si="74"/>
        <v/>
      </c>
    </row>
    <row r="4807" spans="1:7" s="172" customFormat="1" ht="15" customHeight="1" x14ac:dyDescent="0.25">
      <c r="A4807" s="803" t="s">
        <v>13348</v>
      </c>
      <c r="B4807" s="803" t="s">
        <v>11509</v>
      </c>
      <c r="C4807" s="803" t="s">
        <v>11509</v>
      </c>
      <c r="D4807" s="803" t="s">
        <v>11734</v>
      </c>
      <c r="E4807" s="803">
        <v>160</v>
      </c>
      <c r="F4807" s="850">
        <v>60</v>
      </c>
      <c r="G4807" s="202" t="str">
        <f t="shared" si="74"/>
        <v/>
      </c>
    </row>
    <row r="4808" spans="1:7" s="172" customFormat="1" ht="15" customHeight="1" x14ac:dyDescent="0.25">
      <c r="A4808" s="803" t="s">
        <v>13348</v>
      </c>
      <c r="B4808" s="803" t="s">
        <v>11509</v>
      </c>
      <c r="C4808" s="803" t="s">
        <v>11509</v>
      </c>
      <c r="D4808" s="803" t="s">
        <v>11735</v>
      </c>
      <c r="E4808" s="803">
        <v>100</v>
      </c>
      <c r="F4808" s="850">
        <v>80</v>
      </c>
      <c r="G4808" s="202" t="str">
        <f t="shared" si="74"/>
        <v/>
      </c>
    </row>
    <row r="4809" spans="1:7" s="172" customFormat="1" ht="15" customHeight="1" x14ac:dyDescent="0.25">
      <c r="A4809" s="803" t="s">
        <v>13348</v>
      </c>
      <c r="B4809" s="803" t="s">
        <v>11509</v>
      </c>
      <c r="C4809" s="803" t="s">
        <v>11509</v>
      </c>
      <c r="D4809" s="803" t="s">
        <v>11736</v>
      </c>
      <c r="E4809" s="803">
        <v>100</v>
      </c>
      <c r="F4809" s="850">
        <v>80</v>
      </c>
      <c r="G4809" s="202" t="str">
        <f t="shared" si="74"/>
        <v/>
      </c>
    </row>
    <row r="4810" spans="1:7" s="172" customFormat="1" ht="15" customHeight="1" x14ac:dyDescent="0.25">
      <c r="A4810" s="803" t="s">
        <v>13346</v>
      </c>
      <c r="B4810" s="803" t="s">
        <v>11509</v>
      </c>
      <c r="C4810" s="803" t="s">
        <v>11509</v>
      </c>
      <c r="D4810" s="803" t="s">
        <v>11737</v>
      </c>
      <c r="E4810" s="803">
        <v>250</v>
      </c>
      <c r="F4810" s="850">
        <v>85</v>
      </c>
      <c r="G4810" s="202" t="str">
        <f t="shared" si="74"/>
        <v/>
      </c>
    </row>
    <row r="4811" spans="1:7" s="172" customFormat="1" ht="15" customHeight="1" x14ac:dyDescent="0.25">
      <c r="A4811" s="803" t="s">
        <v>13341</v>
      </c>
      <c r="B4811" s="803" t="s">
        <v>11509</v>
      </c>
      <c r="C4811" s="803" t="s">
        <v>11509</v>
      </c>
      <c r="D4811" s="803" t="s">
        <v>11738</v>
      </c>
      <c r="E4811" s="803">
        <v>400</v>
      </c>
      <c r="F4811" s="850">
        <v>40</v>
      </c>
      <c r="G4811" s="202" t="str">
        <f t="shared" si="74"/>
        <v/>
      </c>
    </row>
    <row r="4812" spans="1:7" s="172" customFormat="1" ht="15" customHeight="1" x14ac:dyDescent="0.25">
      <c r="A4812" s="803" t="s">
        <v>13349</v>
      </c>
      <c r="B4812" s="803" t="s">
        <v>11509</v>
      </c>
      <c r="C4812" s="803" t="s">
        <v>11509</v>
      </c>
      <c r="D4812" s="803" t="s">
        <v>11739</v>
      </c>
      <c r="E4812" s="803">
        <v>250</v>
      </c>
      <c r="F4812" s="850">
        <v>188</v>
      </c>
      <c r="G4812" s="202" t="str">
        <f t="shared" si="74"/>
        <v/>
      </c>
    </row>
    <row r="4813" spans="1:7" s="172" customFormat="1" ht="15" customHeight="1" x14ac:dyDescent="0.25">
      <c r="A4813" s="803" t="s">
        <v>13341</v>
      </c>
      <c r="B4813" s="803" t="s">
        <v>11509</v>
      </c>
      <c r="C4813" s="803" t="s">
        <v>11509</v>
      </c>
      <c r="D4813" s="803" t="s">
        <v>11740</v>
      </c>
      <c r="E4813" s="803">
        <v>250</v>
      </c>
      <c r="F4813" s="850">
        <v>0</v>
      </c>
      <c r="G4813" s="202" t="str">
        <f t="shared" si="74"/>
        <v/>
      </c>
    </row>
    <row r="4814" spans="1:7" s="172" customFormat="1" ht="15" customHeight="1" x14ac:dyDescent="0.25">
      <c r="A4814" s="803" t="s">
        <v>13350</v>
      </c>
      <c r="B4814" s="803" t="s">
        <v>11509</v>
      </c>
      <c r="C4814" s="803" t="s">
        <v>11509</v>
      </c>
      <c r="D4814" s="803" t="s">
        <v>11741</v>
      </c>
      <c r="E4814" s="803">
        <v>100</v>
      </c>
      <c r="F4814" s="850">
        <v>38</v>
      </c>
      <c r="G4814" s="202" t="str">
        <f t="shared" si="74"/>
        <v/>
      </c>
    </row>
    <row r="4815" spans="1:7" s="172" customFormat="1" ht="15" customHeight="1" x14ac:dyDescent="0.25">
      <c r="A4815" s="803" t="s">
        <v>13351</v>
      </c>
      <c r="B4815" s="803" t="s">
        <v>11509</v>
      </c>
      <c r="C4815" s="803" t="s">
        <v>11509</v>
      </c>
      <c r="D4815" s="803" t="s">
        <v>11742</v>
      </c>
      <c r="E4815" s="803">
        <v>160</v>
      </c>
      <c r="F4815" s="850">
        <v>40</v>
      </c>
      <c r="G4815" s="202" t="str">
        <f t="shared" si="74"/>
        <v/>
      </c>
    </row>
    <row r="4816" spans="1:7" s="172" customFormat="1" ht="15" customHeight="1" x14ac:dyDescent="0.25">
      <c r="A4816" s="803" t="s">
        <v>13292</v>
      </c>
      <c r="B4816" s="803" t="s">
        <v>11509</v>
      </c>
      <c r="C4816" s="803" t="s">
        <v>11509</v>
      </c>
      <c r="D4816" s="803" t="s">
        <v>11743</v>
      </c>
      <c r="E4816" s="803">
        <v>100</v>
      </c>
      <c r="F4816" s="850">
        <v>70</v>
      </c>
      <c r="G4816" s="202" t="str">
        <f t="shared" si="74"/>
        <v/>
      </c>
    </row>
    <row r="4817" spans="1:7" s="172" customFormat="1" ht="15" customHeight="1" x14ac:dyDescent="0.25">
      <c r="A4817" s="803" t="s">
        <v>13352</v>
      </c>
      <c r="B4817" s="803" t="s">
        <v>11509</v>
      </c>
      <c r="C4817" s="803" t="s">
        <v>11509</v>
      </c>
      <c r="D4817" s="803" t="s">
        <v>11744</v>
      </c>
      <c r="E4817" s="803">
        <v>100</v>
      </c>
      <c r="F4817" s="850">
        <v>5</v>
      </c>
      <c r="G4817" s="202" t="str">
        <f t="shared" si="74"/>
        <v/>
      </c>
    </row>
    <row r="4818" spans="1:7" s="172" customFormat="1" ht="15" customHeight="1" x14ac:dyDescent="0.25">
      <c r="A4818" s="803" t="s">
        <v>13353</v>
      </c>
      <c r="B4818" s="803" t="s">
        <v>11509</v>
      </c>
      <c r="C4818" s="803" t="s">
        <v>11509</v>
      </c>
      <c r="D4818" s="803" t="s">
        <v>11745</v>
      </c>
      <c r="E4818" s="803">
        <v>63</v>
      </c>
      <c r="F4818" s="850">
        <v>30</v>
      </c>
      <c r="G4818" s="202" t="str">
        <f t="shared" si="74"/>
        <v/>
      </c>
    </row>
    <row r="4819" spans="1:7" s="172" customFormat="1" ht="15" customHeight="1" x14ac:dyDescent="0.25">
      <c r="A4819" s="803" t="s">
        <v>13354</v>
      </c>
      <c r="B4819" s="803" t="s">
        <v>11509</v>
      </c>
      <c r="C4819" s="803" t="s">
        <v>11509</v>
      </c>
      <c r="D4819" s="803" t="s">
        <v>11746</v>
      </c>
      <c r="E4819" s="803">
        <v>20</v>
      </c>
      <c r="F4819" s="850">
        <v>0</v>
      </c>
      <c r="G4819" s="202" t="str">
        <f t="shared" si="74"/>
        <v/>
      </c>
    </row>
    <row r="4820" spans="1:7" s="172" customFormat="1" ht="15" customHeight="1" x14ac:dyDescent="0.25">
      <c r="A4820" s="803" t="s">
        <v>13355</v>
      </c>
      <c r="B4820" s="803" t="s">
        <v>11509</v>
      </c>
      <c r="C4820" s="803" t="s">
        <v>11509</v>
      </c>
      <c r="D4820" s="803" t="s">
        <v>11747</v>
      </c>
      <c r="E4820" s="803">
        <v>250</v>
      </c>
      <c r="F4820" s="850">
        <v>90</v>
      </c>
      <c r="G4820" s="202" t="str">
        <f t="shared" si="74"/>
        <v/>
      </c>
    </row>
    <row r="4821" spans="1:7" s="172" customFormat="1" ht="15" customHeight="1" x14ac:dyDescent="0.25">
      <c r="A4821" s="803" t="s">
        <v>13356</v>
      </c>
      <c r="B4821" s="803" t="s">
        <v>11509</v>
      </c>
      <c r="C4821" s="803" t="s">
        <v>11509</v>
      </c>
      <c r="D4821" s="803" t="s">
        <v>11748</v>
      </c>
      <c r="E4821" s="803">
        <v>25</v>
      </c>
      <c r="F4821" s="850">
        <v>6</v>
      </c>
      <c r="G4821" s="202" t="str">
        <f t="shared" si="74"/>
        <v/>
      </c>
    </row>
    <row r="4822" spans="1:7" s="172" customFormat="1" ht="15" customHeight="1" x14ac:dyDescent="0.25">
      <c r="A4822" s="803" t="s">
        <v>13357</v>
      </c>
      <c r="B4822" s="803" t="s">
        <v>11509</v>
      </c>
      <c r="C4822" s="803" t="s">
        <v>11509</v>
      </c>
      <c r="D4822" s="803" t="s">
        <v>11749</v>
      </c>
      <c r="E4822" s="803">
        <v>60</v>
      </c>
      <c r="F4822" s="850">
        <v>0</v>
      </c>
      <c r="G4822" s="202" t="str">
        <f t="shared" si="74"/>
        <v/>
      </c>
    </row>
    <row r="4823" spans="1:7" s="172" customFormat="1" ht="15" customHeight="1" x14ac:dyDescent="0.25">
      <c r="A4823" s="803" t="s">
        <v>13358</v>
      </c>
      <c r="B4823" s="803" t="s">
        <v>11509</v>
      </c>
      <c r="C4823" s="803" t="s">
        <v>11509</v>
      </c>
      <c r="D4823" s="803" t="s">
        <v>11750</v>
      </c>
      <c r="E4823" s="803">
        <v>100</v>
      </c>
      <c r="F4823" s="850">
        <v>60</v>
      </c>
      <c r="G4823" s="202" t="str">
        <f t="shared" si="74"/>
        <v/>
      </c>
    </row>
    <row r="4824" spans="1:7" s="172" customFormat="1" ht="15" customHeight="1" x14ac:dyDescent="0.25">
      <c r="A4824" s="803" t="s">
        <v>13359</v>
      </c>
      <c r="B4824" s="803" t="s">
        <v>11509</v>
      </c>
      <c r="C4824" s="803" t="s">
        <v>11509</v>
      </c>
      <c r="D4824" s="803" t="s">
        <v>11751</v>
      </c>
      <c r="E4824" s="803">
        <v>100</v>
      </c>
      <c r="F4824" s="850">
        <v>60</v>
      </c>
      <c r="G4824" s="202" t="str">
        <f t="shared" si="74"/>
        <v/>
      </c>
    </row>
    <row r="4825" spans="1:7" s="172" customFormat="1" ht="15" customHeight="1" x14ac:dyDescent="0.25">
      <c r="A4825" s="803" t="s">
        <v>13360</v>
      </c>
      <c r="B4825" s="803" t="s">
        <v>11509</v>
      </c>
      <c r="C4825" s="803" t="s">
        <v>11509</v>
      </c>
      <c r="D4825" s="803" t="s">
        <v>11752</v>
      </c>
      <c r="E4825" s="803">
        <v>160</v>
      </c>
      <c r="F4825" s="850">
        <v>60</v>
      </c>
      <c r="G4825" s="202" t="str">
        <f t="shared" si="74"/>
        <v/>
      </c>
    </row>
    <row r="4826" spans="1:7" s="172" customFormat="1" ht="15" customHeight="1" x14ac:dyDescent="0.25">
      <c r="A4826" s="803" t="s">
        <v>13361</v>
      </c>
      <c r="B4826" s="803" t="s">
        <v>11509</v>
      </c>
      <c r="C4826" s="803" t="s">
        <v>11509</v>
      </c>
      <c r="D4826" s="803" t="s">
        <v>11753</v>
      </c>
      <c r="E4826" s="803">
        <v>63</v>
      </c>
      <c r="F4826" s="850">
        <v>30</v>
      </c>
      <c r="G4826" s="202" t="str">
        <f t="shared" si="74"/>
        <v/>
      </c>
    </row>
    <row r="4827" spans="1:7" s="172" customFormat="1" ht="15" customHeight="1" x14ac:dyDescent="0.25">
      <c r="A4827" s="803" t="s">
        <v>13362</v>
      </c>
      <c r="B4827" s="803" t="s">
        <v>11509</v>
      </c>
      <c r="C4827" s="803" t="s">
        <v>11509</v>
      </c>
      <c r="D4827" s="803" t="s">
        <v>11754</v>
      </c>
      <c r="E4827" s="803">
        <v>160</v>
      </c>
      <c r="F4827" s="850">
        <v>60</v>
      </c>
      <c r="G4827" s="202" t="str">
        <f t="shared" si="74"/>
        <v/>
      </c>
    </row>
    <row r="4828" spans="1:7" s="172" customFormat="1" ht="15" customHeight="1" x14ac:dyDescent="0.25">
      <c r="A4828" s="803" t="s">
        <v>13341</v>
      </c>
      <c r="B4828" s="803" t="s">
        <v>11509</v>
      </c>
      <c r="C4828" s="803" t="s">
        <v>11509</v>
      </c>
      <c r="D4828" s="803" t="s">
        <v>11755</v>
      </c>
      <c r="E4828" s="803">
        <v>250</v>
      </c>
      <c r="F4828" s="850">
        <v>130</v>
      </c>
      <c r="G4828" s="202" t="str">
        <f t="shared" si="74"/>
        <v/>
      </c>
    </row>
    <row r="4829" spans="1:7" s="172" customFormat="1" ht="15" customHeight="1" x14ac:dyDescent="0.25">
      <c r="A4829" s="803" t="s">
        <v>13341</v>
      </c>
      <c r="B4829" s="803" t="s">
        <v>11509</v>
      </c>
      <c r="C4829" s="803" t="s">
        <v>11509</v>
      </c>
      <c r="D4829" s="803" t="s">
        <v>11756</v>
      </c>
      <c r="E4829" s="803">
        <v>250</v>
      </c>
      <c r="F4829" s="850">
        <v>60</v>
      </c>
      <c r="G4829" s="202" t="str">
        <f t="shared" ref="G4829:G4892" si="75">IF(E4829=F4829,"не загружен","")</f>
        <v/>
      </c>
    </row>
    <row r="4830" spans="1:7" s="172" customFormat="1" ht="15" customHeight="1" x14ac:dyDescent="0.25">
      <c r="A4830" s="803" t="s">
        <v>13363</v>
      </c>
      <c r="B4830" s="803" t="s">
        <v>11509</v>
      </c>
      <c r="C4830" s="803" t="s">
        <v>11509</v>
      </c>
      <c r="D4830" s="803" t="s">
        <v>11757</v>
      </c>
      <c r="E4830" s="803">
        <v>160</v>
      </c>
      <c r="F4830" s="850">
        <v>90</v>
      </c>
      <c r="G4830" s="202" t="str">
        <f t="shared" si="75"/>
        <v/>
      </c>
    </row>
    <row r="4831" spans="1:7" s="172" customFormat="1" ht="15" customHeight="1" x14ac:dyDescent="0.25">
      <c r="A4831" s="803" t="s">
        <v>11758</v>
      </c>
      <c r="B4831" s="803" t="s">
        <v>11509</v>
      </c>
      <c r="C4831" s="803" t="s">
        <v>11509</v>
      </c>
      <c r="D4831" s="803" t="s">
        <v>11759</v>
      </c>
      <c r="E4831" s="803" t="s">
        <v>18197</v>
      </c>
      <c r="F4831" s="850" t="s">
        <v>18607</v>
      </c>
      <c r="G4831" s="202" t="str">
        <f t="shared" si="75"/>
        <v/>
      </c>
    </row>
    <row r="4832" spans="1:7" s="172" customFormat="1" ht="15" customHeight="1" x14ac:dyDescent="0.25">
      <c r="A4832" s="803" t="s">
        <v>13364</v>
      </c>
      <c r="B4832" s="803" t="s">
        <v>11509</v>
      </c>
      <c r="C4832" s="803" t="s">
        <v>11509</v>
      </c>
      <c r="D4832" s="803" t="s">
        <v>11760</v>
      </c>
      <c r="E4832" s="803">
        <v>250</v>
      </c>
      <c r="F4832" s="850">
        <v>95</v>
      </c>
      <c r="G4832" s="202" t="str">
        <f t="shared" si="75"/>
        <v/>
      </c>
    </row>
    <row r="4833" spans="1:7" s="172" customFormat="1" ht="15" customHeight="1" x14ac:dyDescent="0.25">
      <c r="A4833" s="803" t="s">
        <v>13341</v>
      </c>
      <c r="B4833" s="803" t="s">
        <v>11509</v>
      </c>
      <c r="C4833" s="803" t="s">
        <v>11509</v>
      </c>
      <c r="D4833" s="803" t="s">
        <v>11761</v>
      </c>
      <c r="E4833" s="803">
        <v>160</v>
      </c>
      <c r="F4833" s="850">
        <v>60</v>
      </c>
      <c r="G4833" s="202" t="str">
        <f t="shared" si="75"/>
        <v/>
      </c>
    </row>
    <row r="4834" spans="1:7" s="172" customFormat="1" ht="15" customHeight="1" x14ac:dyDescent="0.25">
      <c r="A4834" s="803" t="s">
        <v>13365</v>
      </c>
      <c r="B4834" s="803" t="s">
        <v>11509</v>
      </c>
      <c r="C4834" s="803" t="s">
        <v>11509</v>
      </c>
      <c r="D4834" s="803" t="s">
        <v>11762</v>
      </c>
      <c r="E4834" s="803">
        <v>63</v>
      </c>
      <c r="F4834" s="850">
        <v>0</v>
      </c>
      <c r="G4834" s="202" t="str">
        <f t="shared" si="75"/>
        <v/>
      </c>
    </row>
    <row r="4835" spans="1:7" s="172" customFormat="1" ht="15" customHeight="1" x14ac:dyDescent="0.25">
      <c r="A4835" s="803" t="s">
        <v>13280</v>
      </c>
      <c r="B4835" s="803" t="s">
        <v>11509</v>
      </c>
      <c r="C4835" s="803" t="s">
        <v>11509</v>
      </c>
      <c r="D4835" s="803" t="s">
        <v>11763</v>
      </c>
      <c r="E4835" s="803">
        <v>160</v>
      </c>
      <c r="F4835" s="850">
        <v>30</v>
      </c>
      <c r="G4835" s="202" t="str">
        <f t="shared" si="75"/>
        <v/>
      </c>
    </row>
    <row r="4836" spans="1:7" s="172" customFormat="1" ht="15" customHeight="1" x14ac:dyDescent="0.25">
      <c r="A4836" s="803" t="s">
        <v>13366</v>
      </c>
      <c r="B4836" s="803" t="s">
        <v>11509</v>
      </c>
      <c r="C4836" s="803" t="s">
        <v>11509</v>
      </c>
      <c r="D4836" s="803" t="s">
        <v>11764</v>
      </c>
      <c r="E4836" s="803">
        <v>160</v>
      </c>
      <c r="F4836" s="850">
        <v>50</v>
      </c>
      <c r="G4836" s="202" t="str">
        <f t="shared" si="75"/>
        <v/>
      </c>
    </row>
    <row r="4837" spans="1:7" s="172" customFormat="1" ht="15" customHeight="1" x14ac:dyDescent="0.25">
      <c r="A4837" s="803" t="s">
        <v>13367</v>
      </c>
      <c r="B4837" s="803" t="s">
        <v>11509</v>
      </c>
      <c r="C4837" s="803" t="s">
        <v>11509</v>
      </c>
      <c r="D4837" s="803" t="s">
        <v>11765</v>
      </c>
      <c r="E4837" s="803">
        <v>100</v>
      </c>
      <c r="F4837" s="850">
        <v>30</v>
      </c>
      <c r="G4837" s="202" t="str">
        <f t="shared" si="75"/>
        <v/>
      </c>
    </row>
    <row r="4838" spans="1:7" s="172" customFormat="1" ht="15" customHeight="1" x14ac:dyDescent="0.25">
      <c r="A4838" s="803" t="s">
        <v>13368</v>
      </c>
      <c r="B4838" s="803" t="s">
        <v>11509</v>
      </c>
      <c r="C4838" s="803" t="s">
        <v>11509</v>
      </c>
      <c r="D4838" s="803" t="s">
        <v>11766</v>
      </c>
      <c r="E4838" s="803">
        <v>100</v>
      </c>
      <c r="F4838" s="850">
        <v>53</v>
      </c>
      <c r="G4838" s="202" t="str">
        <f t="shared" si="75"/>
        <v/>
      </c>
    </row>
    <row r="4839" spans="1:7" s="172" customFormat="1" ht="15" customHeight="1" x14ac:dyDescent="0.25">
      <c r="A4839" s="803" t="s">
        <v>13369</v>
      </c>
      <c r="B4839" s="803" t="s">
        <v>11509</v>
      </c>
      <c r="C4839" s="803" t="s">
        <v>11509</v>
      </c>
      <c r="D4839" s="803" t="s">
        <v>11767</v>
      </c>
      <c r="E4839" s="803">
        <v>160</v>
      </c>
      <c r="F4839" s="850">
        <v>60</v>
      </c>
      <c r="G4839" s="202" t="str">
        <f t="shared" si="75"/>
        <v/>
      </c>
    </row>
    <row r="4840" spans="1:7" s="172" customFormat="1" ht="15" customHeight="1" x14ac:dyDescent="0.25">
      <c r="A4840" s="803" t="s">
        <v>13370</v>
      </c>
      <c r="B4840" s="803" t="s">
        <v>11509</v>
      </c>
      <c r="C4840" s="803" t="s">
        <v>11509</v>
      </c>
      <c r="D4840" s="803" t="s">
        <v>11768</v>
      </c>
      <c r="E4840" s="803">
        <v>250</v>
      </c>
      <c r="F4840" s="850">
        <v>0</v>
      </c>
      <c r="G4840" s="202" t="str">
        <f t="shared" si="75"/>
        <v/>
      </c>
    </row>
    <row r="4841" spans="1:7" s="172" customFormat="1" ht="15" customHeight="1" x14ac:dyDescent="0.25">
      <c r="A4841" s="803" t="s">
        <v>13371</v>
      </c>
      <c r="B4841" s="803" t="s">
        <v>11509</v>
      </c>
      <c r="C4841" s="803" t="s">
        <v>11509</v>
      </c>
      <c r="D4841" s="803" t="s">
        <v>11769</v>
      </c>
      <c r="E4841" s="803">
        <v>400</v>
      </c>
      <c r="F4841" s="850">
        <v>155</v>
      </c>
      <c r="G4841" s="202" t="str">
        <f t="shared" si="75"/>
        <v/>
      </c>
    </row>
    <row r="4842" spans="1:7" s="172" customFormat="1" ht="15" customHeight="1" x14ac:dyDescent="0.25">
      <c r="A4842" s="803" t="s">
        <v>13372</v>
      </c>
      <c r="B4842" s="803" t="s">
        <v>11509</v>
      </c>
      <c r="C4842" s="803" t="s">
        <v>11509</v>
      </c>
      <c r="D4842" s="803" t="s">
        <v>11770</v>
      </c>
      <c r="E4842" s="803">
        <v>100</v>
      </c>
      <c r="F4842" s="850">
        <v>0</v>
      </c>
      <c r="G4842" s="202" t="str">
        <f t="shared" si="75"/>
        <v/>
      </c>
    </row>
    <row r="4843" spans="1:7" s="172" customFormat="1" ht="15" customHeight="1" x14ac:dyDescent="0.25">
      <c r="A4843" s="803" t="s">
        <v>13372</v>
      </c>
      <c r="B4843" s="803" t="s">
        <v>11509</v>
      </c>
      <c r="C4843" s="803" t="s">
        <v>11509</v>
      </c>
      <c r="D4843" s="803" t="s">
        <v>11771</v>
      </c>
      <c r="E4843" s="803">
        <v>100</v>
      </c>
      <c r="F4843" s="850">
        <v>60</v>
      </c>
      <c r="G4843" s="202" t="str">
        <f t="shared" si="75"/>
        <v/>
      </c>
    </row>
    <row r="4844" spans="1:7" s="172" customFormat="1" ht="15" customHeight="1" x14ac:dyDescent="0.25">
      <c r="A4844" s="803" t="s">
        <v>13373</v>
      </c>
      <c r="B4844" s="803" t="s">
        <v>11509</v>
      </c>
      <c r="C4844" s="803" t="s">
        <v>11509</v>
      </c>
      <c r="D4844" s="803" t="s">
        <v>11772</v>
      </c>
      <c r="E4844" s="803">
        <v>160</v>
      </c>
      <c r="F4844" s="850">
        <v>80</v>
      </c>
      <c r="G4844" s="202" t="str">
        <f t="shared" si="75"/>
        <v/>
      </c>
    </row>
    <row r="4845" spans="1:7" s="172" customFormat="1" ht="15" customHeight="1" x14ac:dyDescent="0.25">
      <c r="A4845" s="803" t="s">
        <v>13370</v>
      </c>
      <c r="B4845" s="803" t="s">
        <v>11509</v>
      </c>
      <c r="C4845" s="803" t="s">
        <v>11509</v>
      </c>
      <c r="D4845" s="803" t="s">
        <v>11773</v>
      </c>
      <c r="E4845" s="803">
        <v>400</v>
      </c>
      <c r="F4845" s="850">
        <v>178</v>
      </c>
      <c r="G4845" s="202" t="str">
        <f t="shared" si="75"/>
        <v/>
      </c>
    </row>
    <row r="4846" spans="1:7" s="172" customFormat="1" ht="15" customHeight="1" x14ac:dyDescent="0.25">
      <c r="A4846" s="803" t="s">
        <v>13370</v>
      </c>
      <c r="B4846" s="803" t="s">
        <v>11509</v>
      </c>
      <c r="C4846" s="803" t="s">
        <v>11509</v>
      </c>
      <c r="D4846" s="803" t="s">
        <v>11774</v>
      </c>
      <c r="E4846" s="803">
        <v>250</v>
      </c>
      <c r="F4846" s="850">
        <v>60</v>
      </c>
      <c r="G4846" s="202" t="str">
        <f t="shared" si="75"/>
        <v/>
      </c>
    </row>
    <row r="4847" spans="1:7" s="172" customFormat="1" ht="15" customHeight="1" x14ac:dyDescent="0.25">
      <c r="A4847" s="803" t="s">
        <v>13370</v>
      </c>
      <c r="B4847" s="803" t="s">
        <v>11509</v>
      </c>
      <c r="C4847" s="803" t="s">
        <v>11509</v>
      </c>
      <c r="D4847" s="803" t="s">
        <v>11775</v>
      </c>
      <c r="E4847" s="803">
        <v>400</v>
      </c>
      <c r="F4847" s="850">
        <v>200</v>
      </c>
      <c r="G4847" s="202" t="str">
        <f t="shared" si="75"/>
        <v/>
      </c>
    </row>
    <row r="4848" spans="1:7" s="172" customFormat="1" ht="15" customHeight="1" x14ac:dyDescent="0.25">
      <c r="A4848" s="803" t="s">
        <v>19161</v>
      </c>
      <c r="B4848" s="803" t="s">
        <v>11509</v>
      </c>
      <c r="C4848" s="803" t="s">
        <v>11509</v>
      </c>
      <c r="D4848" s="803" t="s">
        <v>19162</v>
      </c>
      <c r="E4848" s="803">
        <v>160</v>
      </c>
      <c r="F4848" s="850">
        <v>150</v>
      </c>
      <c r="G4848" s="202" t="str">
        <f t="shared" si="75"/>
        <v/>
      </c>
    </row>
    <row r="4849" spans="1:7" s="172" customFormat="1" ht="15" customHeight="1" x14ac:dyDescent="0.25">
      <c r="A4849" s="803" t="s">
        <v>19163</v>
      </c>
      <c r="B4849" s="803" t="s">
        <v>11509</v>
      </c>
      <c r="C4849" s="803" t="s">
        <v>11509</v>
      </c>
      <c r="D4849" s="803" t="s">
        <v>19164</v>
      </c>
      <c r="E4849" s="803">
        <v>25</v>
      </c>
      <c r="F4849" s="850">
        <v>5</v>
      </c>
      <c r="G4849" s="202" t="str">
        <f t="shared" si="75"/>
        <v/>
      </c>
    </row>
    <row r="4850" spans="1:7" s="172" customFormat="1" ht="15" customHeight="1" x14ac:dyDescent="0.25">
      <c r="A4850" s="803" t="s">
        <v>19304</v>
      </c>
      <c r="B4850" s="803" t="s">
        <v>11509</v>
      </c>
      <c r="C4850" s="803" t="s">
        <v>11509</v>
      </c>
      <c r="D4850" s="803" t="s">
        <v>19305</v>
      </c>
      <c r="E4850" s="803">
        <v>2500</v>
      </c>
      <c r="F4850" s="850">
        <v>2000</v>
      </c>
      <c r="G4850" s="202" t="str">
        <f t="shared" si="75"/>
        <v/>
      </c>
    </row>
    <row r="4851" spans="1:7" s="172" customFormat="1" ht="15" customHeight="1" x14ac:dyDescent="0.25">
      <c r="A4851" s="803" t="s">
        <v>19304</v>
      </c>
      <c r="B4851" s="803" t="s">
        <v>11509</v>
      </c>
      <c r="C4851" s="803" t="s">
        <v>11509</v>
      </c>
      <c r="D4851" s="803" t="s">
        <v>19305</v>
      </c>
      <c r="E4851" s="803">
        <v>2500</v>
      </c>
      <c r="F4851" s="850">
        <v>2000</v>
      </c>
      <c r="G4851" s="202" t="str">
        <f t="shared" si="75"/>
        <v/>
      </c>
    </row>
    <row r="4852" spans="1:7" s="172" customFormat="1" ht="15" customHeight="1" x14ac:dyDescent="0.25">
      <c r="A4852" s="803" t="s">
        <v>19304</v>
      </c>
      <c r="B4852" s="803" t="s">
        <v>11509</v>
      </c>
      <c r="C4852" s="803" t="s">
        <v>11509</v>
      </c>
      <c r="D4852" s="803" t="s">
        <v>19305</v>
      </c>
      <c r="E4852" s="803">
        <v>1000</v>
      </c>
      <c r="F4852" s="850">
        <v>700</v>
      </c>
      <c r="G4852" s="202" t="str">
        <f t="shared" si="75"/>
        <v/>
      </c>
    </row>
    <row r="4853" spans="1:7" s="172" customFormat="1" ht="15" customHeight="1" x14ac:dyDescent="0.25">
      <c r="A4853" s="803" t="s">
        <v>19304</v>
      </c>
      <c r="B4853" s="803" t="s">
        <v>11509</v>
      </c>
      <c r="C4853" s="803" t="s">
        <v>11509</v>
      </c>
      <c r="D4853" s="803" t="s">
        <v>19305</v>
      </c>
      <c r="E4853" s="803">
        <v>1000</v>
      </c>
      <c r="F4853" s="850">
        <v>600</v>
      </c>
      <c r="G4853" s="202" t="str">
        <f t="shared" si="75"/>
        <v/>
      </c>
    </row>
    <row r="4854" spans="1:7" s="172" customFormat="1" ht="15" customHeight="1" x14ac:dyDescent="0.25">
      <c r="A4854" s="803" t="s">
        <v>19306</v>
      </c>
      <c r="B4854" s="803" t="s">
        <v>11509</v>
      </c>
      <c r="C4854" s="803" t="s">
        <v>11509</v>
      </c>
      <c r="D4854" s="803" t="s">
        <v>19307</v>
      </c>
      <c r="E4854" s="803">
        <v>250</v>
      </c>
      <c r="F4854" s="850">
        <v>180</v>
      </c>
      <c r="G4854" s="202" t="str">
        <f t="shared" si="75"/>
        <v/>
      </c>
    </row>
    <row r="4855" spans="1:7" s="172" customFormat="1" ht="15" customHeight="1" x14ac:dyDescent="0.25">
      <c r="A4855" s="803" t="s">
        <v>19889</v>
      </c>
      <c r="B4855" s="803" t="s">
        <v>11509</v>
      </c>
      <c r="C4855" s="803" t="s">
        <v>11509</v>
      </c>
      <c r="D4855" s="803" t="s">
        <v>19890</v>
      </c>
      <c r="E4855" s="803">
        <v>63</v>
      </c>
      <c r="F4855" s="850">
        <v>45</v>
      </c>
      <c r="G4855" s="202" t="str">
        <f t="shared" si="75"/>
        <v/>
      </c>
    </row>
    <row r="4856" spans="1:7" s="172" customFormat="1" ht="15" customHeight="1" x14ac:dyDescent="0.25">
      <c r="A4856" s="803" t="s">
        <v>11676</v>
      </c>
      <c r="B4856" s="803" t="s">
        <v>11509</v>
      </c>
      <c r="C4856" s="803" t="s">
        <v>11509</v>
      </c>
      <c r="D4856" s="803" t="s">
        <v>19891</v>
      </c>
      <c r="E4856" s="803">
        <v>63</v>
      </c>
      <c r="F4856" s="850">
        <v>45</v>
      </c>
      <c r="G4856" s="202" t="str">
        <f t="shared" si="75"/>
        <v/>
      </c>
    </row>
    <row r="4857" spans="1:7" s="172" customFormat="1" ht="15" customHeight="1" x14ac:dyDescent="0.25">
      <c r="A4857" s="803" t="s">
        <v>12620</v>
      </c>
      <c r="B4857" s="803" t="s">
        <v>11509</v>
      </c>
      <c r="C4857" s="803" t="s">
        <v>11509</v>
      </c>
      <c r="D4857" s="803" t="s">
        <v>19892</v>
      </c>
      <c r="E4857" s="803">
        <v>100</v>
      </c>
      <c r="F4857" s="850">
        <v>0</v>
      </c>
      <c r="G4857" s="202" t="str">
        <f t="shared" si="75"/>
        <v/>
      </c>
    </row>
    <row r="4858" spans="1:7" s="172" customFormat="1" ht="15" customHeight="1" x14ac:dyDescent="0.25">
      <c r="A4858" s="803" t="s">
        <v>12620</v>
      </c>
      <c r="B4858" s="803" t="s">
        <v>11509</v>
      </c>
      <c r="C4858" s="803" t="s">
        <v>11509</v>
      </c>
      <c r="D4858" s="803" t="s">
        <v>19893</v>
      </c>
      <c r="E4858" s="803">
        <v>63</v>
      </c>
      <c r="F4858" s="850">
        <v>45</v>
      </c>
      <c r="G4858" s="202" t="str">
        <f t="shared" si="75"/>
        <v/>
      </c>
    </row>
    <row r="4859" spans="1:7" s="172" customFormat="1" ht="15" customHeight="1" x14ac:dyDescent="0.25">
      <c r="A4859" s="803" t="s">
        <v>19894</v>
      </c>
      <c r="B4859" s="803" t="s">
        <v>11509</v>
      </c>
      <c r="C4859" s="803" t="s">
        <v>11509</v>
      </c>
      <c r="D4859" s="803" t="s">
        <v>19895</v>
      </c>
      <c r="E4859" s="803">
        <v>400</v>
      </c>
      <c r="F4859" s="850">
        <v>400</v>
      </c>
      <c r="G4859" s="202" t="str">
        <f t="shared" si="75"/>
        <v>не загружен</v>
      </c>
    </row>
    <row r="4860" spans="1:7" s="172" customFormat="1" ht="15" customHeight="1" x14ac:dyDescent="0.25">
      <c r="A4860" s="803" t="s">
        <v>19896</v>
      </c>
      <c r="B4860" s="803" t="s">
        <v>11509</v>
      </c>
      <c r="C4860" s="803" t="s">
        <v>11509</v>
      </c>
      <c r="D4860" s="803" t="s">
        <v>19897</v>
      </c>
      <c r="E4860" s="803">
        <v>160</v>
      </c>
      <c r="F4860" s="850">
        <v>160</v>
      </c>
      <c r="G4860" s="202" t="str">
        <f t="shared" si="75"/>
        <v>не загружен</v>
      </c>
    </row>
    <row r="4861" spans="1:7" s="172" customFormat="1" ht="15" customHeight="1" x14ac:dyDescent="0.25">
      <c r="A4861" s="803" t="s">
        <v>19896</v>
      </c>
      <c r="B4861" s="803" t="s">
        <v>11509</v>
      </c>
      <c r="C4861" s="803" t="s">
        <v>11509</v>
      </c>
      <c r="D4861" s="803" t="s">
        <v>19898</v>
      </c>
      <c r="E4861" s="803">
        <v>63</v>
      </c>
      <c r="F4861" s="850">
        <v>30</v>
      </c>
      <c r="G4861" s="202" t="str">
        <f t="shared" si="75"/>
        <v/>
      </c>
    </row>
    <row r="4862" spans="1:7" s="172" customFormat="1" ht="15" customHeight="1" x14ac:dyDescent="0.25">
      <c r="A4862" s="803" t="s">
        <v>19308</v>
      </c>
      <c r="B4862" s="803" t="s">
        <v>4810</v>
      </c>
      <c r="C4862" s="803" t="s">
        <v>4810</v>
      </c>
      <c r="D4862" s="803" t="s">
        <v>19899</v>
      </c>
      <c r="E4862" s="803">
        <v>63</v>
      </c>
      <c r="F4862" s="850">
        <v>10</v>
      </c>
      <c r="G4862" s="202" t="str">
        <f t="shared" si="75"/>
        <v/>
      </c>
    </row>
    <row r="4863" spans="1:7" s="172" customFormat="1" ht="15" customHeight="1" x14ac:dyDescent="0.25">
      <c r="A4863" s="803" t="s">
        <v>19309</v>
      </c>
      <c r="B4863" s="803" t="s">
        <v>4810</v>
      </c>
      <c r="C4863" s="803" t="s">
        <v>4810</v>
      </c>
      <c r="D4863" s="803" t="s">
        <v>19900</v>
      </c>
      <c r="E4863" s="803">
        <v>60</v>
      </c>
      <c r="F4863" s="850">
        <v>10</v>
      </c>
      <c r="G4863" s="202" t="str">
        <f t="shared" si="75"/>
        <v/>
      </c>
    </row>
    <row r="4864" spans="1:7" s="172" customFormat="1" ht="15" customHeight="1" x14ac:dyDescent="0.25">
      <c r="A4864" s="803" t="s">
        <v>4811</v>
      </c>
      <c r="B4864" s="803" t="s">
        <v>4810</v>
      </c>
      <c r="C4864" s="803" t="s">
        <v>4810</v>
      </c>
      <c r="D4864" s="803" t="s">
        <v>19901</v>
      </c>
      <c r="E4864" s="803">
        <v>60</v>
      </c>
      <c r="F4864" s="850">
        <v>10</v>
      </c>
      <c r="G4864" s="202" t="str">
        <f t="shared" si="75"/>
        <v/>
      </c>
    </row>
    <row r="4865" spans="1:7" s="172" customFormat="1" ht="15" customHeight="1" x14ac:dyDescent="0.25">
      <c r="A4865" s="803" t="s">
        <v>19310</v>
      </c>
      <c r="B4865" s="803" t="s">
        <v>4810</v>
      </c>
      <c r="C4865" s="803" t="s">
        <v>4810</v>
      </c>
      <c r="D4865" s="803" t="s">
        <v>19902</v>
      </c>
      <c r="E4865" s="803">
        <v>100</v>
      </c>
      <c r="F4865" s="850">
        <v>25</v>
      </c>
      <c r="G4865" s="202" t="str">
        <f t="shared" si="75"/>
        <v/>
      </c>
    </row>
    <row r="4866" spans="1:7" s="172" customFormat="1" ht="15" customHeight="1" x14ac:dyDescent="0.25">
      <c r="A4866" s="803" t="s">
        <v>4812</v>
      </c>
      <c r="B4866" s="803" t="s">
        <v>4810</v>
      </c>
      <c r="C4866" s="803" t="s">
        <v>4810</v>
      </c>
      <c r="D4866" s="803" t="s">
        <v>19903</v>
      </c>
      <c r="E4866" s="803">
        <v>60</v>
      </c>
      <c r="F4866" s="850">
        <v>10</v>
      </c>
      <c r="G4866" s="202" t="str">
        <f t="shared" si="75"/>
        <v/>
      </c>
    </row>
    <row r="4867" spans="1:7" s="172" customFormat="1" ht="15" customHeight="1" x14ac:dyDescent="0.25">
      <c r="A4867" s="803" t="s">
        <v>3491</v>
      </c>
      <c r="B4867" s="803" t="s">
        <v>4810</v>
      </c>
      <c r="C4867" s="803" t="s">
        <v>4810</v>
      </c>
      <c r="D4867" s="803" t="s">
        <v>19904</v>
      </c>
      <c r="E4867" s="803">
        <v>63</v>
      </c>
      <c r="F4867" s="850">
        <v>10</v>
      </c>
      <c r="G4867" s="202" t="str">
        <f t="shared" si="75"/>
        <v/>
      </c>
    </row>
    <row r="4868" spans="1:7" s="172" customFormat="1" ht="15" customHeight="1" x14ac:dyDescent="0.25">
      <c r="A4868" s="803" t="s">
        <v>4813</v>
      </c>
      <c r="B4868" s="803" t="s">
        <v>4810</v>
      </c>
      <c r="C4868" s="803" t="s">
        <v>4810</v>
      </c>
      <c r="D4868" s="803" t="s">
        <v>19905</v>
      </c>
      <c r="E4868" s="803">
        <v>100</v>
      </c>
      <c r="F4868" s="850">
        <v>20</v>
      </c>
      <c r="G4868" s="202" t="str">
        <f t="shared" si="75"/>
        <v/>
      </c>
    </row>
    <row r="4869" spans="1:7" s="172" customFormat="1" ht="15" customHeight="1" x14ac:dyDescent="0.25">
      <c r="A4869" s="803" t="s">
        <v>19311</v>
      </c>
      <c r="B4869" s="803" t="s">
        <v>4810</v>
      </c>
      <c r="C4869" s="803" t="s">
        <v>4810</v>
      </c>
      <c r="D4869" s="803" t="s">
        <v>19906</v>
      </c>
      <c r="E4869" s="803">
        <v>160</v>
      </c>
      <c r="F4869" s="850">
        <v>30</v>
      </c>
      <c r="G4869" s="202" t="str">
        <f t="shared" si="75"/>
        <v/>
      </c>
    </row>
    <row r="4870" spans="1:7" s="172" customFormat="1" ht="15" customHeight="1" x14ac:dyDescent="0.25">
      <c r="A4870" s="803" t="s">
        <v>19312</v>
      </c>
      <c r="B4870" s="803" t="s">
        <v>4810</v>
      </c>
      <c r="C4870" s="803" t="s">
        <v>4810</v>
      </c>
      <c r="D4870" s="803" t="s">
        <v>19907</v>
      </c>
      <c r="E4870" s="803">
        <v>160</v>
      </c>
      <c r="F4870" s="850">
        <v>30</v>
      </c>
      <c r="G4870" s="202" t="str">
        <f t="shared" si="75"/>
        <v/>
      </c>
    </row>
    <row r="4871" spans="1:7" s="172" customFormat="1" ht="15" customHeight="1" x14ac:dyDescent="0.25">
      <c r="A4871" s="803" t="s">
        <v>19313</v>
      </c>
      <c r="B4871" s="803" t="s">
        <v>4810</v>
      </c>
      <c r="C4871" s="803" t="s">
        <v>4810</v>
      </c>
      <c r="D4871" s="803" t="s">
        <v>19908</v>
      </c>
      <c r="E4871" s="803">
        <v>400</v>
      </c>
      <c r="F4871" s="850">
        <v>50</v>
      </c>
      <c r="G4871" s="202" t="str">
        <f t="shared" si="75"/>
        <v/>
      </c>
    </row>
    <row r="4872" spans="1:7" s="172" customFormat="1" ht="15" customHeight="1" x14ac:dyDescent="0.25">
      <c r="A4872" s="803" t="s">
        <v>3241</v>
      </c>
      <c r="B4872" s="803" t="s">
        <v>4810</v>
      </c>
      <c r="C4872" s="803" t="s">
        <v>4810</v>
      </c>
      <c r="D4872" s="803" t="s">
        <v>19909</v>
      </c>
      <c r="E4872" s="803">
        <v>30</v>
      </c>
      <c r="F4872" s="850">
        <v>10</v>
      </c>
      <c r="G4872" s="202" t="str">
        <f t="shared" si="75"/>
        <v/>
      </c>
    </row>
    <row r="4873" spans="1:7" s="172" customFormat="1" ht="15" customHeight="1" x14ac:dyDescent="0.25">
      <c r="A4873" s="803" t="s">
        <v>4814</v>
      </c>
      <c r="B4873" s="803" t="s">
        <v>4810</v>
      </c>
      <c r="C4873" s="803" t="s">
        <v>4810</v>
      </c>
      <c r="D4873" s="803" t="s">
        <v>19910</v>
      </c>
      <c r="E4873" s="803">
        <v>250</v>
      </c>
      <c r="F4873" s="850">
        <v>30</v>
      </c>
      <c r="G4873" s="202" t="str">
        <f t="shared" si="75"/>
        <v/>
      </c>
    </row>
    <row r="4874" spans="1:7" s="172" customFormat="1" ht="15" customHeight="1" x14ac:dyDescent="0.25">
      <c r="A4874" s="803" t="s">
        <v>19314</v>
      </c>
      <c r="B4874" s="803" t="s">
        <v>4810</v>
      </c>
      <c r="C4874" s="803" t="s">
        <v>4810</v>
      </c>
      <c r="D4874" s="803" t="s">
        <v>19911</v>
      </c>
      <c r="E4874" s="803">
        <v>50</v>
      </c>
      <c r="F4874" s="850">
        <v>5</v>
      </c>
      <c r="G4874" s="202" t="str">
        <f t="shared" si="75"/>
        <v/>
      </c>
    </row>
    <row r="4875" spans="1:7" s="172" customFormat="1" ht="15" customHeight="1" x14ac:dyDescent="0.25">
      <c r="A4875" s="803" t="s">
        <v>3424</v>
      </c>
      <c r="B4875" s="803" t="s">
        <v>4810</v>
      </c>
      <c r="C4875" s="803" t="s">
        <v>4810</v>
      </c>
      <c r="D4875" s="803" t="s">
        <v>19912</v>
      </c>
      <c r="E4875" s="803">
        <v>63</v>
      </c>
      <c r="F4875" s="850">
        <v>10</v>
      </c>
      <c r="G4875" s="202" t="str">
        <f t="shared" si="75"/>
        <v/>
      </c>
    </row>
    <row r="4876" spans="1:7" s="172" customFormat="1" ht="15" customHeight="1" x14ac:dyDescent="0.25">
      <c r="A4876" s="803" t="s">
        <v>19315</v>
      </c>
      <c r="B4876" s="803" t="s">
        <v>4810</v>
      </c>
      <c r="C4876" s="803" t="s">
        <v>4810</v>
      </c>
      <c r="D4876" s="803" t="s">
        <v>19913</v>
      </c>
      <c r="E4876" s="803">
        <v>100</v>
      </c>
      <c r="F4876" s="850">
        <v>25</v>
      </c>
      <c r="G4876" s="202" t="str">
        <f t="shared" si="75"/>
        <v/>
      </c>
    </row>
    <row r="4877" spans="1:7" s="172" customFormat="1" ht="15" customHeight="1" x14ac:dyDescent="0.25">
      <c r="A4877" s="803" t="s">
        <v>19316</v>
      </c>
      <c r="B4877" s="803" t="s">
        <v>4810</v>
      </c>
      <c r="C4877" s="803" t="s">
        <v>4810</v>
      </c>
      <c r="D4877" s="803" t="s">
        <v>19914</v>
      </c>
      <c r="E4877" s="803">
        <v>60</v>
      </c>
      <c r="F4877" s="850">
        <v>15</v>
      </c>
      <c r="G4877" s="202" t="str">
        <f t="shared" si="75"/>
        <v/>
      </c>
    </row>
    <row r="4878" spans="1:7" s="172" customFormat="1" ht="15" customHeight="1" x14ac:dyDescent="0.25">
      <c r="A4878" s="803" t="s">
        <v>19317</v>
      </c>
      <c r="B4878" s="803" t="s">
        <v>4810</v>
      </c>
      <c r="C4878" s="803" t="s">
        <v>4810</v>
      </c>
      <c r="D4878" s="803" t="s">
        <v>19915</v>
      </c>
      <c r="E4878" s="803">
        <v>100</v>
      </c>
      <c r="F4878" s="850">
        <v>30</v>
      </c>
      <c r="G4878" s="202" t="str">
        <f t="shared" si="75"/>
        <v/>
      </c>
    </row>
    <row r="4879" spans="1:7" s="172" customFormat="1" ht="15" customHeight="1" x14ac:dyDescent="0.25">
      <c r="A4879" s="803" t="s">
        <v>19318</v>
      </c>
      <c r="B4879" s="803" t="s">
        <v>4810</v>
      </c>
      <c r="C4879" s="803" t="s">
        <v>4810</v>
      </c>
      <c r="D4879" s="803" t="s">
        <v>19916</v>
      </c>
      <c r="E4879" s="803">
        <v>160</v>
      </c>
      <c r="F4879" s="850">
        <v>20</v>
      </c>
      <c r="G4879" s="202" t="str">
        <f t="shared" si="75"/>
        <v/>
      </c>
    </row>
    <row r="4880" spans="1:7" s="172" customFormat="1" ht="15" customHeight="1" x14ac:dyDescent="0.25">
      <c r="A4880" s="803" t="s">
        <v>19319</v>
      </c>
      <c r="B4880" s="803" t="s">
        <v>4810</v>
      </c>
      <c r="C4880" s="803" t="s">
        <v>4810</v>
      </c>
      <c r="D4880" s="803" t="s">
        <v>19917</v>
      </c>
      <c r="E4880" s="803">
        <v>380</v>
      </c>
      <c r="F4880" s="850">
        <v>80</v>
      </c>
      <c r="G4880" s="202" t="str">
        <f t="shared" si="75"/>
        <v/>
      </c>
    </row>
    <row r="4881" spans="1:7" s="172" customFormat="1" ht="15" customHeight="1" x14ac:dyDescent="0.25">
      <c r="A4881" s="803" t="s">
        <v>19320</v>
      </c>
      <c r="B4881" s="803" t="s">
        <v>4810</v>
      </c>
      <c r="C4881" s="803" t="s">
        <v>4810</v>
      </c>
      <c r="D4881" s="803" t="s">
        <v>19918</v>
      </c>
      <c r="E4881" s="803">
        <v>160</v>
      </c>
      <c r="F4881" s="850">
        <v>30</v>
      </c>
      <c r="G4881" s="202" t="str">
        <f t="shared" si="75"/>
        <v/>
      </c>
    </row>
    <row r="4882" spans="1:7" s="172" customFormat="1" ht="15" customHeight="1" x14ac:dyDescent="0.25">
      <c r="A4882" s="803" t="s">
        <v>19321</v>
      </c>
      <c r="B4882" s="803" t="s">
        <v>4810</v>
      </c>
      <c r="C4882" s="803" t="s">
        <v>4810</v>
      </c>
      <c r="D4882" s="803" t="s">
        <v>19919</v>
      </c>
      <c r="E4882" s="803">
        <v>160</v>
      </c>
      <c r="F4882" s="850">
        <v>30</v>
      </c>
      <c r="G4882" s="202" t="str">
        <f t="shared" si="75"/>
        <v/>
      </c>
    </row>
    <row r="4883" spans="1:7" s="172" customFormat="1" ht="15" customHeight="1" x14ac:dyDescent="0.25">
      <c r="A4883" s="803" t="s">
        <v>4815</v>
      </c>
      <c r="B4883" s="803" t="s">
        <v>4810</v>
      </c>
      <c r="C4883" s="803" t="s">
        <v>4810</v>
      </c>
      <c r="D4883" s="803" t="s">
        <v>19920</v>
      </c>
      <c r="E4883" s="803">
        <v>25</v>
      </c>
      <c r="F4883" s="850">
        <v>5</v>
      </c>
      <c r="G4883" s="202" t="str">
        <f t="shared" si="75"/>
        <v/>
      </c>
    </row>
    <row r="4884" spans="1:7" s="172" customFormat="1" ht="15" customHeight="1" x14ac:dyDescent="0.25">
      <c r="A4884" s="803" t="s">
        <v>19322</v>
      </c>
      <c r="B4884" s="803" t="s">
        <v>4810</v>
      </c>
      <c r="C4884" s="803" t="s">
        <v>4810</v>
      </c>
      <c r="D4884" s="803" t="s">
        <v>19921</v>
      </c>
      <c r="E4884" s="803">
        <v>60</v>
      </c>
      <c r="F4884" s="850">
        <v>10</v>
      </c>
      <c r="G4884" s="202" t="str">
        <f t="shared" si="75"/>
        <v/>
      </c>
    </row>
    <row r="4885" spans="1:7" s="172" customFormat="1" ht="15" customHeight="1" x14ac:dyDescent="0.25">
      <c r="A4885" s="803" t="s">
        <v>4816</v>
      </c>
      <c r="B4885" s="803" t="s">
        <v>4810</v>
      </c>
      <c r="C4885" s="803" t="s">
        <v>4810</v>
      </c>
      <c r="D4885" s="803" t="s">
        <v>19922</v>
      </c>
      <c r="E4885" s="803">
        <v>160</v>
      </c>
      <c r="F4885" s="850">
        <v>30</v>
      </c>
      <c r="G4885" s="202" t="str">
        <f t="shared" si="75"/>
        <v/>
      </c>
    </row>
    <row r="4886" spans="1:7" s="172" customFormat="1" ht="15" customHeight="1" x14ac:dyDescent="0.25">
      <c r="A4886" s="803" t="s">
        <v>19323</v>
      </c>
      <c r="B4886" s="803" t="s">
        <v>4810</v>
      </c>
      <c r="C4886" s="803" t="s">
        <v>4810</v>
      </c>
      <c r="D4886" s="803" t="s">
        <v>19923</v>
      </c>
      <c r="E4886" s="803">
        <v>100</v>
      </c>
      <c r="F4886" s="850">
        <v>25</v>
      </c>
      <c r="G4886" s="202" t="str">
        <f t="shared" si="75"/>
        <v/>
      </c>
    </row>
    <row r="4887" spans="1:7" s="172" customFormat="1" ht="15" customHeight="1" x14ac:dyDescent="0.25">
      <c r="A4887" s="803" t="s">
        <v>19324</v>
      </c>
      <c r="B4887" s="803" t="s">
        <v>4810</v>
      </c>
      <c r="C4887" s="803" t="s">
        <v>4810</v>
      </c>
      <c r="D4887" s="803" t="s">
        <v>19924</v>
      </c>
      <c r="E4887" s="803">
        <v>250</v>
      </c>
      <c r="F4887" s="850">
        <v>80</v>
      </c>
      <c r="G4887" s="202" t="str">
        <f t="shared" si="75"/>
        <v/>
      </c>
    </row>
    <row r="4888" spans="1:7" s="172" customFormat="1" ht="15" customHeight="1" x14ac:dyDescent="0.25">
      <c r="A4888" s="803" t="s">
        <v>19325</v>
      </c>
      <c r="B4888" s="803" t="s">
        <v>4810</v>
      </c>
      <c r="C4888" s="803" t="s">
        <v>4810</v>
      </c>
      <c r="D4888" s="803" t="s">
        <v>19925</v>
      </c>
      <c r="E4888" s="803">
        <v>160</v>
      </c>
      <c r="F4888" s="850">
        <v>60</v>
      </c>
      <c r="G4888" s="202" t="str">
        <f t="shared" si="75"/>
        <v/>
      </c>
    </row>
    <row r="4889" spans="1:7" s="172" customFormat="1" ht="15" customHeight="1" x14ac:dyDescent="0.25">
      <c r="A4889" s="803" t="s">
        <v>19326</v>
      </c>
      <c r="B4889" s="803" t="s">
        <v>4810</v>
      </c>
      <c r="C4889" s="803" t="s">
        <v>4810</v>
      </c>
      <c r="D4889" s="803" t="s">
        <v>19926</v>
      </c>
      <c r="E4889" s="803">
        <v>250</v>
      </c>
      <c r="F4889" s="850">
        <v>80</v>
      </c>
      <c r="G4889" s="202" t="str">
        <f t="shared" si="75"/>
        <v/>
      </c>
    </row>
    <row r="4890" spans="1:7" s="172" customFormat="1" ht="15" customHeight="1" x14ac:dyDescent="0.25">
      <c r="A4890" s="803" t="s">
        <v>19327</v>
      </c>
      <c r="B4890" s="803" t="s">
        <v>4810</v>
      </c>
      <c r="C4890" s="803" t="s">
        <v>4810</v>
      </c>
      <c r="D4890" s="803" t="s">
        <v>19927</v>
      </c>
      <c r="E4890" s="803">
        <v>400</v>
      </c>
      <c r="F4890" s="850">
        <v>0</v>
      </c>
      <c r="G4890" s="202" t="str">
        <f t="shared" si="75"/>
        <v/>
      </c>
    </row>
    <row r="4891" spans="1:7" s="172" customFormat="1" ht="15" customHeight="1" x14ac:dyDescent="0.25">
      <c r="A4891" s="803" t="s">
        <v>19328</v>
      </c>
      <c r="B4891" s="803" t="s">
        <v>4810</v>
      </c>
      <c r="C4891" s="803" t="s">
        <v>4810</v>
      </c>
      <c r="D4891" s="803" t="s">
        <v>19928</v>
      </c>
      <c r="E4891" s="803">
        <v>100</v>
      </c>
      <c r="F4891" s="850">
        <v>25</v>
      </c>
      <c r="G4891" s="202" t="str">
        <f t="shared" si="75"/>
        <v/>
      </c>
    </row>
    <row r="4892" spans="1:7" s="172" customFormat="1" ht="15" customHeight="1" x14ac:dyDescent="0.25">
      <c r="A4892" s="803" t="s">
        <v>3109</v>
      </c>
      <c r="B4892" s="803" t="s">
        <v>4810</v>
      </c>
      <c r="C4892" s="803" t="s">
        <v>4810</v>
      </c>
      <c r="D4892" s="803" t="s">
        <v>19929</v>
      </c>
      <c r="E4892" s="803">
        <v>60</v>
      </c>
      <c r="F4892" s="850">
        <v>15</v>
      </c>
      <c r="G4892" s="202" t="str">
        <f t="shared" si="75"/>
        <v/>
      </c>
    </row>
    <row r="4893" spans="1:7" s="172" customFormat="1" ht="15" customHeight="1" x14ac:dyDescent="0.25">
      <c r="A4893" s="803" t="s">
        <v>19329</v>
      </c>
      <c r="B4893" s="803" t="s">
        <v>4810</v>
      </c>
      <c r="C4893" s="803" t="s">
        <v>4810</v>
      </c>
      <c r="D4893" s="803" t="s">
        <v>19930</v>
      </c>
      <c r="E4893" s="803">
        <v>63</v>
      </c>
      <c r="F4893" s="850">
        <v>10</v>
      </c>
      <c r="G4893" s="202" t="str">
        <f t="shared" ref="G4893:G4956" si="76">IF(E4893=F4893,"не загружен","")</f>
        <v/>
      </c>
    </row>
    <row r="4894" spans="1:7" s="172" customFormat="1" ht="15" customHeight="1" x14ac:dyDescent="0.25">
      <c r="A4894" s="803" t="s">
        <v>19330</v>
      </c>
      <c r="B4894" s="803" t="s">
        <v>4810</v>
      </c>
      <c r="C4894" s="803" t="s">
        <v>4810</v>
      </c>
      <c r="D4894" s="803" t="s">
        <v>19931</v>
      </c>
      <c r="E4894" s="803">
        <v>160</v>
      </c>
      <c r="F4894" s="850">
        <v>20</v>
      </c>
      <c r="G4894" s="202" t="str">
        <f t="shared" si="76"/>
        <v/>
      </c>
    </row>
    <row r="4895" spans="1:7" s="172" customFormat="1" ht="15" customHeight="1" x14ac:dyDescent="0.25">
      <c r="A4895" s="803" t="s">
        <v>19331</v>
      </c>
      <c r="B4895" s="803" t="s">
        <v>4810</v>
      </c>
      <c r="C4895" s="803" t="s">
        <v>4810</v>
      </c>
      <c r="D4895" s="803" t="s">
        <v>19932</v>
      </c>
      <c r="E4895" s="803">
        <v>160</v>
      </c>
      <c r="F4895" s="850">
        <v>30</v>
      </c>
      <c r="G4895" s="202" t="str">
        <f t="shared" si="76"/>
        <v/>
      </c>
    </row>
    <row r="4896" spans="1:7" s="172" customFormat="1" ht="15" customHeight="1" x14ac:dyDescent="0.25">
      <c r="A4896" s="803" t="s">
        <v>2922</v>
      </c>
      <c r="B4896" s="803" t="s">
        <v>4810</v>
      </c>
      <c r="C4896" s="803" t="s">
        <v>4810</v>
      </c>
      <c r="D4896" s="803" t="s">
        <v>19933</v>
      </c>
      <c r="E4896" s="803">
        <v>100</v>
      </c>
      <c r="F4896" s="850">
        <v>20</v>
      </c>
      <c r="G4896" s="202" t="str">
        <f t="shared" si="76"/>
        <v/>
      </c>
    </row>
    <row r="4897" spans="1:7" s="172" customFormat="1" ht="15" customHeight="1" x14ac:dyDescent="0.25">
      <c r="A4897" s="803" t="s">
        <v>4817</v>
      </c>
      <c r="B4897" s="803" t="s">
        <v>4810</v>
      </c>
      <c r="C4897" s="803" t="s">
        <v>4810</v>
      </c>
      <c r="D4897" s="803" t="s">
        <v>19934</v>
      </c>
      <c r="E4897" s="803">
        <v>250</v>
      </c>
      <c r="F4897" s="850">
        <v>10</v>
      </c>
      <c r="G4897" s="202" t="str">
        <f t="shared" si="76"/>
        <v/>
      </c>
    </row>
    <row r="4898" spans="1:7" s="172" customFormat="1" ht="15" customHeight="1" x14ac:dyDescent="0.25">
      <c r="A4898" s="803" t="s">
        <v>19332</v>
      </c>
      <c r="B4898" s="803" t="s">
        <v>4810</v>
      </c>
      <c r="C4898" s="803" t="s">
        <v>4810</v>
      </c>
      <c r="D4898" s="803" t="s">
        <v>19935</v>
      </c>
      <c r="E4898" s="803">
        <v>250</v>
      </c>
      <c r="F4898" s="850">
        <v>90</v>
      </c>
      <c r="G4898" s="202" t="str">
        <f t="shared" si="76"/>
        <v/>
      </c>
    </row>
    <row r="4899" spans="1:7" s="172" customFormat="1" ht="15" customHeight="1" x14ac:dyDescent="0.25">
      <c r="A4899" s="803" t="s">
        <v>19333</v>
      </c>
      <c r="B4899" s="803" t="s">
        <v>4810</v>
      </c>
      <c r="C4899" s="803" t="s">
        <v>4810</v>
      </c>
      <c r="D4899" s="803" t="s">
        <v>19936</v>
      </c>
      <c r="E4899" s="803">
        <v>400</v>
      </c>
      <c r="F4899" s="850">
        <v>20</v>
      </c>
      <c r="G4899" s="202" t="str">
        <f t="shared" si="76"/>
        <v/>
      </c>
    </row>
    <row r="4900" spans="1:7" s="172" customFormat="1" ht="15" customHeight="1" x14ac:dyDescent="0.25">
      <c r="A4900" s="803" t="s">
        <v>19334</v>
      </c>
      <c r="B4900" s="803" t="s">
        <v>4810</v>
      </c>
      <c r="C4900" s="803" t="s">
        <v>4810</v>
      </c>
      <c r="D4900" s="803" t="s">
        <v>19937</v>
      </c>
      <c r="E4900" s="803">
        <v>160</v>
      </c>
      <c r="F4900" s="850">
        <v>30</v>
      </c>
      <c r="G4900" s="202" t="str">
        <f t="shared" si="76"/>
        <v/>
      </c>
    </row>
    <row r="4901" spans="1:7" s="172" customFormat="1" ht="15" customHeight="1" x14ac:dyDescent="0.25">
      <c r="A4901" s="803" t="s">
        <v>19335</v>
      </c>
      <c r="B4901" s="803" t="s">
        <v>4810</v>
      </c>
      <c r="C4901" s="803" t="s">
        <v>4810</v>
      </c>
      <c r="D4901" s="803" t="s">
        <v>19938</v>
      </c>
      <c r="E4901" s="803">
        <v>250</v>
      </c>
      <c r="F4901" s="850">
        <v>20</v>
      </c>
      <c r="G4901" s="202" t="str">
        <f t="shared" si="76"/>
        <v/>
      </c>
    </row>
    <row r="4902" spans="1:7" s="172" customFormat="1" ht="15" customHeight="1" x14ac:dyDescent="0.25">
      <c r="A4902" s="803" t="s">
        <v>19336</v>
      </c>
      <c r="B4902" s="803" t="s">
        <v>4810</v>
      </c>
      <c r="C4902" s="803" t="s">
        <v>4810</v>
      </c>
      <c r="D4902" s="803" t="s">
        <v>19939</v>
      </c>
      <c r="E4902" s="803">
        <v>250</v>
      </c>
      <c r="F4902" s="850">
        <v>50</v>
      </c>
      <c r="G4902" s="202" t="str">
        <f t="shared" si="76"/>
        <v/>
      </c>
    </row>
    <row r="4903" spans="1:7" s="172" customFormat="1" ht="15" customHeight="1" x14ac:dyDescent="0.25">
      <c r="A4903" s="803" t="s">
        <v>19337</v>
      </c>
      <c r="B4903" s="803" t="s">
        <v>4810</v>
      </c>
      <c r="C4903" s="803" t="s">
        <v>4810</v>
      </c>
      <c r="D4903" s="803" t="s">
        <v>19940</v>
      </c>
      <c r="E4903" s="803">
        <v>250</v>
      </c>
      <c r="F4903" s="850">
        <v>50</v>
      </c>
      <c r="G4903" s="202" t="str">
        <f t="shared" si="76"/>
        <v/>
      </c>
    </row>
    <row r="4904" spans="1:7" s="172" customFormat="1" ht="15" customHeight="1" x14ac:dyDescent="0.25">
      <c r="A4904" s="803" t="s">
        <v>19338</v>
      </c>
      <c r="B4904" s="803" t="s">
        <v>4810</v>
      </c>
      <c r="C4904" s="803" t="s">
        <v>4810</v>
      </c>
      <c r="D4904" s="803" t="s">
        <v>19941</v>
      </c>
      <c r="E4904" s="803">
        <v>63</v>
      </c>
      <c r="F4904" s="850">
        <v>10</v>
      </c>
      <c r="G4904" s="202" t="str">
        <f t="shared" si="76"/>
        <v/>
      </c>
    </row>
    <row r="4905" spans="1:7" s="172" customFormat="1" ht="15" customHeight="1" x14ac:dyDescent="0.25">
      <c r="A4905" s="803" t="s">
        <v>19339</v>
      </c>
      <c r="B4905" s="803" t="s">
        <v>4810</v>
      </c>
      <c r="C4905" s="803" t="s">
        <v>4810</v>
      </c>
      <c r="D4905" s="803" t="s">
        <v>19942</v>
      </c>
      <c r="E4905" s="803">
        <v>63</v>
      </c>
      <c r="F4905" s="850">
        <v>10</v>
      </c>
      <c r="G4905" s="202" t="str">
        <f t="shared" si="76"/>
        <v/>
      </c>
    </row>
    <row r="4906" spans="1:7" s="172" customFormat="1" ht="15" customHeight="1" x14ac:dyDescent="0.25">
      <c r="A4906" s="803" t="s">
        <v>19340</v>
      </c>
      <c r="B4906" s="803" t="s">
        <v>4810</v>
      </c>
      <c r="C4906" s="803" t="s">
        <v>4810</v>
      </c>
      <c r="D4906" s="803" t="s">
        <v>19943</v>
      </c>
      <c r="E4906" s="803">
        <v>100</v>
      </c>
      <c r="F4906" s="850">
        <v>20</v>
      </c>
      <c r="G4906" s="202" t="str">
        <f t="shared" si="76"/>
        <v/>
      </c>
    </row>
    <row r="4907" spans="1:7" s="172" customFormat="1" ht="15" customHeight="1" x14ac:dyDescent="0.25">
      <c r="A4907" s="803" t="s">
        <v>2833</v>
      </c>
      <c r="B4907" s="803" t="s">
        <v>4810</v>
      </c>
      <c r="C4907" s="803" t="s">
        <v>4810</v>
      </c>
      <c r="D4907" s="803" t="s">
        <v>19944</v>
      </c>
      <c r="E4907" s="803">
        <v>63</v>
      </c>
      <c r="F4907" s="850">
        <v>15</v>
      </c>
      <c r="G4907" s="202" t="str">
        <f t="shared" si="76"/>
        <v/>
      </c>
    </row>
    <row r="4908" spans="1:7" s="172" customFormat="1" ht="15" customHeight="1" x14ac:dyDescent="0.25">
      <c r="A4908" s="803" t="s">
        <v>19341</v>
      </c>
      <c r="B4908" s="803" t="s">
        <v>4810</v>
      </c>
      <c r="C4908" s="803" t="s">
        <v>4810</v>
      </c>
      <c r="D4908" s="803" t="s">
        <v>19945</v>
      </c>
      <c r="E4908" s="803">
        <v>160</v>
      </c>
      <c r="F4908" s="850">
        <v>50</v>
      </c>
      <c r="G4908" s="202" t="str">
        <f t="shared" si="76"/>
        <v/>
      </c>
    </row>
    <row r="4909" spans="1:7" s="172" customFormat="1" ht="15" customHeight="1" x14ac:dyDescent="0.25">
      <c r="A4909" s="803" t="s">
        <v>4818</v>
      </c>
      <c r="B4909" s="803" t="s">
        <v>4810</v>
      </c>
      <c r="C4909" s="803" t="s">
        <v>4810</v>
      </c>
      <c r="D4909" s="803" t="s">
        <v>19946</v>
      </c>
      <c r="E4909" s="803">
        <v>100</v>
      </c>
      <c r="F4909" s="850">
        <v>20</v>
      </c>
      <c r="G4909" s="202" t="str">
        <f t="shared" si="76"/>
        <v/>
      </c>
    </row>
    <row r="4910" spans="1:7" s="172" customFormat="1" ht="15" customHeight="1" x14ac:dyDescent="0.25">
      <c r="A4910" s="803" t="s">
        <v>19342</v>
      </c>
      <c r="B4910" s="803" t="s">
        <v>4810</v>
      </c>
      <c r="C4910" s="803" t="s">
        <v>4810</v>
      </c>
      <c r="D4910" s="803" t="s">
        <v>19947</v>
      </c>
      <c r="E4910" s="803">
        <v>630</v>
      </c>
      <c r="F4910" s="850">
        <v>0</v>
      </c>
      <c r="G4910" s="202" t="str">
        <f t="shared" si="76"/>
        <v/>
      </c>
    </row>
    <row r="4911" spans="1:7" s="172" customFormat="1" ht="15" customHeight="1" x14ac:dyDescent="0.25">
      <c r="A4911" s="803" t="s">
        <v>3059</v>
      </c>
      <c r="B4911" s="803" t="s">
        <v>4810</v>
      </c>
      <c r="C4911" s="803" t="s">
        <v>4810</v>
      </c>
      <c r="D4911" s="803" t="s">
        <v>19948</v>
      </c>
      <c r="E4911" s="803">
        <v>60</v>
      </c>
      <c r="F4911" s="850">
        <v>10</v>
      </c>
      <c r="G4911" s="202" t="str">
        <f t="shared" si="76"/>
        <v/>
      </c>
    </row>
    <row r="4912" spans="1:7" s="172" customFormat="1" ht="15" customHeight="1" x14ac:dyDescent="0.25">
      <c r="A4912" s="803" t="s">
        <v>19343</v>
      </c>
      <c r="B4912" s="803" t="s">
        <v>4810</v>
      </c>
      <c r="C4912" s="803" t="s">
        <v>4810</v>
      </c>
      <c r="D4912" s="803" t="s">
        <v>19949</v>
      </c>
      <c r="E4912" s="803">
        <v>60</v>
      </c>
      <c r="F4912" s="850">
        <v>10</v>
      </c>
      <c r="G4912" s="202" t="str">
        <f t="shared" si="76"/>
        <v/>
      </c>
    </row>
    <row r="4913" spans="1:7" s="172" customFormat="1" ht="15" customHeight="1" x14ac:dyDescent="0.25">
      <c r="A4913" s="803" t="s">
        <v>19344</v>
      </c>
      <c r="B4913" s="803" t="s">
        <v>4810</v>
      </c>
      <c r="C4913" s="803" t="s">
        <v>4810</v>
      </c>
      <c r="D4913" s="803" t="s">
        <v>19950</v>
      </c>
      <c r="E4913" s="803">
        <v>60</v>
      </c>
      <c r="F4913" s="850">
        <v>15</v>
      </c>
      <c r="G4913" s="202" t="str">
        <f t="shared" si="76"/>
        <v/>
      </c>
    </row>
    <row r="4914" spans="1:7" s="172" customFormat="1" ht="15" customHeight="1" x14ac:dyDescent="0.25">
      <c r="A4914" s="803" t="s">
        <v>3132</v>
      </c>
      <c r="B4914" s="803" t="s">
        <v>4810</v>
      </c>
      <c r="C4914" s="803" t="s">
        <v>4810</v>
      </c>
      <c r="D4914" s="803" t="s">
        <v>19951</v>
      </c>
      <c r="E4914" s="803">
        <v>100</v>
      </c>
      <c r="F4914" s="850">
        <v>50</v>
      </c>
      <c r="G4914" s="202" t="str">
        <f t="shared" si="76"/>
        <v/>
      </c>
    </row>
    <row r="4915" spans="1:7" s="172" customFormat="1" ht="15" customHeight="1" x14ac:dyDescent="0.25">
      <c r="A4915" s="803" t="s">
        <v>19345</v>
      </c>
      <c r="B4915" s="803" t="s">
        <v>4810</v>
      </c>
      <c r="C4915" s="803" t="s">
        <v>4810</v>
      </c>
      <c r="D4915" s="803" t="s">
        <v>19952</v>
      </c>
      <c r="E4915" s="803">
        <v>160</v>
      </c>
      <c r="F4915" s="850">
        <v>15</v>
      </c>
      <c r="G4915" s="202" t="str">
        <f t="shared" si="76"/>
        <v/>
      </c>
    </row>
    <row r="4916" spans="1:7" s="172" customFormat="1" ht="15" customHeight="1" x14ac:dyDescent="0.25">
      <c r="A4916" s="803" t="s">
        <v>19346</v>
      </c>
      <c r="B4916" s="803" t="s">
        <v>4810</v>
      </c>
      <c r="C4916" s="803" t="s">
        <v>4810</v>
      </c>
      <c r="D4916" s="803" t="s">
        <v>19953</v>
      </c>
      <c r="E4916" s="803">
        <v>63</v>
      </c>
      <c r="F4916" s="850">
        <v>10</v>
      </c>
      <c r="G4916" s="202" t="str">
        <f t="shared" si="76"/>
        <v/>
      </c>
    </row>
    <row r="4917" spans="1:7" s="172" customFormat="1" ht="15" customHeight="1" x14ac:dyDescent="0.25">
      <c r="A4917" s="803" t="s">
        <v>19347</v>
      </c>
      <c r="B4917" s="803" t="s">
        <v>4810</v>
      </c>
      <c r="C4917" s="803" t="s">
        <v>4810</v>
      </c>
      <c r="D4917" s="803" t="s">
        <v>19954</v>
      </c>
      <c r="E4917" s="803">
        <v>100</v>
      </c>
      <c r="F4917" s="850">
        <v>50</v>
      </c>
      <c r="G4917" s="202" t="str">
        <f t="shared" si="76"/>
        <v/>
      </c>
    </row>
    <row r="4918" spans="1:7" s="172" customFormat="1" ht="15" customHeight="1" x14ac:dyDescent="0.25">
      <c r="A4918" s="803" t="s">
        <v>3135</v>
      </c>
      <c r="B4918" s="803" t="s">
        <v>4810</v>
      </c>
      <c r="C4918" s="803" t="s">
        <v>4810</v>
      </c>
      <c r="D4918" s="803" t="s">
        <v>19955</v>
      </c>
      <c r="E4918" s="803">
        <v>160</v>
      </c>
      <c r="F4918" s="850">
        <v>20</v>
      </c>
      <c r="G4918" s="202" t="str">
        <f t="shared" si="76"/>
        <v/>
      </c>
    </row>
    <row r="4919" spans="1:7" s="172" customFormat="1" ht="15" customHeight="1" x14ac:dyDescent="0.25">
      <c r="A4919" s="803" t="s">
        <v>19348</v>
      </c>
      <c r="B4919" s="803" t="s">
        <v>4810</v>
      </c>
      <c r="C4919" s="803" t="s">
        <v>4810</v>
      </c>
      <c r="D4919" s="803" t="s">
        <v>19956</v>
      </c>
      <c r="E4919" s="803">
        <v>160</v>
      </c>
      <c r="F4919" s="850">
        <v>20</v>
      </c>
      <c r="G4919" s="202" t="str">
        <f t="shared" si="76"/>
        <v/>
      </c>
    </row>
    <row r="4920" spans="1:7" s="172" customFormat="1" ht="15" customHeight="1" x14ac:dyDescent="0.25">
      <c r="A4920" s="803" t="s">
        <v>19349</v>
      </c>
      <c r="B4920" s="803" t="s">
        <v>4810</v>
      </c>
      <c r="C4920" s="803" t="s">
        <v>4810</v>
      </c>
      <c r="D4920" s="803" t="s">
        <v>19957</v>
      </c>
      <c r="E4920" s="803">
        <v>63</v>
      </c>
      <c r="F4920" s="850">
        <v>10</v>
      </c>
      <c r="G4920" s="202" t="str">
        <f t="shared" si="76"/>
        <v/>
      </c>
    </row>
    <row r="4921" spans="1:7" s="172" customFormat="1" ht="15" customHeight="1" x14ac:dyDescent="0.25">
      <c r="A4921" s="803" t="s">
        <v>19350</v>
      </c>
      <c r="B4921" s="803" t="s">
        <v>4810</v>
      </c>
      <c r="C4921" s="803" t="s">
        <v>4810</v>
      </c>
      <c r="D4921" s="803" t="s">
        <v>19958</v>
      </c>
      <c r="E4921" s="803">
        <v>63</v>
      </c>
      <c r="F4921" s="850">
        <v>15</v>
      </c>
      <c r="G4921" s="202" t="str">
        <f t="shared" si="76"/>
        <v/>
      </c>
    </row>
    <row r="4922" spans="1:7" s="172" customFormat="1" ht="15" customHeight="1" x14ac:dyDescent="0.25">
      <c r="A4922" s="803" t="s">
        <v>19351</v>
      </c>
      <c r="B4922" s="803" t="s">
        <v>4810</v>
      </c>
      <c r="C4922" s="803" t="s">
        <v>4810</v>
      </c>
      <c r="D4922" s="803" t="s">
        <v>19959</v>
      </c>
      <c r="E4922" s="803">
        <v>400</v>
      </c>
      <c r="F4922" s="850">
        <v>25</v>
      </c>
      <c r="G4922" s="202" t="str">
        <f t="shared" si="76"/>
        <v/>
      </c>
    </row>
    <row r="4923" spans="1:7" s="172" customFormat="1" ht="15" customHeight="1" x14ac:dyDescent="0.25">
      <c r="A4923" s="803" t="s">
        <v>19352</v>
      </c>
      <c r="B4923" s="803" t="s">
        <v>4810</v>
      </c>
      <c r="C4923" s="803" t="s">
        <v>4810</v>
      </c>
      <c r="D4923" s="803" t="s">
        <v>19960</v>
      </c>
      <c r="E4923" s="803">
        <v>400</v>
      </c>
      <c r="F4923" s="850">
        <v>60</v>
      </c>
      <c r="G4923" s="202" t="str">
        <f t="shared" si="76"/>
        <v/>
      </c>
    </row>
    <row r="4924" spans="1:7" s="172" customFormat="1" ht="15" customHeight="1" x14ac:dyDescent="0.25">
      <c r="A4924" s="803" t="s">
        <v>19353</v>
      </c>
      <c r="B4924" s="803" t="s">
        <v>4810</v>
      </c>
      <c r="C4924" s="803" t="s">
        <v>4810</v>
      </c>
      <c r="D4924" s="803" t="s">
        <v>19961</v>
      </c>
      <c r="E4924" s="803">
        <v>400</v>
      </c>
      <c r="F4924" s="850">
        <v>60</v>
      </c>
      <c r="G4924" s="202" t="str">
        <f t="shared" si="76"/>
        <v/>
      </c>
    </row>
    <row r="4925" spans="1:7" s="172" customFormat="1" ht="15" customHeight="1" x14ac:dyDescent="0.25">
      <c r="A4925" s="803" t="s">
        <v>19354</v>
      </c>
      <c r="B4925" s="803" t="s">
        <v>4810</v>
      </c>
      <c r="C4925" s="803" t="s">
        <v>4810</v>
      </c>
      <c r="D4925" s="803" t="s">
        <v>19962</v>
      </c>
      <c r="E4925" s="803">
        <v>400</v>
      </c>
      <c r="F4925" s="850">
        <v>100</v>
      </c>
      <c r="G4925" s="202" t="str">
        <f t="shared" si="76"/>
        <v/>
      </c>
    </row>
    <row r="4926" spans="1:7" s="172" customFormat="1" ht="15" customHeight="1" x14ac:dyDescent="0.25">
      <c r="A4926" s="803" t="s">
        <v>19355</v>
      </c>
      <c r="B4926" s="803" t="s">
        <v>4810</v>
      </c>
      <c r="C4926" s="803" t="s">
        <v>4810</v>
      </c>
      <c r="D4926" s="803" t="s">
        <v>19963</v>
      </c>
      <c r="E4926" s="803">
        <v>250</v>
      </c>
      <c r="F4926" s="850">
        <v>10</v>
      </c>
      <c r="G4926" s="202" t="str">
        <f t="shared" si="76"/>
        <v/>
      </c>
    </row>
    <row r="4927" spans="1:7" s="172" customFormat="1" ht="15" customHeight="1" x14ac:dyDescent="0.25">
      <c r="A4927" s="803" t="s">
        <v>19356</v>
      </c>
      <c r="B4927" s="803" t="s">
        <v>4810</v>
      </c>
      <c r="C4927" s="803" t="s">
        <v>4810</v>
      </c>
      <c r="D4927" s="803" t="s">
        <v>19964</v>
      </c>
      <c r="E4927" s="803">
        <v>100</v>
      </c>
      <c r="F4927" s="850">
        <v>0</v>
      </c>
      <c r="G4927" s="202" t="str">
        <f t="shared" si="76"/>
        <v/>
      </c>
    </row>
    <row r="4928" spans="1:7" s="172" customFormat="1" ht="15" customHeight="1" x14ac:dyDescent="0.25">
      <c r="A4928" s="803" t="s">
        <v>19357</v>
      </c>
      <c r="B4928" s="803" t="s">
        <v>4810</v>
      </c>
      <c r="C4928" s="803" t="s">
        <v>4810</v>
      </c>
      <c r="D4928" s="803" t="s">
        <v>19965</v>
      </c>
      <c r="E4928" s="803">
        <v>250</v>
      </c>
      <c r="F4928" s="850">
        <v>40</v>
      </c>
      <c r="G4928" s="202" t="str">
        <f t="shared" si="76"/>
        <v/>
      </c>
    </row>
    <row r="4929" spans="1:7" s="172" customFormat="1" ht="15" customHeight="1" x14ac:dyDescent="0.25">
      <c r="A4929" s="803" t="s">
        <v>19358</v>
      </c>
      <c r="B4929" s="803" t="s">
        <v>4810</v>
      </c>
      <c r="C4929" s="803" t="s">
        <v>4810</v>
      </c>
      <c r="D4929" s="803" t="s">
        <v>19966</v>
      </c>
      <c r="E4929" s="803">
        <v>63</v>
      </c>
      <c r="F4929" s="850">
        <v>30</v>
      </c>
      <c r="G4929" s="202" t="str">
        <f t="shared" si="76"/>
        <v/>
      </c>
    </row>
    <row r="4930" spans="1:7" s="172" customFormat="1" ht="15" customHeight="1" x14ac:dyDescent="0.25">
      <c r="A4930" s="803" t="s">
        <v>4819</v>
      </c>
      <c r="B4930" s="803" t="s">
        <v>4810</v>
      </c>
      <c r="C4930" s="803" t="s">
        <v>4810</v>
      </c>
      <c r="D4930" s="803" t="s">
        <v>19967</v>
      </c>
      <c r="E4930" s="803">
        <v>100</v>
      </c>
      <c r="F4930" s="850">
        <v>60</v>
      </c>
      <c r="G4930" s="202" t="str">
        <f t="shared" si="76"/>
        <v/>
      </c>
    </row>
    <row r="4931" spans="1:7" s="172" customFormat="1" ht="15" customHeight="1" x14ac:dyDescent="0.25">
      <c r="A4931" s="803" t="s">
        <v>19359</v>
      </c>
      <c r="B4931" s="803" t="s">
        <v>4810</v>
      </c>
      <c r="C4931" s="803" t="s">
        <v>4810</v>
      </c>
      <c r="D4931" s="803" t="s">
        <v>19968</v>
      </c>
      <c r="E4931" s="803">
        <v>63</v>
      </c>
      <c r="F4931" s="850">
        <v>15</v>
      </c>
      <c r="G4931" s="202" t="str">
        <f t="shared" si="76"/>
        <v/>
      </c>
    </row>
    <row r="4932" spans="1:7" s="172" customFormat="1" ht="15" customHeight="1" x14ac:dyDescent="0.25">
      <c r="A4932" s="803" t="s">
        <v>4820</v>
      </c>
      <c r="B4932" s="803" t="s">
        <v>4810</v>
      </c>
      <c r="C4932" s="803" t="s">
        <v>4810</v>
      </c>
      <c r="D4932" s="803" t="s">
        <v>19969</v>
      </c>
      <c r="E4932" s="803">
        <v>10</v>
      </c>
      <c r="F4932" s="850">
        <v>5</v>
      </c>
      <c r="G4932" s="202" t="str">
        <f t="shared" si="76"/>
        <v/>
      </c>
    </row>
    <row r="4933" spans="1:7" s="172" customFormat="1" ht="15" customHeight="1" x14ac:dyDescent="0.25">
      <c r="A4933" s="803" t="s">
        <v>3677</v>
      </c>
      <c r="B4933" s="803" t="s">
        <v>4810</v>
      </c>
      <c r="C4933" s="803" t="s">
        <v>4810</v>
      </c>
      <c r="D4933" s="803" t="s">
        <v>19970</v>
      </c>
      <c r="E4933" s="803">
        <v>30</v>
      </c>
      <c r="F4933" s="850">
        <v>10</v>
      </c>
      <c r="G4933" s="202" t="str">
        <f t="shared" si="76"/>
        <v/>
      </c>
    </row>
    <row r="4934" spans="1:7" s="172" customFormat="1" ht="15" customHeight="1" x14ac:dyDescent="0.25">
      <c r="A4934" s="803" t="s">
        <v>19360</v>
      </c>
      <c r="B4934" s="803" t="s">
        <v>4810</v>
      </c>
      <c r="C4934" s="803" t="s">
        <v>4810</v>
      </c>
      <c r="D4934" s="803" t="s">
        <v>19971</v>
      </c>
      <c r="E4934" s="803">
        <v>60</v>
      </c>
      <c r="F4934" s="850">
        <v>40</v>
      </c>
      <c r="G4934" s="202" t="str">
        <f t="shared" si="76"/>
        <v/>
      </c>
    </row>
    <row r="4935" spans="1:7" s="172" customFormat="1" ht="15" customHeight="1" x14ac:dyDescent="0.25">
      <c r="A4935" s="803" t="s">
        <v>19361</v>
      </c>
      <c r="B4935" s="803" t="s">
        <v>4810</v>
      </c>
      <c r="C4935" s="803" t="s">
        <v>4810</v>
      </c>
      <c r="D4935" s="803" t="s">
        <v>19972</v>
      </c>
      <c r="E4935" s="803">
        <v>160</v>
      </c>
      <c r="F4935" s="850">
        <v>10</v>
      </c>
      <c r="G4935" s="202" t="str">
        <f t="shared" si="76"/>
        <v/>
      </c>
    </row>
    <row r="4936" spans="1:7" s="172" customFormat="1" ht="15" customHeight="1" x14ac:dyDescent="0.25">
      <c r="A4936" s="803" t="s">
        <v>19362</v>
      </c>
      <c r="B4936" s="803" t="s">
        <v>4810</v>
      </c>
      <c r="C4936" s="803" t="s">
        <v>4810</v>
      </c>
      <c r="D4936" s="803" t="s">
        <v>19973</v>
      </c>
      <c r="E4936" s="803">
        <v>160</v>
      </c>
      <c r="F4936" s="850">
        <v>20</v>
      </c>
      <c r="G4936" s="202" t="str">
        <f t="shared" si="76"/>
        <v/>
      </c>
    </row>
    <row r="4937" spans="1:7" s="172" customFormat="1" ht="15" customHeight="1" x14ac:dyDescent="0.25">
      <c r="A4937" s="803" t="s">
        <v>19363</v>
      </c>
      <c r="B4937" s="803" t="s">
        <v>4810</v>
      </c>
      <c r="C4937" s="803" t="s">
        <v>4810</v>
      </c>
      <c r="D4937" s="803" t="s">
        <v>19974</v>
      </c>
      <c r="E4937" s="803">
        <v>400</v>
      </c>
      <c r="F4937" s="850">
        <v>5</v>
      </c>
      <c r="G4937" s="202" t="str">
        <f t="shared" si="76"/>
        <v/>
      </c>
    </row>
    <row r="4938" spans="1:7" s="172" customFormat="1" ht="15" customHeight="1" x14ac:dyDescent="0.25">
      <c r="A4938" s="803" t="s">
        <v>19364</v>
      </c>
      <c r="B4938" s="803" t="s">
        <v>4810</v>
      </c>
      <c r="C4938" s="803" t="s">
        <v>4810</v>
      </c>
      <c r="D4938" s="803" t="s">
        <v>19975</v>
      </c>
      <c r="E4938" s="803">
        <v>250</v>
      </c>
      <c r="F4938" s="850">
        <v>0</v>
      </c>
      <c r="G4938" s="202" t="str">
        <f t="shared" si="76"/>
        <v/>
      </c>
    </row>
    <row r="4939" spans="1:7" s="172" customFormat="1" ht="15" customHeight="1" x14ac:dyDescent="0.25">
      <c r="A4939" s="803" t="s">
        <v>19365</v>
      </c>
      <c r="B4939" s="803" t="s">
        <v>4810</v>
      </c>
      <c r="C4939" s="803" t="s">
        <v>4810</v>
      </c>
      <c r="D4939" s="803" t="s">
        <v>19976</v>
      </c>
      <c r="E4939" s="803">
        <v>63</v>
      </c>
      <c r="F4939" s="850">
        <v>15</v>
      </c>
      <c r="G4939" s="202" t="str">
        <f t="shared" si="76"/>
        <v/>
      </c>
    </row>
    <row r="4940" spans="1:7" s="172" customFormat="1" ht="15" customHeight="1" x14ac:dyDescent="0.25">
      <c r="A4940" s="803" t="s">
        <v>19366</v>
      </c>
      <c r="B4940" s="803" t="s">
        <v>4810</v>
      </c>
      <c r="C4940" s="803" t="s">
        <v>4810</v>
      </c>
      <c r="D4940" s="803" t="s">
        <v>19977</v>
      </c>
      <c r="E4940" s="803">
        <v>100</v>
      </c>
      <c r="F4940" s="850">
        <v>15</v>
      </c>
      <c r="G4940" s="202" t="str">
        <f t="shared" si="76"/>
        <v/>
      </c>
    </row>
    <row r="4941" spans="1:7" s="172" customFormat="1" ht="15" customHeight="1" x14ac:dyDescent="0.25">
      <c r="A4941" s="803" t="s">
        <v>4821</v>
      </c>
      <c r="B4941" s="803" t="s">
        <v>4810</v>
      </c>
      <c r="C4941" s="803" t="s">
        <v>4810</v>
      </c>
      <c r="D4941" s="803" t="s">
        <v>19978</v>
      </c>
      <c r="E4941" s="803">
        <v>63</v>
      </c>
      <c r="F4941" s="850">
        <v>5</v>
      </c>
      <c r="G4941" s="202" t="str">
        <f t="shared" si="76"/>
        <v/>
      </c>
    </row>
    <row r="4942" spans="1:7" s="172" customFormat="1" ht="15" customHeight="1" x14ac:dyDescent="0.25">
      <c r="A4942" s="803" t="s">
        <v>19367</v>
      </c>
      <c r="B4942" s="803" t="s">
        <v>4810</v>
      </c>
      <c r="C4942" s="803" t="s">
        <v>4810</v>
      </c>
      <c r="D4942" s="803" t="s">
        <v>19979</v>
      </c>
      <c r="E4942" s="803">
        <v>100</v>
      </c>
      <c r="F4942" s="850">
        <v>15</v>
      </c>
      <c r="G4942" s="202" t="str">
        <f t="shared" si="76"/>
        <v/>
      </c>
    </row>
    <row r="4943" spans="1:7" s="172" customFormat="1" ht="15" customHeight="1" x14ac:dyDescent="0.25">
      <c r="A4943" s="803" t="s">
        <v>19368</v>
      </c>
      <c r="B4943" s="803" t="s">
        <v>4810</v>
      </c>
      <c r="C4943" s="803" t="s">
        <v>4810</v>
      </c>
      <c r="D4943" s="803" t="s">
        <v>19980</v>
      </c>
      <c r="E4943" s="803">
        <v>160</v>
      </c>
      <c r="F4943" s="850">
        <v>100</v>
      </c>
      <c r="G4943" s="202" t="str">
        <f t="shared" si="76"/>
        <v/>
      </c>
    </row>
    <row r="4944" spans="1:7" s="172" customFormat="1" ht="15" customHeight="1" x14ac:dyDescent="0.25">
      <c r="A4944" s="803" t="s">
        <v>19369</v>
      </c>
      <c r="B4944" s="803" t="s">
        <v>4810</v>
      </c>
      <c r="C4944" s="803" t="s">
        <v>4810</v>
      </c>
      <c r="D4944" s="803" t="s">
        <v>19981</v>
      </c>
      <c r="E4944" s="803">
        <v>100</v>
      </c>
      <c r="F4944" s="850">
        <v>20</v>
      </c>
      <c r="G4944" s="202" t="str">
        <f t="shared" si="76"/>
        <v/>
      </c>
    </row>
    <row r="4945" spans="1:7" s="172" customFormat="1" ht="15" customHeight="1" x14ac:dyDescent="0.25">
      <c r="A4945" s="803" t="s">
        <v>4822</v>
      </c>
      <c r="B4945" s="803" t="s">
        <v>4810</v>
      </c>
      <c r="C4945" s="803" t="s">
        <v>4810</v>
      </c>
      <c r="D4945" s="803" t="s">
        <v>19982</v>
      </c>
      <c r="E4945" s="803">
        <v>250</v>
      </c>
      <c r="F4945" s="850">
        <v>10</v>
      </c>
      <c r="G4945" s="202" t="str">
        <f t="shared" si="76"/>
        <v/>
      </c>
    </row>
    <row r="4946" spans="1:7" s="172" customFormat="1" ht="15" customHeight="1" x14ac:dyDescent="0.25">
      <c r="A4946" s="803" t="s">
        <v>19370</v>
      </c>
      <c r="B4946" s="803" t="s">
        <v>4810</v>
      </c>
      <c r="C4946" s="803" t="s">
        <v>4810</v>
      </c>
      <c r="D4946" s="803" t="s">
        <v>19983</v>
      </c>
      <c r="E4946" s="803">
        <v>63</v>
      </c>
      <c r="F4946" s="850">
        <v>10</v>
      </c>
      <c r="G4946" s="202" t="str">
        <f t="shared" si="76"/>
        <v/>
      </c>
    </row>
    <row r="4947" spans="1:7" s="172" customFormat="1" ht="15" customHeight="1" x14ac:dyDescent="0.25">
      <c r="A4947" s="803" t="s">
        <v>19371</v>
      </c>
      <c r="B4947" s="803" t="s">
        <v>4810</v>
      </c>
      <c r="C4947" s="803" t="s">
        <v>4810</v>
      </c>
      <c r="D4947" s="803" t="s">
        <v>19984</v>
      </c>
      <c r="E4947" s="803">
        <v>160</v>
      </c>
      <c r="F4947" s="850">
        <v>10</v>
      </c>
      <c r="G4947" s="202" t="str">
        <f t="shared" si="76"/>
        <v/>
      </c>
    </row>
    <row r="4948" spans="1:7" s="172" customFormat="1" ht="15" customHeight="1" x14ac:dyDescent="0.25">
      <c r="A4948" s="803" t="s">
        <v>19372</v>
      </c>
      <c r="B4948" s="803" t="s">
        <v>4810</v>
      </c>
      <c r="C4948" s="803" t="s">
        <v>4810</v>
      </c>
      <c r="D4948" s="803" t="s">
        <v>19985</v>
      </c>
      <c r="E4948" s="803">
        <v>63</v>
      </c>
      <c r="F4948" s="850">
        <v>10</v>
      </c>
      <c r="G4948" s="202" t="str">
        <f t="shared" si="76"/>
        <v/>
      </c>
    </row>
    <row r="4949" spans="1:7" s="172" customFormat="1" ht="15" customHeight="1" x14ac:dyDescent="0.25">
      <c r="A4949" s="803" t="s">
        <v>17002</v>
      </c>
      <c r="B4949" s="803" t="s">
        <v>4810</v>
      </c>
      <c r="C4949" s="803" t="s">
        <v>4810</v>
      </c>
      <c r="D4949" s="803" t="s">
        <v>19986</v>
      </c>
      <c r="E4949" s="803">
        <v>100</v>
      </c>
      <c r="F4949" s="850">
        <v>10</v>
      </c>
      <c r="G4949" s="202" t="str">
        <f t="shared" si="76"/>
        <v/>
      </c>
    </row>
    <row r="4950" spans="1:7" s="172" customFormat="1" ht="15" customHeight="1" x14ac:dyDescent="0.25">
      <c r="A4950" s="803" t="s">
        <v>19373</v>
      </c>
      <c r="B4950" s="803" t="s">
        <v>4810</v>
      </c>
      <c r="C4950" s="803" t="s">
        <v>4810</v>
      </c>
      <c r="D4950" s="803" t="s">
        <v>19987</v>
      </c>
      <c r="E4950" s="803">
        <v>60</v>
      </c>
      <c r="F4950" s="850">
        <v>15</v>
      </c>
      <c r="G4950" s="202" t="str">
        <f t="shared" si="76"/>
        <v/>
      </c>
    </row>
    <row r="4951" spans="1:7" s="172" customFormat="1" ht="15" customHeight="1" x14ac:dyDescent="0.25">
      <c r="A4951" s="803" t="s">
        <v>19374</v>
      </c>
      <c r="B4951" s="803" t="s">
        <v>4810</v>
      </c>
      <c r="C4951" s="803" t="s">
        <v>4810</v>
      </c>
      <c r="D4951" s="803" t="s">
        <v>19988</v>
      </c>
      <c r="E4951" s="803">
        <v>100</v>
      </c>
      <c r="F4951" s="850">
        <v>10</v>
      </c>
      <c r="G4951" s="202" t="str">
        <f t="shared" si="76"/>
        <v/>
      </c>
    </row>
    <row r="4952" spans="1:7" s="172" customFormat="1" ht="15" customHeight="1" x14ac:dyDescent="0.25">
      <c r="A4952" s="803" t="s">
        <v>2664</v>
      </c>
      <c r="B4952" s="803" t="s">
        <v>4810</v>
      </c>
      <c r="C4952" s="803" t="s">
        <v>4810</v>
      </c>
      <c r="D4952" s="803" t="s">
        <v>19989</v>
      </c>
      <c r="E4952" s="803">
        <v>30</v>
      </c>
      <c r="F4952" s="850">
        <v>5</v>
      </c>
      <c r="G4952" s="202" t="str">
        <f t="shared" si="76"/>
        <v/>
      </c>
    </row>
    <row r="4953" spans="1:7" s="172" customFormat="1" ht="15" customHeight="1" x14ac:dyDescent="0.25">
      <c r="A4953" s="803" t="s">
        <v>19375</v>
      </c>
      <c r="B4953" s="803" t="s">
        <v>4810</v>
      </c>
      <c r="C4953" s="803" t="s">
        <v>4810</v>
      </c>
      <c r="D4953" s="803" t="s">
        <v>19990</v>
      </c>
      <c r="E4953" s="803">
        <v>20</v>
      </c>
      <c r="F4953" s="850">
        <v>15</v>
      </c>
      <c r="G4953" s="202" t="str">
        <f t="shared" si="76"/>
        <v/>
      </c>
    </row>
    <row r="4954" spans="1:7" s="172" customFormat="1" ht="15" customHeight="1" x14ac:dyDescent="0.25">
      <c r="A4954" s="803" t="s">
        <v>19376</v>
      </c>
      <c r="B4954" s="803" t="s">
        <v>4810</v>
      </c>
      <c r="C4954" s="803" t="s">
        <v>4810</v>
      </c>
      <c r="D4954" s="803" t="s">
        <v>19991</v>
      </c>
      <c r="E4954" s="803">
        <v>160</v>
      </c>
      <c r="F4954" s="850">
        <v>60</v>
      </c>
      <c r="G4954" s="202" t="str">
        <f t="shared" si="76"/>
        <v/>
      </c>
    </row>
    <row r="4955" spans="1:7" s="172" customFormat="1" ht="15" customHeight="1" x14ac:dyDescent="0.25">
      <c r="A4955" s="803" t="s">
        <v>19377</v>
      </c>
      <c r="B4955" s="803" t="s">
        <v>4810</v>
      </c>
      <c r="C4955" s="803" t="s">
        <v>4810</v>
      </c>
      <c r="D4955" s="803" t="s">
        <v>19992</v>
      </c>
      <c r="E4955" s="803">
        <v>400</v>
      </c>
      <c r="F4955" s="850">
        <v>80</v>
      </c>
      <c r="G4955" s="202" t="str">
        <f t="shared" si="76"/>
        <v/>
      </c>
    </row>
    <row r="4956" spans="1:7" s="172" customFormat="1" ht="15" customHeight="1" x14ac:dyDescent="0.25">
      <c r="A4956" s="803" t="s">
        <v>19378</v>
      </c>
      <c r="B4956" s="803" t="s">
        <v>4810</v>
      </c>
      <c r="C4956" s="803" t="s">
        <v>4810</v>
      </c>
      <c r="D4956" s="803" t="s">
        <v>19993</v>
      </c>
      <c r="E4956" s="803">
        <v>250</v>
      </c>
      <c r="F4956" s="850">
        <v>60</v>
      </c>
      <c r="G4956" s="202" t="str">
        <f t="shared" si="76"/>
        <v/>
      </c>
    </row>
    <row r="4957" spans="1:7" s="172" customFormat="1" ht="15" customHeight="1" x14ac:dyDescent="0.25">
      <c r="A4957" s="803" t="s">
        <v>19379</v>
      </c>
      <c r="B4957" s="803" t="s">
        <v>4810</v>
      </c>
      <c r="C4957" s="803" t="s">
        <v>4810</v>
      </c>
      <c r="D4957" s="803" t="s">
        <v>19994</v>
      </c>
      <c r="E4957" s="803">
        <v>160</v>
      </c>
      <c r="F4957" s="850">
        <v>25</v>
      </c>
      <c r="G4957" s="202" t="str">
        <f t="shared" ref="G4957:G5020" si="77">IF(E4957=F4957,"не загружен","")</f>
        <v/>
      </c>
    </row>
    <row r="4958" spans="1:7" s="172" customFormat="1" ht="15" customHeight="1" x14ac:dyDescent="0.25">
      <c r="A4958" s="803" t="s">
        <v>19380</v>
      </c>
      <c r="B4958" s="803" t="s">
        <v>4810</v>
      </c>
      <c r="C4958" s="803" t="s">
        <v>4810</v>
      </c>
      <c r="D4958" s="803" t="s">
        <v>19995</v>
      </c>
      <c r="E4958" s="803">
        <v>250</v>
      </c>
      <c r="F4958" s="850">
        <v>25</v>
      </c>
      <c r="G4958" s="202" t="str">
        <f t="shared" si="77"/>
        <v/>
      </c>
    </row>
    <row r="4959" spans="1:7" s="172" customFormat="1" ht="15" customHeight="1" x14ac:dyDescent="0.25">
      <c r="A4959" s="803" t="s">
        <v>19381</v>
      </c>
      <c r="B4959" s="803" t="s">
        <v>4810</v>
      </c>
      <c r="C4959" s="803" t="s">
        <v>4810</v>
      </c>
      <c r="D4959" s="803" t="s">
        <v>19996</v>
      </c>
      <c r="E4959" s="803">
        <v>400</v>
      </c>
      <c r="F4959" s="850">
        <v>30</v>
      </c>
      <c r="G4959" s="202" t="str">
        <f t="shared" si="77"/>
        <v/>
      </c>
    </row>
    <row r="4960" spans="1:7" s="172" customFormat="1" ht="15" customHeight="1" x14ac:dyDescent="0.25">
      <c r="A4960" s="803" t="s">
        <v>4823</v>
      </c>
      <c r="B4960" s="803" t="s">
        <v>4810</v>
      </c>
      <c r="C4960" s="803" t="s">
        <v>4810</v>
      </c>
      <c r="D4960" s="803" t="s">
        <v>19997</v>
      </c>
      <c r="E4960" s="803">
        <v>60</v>
      </c>
      <c r="F4960" s="850">
        <v>10</v>
      </c>
      <c r="G4960" s="202" t="str">
        <f t="shared" si="77"/>
        <v/>
      </c>
    </row>
    <row r="4961" spans="1:7" s="172" customFormat="1" ht="15" customHeight="1" x14ac:dyDescent="0.25">
      <c r="A4961" s="803" t="s">
        <v>4824</v>
      </c>
      <c r="B4961" s="803" t="s">
        <v>4810</v>
      </c>
      <c r="C4961" s="803" t="s">
        <v>4810</v>
      </c>
      <c r="D4961" s="803" t="s">
        <v>19998</v>
      </c>
      <c r="E4961" s="803">
        <v>100</v>
      </c>
      <c r="F4961" s="850">
        <v>5</v>
      </c>
      <c r="G4961" s="202" t="str">
        <f t="shared" si="77"/>
        <v/>
      </c>
    </row>
    <row r="4962" spans="1:7" s="172" customFormat="1" ht="15" customHeight="1" x14ac:dyDescent="0.25">
      <c r="A4962" s="803" t="s">
        <v>19382</v>
      </c>
      <c r="B4962" s="803" t="s">
        <v>4810</v>
      </c>
      <c r="C4962" s="803" t="s">
        <v>4810</v>
      </c>
      <c r="D4962" s="803" t="s">
        <v>19999</v>
      </c>
      <c r="E4962" s="803">
        <v>100</v>
      </c>
      <c r="F4962" s="850">
        <v>5</v>
      </c>
      <c r="G4962" s="202" t="str">
        <f t="shared" si="77"/>
        <v/>
      </c>
    </row>
    <row r="4963" spans="1:7" s="172" customFormat="1" ht="15" customHeight="1" x14ac:dyDescent="0.25">
      <c r="A4963" s="803" t="s">
        <v>2591</v>
      </c>
      <c r="B4963" s="803" t="s">
        <v>4810</v>
      </c>
      <c r="C4963" s="803" t="s">
        <v>4810</v>
      </c>
      <c r="D4963" s="803" t="s">
        <v>20000</v>
      </c>
      <c r="E4963" s="803">
        <v>63</v>
      </c>
      <c r="F4963" s="850">
        <v>5</v>
      </c>
      <c r="G4963" s="202" t="str">
        <f t="shared" si="77"/>
        <v/>
      </c>
    </row>
    <row r="4964" spans="1:7" s="172" customFormat="1" ht="15" customHeight="1" x14ac:dyDescent="0.25">
      <c r="A4964" s="803" t="s">
        <v>19383</v>
      </c>
      <c r="B4964" s="803" t="s">
        <v>4810</v>
      </c>
      <c r="C4964" s="803" t="s">
        <v>4810</v>
      </c>
      <c r="D4964" s="803" t="s">
        <v>20001</v>
      </c>
      <c r="E4964" s="803">
        <v>100</v>
      </c>
      <c r="F4964" s="850">
        <v>10</v>
      </c>
      <c r="G4964" s="202" t="str">
        <f t="shared" si="77"/>
        <v/>
      </c>
    </row>
    <row r="4965" spans="1:7" s="172" customFormat="1" ht="15" customHeight="1" x14ac:dyDescent="0.25">
      <c r="A4965" s="803" t="s">
        <v>19384</v>
      </c>
      <c r="B4965" s="803" t="s">
        <v>4810</v>
      </c>
      <c r="C4965" s="803" t="s">
        <v>4810</v>
      </c>
      <c r="D4965" s="803" t="s">
        <v>20002</v>
      </c>
      <c r="E4965" s="803">
        <v>400</v>
      </c>
      <c r="F4965" s="850">
        <v>100</v>
      </c>
      <c r="G4965" s="202" t="str">
        <f t="shared" si="77"/>
        <v/>
      </c>
    </row>
    <row r="4966" spans="1:7" s="172" customFormat="1" ht="15" customHeight="1" x14ac:dyDescent="0.25">
      <c r="A4966" s="803" t="s">
        <v>19385</v>
      </c>
      <c r="B4966" s="803" t="s">
        <v>4810</v>
      </c>
      <c r="C4966" s="803" t="s">
        <v>4810</v>
      </c>
      <c r="D4966" s="803" t="s">
        <v>20003</v>
      </c>
      <c r="E4966" s="803">
        <v>400</v>
      </c>
      <c r="F4966" s="850">
        <v>60</v>
      </c>
      <c r="G4966" s="202" t="str">
        <f t="shared" si="77"/>
        <v/>
      </c>
    </row>
    <row r="4967" spans="1:7" s="172" customFormat="1" ht="15" customHeight="1" x14ac:dyDescent="0.25">
      <c r="A4967" s="803" t="s">
        <v>19386</v>
      </c>
      <c r="B4967" s="803" t="s">
        <v>4810</v>
      </c>
      <c r="C4967" s="803" t="s">
        <v>4810</v>
      </c>
      <c r="D4967" s="803" t="s">
        <v>20004</v>
      </c>
      <c r="E4967" s="803">
        <v>100</v>
      </c>
      <c r="F4967" s="850">
        <v>2</v>
      </c>
      <c r="G4967" s="202" t="str">
        <f t="shared" si="77"/>
        <v/>
      </c>
    </row>
    <row r="4968" spans="1:7" s="172" customFormat="1" ht="15" customHeight="1" x14ac:dyDescent="0.25">
      <c r="A4968" s="803" t="s">
        <v>19387</v>
      </c>
      <c r="B4968" s="803" t="s">
        <v>4810</v>
      </c>
      <c r="C4968" s="803" t="s">
        <v>4810</v>
      </c>
      <c r="D4968" s="803" t="s">
        <v>20005</v>
      </c>
      <c r="E4968" s="803">
        <v>100</v>
      </c>
      <c r="F4968" s="850">
        <v>5</v>
      </c>
      <c r="G4968" s="202" t="str">
        <f t="shared" si="77"/>
        <v/>
      </c>
    </row>
    <row r="4969" spans="1:7" s="172" customFormat="1" ht="15" customHeight="1" x14ac:dyDescent="0.25">
      <c r="A4969" s="803" t="s">
        <v>19388</v>
      </c>
      <c r="B4969" s="803" t="s">
        <v>4810</v>
      </c>
      <c r="C4969" s="803" t="s">
        <v>4810</v>
      </c>
      <c r="D4969" s="803" t="s">
        <v>20006</v>
      </c>
      <c r="E4969" s="803">
        <v>100</v>
      </c>
      <c r="F4969" s="850">
        <v>5</v>
      </c>
      <c r="G4969" s="202" t="str">
        <f t="shared" si="77"/>
        <v/>
      </c>
    </row>
    <row r="4970" spans="1:7" s="172" customFormat="1" ht="15" customHeight="1" x14ac:dyDescent="0.25">
      <c r="A4970" s="803" t="s">
        <v>19389</v>
      </c>
      <c r="B4970" s="803" t="s">
        <v>4810</v>
      </c>
      <c r="C4970" s="803" t="s">
        <v>4810</v>
      </c>
      <c r="D4970" s="803" t="s">
        <v>20007</v>
      </c>
      <c r="E4970" s="803">
        <v>100</v>
      </c>
      <c r="F4970" s="850">
        <v>90</v>
      </c>
      <c r="G4970" s="202" t="str">
        <f t="shared" si="77"/>
        <v/>
      </c>
    </row>
    <row r="4971" spans="1:7" s="172" customFormat="1" ht="15" customHeight="1" x14ac:dyDescent="0.25">
      <c r="A4971" s="803" t="s">
        <v>19390</v>
      </c>
      <c r="B4971" s="803" t="s">
        <v>4810</v>
      </c>
      <c r="C4971" s="803" t="s">
        <v>4810</v>
      </c>
      <c r="D4971" s="803" t="s">
        <v>20008</v>
      </c>
      <c r="E4971" s="803">
        <v>160</v>
      </c>
      <c r="F4971" s="850">
        <v>150</v>
      </c>
      <c r="G4971" s="202" t="str">
        <f t="shared" si="77"/>
        <v/>
      </c>
    </row>
    <row r="4972" spans="1:7" s="172" customFormat="1" ht="15" customHeight="1" x14ac:dyDescent="0.25">
      <c r="A4972" s="803" t="s">
        <v>19391</v>
      </c>
      <c r="B4972" s="803" t="s">
        <v>4810</v>
      </c>
      <c r="C4972" s="803" t="s">
        <v>4810</v>
      </c>
      <c r="D4972" s="803" t="s">
        <v>20009</v>
      </c>
      <c r="E4972" s="803">
        <v>100</v>
      </c>
      <c r="F4972" s="850">
        <v>10</v>
      </c>
      <c r="G4972" s="202" t="str">
        <f t="shared" si="77"/>
        <v/>
      </c>
    </row>
    <row r="4973" spans="1:7" s="172" customFormat="1" ht="15" customHeight="1" x14ac:dyDescent="0.25">
      <c r="A4973" s="803" t="s">
        <v>19392</v>
      </c>
      <c r="B4973" s="803" t="s">
        <v>4810</v>
      </c>
      <c r="C4973" s="803" t="s">
        <v>4810</v>
      </c>
      <c r="D4973" s="803" t="s">
        <v>20010</v>
      </c>
      <c r="E4973" s="803">
        <v>250</v>
      </c>
      <c r="F4973" s="850">
        <v>20</v>
      </c>
      <c r="G4973" s="202" t="str">
        <f t="shared" si="77"/>
        <v/>
      </c>
    </row>
    <row r="4974" spans="1:7" s="172" customFormat="1" ht="15" customHeight="1" x14ac:dyDescent="0.25">
      <c r="A4974" s="803" t="s">
        <v>4825</v>
      </c>
      <c r="B4974" s="803" t="s">
        <v>4810</v>
      </c>
      <c r="C4974" s="803" t="s">
        <v>4810</v>
      </c>
      <c r="D4974" s="803" t="s">
        <v>20011</v>
      </c>
      <c r="E4974" s="803">
        <v>30</v>
      </c>
      <c r="F4974" s="850">
        <v>15</v>
      </c>
      <c r="G4974" s="202" t="str">
        <f t="shared" si="77"/>
        <v/>
      </c>
    </row>
    <row r="4975" spans="1:7" s="172" customFormat="1" ht="15" customHeight="1" x14ac:dyDescent="0.25">
      <c r="A4975" s="803" t="s">
        <v>19393</v>
      </c>
      <c r="B4975" s="803" t="s">
        <v>4810</v>
      </c>
      <c r="C4975" s="803" t="s">
        <v>4810</v>
      </c>
      <c r="D4975" s="803" t="s">
        <v>20012</v>
      </c>
      <c r="E4975" s="803">
        <v>60</v>
      </c>
      <c r="F4975" s="850">
        <v>40</v>
      </c>
      <c r="G4975" s="202" t="str">
        <f t="shared" si="77"/>
        <v/>
      </c>
    </row>
    <row r="4976" spans="1:7" s="172" customFormat="1" ht="15" customHeight="1" x14ac:dyDescent="0.25">
      <c r="A4976" s="803" t="s">
        <v>19394</v>
      </c>
      <c r="B4976" s="803" t="s">
        <v>4810</v>
      </c>
      <c r="C4976" s="803" t="s">
        <v>4810</v>
      </c>
      <c r="D4976" s="803" t="s">
        <v>20013</v>
      </c>
      <c r="E4976" s="803">
        <v>250</v>
      </c>
      <c r="F4976" s="850">
        <v>2</v>
      </c>
      <c r="G4976" s="202" t="str">
        <f t="shared" si="77"/>
        <v/>
      </c>
    </row>
    <row r="4977" spans="1:7" s="172" customFormat="1" ht="15" customHeight="1" x14ac:dyDescent="0.25">
      <c r="A4977" s="803" t="s">
        <v>19395</v>
      </c>
      <c r="B4977" s="803" t="s">
        <v>4810</v>
      </c>
      <c r="C4977" s="803" t="s">
        <v>4810</v>
      </c>
      <c r="D4977" s="803" t="s">
        <v>20014</v>
      </c>
      <c r="E4977" s="803">
        <v>160</v>
      </c>
      <c r="F4977" s="850">
        <v>40</v>
      </c>
      <c r="G4977" s="202" t="str">
        <f t="shared" si="77"/>
        <v/>
      </c>
    </row>
    <row r="4978" spans="1:7" s="172" customFormat="1" ht="15" customHeight="1" x14ac:dyDescent="0.25">
      <c r="A4978" s="803" t="s">
        <v>19396</v>
      </c>
      <c r="B4978" s="803" t="s">
        <v>4810</v>
      </c>
      <c r="C4978" s="803" t="s">
        <v>4810</v>
      </c>
      <c r="D4978" s="803" t="s">
        <v>20015</v>
      </c>
      <c r="E4978" s="803">
        <v>100</v>
      </c>
      <c r="F4978" s="850">
        <v>20</v>
      </c>
      <c r="G4978" s="202" t="str">
        <f t="shared" si="77"/>
        <v/>
      </c>
    </row>
    <row r="4979" spans="1:7" s="172" customFormat="1" ht="15" customHeight="1" x14ac:dyDescent="0.25">
      <c r="A4979" s="803" t="s">
        <v>19397</v>
      </c>
      <c r="B4979" s="803" t="s">
        <v>4810</v>
      </c>
      <c r="C4979" s="803" t="s">
        <v>4810</v>
      </c>
      <c r="D4979" s="803" t="s">
        <v>20016</v>
      </c>
      <c r="E4979" s="803">
        <v>160</v>
      </c>
      <c r="F4979" s="850">
        <v>10</v>
      </c>
      <c r="G4979" s="202" t="str">
        <f t="shared" si="77"/>
        <v/>
      </c>
    </row>
    <row r="4980" spans="1:7" s="172" customFormat="1" ht="15" customHeight="1" x14ac:dyDescent="0.25">
      <c r="A4980" s="803" t="s">
        <v>19398</v>
      </c>
      <c r="B4980" s="803" t="s">
        <v>4810</v>
      </c>
      <c r="C4980" s="803" t="s">
        <v>4810</v>
      </c>
      <c r="D4980" s="803" t="s">
        <v>20017</v>
      </c>
      <c r="E4980" s="803">
        <v>100</v>
      </c>
      <c r="F4980" s="850">
        <v>30</v>
      </c>
      <c r="G4980" s="202" t="str">
        <f t="shared" si="77"/>
        <v/>
      </c>
    </row>
    <row r="4981" spans="1:7" s="172" customFormat="1" ht="15" customHeight="1" x14ac:dyDescent="0.25">
      <c r="A4981" s="803" t="s">
        <v>4826</v>
      </c>
      <c r="B4981" s="803" t="s">
        <v>4810</v>
      </c>
      <c r="C4981" s="803" t="s">
        <v>4810</v>
      </c>
      <c r="D4981" s="803" t="s">
        <v>20018</v>
      </c>
      <c r="E4981" s="803">
        <v>250</v>
      </c>
      <c r="F4981" s="850">
        <v>20</v>
      </c>
      <c r="G4981" s="202" t="str">
        <f t="shared" si="77"/>
        <v/>
      </c>
    </row>
    <row r="4982" spans="1:7" s="172" customFormat="1" ht="15" customHeight="1" x14ac:dyDescent="0.25">
      <c r="A4982" s="803" t="s">
        <v>4827</v>
      </c>
      <c r="B4982" s="803" t="s">
        <v>4810</v>
      </c>
      <c r="C4982" s="803" t="s">
        <v>4810</v>
      </c>
      <c r="D4982" s="803" t="s">
        <v>20019</v>
      </c>
      <c r="E4982" s="803">
        <v>25</v>
      </c>
      <c r="F4982" s="850">
        <v>20</v>
      </c>
      <c r="G4982" s="202" t="str">
        <f t="shared" si="77"/>
        <v/>
      </c>
    </row>
    <row r="4983" spans="1:7" s="172" customFormat="1" ht="15" customHeight="1" x14ac:dyDescent="0.25">
      <c r="A4983" s="803" t="s">
        <v>4828</v>
      </c>
      <c r="B4983" s="803" t="s">
        <v>4810</v>
      </c>
      <c r="C4983" s="803" t="s">
        <v>4810</v>
      </c>
      <c r="D4983" s="803" t="s">
        <v>20020</v>
      </c>
      <c r="E4983" s="803">
        <v>160</v>
      </c>
      <c r="F4983" s="850">
        <v>30</v>
      </c>
      <c r="G4983" s="202" t="str">
        <f t="shared" si="77"/>
        <v/>
      </c>
    </row>
    <row r="4984" spans="1:7" s="172" customFormat="1" ht="15" customHeight="1" x14ac:dyDescent="0.25">
      <c r="A4984" s="803" t="s">
        <v>4829</v>
      </c>
      <c r="B4984" s="803" t="s">
        <v>4810</v>
      </c>
      <c r="C4984" s="803" t="s">
        <v>4810</v>
      </c>
      <c r="D4984" s="803" t="s">
        <v>4829</v>
      </c>
      <c r="E4984" s="803">
        <v>160</v>
      </c>
      <c r="F4984" s="850">
        <v>30</v>
      </c>
      <c r="G4984" s="202" t="str">
        <f t="shared" si="77"/>
        <v/>
      </c>
    </row>
    <row r="4985" spans="1:7" s="172" customFormat="1" ht="15" customHeight="1" x14ac:dyDescent="0.25">
      <c r="A4985" s="803" t="s">
        <v>19399</v>
      </c>
      <c r="B4985" s="803" t="s">
        <v>4810</v>
      </c>
      <c r="C4985" s="803" t="s">
        <v>4810</v>
      </c>
      <c r="D4985" s="803" t="s">
        <v>20021</v>
      </c>
      <c r="E4985" s="803">
        <v>400</v>
      </c>
      <c r="F4985" s="850">
        <v>100</v>
      </c>
      <c r="G4985" s="202" t="str">
        <f t="shared" si="77"/>
        <v/>
      </c>
    </row>
    <row r="4986" spans="1:7" s="172" customFormat="1" ht="15" customHeight="1" x14ac:dyDescent="0.25">
      <c r="A4986" s="803" t="s">
        <v>19400</v>
      </c>
      <c r="B4986" s="803" t="s">
        <v>4810</v>
      </c>
      <c r="C4986" s="803" t="s">
        <v>4810</v>
      </c>
      <c r="D4986" s="803" t="s">
        <v>20022</v>
      </c>
      <c r="E4986" s="803">
        <v>250</v>
      </c>
      <c r="F4986" s="850">
        <v>150</v>
      </c>
      <c r="G4986" s="202" t="str">
        <f t="shared" si="77"/>
        <v/>
      </c>
    </row>
    <row r="4987" spans="1:7" s="172" customFormat="1" ht="15" customHeight="1" x14ac:dyDescent="0.25">
      <c r="A4987" s="803" t="s">
        <v>2877</v>
      </c>
      <c r="B4987" s="803" t="s">
        <v>4810</v>
      </c>
      <c r="C4987" s="803" t="s">
        <v>4810</v>
      </c>
      <c r="D4987" s="803" t="s">
        <v>20023</v>
      </c>
      <c r="E4987" s="803">
        <v>100</v>
      </c>
      <c r="F4987" s="850">
        <v>2</v>
      </c>
      <c r="G4987" s="202" t="str">
        <f t="shared" si="77"/>
        <v/>
      </c>
    </row>
    <row r="4988" spans="1:7" s="172" customFormat="1" ht="15" customHeight="1" x14ac:dyDescent="0.25">
      <c r="A4988" s="803" t="s">
        <v>19401</v>
      </c>
      <c r="B4988" s="803" t="s">
        <v>4810</v>
      </c>
      <c r="C4988" s="803" t="s">
        <v>4810</v>
      </c>
      <c r="D4988" s="803" t="s">
        <v>20024</v>
      </c>
      <c r="E4988" s="803">
        <v>100</v>
      </c>
      <c r="F4988" s="850">
        <v>20</v>
      </c>
      <c r="G4988" s="202" t="str">
        <f t="shared" si="77"/>
        <v/>
      </c>
    </row>
    <row r="4989" spans="1:7" s="172" customFormat="1" ht="15" customHeight="1" x14ac:dyDescent="0.25">
      <c r="A4989" s="803" t="s">
        <v>19402</v>
      </c>
      <c r="B4989" s="803" t="s">
        <v>4810</v>
      </c>
      <c r="C4989" s="803" t="s">
        <v>4810</v>
      </c>
      <c r="D4989" s="803" t="s">
        <v>20025</v>
      </c>
      <c r="E4989" s="803">
        <v>250</v>
      </c>
      <c r="F4989" s="850">
        <v>10</v>
      </c>
      <c r="G4989" s="202" t="str">
        <f t="shared" si="77"/>
        <v/>
      </c>
    </row>
    <row r="4990" spans="1:7" s="172" customFormat="1" ht="15" customHeight="1" x14ac:dyDescent="0.25">
      <c r="A4990" s="803" t="s">
        <v>19403</v>
      </c>
      <c r="B4990" s="803" t="s">
        <v>4810</v>
      </c>
      <c r="C4990" s="803" t="s">
        <v>4810</v>
      </c>
      <c r="D4990" s="803" t="s">
        <v>20026</v>
      </c>
      <c r="E4990" s="803">
        <v>100</v>
      </c>
      <c r="F4990" s="850">
        <v>5</v>
      </c>
      <c r="G4990" s="202" t="str">
        <f t="shared" si="77"/>
        <v/>
      </c>
    </row>
    <row r="4991" spans="1:7" s="172" customFormat="1" ht="15" customHeight="1" x14ac:dyDescent="0.25">
      <c r="A4991" s="803" t="s">
        <v>19404</v>
      </c>
      <c r="B4991" s="803" t="s">
        <v>4810</v>
      </c>
      <c r="C4991" s="803" t="s">
        <v>4810</v>
      </c>
      <c r="D4991" s="803" t="s">
        <v>20027</v>
      </c>
      <c r="E4991" s="803">
        <v>400</v>
      </c>
      <c r="F4991" s="850">
        <v>5</v>
      </c>
      <c r="G4991" s="202" t="str">
        <f t="shared" si="77"/>
        <v/>
      </c>
    </row>
    <row r="4992" spans="1:7" s="172" customFormat="1" ht="15" customHeight="1" x14ac:dyDescent="0.25">
      <c r="A4992" s="803" t="s">
        <v>4831</v>
      </c>
      <c r="B4992" s="803" t="s">
        <v>4810</v>
      </c>
      <c r="C4992" s="803" t="s">
        <v>4810</v>
      </c>
      <c r="D4992" s="803" t="s">
        <v>20028</v>
      </c>
      <c r="E4992" s="803">
        <v>100</v>
      </c>
      <c r="F4992" s="850">
        <v>150</v>
      </c>
      <c r="G4992" s="202" t="str">
        <f t="shared" si="77"/>
        <v/>
      </c>
    </row>
    <row r="4993" spans="1:7" s="172" customFormat="1" ht="15" customHeight="1" x14ac:dyDescent="0.25">
      <c r="A4993" s="803" t="s">
        <v>19405</v>
      </c>
      <c r="B4993" s="803" t="s">
        <v>4810</v>
      </c>
      <c r="C4993" s="803" t="s">
        <v>4810</v>
      </c>
      <c r="D4993" s="803" t="s">
        <v>20029</v>
      </c>
      <c r="E4993" s="803">
        <v>30</v>
      </c>
      <c r="F4993" s="850" t="s">
        <v>19406</v>
      </c>
      <c r="G4993" s="202" t="str">
        <f t="shared" si="77"/>
        <v/>
      </c>
    </row>
    <row r="4994" spans="1:7" s="172" customFormat="1" ht="15" customHeight="1" x14ac:dyDescent="0.25">
      <c r="A4994" s="803" t="s">
        <v>19407</v>
      </c>
      <c r="B4994" s="803" t="s">
        <v>4810</v>
      </c>
      <c r="C4994" s="803" t="s">
        <v>4810</v>
      </c>
      <c r="D4994" s="803" t="s">
        <v>20030</v>
      </c>
      <c r="E4994" s="803">
        <v>100</v>
      </c>
      <c r="F4994" s="850">
        <v>5</v>
      </c>
      <c r="G4994" s="202" t="str">
        <f t="shared" si="77"/>
        <v/>
      </c>
    </row>
    <row r="4995" spans="1:7" s="172" customFormat="1" ht="15" customHeight="1" x14ac:dyDescent="0.25">
      <c r="A4995" s="803" t="s">
        <v>4832</v>
      </c>
      <c r="B4995" s="803" t="s">
        <v>4810</v>
      </c>
      <c r="C4995" s="803" t="s">
        <v>4810</v>
      </c>
      <c r="D4995" s="803" t="s">
        <v>20031</v>
      </c>
      <c r="E4995" s="803">
        <v>30</v>
      </c>
      <c r="F4995" s="850">
        <v>15</v>
      </c>
      <c r="G4995" s="202" t="str">
        <f t="shared" si="77"/>
        <v/>
      </c>
    </row>
    <row r="4996" spans="1:7" s="172" customFormat="1" ht="15" customHeight="1" x14ac:dyDescent="0.25">
      <c r="A4996" s="803" t="s">
        <v>19408</v>
      </c>
      <c r="B4996" s="803" t="s">
        <v>4810</v>
      </c>
      <c r="C4996" s="803" t="s">
        <v>4810</v>
      </c>
      <c r="D4996" s="803" t="s">
        <v>20032</v>
      </c>
      <c r="E4996" s="803">
        <v>60</v>
      </c>
      <c r="F4996" s="850">
        <v>10</v>
      </c>
      <c r="G4996" s="202" t="str">
        <f t="shared" si="77"/>
        <v/>
      </c>
    </row>
    <row r="4997" spans="1:7" s="172" customFormat="1" ht="15" customHeight="1" x14ac:dyDescent="0.25">
      <c r="A4997" s="803" t="s">
        <v>19409</v>
      </c>
      <c r="B4997" s="803" t="s">
        <v>4810</v>
      </c>
      <c r="C4997" s="803" t="s">
        <v>4810</v>
      </c>
      <c r="D4997" s="803" t="s">
        <v>20033</v>
      </c>
      <c r="E4997" s="803">
        <v>400</v>
      </c>
      <c r="F4997" s="850">
        <v>5</v>
      </c>
      <c r="G4997" s="202" t="str">
        <f t="shared" si="77"/>
        <v/>
      </c>
    </row>
    <row r="4998" spans="1:7" s="172" customFormat="1" ht="15" customHeight="1" x14ac:dyDescent="0.25">
      <c r="A4998" s="803" t="s">
        <v>4833</v>
      </c>
      <c r="B4998" s="803" t="s">
        <v>4810</v>
      </c>
      <c r="C4998" s="803" t="s">
        <v>4810</v>
      </c>
      <c r="D4998" s="803" t="s">
        <v>20034</v>
      </c>
      <c r="E4998" s="803">
        <v>100</v>
      </c>
      <c r="F4998" s="850">
        <v>30</v>
      </c>
      <c r="G4998" s="202" t="str">
        <f t="shared" si="77"/>
        <v/>
      </c>
    </row>
    <row r="4999" spans="1:7" s="172" customFormat="1" ht="15" customHeight="1" x14ac:dyDescent="0.25">
      <c r="A4999" s="803" t="s">
        <v>19410</v>
      </c>
      <c r="B4999" s="803" t="s">
        <v>4810</v>
      </c>
      <c r="C4999" s="803" t="s">
        <v>4810</v>
      </c>
      <c r="D4999" s="803" t="s">
        <v>20035</v>
      </c>
      <c r="E4999" s="803">
        <v>100</v>
      </c>
      <c r="F4999" s="850">
        <v>20</v>
      </c>
      <c r="G4999" s="202" t="str">
        <f t="shared" si="77"/>
        <v/>
      </c>
    </row>
    <row r="5000" spans="1:7" s="172" customFormat="1" ht="15" customHeight="1" x14ac:dyDescent="0.25">
      <c r="A5000" s="803" t="s">
        <v>19411</v>
      </c>
      <c r="B5000" s="803" t="s">
        <v>4810</v>
      </c>
      <c r="C5000" s="803" t="s">
        <v>4810</v>
      </c>
      <c r="D5000" s="803" t="s">
        <v>20036</v>
      </c>
      <c r="E5000" s="803">
        <v>100</v>
      </c>
      <c r="F5000" s="850">
        <v>10</v>
      </c>
      <c r="G5000" s="202" t="str">
        <f t="shared" si="77"/>
        <v/>
      </c>
    </row>
    <row r="5001" spans="1:7" s="172" customFormat="1" ht="15" customHeight="1" x14ac:dyDescent="0.25">
      <c r="A5001" s="803" t="s">
        <v>19412</v>
      </c>
      <c r="B5001" s="803" t="s">
        <v>4810</v>
      </c>
      <c r="C5001" s="803" t="s">
        <v>4810</v>
      </c>
      <c r="D5001" s="803" t="s">
        <v>20037</v>
      </c>
      <c r="E5001" s="803">
        <v>60</v>
      </c>
      <c r="F5001" s="850">
        <v>2</v>
      </c>
      <c r="G5001" s="202" t="str">
        <f t="shared" si="77"/>
        <v/>
      </c>
    </row>
    <row r="5002" spans="1:7" s="172" customFormat="1" ht="15" customHeight="1" x14ac:dyDescent="0.25">
      <c r="A5002" s="803" t="s">
        <v>19413</v>
      </c>
      <c r="B5002" s="803" t="s">
        <v>4810</v>
      </c>
      <c r="C5002" s="803" t="s">
        <v>4810</v>
      </c>
      <c r="D5002" s="803" t="s">
        <v>20038</v>
      </c>
      <c r="E5002" s="803">
        <v>160</v>
      </c>
      <c r="F5002" s="850">
        <v>20</v>
      </c>
      <c r="G5002" s="202" t="str">
        <f t="shared" si="77"/>
        <v/>
      </c>
    </row>
    <row r="5003" spans="1:7" s="172" customFormat="1" ht="15" customHeight="1" x14ac:dyDescent="0.25">
      <c r="A5003" s="803" t="s">
        <v>19414</v>
      </c>
      <c r="B5003" s="803" t="s">
        <v>4810</v>
      </c>
      <c r="C5003" s="803" t="s">
        <v>4810</v>
      </c>
      <c r="D5003" s="803" t="s">
        <v>20039</v>
      </c>
      <c r="E5003" s="803">
        <v>160</v>
      </c>
      <c r="F5003" s="850">
        <v>10</v>
      </c>
      <c r="G5003" s="202" t="str">
        <f t="shared" si="77"/>
        <v/>
      </c>
    </row>
    <row r="5004" spans="1:7" s="172" customFormat="1" ht="15" customHeight="1" x14ac:dyDescent="0.25">
      <c r="A5004" s="803" t="s">
        <v>19415</v>
      </c>
      <c r="B5004" s="803" t="s">
        <v>4810</v>
      </c>
      <c r="C5004" s="803" t="s">
        <v>4810</v>
      </c>
      <c r="D5004" s="803" t="s">
        <v>20040</v>
      </c>
      <c r="E5004" s="803">
        <v>60</v>
      </c>
      <c r="F5004" s="850">
        <v>15</v>
      </c>
      <c r="G5004" s="202" t="str">
        <f t="shared" si="77"/>
        <v/>
      </c>
    </row>
    <row r="5005" spans="1:7" s="172" customFormat="1" ht="15" customHeight="1" x14ac:dyDescent="0.25">
      <c r="A5005" s="803" t="s">
        <v>19416</v>
      </c>
      <c r="B5005" s="803" t="s">
        <v>4810</v>
      </c>
      <c r="C5005" s="803" t="s">
        <v>4810</v>
      </c>
      <c r="D5005" s="803" t="s">
        <v>20041</v>
      </c>
      <c r="E5005" s="803">
        <v>250</v>
      </c>
      <c r="F5005" s="850">
        <v>90</v>
      </c>
      <c r="G5005" s="202" t="str">
        <f t="shared" si="77"/>
        <v/>
      </c>
    </row>
    <row r="5006" spans="1:7" s="172" customFormat="1" ht="15" customHeight="1" x14ac:dyDescent="0.25">
      <c r="A5006" s="803" t="s">
        <v>4834</v>
      </c>
      <c r="B5006" s="803" t="s">
        <v>4810</v>
      </c>
      <c r="C5006" s="803" t="s">
        <v>4810</v>
      </c>
      <c r="D5006" s="803" t="s">
        <v>20042</v>
      </c>
      <c r="E5006" s="803">
        <v>100</v>
      </c>
      <c r="F5006" s="850">
        <v>20</v>
      </c>
      <c r="G5006" s="202" t="str">
        <f t="shared" si="77"/>
        <v/>
      </c>
    </row>
    <row r="5007" spans="1:7" s="172" customFormat="1" ht="15" customHeight="1" x14ac:dyDescent="0.25">
      <c r="A5007" s="803" t="s">
        <v>4835</v>
      </c>
      <c r="B5007" s="803" t="s">
        <v>4810</v>
      </c>
      <c r="C5007" s="803" t="s">
        <v>4810</v>
      </c>
      <c r="D5007" s="803" t="s">
        <v>20043</v>
      </c>
      <c r="E5007" s="803">
        <v>63</v>
      </c>
      <c r="F5007" s="850">
        <v>20</v>
      </c>
      <c r="G5007" s="202" t="str">
        <f t="shared" si="77"/>
        <v/>
      </c>
    </row>
    <row r="5008" spans="1:7" s="172" customFormat="1" ht="15" customHeight="1" x14ac:dyDescent="0.25">
      <c r="A5008" s="803" t="s">
        <v>19417</v>
      </c>
      <c r="B5008" s="803" t="s">
        <v>4810</v>
      </c>
      <c r="C5008" s="803" t="s">
        <v>4810</v>
      </c>
      <c r="D5008" s="803" t="s">
        <v>20044</v>
      </c>
      <c r="E5008" s="803">
        <v>250</v>
      </c>
      <c r="F5008" s="850">
        <v>100</v>
      </c>
      <c r="G5008" s="202" t="str">
        <f t="shared" si="77"/>
        <v/>
      </c>
    </row>
    <row r="5009" spans="1:7" s="172" customFormat="1" ht="15" customHeight="1" x14ac:dyDescent="0.25">
      <c r="A5009" s="803" t="s">
        <v>19418</v>
      </c>
      <c r="B5009" s="803" t="s">
        <v>4810</v>
      </c>
      <c r="C5009" s="803" t="s">
        <v>4810</v>
      </c>
      <c r="D5009" s="803" t="s">
        <v>20045</v>
      </c>
      <c r="E5009" s="803">
        <v>40</v>
      </c>
      <c r="F5009" s="850">
        <v>90</v>
      </c>
      <c r="G5009" s="202" t="str">
        <f t="shared" si="77"/>
        <v/>
      </c>
    </row>
    <row r="5010" spans="1:7" s="172" customFormat="1" ht="15" customHeight="1" x14ac:dyDescent="0.25">
      <c r="A5010" s="803" t="s">
        <v>4837</v>
      </c>
      <c r="B5010" s="803" t="s">
        <v>4810</v>
      </c>
      <c r="C5010" s="803" t="s">
        <v>4810</v>
      </c>
      <c r="D5010" s="803" t="s">
        <v>20046</v>
      </c>
      <c r="E5010" s="803">
        <v>40</v>
      </c>
      <c r="F5010" s="850">
        <v>5</v>
      </c>
      <c r="G5010" s="202" t="str">
        <f t="shared" si="77"/>
        <v/>
      </c>
    </row>
    <row r="5011" spans="1:7" s="172" customFormat="1" ht="15" customHeight="1" x14ac:dyDescent="0.25">
      <c r="A5011" s="803" t="s">
        <v>19419</v>
      </c>
      <c r="B5011" s="803" t="s">
        <v>4810</v>
      </c>
      <c r="C5011" s="803" t="s">
        <v>4810</v>
      </c>
      <c r="D5011" s="803" t="s">
        <v>20047</v>
      </c>
      <c r="E5011" s="803">
        <v>60</v>
      </c>
      <c r="F5011" s="850">
        <v>5</v>
      </c>
      <c r="G5011" s="202" t="str">
        <f t="shared" si="77"/>
        <v/>
      </c>
    </row>
    <row r="5012" spans="1:7" s="172" customFormat="1" ht="15" customHeight="1" x14ac:dyDescent="0.25">
      <c r="A5012" s="803" t="s">
        <v>19420</v>
      </c>
      <c r="B5012" s="803" t="s">
        <v>4810</v>
      </c>
      <c r="C5012" s="803" t="s">
        <v>4810</v>
      </c>
      <c r="D5012" s="803" t="s">
        <v>20048</v>
      </c>
      <c r="E5012" s="803">
        <v>30</v>
      </c>
      <c r="F5012" s="850">
        <v>15</v>
      </c>
      <c r="G5012" s="202" t="str">
        <f t="shared" si="77"/>
        <v/>
      </c>
    </row>
    <row r="5013" spans="1:7" s="172" customFormat="1" ht="15" customHeight="1" x14ac:dyDescent="0.25">
      <c r="A5013" s="803" t="s">
        <v>19421</v>
      </c>
      <c r="B5013" s="803" t="s">
        <v>4810</v>
      </c>
      <c r="C5013" s="803" t="s">
        <v>4810</v>
      </c>
      <c r="D5013" s="803" t="s">
        <v>20049</v>
      </c>
      <c r="E5013" s="803">
        <v>63</v>
      </c>
      <c r="F5013" s="850">
        <v>0</v>
      </c>
      <c r="G5013" s="202" t="str">
        <f t="shared" si="77"/>
        <v/>
      </c>
    </row>
    <row r="5014" spans="1:7" s="172" customFormat="1" ht="15" customHeight="1" x14ac:dyDescent="0.25">
      <c r="A5014" s="803" t="s">
        <v>20050</v>
      </c>
      <c r="B5014" s="803" t="s">
        <v>4810</v>
      </c>
      <c r="C5014" s="803" t="s">
        <v>4810</v>
      </c>
      <c r="D5014" s="803" t="s">
        <v>20051</v>
      </c>
      <c r="E5014" s="803">
        <v>160</v>
      </c>
      <c r="F5014" s="850" t="s">
        <v>20052</v>
      </c>
      <c r="G5014" s="202" t="str">
        <f t="shared" si="77"/>
        <v/>
      </c>
    </row>
    <row r="5015" spans="1:7" s="172" customFormat="1" ht="15" customHeight="1" x14ac:dyDescent="0.25">
      <c r="A5015" s="803" t="s">
        <v>4838</v>
      </c>
      <c r="B5015" s="803" t="s">
        <v>4810</v>
      </c>
      <c r="C5015" s="803" t="s">
        <v>4810</v>
      </c>
      <c r="D5015" s="803" t="s">
        <v>20053</v>
      </c>
      <c r="E5015" s="803">
        <v>100</v>
      </c>
      <c r="F5015" s="850">
        <v>60</v>
      </c>
      <c r="G5015" s="202" t="str">
        <f t="shared" si="77"/>
        <v/>
      </c>
    </row>
    <row r="5016" spans="1:7" s="172" customFormat="1" ht="15" customHeight="1" x14ac:dyDescent="0.25">
      <c r="A5016" s="803" t="s">
        <v>19422</v>
      </c>
      <c r="B5016" s="803" t="s">
        <v>4810</v>
      </c>
      <c r="C5016" s="803" t="s">
        <v>4810</v>
      </c>
      <c r="D5016" s="803" t="s">
        <v>20054</v>
      </c>
      <c r="E5016" s="803">
        <v>250</v>
      </c>
      <c r="F5016" s="850">
        <v>90</v>
      </c>
      <c r="G5016" s="202" t="str">
        <f t="shared" si="77"/>
        <v/>
      </c>
    </row>
    <row r="5017" spans="1:7" s="172" customFormat="1" ht="15" customHeight="1" x14ac:dyDescent="0.25">
      <c r="A5017" s="803" t="s">
        <v>4839</v>
      </c>
      <c r="B5017" s="803" t="s">
        <v>4810</v>
      </c>
      <c r="C5017" s="803" t="s">
        <v>4810</v>
      </c>
      <c r="D5017" s="803" t="s">
        <v>20055</v>
      </c>
      <c r="E5017" s="803">
        <v>100</v>
      </c>
      <c r="F5017" s="850">
        <v>240</v>
      </c>
      <c r="G5017" s="202" t="str">
        <f t="shared" si="77"/>
        <v/>
      </c>
    </row>
    <row r="5018" spans="1:7" s="172" customFormat="1" ht="15" customHeight="1" x14ac:dyDescent="0.25">
      <c r="A5018" s="803" t="s">
        <v>4840</v>
      </c>
      <c r="B5018" s="803" t="s">
        <v>4810</v>
      </c>
      <c r="C5018" s="803" t="s">
        <v>4810</v>
      </c>
      <c r="D5018" s="803" t="s">
        <v>20056</v>
      </c>
      <c r="E5018" s="803">
        <v>63</v>
      </c>
      <c r="F5018" s="850">
        <v>40</v>
      </c>
      <c r="G5018" s="202" t="str">
        <f t="shared" si="77"/>
        <v/>
      </c>
    </row>
    <row r="5019" spans="1:7" s="172" customFormat="1" ht="15" customHeight="1" x14ac:dyDescent="0.25">
      <c r="A5019" s="803" t="s">
        <v>19423</v>
      </c>
      <c r="B5019" s="803" t="s">
        <v>4810</v>
      </c>
      <c r="C5019" s="803" t="s">
        <v>4810</v>
      </c>
      <c r="D5019" s="803" t="s">
        <v>20057</v>
      </c>
      <c r="E5019" s="803">
        <v>100</v>
      </c>
      <c r="F5019" s="850">
        <v>90</v>
      </c>
      <c r="G5019" s="202" t="str">
        <f t="shared" si="77"/>
        <v/>
      </c>
    </row>
    <row r="5020" spans="1:7" s="172" customFormat="1" ht="15" customHeight="1" x14ac:dyDescent="0.25">
      <c r="A5020" s="803" t="s">
        <v>19424</v>
      </c>
      <c r="B5020" s="803" t="s">
        <v>4810</v>
      </c>
      <c r="C5020" s="803" t="s">
        <v>4810</v>
      </c>
      <c r="D5020" s="803" t="s">
        <v>20058</v>
      </c>
      <c r="E5020" s="803">
        <v>250</v>
      </c>
      <c r="F5020" s="850">
        <v>10</v>
      </c>
      <c r="G5020" s="202" t="str">
        <f t="shared" si="77"/>
        <v/>
      </c>
    </row>
    <row r="5021" spans="1:7" s="172" customFormat="1" ht="15" customHeight="1" x14ac:dyDescent="0.25">
      <c r="A5021" s="803" t="s">
        <v>4841</v>
      </c>
      <c r="B5021" s="803" t="s">
        <v>4810</v>
      </c>
      <c r="C5021" s="803" t="s">
        <v>4810</v>
      </c>
      <c r="D5021" s="803" t="s">
        <v>20059</v>
      </c>
      <c r="E5021" s="803">
        <v>100</v>
      </c>
      <c r="F5021" s="850">
        <v>5</v>
      </c>
      <c r="G5021" s="202" t="str">
        <f t="shared" ref="G5021:G5083" si="78">IF(E5021=F5021,"не загружен","")</f>
        <v/>
      </c>
    </row>
    <row r="5022" spans="1:7" s="172" customFormat="1" ht="15" customHeight="1" x14ac:dyDescent="0.25">
      <c r="A5022" s="803" t="s">
        <v>19425</v>
      </c>
      <c r="B5022" s="803" t="s">
        <v>4810</v>
      </c>
      <c r="C5022" s="803" t="s">
        <v>4810</v>
      </c>
      <c r="D5022" s="803" t="s">
        <v>20060</v>
      </c>
      <c r="E5022" s="803">
        <v>30</v>
      </c>
      <c r="F5022" s="850">
        <v>30</v>
      </c>
      <c r="G5022" s="202" t="str">
        <f t="shared" si="78"/>
        <v>не загружен</v>
      </c>
    </row>
    <row r="5023" spans="1:7" s="172" customFormat="1" ht="15" customHeight="1" x14ac:dyDescent="0.25">
      <c r="A5023" s="803" t="s">
        <v>19426</v>
      </c>
      <c r="B5023" s="803" t="s">
        <v>4810</v>
      </c>
      <c r="C5023" s="803" t="s">
        <v>4810</v>
      </c>
      <c r="D5023" s="803" t="s">
        <v>20061</v>
      </c>
      <c r="E5023" s="803">
        <v>60</v>
      </c>
      <c r="F5023" s="850">
        <v>20</v>
      </c>
      <c r="G5023" s="202" t="str">
        <f t="shared" si="78"/>
        <v/>
      </c>
    </row>
    <row r="5024" spans="1:7" s="172" customFormat="1" ht="15" customHeight="1" x14ac:dyDescent="0.25">
      <c r="A5024" s="803" t="s">
        <v>4842</v>
      </c>
      <c r="B5024" s="803" t="s">
        <v>4810</v>
      </c>
      <c r="C5024" s="803" t="s">
        <v>4810</v>
      </c>
      <c r="D5024" s="803" t="s">
        <v>20062</v>
      </c>
      <c r="E5024" s="803">
        <v>100</v>
      </c>
      <c r="F5024" s="850">
        <v>50</v>
      </c>
      <c r="G5024" s="202" t="str">
        <f t="shared" si="78"/>
        <v/>
      </c>
    </row>
    <row r="5025" spans="1:7" s="172" customFormat="1" ht="15" customHeight="1" x14ac:dyDescent="0.25">
      <c r="A5025" s="803" t="s">
        <v>19427</v>
      </c>
      <c r="B5025" s="803" t="s">
        <v>4810</v>
      </c>
      <c r="C5025" s="803" t="s">
        <v>4810</v>
      </c>
      <c r="D5025" s="803" t="s">
        <v>20063</v>
      </c>
      <c r="E5025" s="803">
        <v>40</v>
      </c>
      <c r="F5025" s="850">
        <v>5</v>
      </c>
      <c r="G5025" s="202" t="str">
        <f t="shared" si="78"/>
        <v/>
      </c>
    </row>
    <row r="5026" spans="1:7" s="172" customFormat="1" ht="15" customHeight="1" x14ac:dyDescent="0.25">
      <c r="A5026" s="803" t="s">
        <v>4843</v>
      </c>
      <c r="B5026" s="803" t="s">
        <v>4810</v>
      </c>
      <c r="C5026" s="803" t="s">
        <v>4810</v>
      </c>
      <c r="D5026" s="803" t="s">
        <v>20064</v>
      </c>
      <c r="E5026" s="803">
        <v>25</v>
      </c>
      <c r="F5026" s="850">
        <v>5</v>
      </c>
      <c r="G5026" s="202" t="str">
        <f t="shared" si="78"/>
        <v/>
      </c>
    </row>
    <row r="5027" spans="1:7" s="172" customFormat="1" ht="15" customHeight="1" x14ac:dyDescent="0.25">
      <c r="A5027" s="803" t="s">
        <v>2463</v>
      </c>
      <c r="B5027" s="803" t="s">
        <v>4810</v>
      </c>
      <c r="C5027" s="803" t="s">
        <v>4810</v>
      </c>
      <c r="D5027" s="803" t="s">
        <v>20065</v>
      </c>
      <c r="E5027" s="803">
        <v>60</v>
      </c>
      <c r="F5027" s="850">
        <v>150</v>
      </c>
      <c r="G5027" s="202" t="str">
        <f t="shared" si="78"/>
        <v/>
      </c>
    </row>
    <row r="5028" spans="1:7" s="172" customFormat="1" ht="15" customHeight="1" x14ac:dyDescent="0.25">
      <c r="A5028" s="803" t="s">
        <v>19428</v>
      </c>
      <c r="B5028" s="803" t="s">
        <v>4810</v>
      </c>
      <c r="C5028" s="803" t="s">
        <v>4810</v>
      </c>
      <c r="D5028" s="803" t="s">
        <v>20066</v>
      </c>
      <c r="E5028" s="803">
        <v>250</v>
      </c>
      <c r="F5028" s="850">
        <v>40</v>
      </c>
      <c r="G5028" s="202" t="str">
        <f t="shared" si="78"/>
        <v/>
      </c>
    </row>
    <row r="5029" spans="1:7" s="172" customFormat="1" ht="15" customHeight="1" x14ac:dyDescent="0.25">
      <c r="A5029" s="803" t="s">
        <v>19429</v>
      </c>
      <c r="B5029" s="803" t="s">
        <v>4810</v>
      </c>
      <c r="C5029" s="803" t="s">
        <v>4810</v>
      </c>
      <c r="D5029" s="803" t="s">
        <v>20067</v>
      </c>
      <c r="E5029" s="803">
        <v>100</v>
      </c>
      <c r="F5029" s="850">
        <v>10</v>
      </c>
      <c r="G5029" s="202" t="str">
        <f t="shared" si="78"/>
        <v/>
      </c>
    </row>
    <row r="5030" spans="1:7" s="172" customFormat="1" ht="15" customHeight="1" x14ac:dyDescent="0.25">
      <c r="A5030" s="803" t="s">
        <v>19430</v>
      </c>
      <c r="B5030" s="803" t="s">
        <v>4810</v>
      </c>
      <c r="C5030" s="803" t="s">
        <v>4810</v>
      </c>
      <c r="D5030" s="803" t="s">
        <v>20068</v>
      </c>
      <c r="E5030" s="803">
        <v>63</v>
      </c>
      <c r="F5030" s="850">
        <v>2</v>
      </c>
      <c r="G5030" s="202" t="str">
        <f t="shared" si="78"/>
        <v/>
      </c>
    </row>
    <row r="5031" spans="1:7" s="172" customFormat="1" ht="15" customHeight="1" x14ac:dyDescent="0.25">
      <c r="A5031" s="803" t="s">
        <v>19431</v>
      </c>
      <c r="B5031" s="803" t="s">
        <v>4810</v>
      </c>
      <c r="C5031" s="803" t="s">
        <v>4810</v>
      </c>
      <c r="D5031" s="803" t="s">
        <v>20069</v>
      </c>
      <c r="E5031" s="803">
        <v>100</v>
      </c>
      <c r="F5031" s="850">
        <v>20</v>
      </c>
      <c r="G5031" s="202" t="str">
        <f t="shared" si="78"/>
        <v/>
      </c>
    </row>
    <row r="5032" spans="1:7" s="172" customFormat="1" ht="15" customHeight="1" x14ac:dyDescent="0.25">
      <c r="A5032" s="803" t="s">
        <v>4846</v>
      </c>
      <c r="B5032" s="803" t="s">
        <v>4810</v>
      </c>
      <c r="C5032" s="803" t="s">
        <v>4810</v>
      </c>
      <c r="D5032" s="803" t="s">
        <v>20070</v>
      </c>
      <c r="E5032" s="803">
        <v>100</v>
      </c>
      <c r="F5032" s="850">
        <v>20</v>
      </c>
      <c r="G5032" s="202" t="str">
        <f t="shared" si="78"/>
        <v/>
      </c>
    </row>
    <row r="5033" spans="1:7" s="172" customFormat="1" ht="15" customHeight="1" x14ac:dyDescent="0.25">
      <c r="A5033" s="803" t="s">
        <v>19432</v>
      </c>
      <c r="B5033" s="803" t="s">
        <v>4810</v>
      </c>
      <c r="C5033" s="803" t="s">
        <v>4810</v>
      </c>
      <c r="D5033" s="803" t="s">
        <v>20071</v>
      </c>
      <c r="E5033" s="803">
        <v>100</v>
      </c>
      <c r="F5033" s="850">
        <v>30</v>
      </c>
      <c r="G5033" s="202" t="str">
        <f t="shared" si="78"/>
        <v/>
      </c>
    </row>
    <row r="5034" spans="1:7" s="172" customFormat="1" ht="15" customHeight="1" x14ac:dyDescent="0.25">
      <c r="A5034" s="803" t="s">
        <v>19433</v>
      </c>
      <c r="B5034" s="803" t="s">
        <v>4810</v>
      </c>
      <c r="C5034" s="803" t="s">
        <v>4810</v>
      </c>
      <c r="D5034" s="803" t="s">
        <v>20072</v>
      </c>
      <c r="E5034" s="803">
        <v>63</v>
      </c>
      <c r="F5034" s="850">
        <v>5</v>
      </c>
      <c r="G5034" s="202" t="str">
        <f t="shared" si="78"/>
        <v/>
      </c>
    </row>
    <row r="5035" spans="1:7" s="172" customFormat="1" ht="15" customHeight="1" x14ac:dyDescent="0.25">
      <c r="A5035" s="803" t="s">
        <v>4847</v>
      </c>
      <c r="B5035" s="803" t="s">
        <v>4810</v>
      </c>
      <c r="C5035" s="803" t="s">
        <v>4810</v>
      </c>
      <c r="D5035" s="803" t="s">
        <v>20073</v>
      </c>
      <c r="E5035" s="803">
        <v>60</v>
      </c>
      <c r="F5035" s="850">
        <v>60</v>
      </c>
      <c r="G5035" s="202" t="str">
        <f t="shared" si="78"/>
        <v>не загружен</v>
      </c>
    </row>
    <row r="5036" spans="1:7" s="172" customFormat="1" ht="15" customHeight="1" x14ac:dyDescent="0.25">
      <c r="A5036" s="803" t="s">
        <v>19434</v>
      </c>
      <c r="B5036" s="803" t="s">
        <v>4810</v>
      </c>
      <c r="C5036" s="803" t="s">
        <v>4810</v>
      </c>
      <c r="D5036" s="803" t="s">
        <v>20074</v>
      </c>
      <c r="E5036" s="803">
        <v>63</v>
      </c>
      <c r="F5036" s="850">
        <v>150</v>
      </c>
      <c r="G5036" s="202" t="str">
        <f t="shared" si="78"/>
        <v/>
      </c>
    </row>
    <row r="5037" spans="1:7" s="172" customFormat="1" ht="15" customHeight="1" x14ac:dyDescent="0.25">
      <c r="A5037" s="803" t="s">
        <v>19435</v>
      </c>
      <c r="B5037" s="803" t="s">
        <v>4810</v>
      </c>
      <c r="C5037" s="803" t="s">
        <v>4810</v>
      </c>
      <c r="D5037" s="803" t="s">
        <v>20075</v>
      </c>
      <c r="E5037" s="803">
        <v>400</v>
      </c>
      <c r="F5037" s="850">
        <v>150</v>
      </c>
      <c r="G5037" s="202" t="str">
        <f t="shared" si="78"/>
        <v/>
      </c>
    </row>
    <row r="5038" spans="1:7" s="172" customFormat="1" ht="15" customHeight="1" x14ac:dyDescent="0.25">
      <c r="A5038" s="803" t="s">
        <v>17166</v>
      </c>
      <c r="B5038" s="803" t="s">
        <v>4810</v>
      </c>
      <c r="C5038" s="803" t="s">
        <v>4810</v>
      </c>
      <c r="D5038" s="803" t="s">
        <v>20076</v>
      </c>
      <c r="E5038" s="803">
        <v>100</v>
      </c>
      <c r="F5038" s="850">
        <v>90</v>
      </c>
      <c r="G5038" s="202" t="str">
        <f t="shared" si="78"/>
        <v/>
      </c>
    </row>
    <row r="5039" spans="1:7" s="172" customFormat="1" ht="15" customHeight="1" x14ac:dyDescent="0.25">
      <c r="A5039" s="803" t="s">
        <v>19436</v>
      </c>
      <c r="B5039" s="803" t="s">
        <v>4810</v>
      </c>
      <c r="C5039" s="803" t="s">
        <v>4810</v>
      </c>
      <c r="D5039" s="803" t="s">
        <v>20077</v>
      </c>
      <c r="E5039" s="803">
        <v>160</v>
      </c>
      <c r="F5039" s="850">
        <v>10</v>
      </c>
      <c r="G5039" s="202" t="str">
        <f t="shared" si="78"/>
        <v/>
      </c>
    </row>
    <row r="5040" spans="1:7" s="172" customFormat="1" ht="15" customHeight="1" x14ac:dyDescent="0.25">
      <c r="A5040" s="803" t="s">
        <v>19437</v>
      </c>
      <c r="B5040" s="803" t="s">
        <v>4810</v>
      </c>
      <c r="C5040" s="803" t="s">
        <v>4810</v>
      </c>
      <c r="D5040" s="803" t="s">
        <v>20078</v>
      </c>
      <c r="E5040" s="803">
        <v>160</v>
      </c>
      <c r="F5040" s="850">
        <v>30</v>
      </c>
      <c r="G5040" s="202" t="str">
        <f t="shared" si="78"/>
        <v/>
      </c>
    </row>
    <row r="5041" spans="1:7" s="172" customFormat="1" ht="15" customHeight="1" x14ac:dyDescent="0.25">
      <c r="A5041" s="803" t="s">
        <v>4848</v>
      </c>
      <c r="B5041" s="803" t="s">
        <v>4810</v>
      </c>
      <c r="C5041" s="803" t="s">
        <v>4810</v>
      </c>
      <c r="D5041" s="803" t="s">
        <v>20079</v>
      </c>
      <c r="E5041" s="803">
        <v>30</v>
      </c>
      <c r="F5041" s="850">
        <v>10</v>
      </c>
      <c r="G5041" s="202" t="str">
        <f t="shared" si="78"/>
        <v/>
      </c>
    </row>
    <row r="5042" spans="1:7" s="172" customFormat="1" ht="15" customHeight="1" x14ac:dyDescent="0.25">
      <c r="A5042" s="803" t="s">
        <v>19438</v>
      </c>
      <c r="B5042" s="803" t="s">
        <v>4810</v>
      </c>
      <c r="C5042" s="803" t="s">
        <v>4810</v>
      </c>
      <c r="D5042" s="803" t="s">
        <v>20080</v>
      </c>
      <c r="E5042" s="803">
        <v>100</v>
      </c>
      <c r="F5042" s="850">
        <v>10</v>
      </c>
      <c r="G5042" s="202" t="str">
        <f t="shared" si="78"/>
        <v/>
      </c>
    </row>
    <row r="5043" spans="1:7" s="172" customFormat="1" ht="15" customHeight="1" x14ac:dyDescent="0.25">
      <c r="A5043" s="803" t="s">
        <v>17714</v>
      </c>
      <c r="B5043" s="803" t="s">
        <v>4810</v>
      </c>
      <c r="C5043" s="803" t="s">
        <v>4810</v>
      </c>
      <c r="D5043" s="803" t="s">
        <v>20081</v>
      </c>
      <c r="E5043" s="803">
        <v>40</v>
      </c>
      <c r="F5043" s="850">
        <v>10</v>
      </c>
      <c r="G5043" s="202" t="str">
        <f t="shared" si="78"/>
        <v/>
      </c>
    </row>
    <row r="5044" spans="1:7" s="172" customFormat="1" ht="15" customHeight="1" x14ac:dyDescent="0.25">
      <c r="A5044" s="803" t="s">
        <v>19439</v>
      </c>
      <c r="B5044" s="803" t="s">
        <v>4810</v>
      </c>
      <c r="C5044" s="803" t="s">
        <v>4810</v>
      </c>
      <c r="D5044" s="803" t="s">
        <v>20082</v>
      </c>
      <c r="E5044" s="803">
        <v>63</v>
      </c>
      <c r="F5044" s="850">
        <v>10</v>
      </c>
      <c r="G5044" s="202" t="str">
        <f t="shared" si="78"/>
        <v/>
      </c>
    </row>
    <row r="5045" spans="1:7" s="172" customFormat="1" ht="15" customHeight="1" x14ac:dyDescent="0.25">
      <c r="A5045" s="803" t="s">
        <v>19440</v>
      </c>
      <c r="B5045" s="803" t="s">
        <v>4810</v>
      </c>
      <c r="C5045" s="803" t="s">
        <v>4810</v>
      </c>
      <c r="D5045" s="803" t="s">
        <v>20083</v>
      </c>
      <c r="E5045" s="803">
        <v>400</v>
      </c>
      <c r="F5045" s="850">
        <v>70</v>
      </c>
      <c r="G5045" s="202" t="str">
        <f t="shared" si="78"/>
        <v/>
      </c>
    </row>
    <row r="5046" spans="1:7" s="172" customFormat="1" ht="15" customHeight="1" x14ac:dyDescent="0.25">
      <c r="A5046" s="803" t="s">
        <v>19441</v>
      </c>
      <c r="B5046" s="803" t="s">
        <v>4810</v>
      </c>
      <c r="C5046" s="803" t="s">
        <v>4810</v>
      </c>
      <c r="D5046" s="803" t="s">
        <v>20084</v>
      </c>
      <c r="E5046" s="803">
        <v>160</v>
      </c>
      <c r="F5046" s="850">
        <v>5</v>
      </c>
      <c r="G5046" s="202" t="str">
        <f t="shared" si="78"/>
        <v/>
      </c>
    </row>
    <row r="5047" spans="1:7" s="172" customFormat="1" ht="15" customHeight="1" x14ac:dyDescent="0.25">
      <c r="A5047" s="803" t="s">
        <v>19442</v>
      </c>
      <c r="B5047" s="803" t="s">
        <v>4810</v>
      </c>
      <c r="C5047" s="803" t="s">
        <v>4810</v>
      </c>
      <c r="D5047" s="803" t="s">
        <v>20085</v>
      </c>
      <c r="E5047" s="803">
        <v>63</v>
      </c>
      <c r="F5047" s="850">
        <v>5</v>
      </c>
      <c r="G5047" s="202" t="str">
        <f t="shared" si="78"/>
        <v/>
      </c>
    </row>
    <row r="5048" spans="1:7" s="172" customFormat="1" ht="15" customHeight="1" x14ac:dyDescent="0.25">
      <c r="A5048" s="803" t="s">
        <v>19443</v>
      </c>
      <c r="B5048" s="803" t="s">
        <v>4810</v>
      </c>
      <c r="C5048" s="803" t="s">
        <v>4810</v>
      </c>
      <c r="D5048" s="803" t="s">
        <v>20086</v>
      </c>
      <c r="E5048" s="803">
        <v>400</v>
      </c>
      <c r="F5048" s="850">
        <v>10</v>
      </c>
      <c r="G5048" s="202" t="str">
        <f t="shared" si="78"/>
        <v/>
      </c>
    </row>
    <row r="5049" spans="1:7" s="172" customFormat="1" ht="15" customHeight="1" x14ac:dyDescent="0.25">
      <c r="A5049" s="803" t="s">
        <v>19444</v>
      </c>
      <c r="B5049" s="803" t="s">
        <v>4810</v>
      </c>
      <c r="C5049" s="803" t="s">
        <v>4810</v>
      </c>
      <c r="D5049" s="803" t="s">
        <v>20087</v>
      </c>
      <c r="E5049" s="803">
        <v>100</v>
      </c>
      <c r="F5049" s="850">
        <v>10</v>
      </c>
      <c r="G5049" s="202" t="str">
        <f t="shared" si="78"/>
        <v/>
      </c>
    </row>
    <row r="5050" spans="1:7" s="172" customFormat="1" ht="15" customHeight="1" x14ac:dyDescent="0.25">
      <c r="A5050" s="803" t="s">
        <v>4851</v>
      </c>
      <c r="B5050" s="803" t="s">
        <v>4810</v>
      </c>
      <c r="C5050" s="803" t="s">
        <v>4810</v>
      </c>
      <c r="D5050" s="803" t="s">
        <v>20088</v>
      </c>
      <c r="E5050" s="803">
        <v>60</v>
      </c>
      <c r="F5050" s="850">
        <v>60</v>
      </c>
      <c r="G5050" s="202" t="str">
        <f t="shared" si="78"/>
        <v>не загружен</v>
      </c>
    </row>
    <row r="5051" spans="1:7" s="172" customFormat="1" ht="15" customHeight="1" x14ac:dyDescent="0.25">
      <c r="A5051" s="803" t="s">
        <v>4852</v>
      </c>
      <c r="B5051" s="803" t="s">
        <v>4810</v>
      </c>
      <c r="C5051" s="803" t="s">
        <v>4810</v>
      </c>
      <c r="D5051" s="803" t="s">
        <v>20089</v>
      </c>
      <c r="E5051" s="803">
        <v>63</v>
      </c>
      <c r="F5051" s="850">
        <v>40</v>
      </c>
      <c r="G5051" s="202" t="str">
        <f t="shared" si="78"/>
        <v/>
      </c>
    </row>
    <row r="5052" spans="1:7" s="172" customFormat="1" ht="15" customHeight="1" x14ac:dyDescent="0.25">
      <c r="A5052" s="803" t="s">
        <v>4854</v>
      </c>
      <c r="B5052" s="803" t="s">
        <v>4810</v>
      </c>
      <c r="C5052" s="803" t="s">
        <v>4810</v>
      </c>
      <c r="D5052" s="803" t="s">
        <v>20090</v>
      </c>
      <c r="E5052" s="803">
        <v>10</v>
      </c>
      <c r="F5052" s="850">
        <v>10</v>
      </c>
      <c r="G5052" s="202" t="str">
        <f t="shared" si="78"/>
        <v>не загружен</v>
      </c>
    </row>
    <row r="5053" spans="1:7" s="172" customFormat="1" ht="15" customHeight="1" x14ac:dyDescent="0.25">
      <c r="A5053" s="803" t="s">
        <v>4855</v>
      </c>
      <c r="B5053" s="803" t="s">
        <v>4810</v>
      </c>
      <c r="C5053" s="803" t="s">
        <v>4810</v>
      </c>
      <c r="D5053" s="803" t="s">
        <v>20091</v>
      </c>
      <c r="E5053" s="803">
        <v>160</v>
      </c>
      <c r="F5053" s="850">
        <v>10</v>
      </c>
      <c r="G5053" s="202" t="str">
        <f t="shared" si="78"/>
        <v/>
      </c>
    </row>
    <row r="5054" spans="1:7" s="172" customFormat="1" ht="15" customHeight="1" x14ac:dyDescent="0.25">
      <c r="A5054" s="803" t="s">
        <v>4856</v>
      </c>
      <c r="B5054" s="803" t="s">
        <v>4810</v>
      </c>
      <c r="C5054" s="803" t="s">
        <v>4810</v>
      </c>
      <c r="D5054" s="803" t="s">
        <v>20092</v>
      </c>
      <c r="E5054" s="803">
        <v>100</v>
      </c>
      <c r="F5054" s="850">
        <v>90</v>
      </c>
      <c r="G5054" s="202" t="str">
        <f t="shared" si="78"/>
        <v/>
      </c>
    </row>
    <row r="5055" spans="1:7" s="172" customFormat="1" ht="15" customHeight="1" x14ac:dyDescent="0.25">
      <c r="A5055" s="803" t="s">
        <v>19445</v>
      </c>
      <c r="B5055" s="803" t="s">
        <v>4810</v>
      </c>
      <c r="C5055" s="803" t="s">
        <v>4810</v>
      </c>
      <c r="D5055" s="803" t="s">
        <v>20093</v>
      </c>
      <c r="E5055" s="803">
        <v>100</v>
      </c>
      <c r="F5055" s="850">
        <v>20</v>
      </c>
      <c r="G5055" s="202" t="str">
        <f t="shared" si="78"/>
        <v/>
      </c>
    </row>
    <row r="5056" spans="1:7" s="172" customFormat="1" ht="15" customHeight="1" x14ac:dyDescent="0.25">
      <c r="A5056" s="803" t="s">
        <v>19446</v>
      </c>
      <c r="B5056" s="803" t="s">
        <v>4810</v>
      </c>
      <c r="C5056" s="803" t="s">
        <v>4810</v>
      </c>
      <c r="D5056" s="803" t="s">
        <v>20094</v>
      </c>
      <c r="E5056" s="803">
        <v>100</v>
      </c>
      <c r="F5056" s="850">
        <v>20</v>
      </c>
      <c r="G5056" s="202" t="str">
        <f t="shared" si="78"/>
        <v/>
      </c>
    </row>
    <row r="5057" spans="1:7" s="172" customFormat="1" ht="15" customHeight="1" x14ac:dyDescent="0.25">
      <c r="A5057" s="803" t="s">
        <v>4857</v>
      </c>
      <c r="B5057" s="803" t="s">
        <v>4810</v>
      </c>
      <c r="C5057" s="803" t="s">
        <v>4810</v>
      </c>
      <c r="D5057" s="803" t="s">
        <v>20095</v>
      </c>
      <c r="E5057" s="803">
        <v>10</v>
      </c>
      <c r="F5057" s="850">
        <v>0</v>
      </c>
      <c r="G5057" s="202" t="str">
        <f t="shared" si="78"/>
        <v/>
      </c>
    </row>
    <row r="5058" spans="1:7" s="172" customFormat="1" ht="15" customHeight="1" x14ac:dyDescent="0.25">
      <c r="A5058" s="803" t="s">
        <v>3006</v>
      </c>
      <c r="B5058" s="803" t="s">
        <v>4810</v>
      </c>
      <c r="C5058" s="803" t="s">
        <v>4810</v>
      </c>
      <c r="D5058" s="803" t="s">
        <v>20096</v>
      </c>
      <c r="E5058" s="803">
        <v>63</v>
      </c>
      <c r="F5058" s="850">
        <v>90</v>
      </c>
      <c r="G5058" s="202" t="str">
        <f t="shared" si="78"/>
        <v/>
      </c>
    </row>
    <row r="5059" spans="1:7" s="172" customFormat="1" ht="15" customHeight="1" x14ac:dyDescent="0.25">
      <c r="A5059" s="803" t="s">
        <v>4859</v>
      </c>
      <c r="B5059" s="803" t="s">
        <v>4810</v>
      </c>
      <c r="C5059" s="803" t="s">
        <v>4810</v>
      </c>
      <c r="D5059" s="803" t="s">
        <v>20097</v>
      </c>
      <c r="E5059" s="803">
        <v>60</v>
      </c>
      <c r="F5059" s="850">
        <v>60</v>
      </c>
      <c r="G5059" s="202" t="str">
        <f t="shared" si="78"/>
        <v>не загружен</v>
      </c>
    </row>
    <row r="5060" spans="1:7" s="172" customFormat="1" ht="15" customHeight="1" x14ac:dyDescent="0.25">
      <c r="A5060" s="803" t="s">
        <v>19447</v>
      </c>
      <c r="B5060" s="803" t="s">
        <v>4810</v>
      </c>
      <c r="C5060" s="803" t="s">
        <v>4810</v>
      </c>
      <c r="D5060" s="803" t="s">
        <v>20098</v>
      </c>
      <c r="E5060" s="803">
        <v>60</v>
      </c>
      <c r="F5060" s="850">
        <v>5</v>
      </c>
      <c r="G5060" s="202" t="str">
        <f t="shared" si="78"/>
        <v/>
      </c>
    </row>
    <row r="5061" spans="1:7" s="172" customFormat="1" ht="15" customHeight="1" x14ac:dyDescent="0.25">
      <c r="A5061" s="803" t="s">
        <v>19448</v>
      </c>
      <c r="B5061" s="803" t="s">
        <v>4810</v>
      </c>
      <c r="C5061" s="803" t="s">
        <v>4810</v>
      </c>
      <c r="D5061" s="803" t="s">
        <v>20099</v>
      </c>
      <c r="E5061" s="803">
        <v>100</v>
      </c>
      <c r="F5061" s="850">
        <v>100</v>
      </c>
      <c r="G5061" s="202" t="str">
        <f t="shared" si="78"/>
        <v>не загружен</v>
      </c>
    </row>
    <row r="5062" spans="1:7" s="172" customFormat="1" ht="15" customHeight="1" x14ac:dyDescent="0.25">
      <c r="A5062" s="803" t="s">
        <v>4861</v>
      </c>
      <c r="B5062" s="803" t="s">
        <v>4810</v>
      </c>
      <c r="C5062" s="803" t="s">
        <v>4810</v>
      </c>
      <c r="D5062" s="803" t="s">
        <v>20100</v>
      </c>
      <c r="E5062" s="803">
        <v>160</v>
      </c>
      <c r="F5062" s="850">
        <v>5</v>
      </c>
      <c r="G5062" s="202" t="str">
        <f t="shared" si="78"/>
        <v/>
      </c>
    </row>
    <row r="5063" spans="1:7" s="172" customFormat="1" ht="15" customHeight="1" x14ac:dyDescent="0.25">
      <c r="A5063" s="803" t="s">
        <v>4862</v>
      </c>
      <c r="B5063" s="803" t="s">
        <v>4810</v>
      </c>
      <c r="C5063" s="803" t="s">
        <v>4810</v>
      </c>
      <c r="D5063" s="803" t="s">
        <v>20101</v>
      </c>
      <c r="E5063" s="803">
        <v>160</v>
      </c>
      <c r="F5063" s="850">
        <v>10</v>
      </c>
      <c r="G5063" s="202" t="str">
        <f t="shared" si="78"/>
        <v/>
      </c>
    </row>
    <row r="5064" spans="1:7" s="172" customFormat="1" ht="15" customHeight="1" x14ac:dyDescent="0.25">
      <c r="A5064" s="803" t="s">
        <v>4863</v>
      </c>
      <c r="B5064" s="803" t="s">
        <v>4810</v>
      </c>
      <c r="C5064" s="803" t="s">
        <v>4810</v>
      </c>
      <c r="D5064" s="803" t="s">
        <v>20102</v>
      </c>
      <c r="E5064" s="803">
        <v>400</v>
      </c>
      <c r="F5064" s="850">
        <v>10</v>
      </c>
      <c r="G5064" s="202" t="str">
        <f t="shared" si="78"/>
        <v/>
      </c>
    </row>
    <row r="5065" spans="1:7" s="172" customFormat="1" ht="15" customHeight="1" x14ac:dyDescent="0.25">
      <c r="A5065" s="803" t="s">
        <v>19449</v>
      </c>
      <c r="B5065" s="803" t="s">
        <v>4810</v>
      </c>
      <c r="C5065" s="803" t="s">
        <v>4810</v>
      </c>
      <c r="D5065" s="803" t="s">
        <v>20103</v>
      </c>
      <c r="E5065" s="803">
        <v>400</v>
      </c>
      <c r="F5065" s="850">
        <v>10</v>
      </c>
      <c r="G5065" s="202" t="str">
        <f t="shared" si="78"/>
        <v/>
      </c>
    </row>
    <row r="5066" spans="1:7" s="172" customFormat="1" ht="15" customHeight="1" x14ac:dyDescent="0.25">
      <c r="A5066" s="803" t="s">
        <v>4864</v>
      </c>
      <c r="B5066" s="803" t="s">
        <v>4810</v>
      </c>
      <c r="C5066" s="803" t="s">
        <v>4810</v>
      </c>
      <c r="D5066" s="803" t="s">
        <v>20104</v>
      </c>
      <c r="E5066" s="803">
        <v>63</v>
      </c>
      <c r="F5066" s="850">
        <v>10</v>
      </c>
      <c r="G5066" s="202" t="str">
        <f t="shared" si="78"/>
        <v/>
      </c>
    </row>
    <row r="5067" spans="1:7" s="172" customFormat="1" ht="15" customHeight="1" x14ac:dyDescent="0.25">
      <c r="A5067" s="803" t="s">
        <v>19450</v>
      </c>
      <c r="B5067" s="803" t="s">
        <v>4810</v>
      </c>
      <c r="C5067" s="803" t="s">
        <v>4810</v>
      </c>
      <c r="D5067" s="803" t="s">
        <v>20105</v>
      </c>
      <c r="E5067" s="803">
        <v>250</v>
      </c>
      <c r="F5067" s="850">
        <v>100</v>
      </c>
      <c r="G5067" s="202" t="str">
        <f t="shared" si="78"/>
        <v/>
      </c>
    </row>
    <row r="5068" spans="1:7" s="172" customFormat="1" ht="15" customHeight="1" x14ac:dyDescent="0.25">
      <c r="A5068" s="803" t="s">
        <v>19451</v>
      </c>
      <c r="B5068" s="803" t="s">
        <v>4810</v>
      </c>
      <c r="C5068" s="803" t="s">
        <v>4810</v>
      </c>
      <c r="D5068" s="803" t="s">
        <v>20106</v>
      </c>
      <c r="E5068" s="803">
        <v>400</v>
      </c>
      <c r="F5068" s="850">
        <v>5</v>
      </c>
      <c r="G5068" s="202" t="str">
        <f t="shared" si="78"/>
        <v/>
      </c>
    </row>
    <row r="5069" spans="1:7" s="172" customFormat="1" ht="15" customHeight="1" x14ac:dyDescent="0.25">
      <c r="A5069" s="803" t="s">
        <v>19452</v>
      </c>
      <c r="B5069" s="803" t="s">
        <v>4810</v>
      </c>
      <c r="C5069" s="803" t="s">
        <v>4810</v>
      </c>
      <c r="D5069" s="803" t="s">
        <v>20107</v>
      </c>
      <c r="E5069" s="803">
        <v>160</v>
      </c>
      <c r="F5069" s="850">
        <v>5</v>
      </c>
      <c r="G5069" s="202" t="str">
        <f t="shared" si="78"/>
        <v/>
      </c>
    </row>
    <row r="5070" spans="1:7" s="172" customFormat="1" ht="15" customHeight="1" x14ac:dyDescent="0.25">
      <c r="A5070" s="803" t="s">
        <v>4865</v>
      </c>
      <c r="B5070" s="803" t="s">
        <v>4810</v>
      </c>
      <c r="C5070" s="803" t="s">
        <v>4810</v>
      </c>
      <c r="D5070" s="803" t="s">
        <v>20108</v>
      </c>
      <c r="E5070" s="803">
        <v>100</v>
      </c>
      <c r="F5070" s="850">
        <v>30</v>
      </c>
      <c r="G5070" s="202" t="str">
        <f t="shared" si="78"/>
        <v/>
      </c>
    </row>
    <row r="5071" spans="1:7" s="172" customFormat="1" ht="15" customHeight="1" x14ac:dyDescent="0.25">
      <c r="A5071" s="803" t="s">
        <v>19453</v>
      </c>
      <c r="B5071" s="803" t="s">
        <v>4810</v>
      </c>
      <c r="C5071" s="803" t="s">
        <v>4810</v>
      </c>
      <c r="D5071" s="803" t="s">
        <v>20109</v>
      </c>
      <c r="E5071" s="803">
        <v>60</v>
      </c>
      <c r="F5071" s="850">
        <v>10</v>
      </c>
      <c r="G5071" s="202" t="str">
        <f t="shared" si="78"/>
        <v/>
      </c>
    </row>
    <row r="5072" spans="1:7" s="172" customFormat="1" ht="15" customHeight="1" x14ac:dyDescent="0.25">
      <c r="A5072" s="803" t="s">
        <v>19454</v>
      </c>
      <c r="B5072" s="803" t="s">
        <v>4810</v>
      </c>
      <c r="C5072" s="803" t="s">
        <v>4810</v>
      </c>
      <c r="D5072" s="803" t="s">
        <v>20110</v>
      </c>
      <c r="E5072" s="803">
        <v>100</v>
      </c>
      <c r="F5072" s="850">
        <v>60</v>
      </c>
      <c r="G5072" s="202" t="str">
        <f t="shared" si="78"/>
        <v/>
      </c>
    </row>
    <row r="5073" spans="1:7" s="172" customFormat="1" ht="15" customHeight="1" x14ac:dyDescent="0.25">
      <c r="A5073" s="803" t="s">
        <v>19455</v>
      </c>
      <c r="B5073" s="803" t="s">
        <v>4810</v>
      </c>
      <c r="C5073" s="803" t="s">
        <v>4810</v>
      </c>
      <c r="D5073" s="803" t="s">
        <v>20111</v>
      </c>
      <c r="E5073" s="803">
        <v>100</v>
      </c>
      <c r="F5073" s="850">
        <v>150</v>
      </c>
      <c r="G5073" s="202" t="str">
        <f t="shared" si="78"/>
        <v/>
      </c>
    </row>
    <row r="5074" spans="1:7" s="172" customFormat="1" ht="15" customHeight="1" x14ac:dyDescent="0.25">
      <c r="A5074" s="803" t="s">
        <v>19456</v>
      </c>
      <c r="B5074" s="803" t="s">
        <v>4810</v>
      </c>
      <c r="C5074" s="803" t="s">
        <v>4810</v>
      </c>
      <c r="D5074" s="803" t="s">
        <v>20112</v>
      </c>
      <c r="E5074" s="803">
        <v>30</v>
      </c>
      <c r="F5074" s="850">
        <v>250</v>
      </c>
      <c r="G5074" s="202" t="str">
        <f t="shared" si="78"/>
        <v/>
      </c>
    </row>
    <row r="5075" spans="1:7" s="172" customFormat="1" ht="15" customHeight="1" x14ac:dyDescent="0.25">
      <c r="A5075" s="803" t="s">
        <v>19457</v>
      </c>
      <c r="B5075" s="803" t="s">
        <v>4810</v>
      </c>
      <c r="C5075" s="803" t="s">
        <v>4810</v>
      </c>
      <c r="D5075" s="803" t="s">
        <v>20113</v>
      </c>
      <c r="E5075" s="803">
        <v>63</v>
      </c>
      <c r="F5075" s="850">
        <v>10</v>
      </c>
      <c r="G5075" s="202" t="str">
        <f t="shared" si="78"/>
        <v/>
      </c>
    </row>
    <row r="5076" spans="1:7" s="172" customFormat="1" ht="15" customHeight="1" x14ac:dyDescent="0.25">
      <c r="A5076" s="803" t="s">
        <v>19458</v>
      </c>
      <c r="B5076" s="803" t="s">
        <v>4810</v>
      </c>
      <c r="C5076" s="803" t="s">
        <v>4810</v>
      </c>
      <c r="D5076" s="803" t="s">
        <v>20114</v>
      </c>
      <c r="E5076" s="803">
        <v>60</v>
      </c>
      <c r="F5076" s="850">
        <v>20</v>
      </c>
      <c r="G5076" s="202" t="str">
        <f t="shared" si="78"/>
        <v/>
      </c>
    </row>
    <row r="5077" spans="1:7" s="172" customFormat="1" ht="15" customHeight="1" x14ac:dyDescent="0.25">
      <c r="A5077" s="803" t="s">
        <v>4866</v>
      </c>
      <c r="B5077" s="803" t="s">
        <v>4810</v>
      </c>
      <c r="C5077" s="803" t="s">
        <v>4810</v>
      </c>
      <c r="D5077" s="803" t="s">
        <v>20115</v>
      </c>
      <c r="E5077" s="803">
        <v>100</v>
      </c>
      <c r="F5077" s="850">
        <v>30</v>
      </c>
      <c r="G5077" s="202" t="str">
        <f t="shared" si="78"/>
        <v/>
      </c>
    </row>
    <row r="5078" spans="1:7" s="172" customFormat="1" ht="15" customHeight="1" x14ac:dyDescent="0.25">
      <c r="A5078" s="803" t="s">
        <v>19459</v>
      </c>
      <c r="B5078" s="803" t="s">
        <v>4810</v>
      </c>
      <c r="C5078" s="803" t="s">
        <v>4810</v>
      </c>
      <c r="D5078" s="803" t="s">
        <v>20116</v>
      </c>
      <c r="E5078" s="803">
        <v>160</v>
      </c>
      <c r="F5078" s="850">
        <v>20</v>
      </c>
      <c r="G5078" s="202" t="str">
        <f t="shared" si="78"/>
        <v/>
      </c>
    </row>
    <row r="5079" spans="1:7" s="172" customFormat="1" ht="15" customHeight="1" x14ac:dyDescent="0.25">
      <c r="A5079" s="803" t="s">
        <v>19460</v>
      </c>
      <c r="B5079" s="803" t="s">
        <v>4810</v>
      </c>
      <c r="C5079" s="803" t="s">
        <v>4810</v>
      </c>
      <c r="D5079" s="803" t="s">
        <v>20117</v>
      </c>
      <c r="E5079" s="803">
        <v>60</v>
      </c>
      <c r="F5079" s="850">
        <v>10</v>
      </c>
      <c r="G5079" s="202" t="str">
        <f t="shared" si="78"/>
        <v/>
      </c>
    </row>
    <row r="5080" spans="1:7" s="172" customFormat="1" ht="15" customHeight="1" x14ac:dyDescent="0.25">
      <c r="A5080" s="803" t="s">
        <v>19461</v>
      </c>
      <c r="B5080" s="803" t="s">
        <v>4810</v>
      </c>
      <c r="C5080" s="803" t="s">
        <v>4810</v>
      </c>
      <c r="D5080" s="803" t="s">
        <v>20118</v>
      </c>
      <c r="E5080" s="803">
        <v>100</v>
      </c>
      <c r="F5080" s="850">
        <v>5</v>
      </c>
      <c r="G5080" s="202" t="str">
        <f t="shared" si="78"/>
        <v/>
      </c>
    </row>
    <row r="5081" spans="1:7" s="172" customFormat="1" ht="15" customHeight="1" x14ac:dyDescent="0.25">
      <c r="A5081" s="803" t="s">
        <v>19462</v>
      </c>
      <c r="B5081" s="803" t="s">
        <v>4810</v>
      </c>
      <c r="C5081" s="803" t="s">
        <v>4810</v>
      </c>
      <c r="D5081" s="803" t="s">
        <v>20119</v>
      </c>
      <c r="E5081" s="803">
        <v>10</v>
      </c>
      <c r="F5081" s="850">
        <v>5</v>
      </c>
      <c r="G5081" s="202" t="str">
        <f t="shared" si="78"/>
        <v/>
      </c>
    </row>
    <row r="5082" spans="1:7" s="172" customFormat="1" ht="15" customHeight="1" x14ac:dyDescent="0.25">
      <c r="A5082" s="803" t="s">
        <v>19463</v>
      </c>
      <c r="B5082" s="803" t="s">
        <v>4810</v>
      </c>
      <c r="C5082" s="803" t="s">
        <v>4810</v>
      </c>
      <c r="D5082" s="803" t="s">
        <v>20120</v>
      </c>
      <c r="E5082" s="803">
        <v>100</v>
      </c>
      <c r="F5082" s="850">
        <v>20</v>
      </c>
      <c r="G5082" s="202" t="str">
        <f t="shared" si="78"/>
        <v/>
      </c>
    </row>
    <row r="5083" spans="1:7" s="172" customFormat="1" ht="15" customHeight="1" x14ac:dyDescent="0.25">
      <c r="A5083" s="803" t="s">
        <v>19464</v>
      </c>
      <c r="B5083" s="803" t="s">
        <v>4810</v>
      </c>
      <c r="C5083" s="803" t="s">
        <v>4810</v>
      </c>
      <c r="D5083" s="803" t="s">
        <v>20121</v>
      </c>
      <c r="E5083" s="803">
        <v>250</v>
      </c>
      <c r="F5083" s="850">
        <v>40</v>
      </c>
      <c r="G5083" s="202" t="str">
        <f t="shared" si="78"/>
        <v/>
      </c>
    </row>
    <row r="5084" spans="1:7" s="172" customFormat="1" ht="15" customHeight="1" x14ac:dyDescent="0.25">
      <c r="A5084" s="803" t="s">
        <v>19465</v>
      </c>
      <c r="B5084" s="803" t="s">
        <v>4810</v>
      </c>
      <c r="C5084" s="803" t="s">
        <v>4810</v>
      </c>
      <c r="D5084" s="803" t="s">
        <v>20122</v>
      </c>
      <c r="E5084" s="803">
        <v>60</v>
      </c>
      <c r="F5084" s="850">
        <v>10</v>
      </c>
      <c r="G5084" s="202" t="str">
        <f t="shared" ref="G5084:G5147" si="79">IF(E5084=F5084,"не загружен","")</f>
        <v/>
      </c>
    </row>
    <row r="5085" spans="1:7" s="172" customFormat="1" ht="15" customHeight="1" x14ac:dyDescent="0.25">
      <c r="A5085" s="803" t="s">
        <v>19466</v>
      </c>
      <c r="B5085" s="803" t="s">
        <v>4810</v>
      </c>
      <c r="C5085" s="803" t="s">
        <v>4810</v>
      </c>
      <c r="D5085" s="803" t="s">
        <v>20123</v>
      </c>
      <c r="E5085" s="803">
        <v>30</v>
      </c>
      <c r="F5085" s="850">
        <v>5</v>
      </c>
      <c r="G5085" s="202" t="str">
        <f t="shared" si="79"/>
        <v/>
      </c>
    </row>
    <row r="5086" spans="1:7" s="172" customFormat="1" ht="15" customHeight="1" x14ac:dyDescent="0.25">
      <c r="A5086" s="803" t="s">
        <v>19467</v>
      </c>
      <c r="B5086" s="803" t="s">
        <v>4810</v>
      </c>
      <c r="C5086" s="803" t="s">
        <v>4810</v>
      </c>
      <c r="D5086" s="803" t="s">
        <v>20124</v>
      </c>
      <c r="E5086" s="803">
        <v>100</v>
      </c>
      <c r="F5086" s="850">
        <v>20</v>
      </c>
      <c r="G5086" s="202" t="str">
        <f t="shared" si="79"/>
        <v/>
      </c>
    </row>
    <row r="5087" spans="1:7" s="172" customFormat="1" ht="15" customHeight="1" x14ac:dyDescent="0.25">
      <c r="A5087" s="803" t="s">
        <v>2829</v>
      </c>
      <c r="B5087" s="803" t="s">
        <v>4810</v>
      </c>
      <c r="C5087" s="803" t="s">
        <v>4810</v>
      </c>
      <c r="D5087" s="803" t="s">
        <v>20125</v>
      </c>
      <c r="E5087" s="803">
        <v>30</v>
      </c>
      <c r="F5087" s="850">
        <v>5</v>
      </c>
      <c r="G5087" s="202" t="str">
        <f t="shared" si="79"/>
        <v/>
      </c>
    </row>
    <row r="5088" spans="1:7" s="172" customFormat="1" ht="15" customHeight="1" x14ac:dyDescent="0.25">
      <c r="A5088" s="803" t="s">
        <v>19468</v>
      </c>
      <c r="B5088" s="803" t="s">
        <v>4810</v>
      </c>
      <c r="C5088" s="803" t="s">
        <v>4810</v>
      </c>
      <c r="D5088" s="803" t="s">
        <v>20126</v>
      </c>
      <c r="E5088" s="803">
        <v>30</v>
      </c>
      <c r="F5088" s="850">
        <v>10</v>
      </c>
      <c r="G5088" s="202" t="str">
        <f t="shared" si="79"/>
        <v/>
      </c>
    </row>
    <row r="5089" spans="1:7" s="172" customFormat="1" ht="15" customHeight="1" x14ac:dyDescent="0.25">
      <c r="A5089" s="803" t="s">
        <v>19469</v>
      </c>
      <c r="B5089" s="803" t="s">
        <v>4810</v>
      </c>
      <c r="C5089" s="803" t="s">
        <v>4810</v>
      </c>
      <c r="D5089" s="803" t="s">
        <v>20127</v>
      </c>
      <c r="E5089" s="803">
        <v>100</v>
      </c>
      <c r="F5089" s="850">
        <v>25</v>
      </c>
      <c r="G5089" s="202" t="str">
        <f t="shared" si="79"/>
        <v/>
      </c>
    </row>
    <row r="5090" spans="1:7" s="172" customFormat="1" ht="15" customHeight="1" x14ac:dyDescent="0.25">
      <c r="A5090" s="803" t="s">
        <v>4867</v>
      </c>
      <c r="B5090" s="803" t="s">
        <v>4810</v>
      </c>
      <c r="C5090" s="803" t="s">
        <v>4810</v>
      </c>
      <c r="D5090" s="803" t="s">
        <v>20128</v>
      </c>
      <c r="E5090" s="803">
        <v>100</v>
      </c>
      <c r="F5090" s="850">
        <v>25</v>
      </c>
      <c r="G5090" s="202" t="str">
        <f t="shared" si="79"/>
        <v/>
      </c>
    </row>
    <row r="5091" spans="1:7" s="172" customFormat="1" ht="15" customHeight="1" x14ac:dyDescent="0.25">
      <c r="A5091" s="803" t="s">
        <v>19470</v>
      </c>
      <c r="B5091" s="803" t="s">
        <v>4810</v>
      </c>
      <c r="C5091" s="803" t="s">
        <v>4810</v>
      </c>
      <c r="D5091" s="803" t="s">
        <v>20129</v>
      </c>
      <c r="E5091" s="803">
        <v>160</v>
      </c>
      <c r="F5091" s="850">
        <v>30</v>
      </c>
      <c r="G5091" s="202" t="str">
        <f t="shared" si="79"/>
        <v/>
      </c>
    </row>
    <row r="5092" spans="1:7" s="172" customFormat="1" ht="15" customHeight="1" x14ac:dyDescent="0.25">
      <c r="A5092" s="803" t="s">
        <v>19471</v>
      </c>
      <c r="B5092" s="803" t="s">
        <v>4810</v>
      </c>
      <c r="C5092" s="803" t="s">
        <v>4810</v>
      </c>
      <c r="D5092" s="803" t="s">
        <v>20130</v>
      </c>
      <c r="E5092" s="803">
        <v>60</v>
      </c>
      <c r="F5092" s="850">
        <v>10</v>
      </c>
      <c r="G5092" s="202" t="str">
        <f t="shared" si="79"/>
        <v/>
      </c>
    </row>
    <row r="5093" spans="1:7" s="172" customFormat="1" ht="15" customHeight="1" x14ac:dyDescent="0.25">
      <c r="A5093" s="803" t="s">
        <v>19472</v>
      </c>
      <c r="B5093" s="803" t="s">
        <v>4810</v>
      </c>
      <c r="C5093" s="803" t="s">
        <v>4810</v>
      </c>
      <c r="D5093" s="803" t="s">
        <v>20131</v>
      </c>
      <c r="E5093" s="803">
        <v>30</v>
      </c>
      <c r="F5093" s="850">
        <v>10</v>
      </c>
      <c r="G5093" s="202" t="str">
        <f t="shared" si="79"/>
        <v/>
      </c>
    </row>
    <row r="5094" spans="1:7" s="172" customFormat="1" ht="15" customHeight="1" x14ac:dyDescent="0.25">
      <c r="A5094" s="803" t="s">
        <v>4868</v>
      </c>
      <c r="B5094" s="803" t="s">
        <v>4810</v>
      </c>
      <c r="C5094" s="803" t="s">
        <v>4810</v>
      </c>
      <c r="D5094" s="803" t="s">
        <v>20132</v>
      </c>
      <c r="E5094" s="803">
        <v>100</v>
      </c>
      <c r="F5094" s="850">
        <v>25</v>
      </c>
      <c r="G5094" s="202" t="str">
        <f t="shared" si="79"/>
        <v/>
      </c>
    </row>
    <row r="5095" spans="1:7" s="172" customFormat="1" ht="15" customHeight="1" x14ac:dyDescent="0.25">
      <c r="A5095" s="803" t="s">
        <v>20133</v>
      </c>
      <c r="B5095" s="803" t="s">
        <v>4810</v>
      </c>
      <c r="C5095" s="803" t="s">
        <v>4810</v>
      </c>
      <c r="D5095" s="803" t="s">
        <v>19473</v>
      </c>
      <c r="E5095" s="803">
        <v>400</v>
      </c>
      <c r="F5095" s="850">
        <v>50</v>
      </c>
      <c r="G5095" s="202" t="str">
        <f t="shared" si="79"/>
        <v/>
      </c>
    </row>
    <row r="5096" spans="1:7" s="172" customFormat="1" ht="15" customHeight="1" x14ac:dyDescent="0.25">
      <c r="A5096" s="803" t="s">
        <v>20133</v>
      </c>
      <c r="B5096" s="803" t="s">
        <v>4810</v>
      </c>
      <c r="C5096" s="803" t="s">
        <v>4810</v>
      </c>
      <c r="D5096" s="803" t="s">
        <v>19474</v>
      </c>
      <c r="E5096" s="803">
        <v>400</v>
      </c>
      <c r="F5096" s="850">
        <v>40</v>
      </c>
      <c r="G5096" s="202" t="str">
        <f t="shared" si="79"/>
        <v/>
      </c>
    </row>
    <row r="5097" spans="1:7" s="172" customFormat="1" ht="15" customHeight="1" x14ac:dyDescent="0.25">
      <c r="A5097" s="803" t="s">
        <v>20133</v>
      </c>
      <c r="B5097" s="803" t="s">
        <v>4810</v>
      </c>
      <c r="C5097" s="803" t="s">
        <v>4810</v>
      </c>
      <c r="D5097" s="803" t="s">
        <v>19475</v>
      </c>
      <c r="E5097" s="803">
        <v>250</v>
      </c>
      <c r="F5097" s="850">
        <v>20</v>
      </c>
      <c r="G5097" s="202" t="str">
        <f t="shared" si="79"/>
        <v/>
      </c>
    </row>
    <row r="5098" spans="1:7" s="172" customFormat="1" ht="15" customHeight="1" x14ac:dyDescent="0.25">
      <c r="A5098" s="803" t="s">
        <v>20133</v>
      </c>
      <c r="B5098" s="803" t="s">
        <v>4810</v>
      </c>
      <c r="C5098" s="803" t="s">
        <v>4810</v>
      </c>
      <c r="D5098" s="803" t="s">
        <v>19476</v>
      </c>
      <c r="E5098" s="803">
        <v>250</v>
      </c>
      <c r="F5098" s="850">
        <v>10</v>
      </c>
      <c r="G5098" s="202" t="str">
        <f t="shared" si="79"/>
        <v/>
      </c>
    </row>
    <row r="5099" spans="1:7" s="172" customFormat="1" ht="15" customHeight="1" x14ac:dyDescent="0.25">
      <c r="A5099" s="803" t="s">
        <v>20133</v>
      </c>
      <c r="B5099" s="803" t="s">
        <v>4810</v>
      </c>
      <c r="C5099" s="803" t="s">
        <v>4810</v>
      </c>
      <c r="D5099" s="803" t="s">
        <v>19477</v>
      </c>
      <c r="E5099" s="803">
        <v>100</v>
      </c>
      <c r="F5099" s="850">
        <v>10</v>
      </c>
      <c r="G5099" s="202" t="str">
        <f t="shared" si="79"/>
        <v/>
      </c>
    </row>
    <row r="5100" spans="1:7" s="172" customFormat="1" ht="15" customHeight="1" x14ac:dyDescent="0.25">
      <c r="A5100" s="803" t="s">
        <v>20133</v>
      </c>
      <c r="B5100" s="803" t="s">
        <v>4810</v>
      </c>
      <c r="C5100" s="803" t="s">
        <v>4810</v>
      </c>
      <c r="D5100" s="803" t="s">
        <v>19478</v>
      </c>
      <c r="E5100" s="803">
        <v>250</v>
      </c>
      <c r="F5100" s="850">
        <v>20</v>
      </c>
      <c r="G5100" s="202" t="str">
        <f t="shared" si="79"/>
        <v/>
      </c>
    </row>
    <row r="5101" spans="1:7" s="172" customFormat="1" ht="15" customHeight="1" x14ac:dyDescent="0.25">
      <c r="A5101" s="803" t="s">
        <v>20133</v>
      </c>
      <c r="B5101" s="803" t="s">
        <v>4810</v>
      </c>
      <c r="C5101" s="803" t="s">
        <v>4810</v>
      </c>
      <c r="D5101" s="803" t="s">
        <v>19479</v>
      </c>
      <c r="E5101" s="803">
        <v>250</v>
      </c>
      <c r="F5101" s="850">
        <v>20</v>
      </c>
      <c r="G5101" s="202" t="str">
        <f t="shared" si="79"/>
        <v/>
      </c>
    </row>
    <row r="5102" spans="1:7" s="172" customFormat="1" ht="15" customHeight="1" x14ac:dyDescent="0.25">
      <c r="A5102" s="803" t="s">
        <v>20133</v>
      </c>
      <c r="B5102" s="803" t="s">
        <v>4810</v>
      </c>
      <c r="C5102" s="803" t="s">
        <v>4810</v>
      </c>
      <c r="D5102" s="803" t="s">
        <v>19480</v>
      </c>
      <c r="E5102" s="803">
        <v>250</v>
      </c>
      <c r="F5102" s="850">
        <v>10</v>
      </c>
      <c r="G5102" s="202" t="str">
        <f t="shared" si="79"/>
        <v/>
      </c>
    </row>
    <row r="5103" spans="1:7" s="172" customFormat="1" ht="15" customHeight="1" x14ac:dyDescent="0.25">
      <c r="A5103" s="803" t="s">
        <v>20133</v>
      </c>
      <c r="B5103" s="803" t="s">
        <v>4810</v>
      </c>
      <c r="C5103" s="803" t="s">
        <v>4810</v>
      </c>
      <c r="D5103" s="803" t="s">
        <v>19481</v>
      </c>
      <c r="E5103" s="803">
        <v>180</v>
      </c>
      <c r="F5103" s="850">
        <v>5</v>
      </c>
      <c r="G5103" s="202" t="str">
        <f t="shared" si="79"/>
        <v/>
      </c>
    </row>
    <row r="5104" spans="1:7" s="172" customFormat="1" ht="15" customHeight="1" x14ac:dyDescent="0.25">
      <c r="A5104" s="803" t="s">
        <v>20133</v>
      </c>
      <c r="B5104" s="803" t="s">
        <v>4810</v>
      </c>
      <c r="C5104" s="803" t="s">
        <v>4810</v>
      </c>
      <c r="D5104" s="803" t="s">
        <v>19482</v>
      </c>
      <c r="E5104" s="803">
        <v>160</v>
      </c>
      <c r="F5104" s="850">
        <v>25</v>
      </c>
      <c r="G5104" s="202" t="str">
        <f t="shared" si="79"/>
        <v/>
      </c>
    </row>
    <row r="5105" spans="1:7" s="172" customFormat="1" ht="15" customHeight="1" x14ac:dyDescent="0.25">
      <c r="A5105" s="803" t="s">
        <v>20133</v>
      </c>
      <c r="B5105" s="803" t="s">
        <v>4810</v>
      </c>
      <c r="C5105" s="803" t="s">
        <v>4810</v>
      </c>
      <c r="D5105" s="803" t="s">
        <v>19483</v>
      </c>
      <c r="E5105" s="803">
        <v>250</v>
      </c>
      <c r="F5105" s="850">
        <v>30</v>
      </c>
      <c r="G5105" s="202" t="str">
        <f t="shared" si="79"/>
        <v/>
      </c>
    </row>
    <row r="5106" spans="1:7" s="172" customFormat="1" ht="15" customHeight="1" x14ac:dyDescent="0.25">
      <c r="A5106" s="803" t="s">
        <v>20133</v>
      </c>
      <c r="B5106" s="803" t="s">
        <v>4810</v>
      </c>
      <c r="C5106" s="803" t="s">
        <v>4810</v>
      </c>
      <c r="D5106" s="803" t="s">
        <v>19484</v>
      </c>
      <c r="E5106" s="803">
        <v>400</v>
      </c>
      <c r="F5106" s="850">
        <v>40</v>
      </c>
      <c r="G5106" s="202" t="str">
        <f t="shared" si="79"/>
        <v/>
      </c>
    </row>
    <row r="5107" spans="1:7" s="172" customFormat="1" ht="15" customHeight="1" x14ac:dyDescent="0.25">
      <c r="A5107" s="803" t="s">
        <v>20133</v>
      </c>
      <c r="B5107" s="803" t="s">
        <v>4810</v>
      </c>
      <c r="C5107" s="803" t="s">
        <v>4810</v>
      </c>
      <c r="D5107" s="803" t="s">
        <v>19485</v>
      </c>
      <c r="E5107" s="803">
        <v>250</v>
      </c>
      <c r="F5107" s="850">
        <v>20</v>
      </c>
      <c r="G5107" s="202" t="str">
        <f t="shared" si="79"/>
        <v/>
      </c>
    </row>
    <row r="5108" spans="1:7" s="172" customFormat="1" ht="15" customHeight="1" x14ac:dyDescent="0.25">
      <c r="A5108" s="803" t="s">
        <v>20133</v>
      </c>
      <c r="B5108" s="803" t="s">
        <v>4810</v>
      </c>
      <c r="C5108" s="803" t="s">
        <v>4810</v>
      </c>
      <c r="D5108" s="803" t="s">
        <v>19486</v>
      </c>
      <c r="E5108" s="803">
        <v>250</v>
      </c>
      <c r="F5108" s="850">
        <v>10</v>
      </c>
      <c r="G5108" s="202" t="str">
        <f t="shared" si="79"/>
        <v/>
      </c>
    </row>
    <row r="5109" spans="1:7" s="172" customFormat="1" ht="15" customHeight="1" x14ac:dyDescent="0.25">
      <c r="A5109" s="803" t="s">
        <v>20133</v>
      </c>
      <c r="B5109" s="803" t="s">
        <v>4810</v>
      </c>
      <c r="C5109" s="803" t="s">
        <v>4810</v>
      </c>
      <c r="D5109" s="803" t="s">
        <v>19487</v>
      </c>
      <c r="E5109" s="803">
        <v>400</v>
      </c>
      <c r="F5109" s="850">
        <v>40</v>
      </c>
      <c r="G5109" s="202" t="str">
        <f t="shared" si="79"/>
        <v/>
      </c>
    </row>
    <row r="5110" spans="1:7" s="172" customFormat="1" ht="15" customHeight="1" x14ac:dyDescent="0.25">
      <c r="A5110" s="803" t="s">
        <v>20133</v>
      </c>
      <c r="B5110" s="803" t="s">
        <v>4810</v>
      </c>
      <c r="C5110" s="803" t="s">
        <v>4810</v>
      </c>
      <c r="D5110" s="803" t="s">
        <v>19488</v>
      </c>
      <c r="E5110" s="803">
        <v>400</v>
      </c>
      <c r="F5110" s="850">
        <v>15</v>
      </c>
      <c r="G5110" s="202" t="str">
        <f t="shared" si="79"/>
        <v/>
      </c>
    </row>
    <row r="5111" spans="1:7" s="172" customFormat="1" ht="15" customHeight="1" x14ac:dyDescent="0.25">
      <c r="A5111" s="803" t="s">
        <v>20133</v>
      </c>
      <c r="B5111" s="803" t="s">
        <v>4810</v>
      </c>
      <c r="C5111" s="803" t="s">
        <v>4810</v>
      </c>
      <c r="D5111" s="803" t="s">
        <v>19489</v>
      </c>
      <c r="E5111" s="803">
        <v>60</v>
      </c>
      <c r="F5111" s="850">
        <v>5</v>
      </c>
      <c r="G5111" s="202" t="str">
        <f t="shared" si="79"/>
        <v/>
      </c>
    </row>
    <row r="5112" spans="1:7" s="172" customFormat="1" ht="15" customHeight="1" x14ac:dyDescent="0.25">
      <c r="A5112" s="803" t="s">
        <v>20133</v>
      </c>
      <c r="B5112" s="803" t="s">
        <v>4810</v>
      </c>
      <c r="C5112" s="803" t="s">
        <v>4810</v>
      </c>
      <c r="D5112" s="803" t="s">
        <v>19490</v>
      </c>
      <c r="E5112" s="803">
        <v>315</v>
      </c>
      <c r="F5112" s="850">
        <v>20</v>
      </c>
      <c r="G5112" s="202" t="str">
        <f t="shared" si="79"/>
        <v/>
      </c>
    </row>
    <row r="5113" spans="1:7" s="172" customFormat="1" ht="15" customHeight="1" x14ac:dyDescent="0.25">
      <c r="A5113" s="803" t="s">
        <v>20133</v>
      </c>
      <c r="B5113" s="803" t="s">
        <v>4810</v>
      </c>
      <c r="C5113" s="803" t="s">
        <v>4810</v>
      </c>
      <c r="D5113" s="803" t="s">
        <v>19491</v>
      </c>
      <c r="E5113" s="803">
        <v>400</v>
      </c>
      <c r="F5113" s="850">
        <v>50</v>
      </c>
      <c r="G5113" s="202" t="str">
        <f t="shared" si="79"/>
        <v/>
      </c>
    </row>
    <row r="5114" spans="1:7" s="172" customFormat="1" ht="15" customHeight="1" x14ac:dyDescent="0.25">
      <c r="A5114" s="803" t="s">
        <v>20133</v>
      </c>
      <c r="B5114" s="803" t="s">
        <v>4810</v>
      </c>
      <c r="C5114" s="803" t="s">
        <v>4810</v>
      </c>
      <c r="D5114" s="803" t="s">
        <v>19492</v>
      </c>
      <c r="E5114" s="803">
        <v>250</v>
      </c>
      <c r="F5114" s="850">
        <v>40</v>
      </c>
      <c r="G5114" s="202" t="str">
        <f t="shared" si="79"/>
        <v/>
      </c>
    </row>
    <row r="5115" spans="1:7" s="172" customFormat="1" ht="15" customHeight="1" x14ac:dyDescent="0.25">
      <c r="A5115" s="803" t="s">
        <v>20133</v>
      </c>
      <c r="B5115" s="803" t="s">
        <v>4810</v>
      </c>
      <c r="C5115" s="803" t="s">
        <v>4810</v>
      </c>
      <c r="D5115" s="803" t="s">
        <v>19493</v>
      </c>
      <c r="E5115" s="803">
        <v>250</v>
      </c>
      <c r="F5115" s="850">
        <v>20</v>
      </c>
      <c r="G5115" s="202" t="str">
        <f t="shared" si="79"/>
        <v/>
      </c>
    </row>
    <row r="5116" spans="1:7" s="172" customFormat="1" ht="15" customHeight="1" x14ac:dyDescent="0.25">
      <c r="A5116" s="803" t="s">
        <v>20133</v>
      </c>
      <c r="B5116" s="803" t="s">
        <v>4810</v>
      </c>
      <c r="C5116" s="803" t="s">
        <v>4810</v>
      </c>
      <c r="D5116" s="803" t="s">
        <v>19494</v>
      </c>
      <c r="E5116" s="803">
        <v>250</v>
      </c>
      <c r="F5116" s="850">
        <v>20</v>
      </c>
      <c r="G5116" s="202" t="str">
        <f t="shared" si="79"/>
        <v/>
      </c>
    </row>
    <row r="5117" spans="1:7" s="172" customFormat="1" ht="15" customHeight="1" x14ac:dyDescent="0.25">
      <c r="A5117" s="803" t="s">
        <v>20133</v>
      </c>
      <c r="B5117" s="803" t="s">
        <v>4810</v>
      </c>
      <c r="C5117" s="803" t="s">
        <v>4810</v>
      </c>
      <c r="D5117" s="803" t="s">
        <v>19495</v>
      </c>
      <c r="E5117" s="803">
        <v>250</v>
      </c>
      <c r="F5117" s="850">
        <v>20</v>
      </c>
      <c r="G5117" s="202" t="str">
        <f t="shared" si="79"/>
        <v/>
      </c>
    </row>
    <row r="5118" spans="1:7" s="172" customFormat="1" ht="15" customHeight="1" x14ac:dyDescent="0.25">
      <c r="A5118" s="803" t="s">
        <v>20133</v>
      </c>
      <c r="B5118" s="803" t="s">
        <v>4810</v>
      </c>
      <c r="C5118" s="803" t="s">
        <v>4810</v>
      </c>
      <c r="D5118" s="803" t="s">
        <v>19496</v>
      </c>
      <c r="E5118" s="803">
        <v>250</v>
      </c>
      <c r="F5118" s="850">
        <v>20</v>
      </c>
      <c r="G5118" s="202" t="str">
        <f t="shared" si="79"/>
        <v/>
      </c>
    </row>
    <row r="5119" spans="1:7" s="172" customFormat="1" ht="15" customHeight="1" x14ac:dyDescent="0.25">
      <c r="A5119" s="803" t="s">
        <v>20133</v>
      </c>
      <c r="B5119" s="803" t="s">
        <v>4810</v>
      </c>
      <c r="C5119" s="803" t="s">
        <v>4810</v>
      </c>
      <c r="D5119" s="803" t="s">
        <v>19497</v>
      </c>
      <c r="E5119" s="803">
        <v>250</v>
      </c>
      <c r="F5119" s="850">
        <v>10</v>
      </c>
      <c r="G5119" s="202" t="str">
        <f t="shared" si="79"/>
        <v/>
      </c>
    </row>
    <row r="5120" spans="1:7" s="172" customFormat="1" ht="15" customHeight="1" x14ac:dyDescent="0.25">
      <c r="A5120" s="803" t="s">
        <v>20133</v>
      </c>
      <c r="B5120" s="803" t="s">
        <v>4810</v>
      </c>
      <c r="C5120" s="803" t="s">
        <v>4810</v>
      </c>
      <c r="D5120" s="803" t="s">
        <v>19498</v>
      </c>
      <c r="E5120" s="803">
        <v>250</v>
      </c>
      <c r="F5120" s="850">
        <v>20</v>
      </c>
      <c r="G5120" s="202" t="str">
        <f t="shared" si="79"/>
        <v/>
      </c>
    </row>
    <row r="5121" spans="1:7" s="172" customFormat="1" ht="15" customHeight="1" x14ac:dyDescent="0.25">
      <c r="A5121" s="803" t="s">
        <v>20133</v>
      </c>
      <c r="B5121" s="803" t="s">
        <v>4810</v>
      </c>
      <c r="C5121" s="803" t="s">
        <v>4810</v>
      </c>
      <c r="D5121" s="803" t="s">
        <v>19499</v>
      </c>
      <c r="E5121" s="803">
        <v>250</v>
      </c>
      <c r="F5121" s="850">
        <v>10</v>
      </c>
      <c r="G5121" s="202" t="str">
        <f t="shared" si="79"/>
        <v/>
      </c>
    </row>
    <row r="5122" spans="1:7" s="172" customFormat="1" ht="15" customHeight="1" x14ac:dyDescent="0.25">
      <c r="A5122" s="803" t="s">
        <v>20133</v>
      </c>
      <c r="B5122" s="803" t="s">
        <v>4810</v>
      </c>
      <c r="C5122" s="803" t="s">
        <v>4810</v>
      </c>
      <c r="D5122" s="803" t="s">
        <v>19500</v>
      </c>
      <c r="E5122" s="803">
        <v>250</v>
      </c>
      <c r="F5122" s="850">
        <v>15</v>
      </c>
      <c r="G5122" s="202" t="str">
        <f t="shared" si="79"/>
        <v/>
      </c>
    </row>
    <row r="5123" spans="1:7" s="172" customFormat="1" ht="15" customHeight="1" x14ac:dyDescent="0.25">
      <c r="A5123" s="803" t="s">
        <v>20133</v>
      </c>
      <c r="B5123" s="803" t="s">
        <v>4810</v>
      </c>
      <c r="C5123" s="803" t="s">
        <v>4810</v>
      </c>
      <c r="D5123" s="803" t="s">
        <v>19501</v>
      </c>
      <c r="E5123" s="803">
        <v>250</v>
      </c>
      <c r="F5123" s="850">
        <v>20</v>
      </c>
      <c r="G5123" s="202" t="str">
        <f t="shared" si="79"/>
        <v/>
      </c>
    </row>
    <row r="5124" spans="1:7" s="172" customFormat="1" ht="15" customHeight="1" x14ac:dyDescent="0.25">
      <c r="A5124" s="803" t="s">
        <v>20133</v>
      </c>
      <c r="B5124" s="803" t="s">
        <v>4810</v>
      </c>
      <c r="C5124" s="803" t="s">
        <v>4810</v>
      </c>
      <c r="D5124" s="803" t="s">
        <v>19502</v>
      </c>
      <c r="E5124" s="803">
        <v>250</v>
      </c>
      <c r="F5124" s="850">
        <v>10</v>
      </c>
      <c r="G5124" s="202" t="str">
        <f t="shared" si="79"/>
        <v/>
      </c>
    </row>
    <row r="5125" spans="1:7" s="172" customFormat="1" ht="15" customHeight="1" x14ac:dyDescent="0.25">
      <c r="A5125" s="803" t="s">
        <v>8758</v>
      </c>
      <c r="B5125" s="803" t="s">
        <v>8759</v>
      </c>
      <c r="C5125" s="803" t="s">
        <v>8759</v>
      </c>
      <c r="D5125" s="803" t="s">
        <v>8760</v>
      </c>
      <c r="E5125" s="803" t="s">
        <v>8761</v>
      </c>
      <c r="F5125" s="850">
        <v>25</v>
      </c>
      <c r="G5125" s="202" t="str">
        <f t="shared" si="79"/>
        <v/>
      </c>
    </row>
    <row r="5126" spans="1:7" s="172" customFormat="1" ht="15" customHeight="1" x14ac:dyDescent="0.25">
      <c r="A5126" s="803" t="s">
        <v>8758</v>
      </c>
      <c r="B5126" s="803" t="s">
        <v>8759</v>
      </c>
      <c r="C5126" s="803" t="s">
        <v>8759</v>
      </c>
      <c r="D5126" s="803" t="s">
        <v>8762</v>
      </c>
      <c r="E5126" s="803" t="s">
        <v>8763</v>
      </c>
      <c r="F5126" s="850">
        <v>270</v>
      </c>
      <c r="G5126" s="202" t="str">
        <f t="shared" si="79"/>
        <v/>
      </c>
    </row>
    <row r="5127" spans="1:7" s="172" customFormat="1" ht="15" customHeight="1" x14ac:dyDescent="0.25">
      <c r="A5127" s="803" t="s">
        <v>6158</v>
      </c>
      <c r="B5127" s="803" t="s">
        <v>8759</v>
      </c>
      <c r="C5127" s="803" t="s">
        <v>8759</v>
      </c>
      <c r="D5127" s="803" t="s">
        <v>8764</v>
      </c>
      <c r="E5127" s="803" t="s">
        <v>8765</v>
      </c>
      <c r="F5127" s="850">
        <v>13</v>
      </c>
      <c r="G5127" s="202" t="str">
        <f t="shared" si="79"/>
        <v/>
      </c>
    </row>
    <row r="5128" spans="1:7" s="172" customFormat="1" ht="15" customHeight="1" x14ac:dyDescent="0.25">
      <c r="A5128" s="803" t="s">
        <v>7340</v>
      </c>
      <c r="B5128" s="803" t="s">
        <v>8759</v>
      </c>
      <c r="C5128" s="803" t="s">
        <v>8759</v>
      </c>
      <c r="D5128" s="803" t="s">
        <v>8766</v>
      </c>
      <c r="E5128" s="803" t="s">
        <v>8761</v>
      </c>
      <c r="F5128" s="850">
        <v>25</v>
      </c>
      <c r="G5128" s="202" t="str">
        <f t="shared" si="79"/>
        <v/>
      </c>
    </row>
    <row r="5129" spans="1:7" s="172" customFormat="1" ht="15" customHeight="1" x14ac:dyDescent="0.25">
      <c r="A5129" s="803" t="s">
        <v>8767</v>
      </c>
      <c r="B5129" s="803" t="s">
        <v>8759</v>
      </c>
      <c r="C5129" s="803" t="s">
        <v>8759</v>
      </c>
      <c r="D5129" s="803" t="s">
        <v>8768</v>
      </c>
      <c r="E5129" s="803" t="s">
        <v>8761</v>
      </c>
      <c r="F5129" s="850">
        <v>17</v>
      </c>
      <c r="G5129" s="202" t="str">
        <f t="shared" si="79"/>
        <v/>
      </c>
    </row>
    <row r="5130" spans="1:7" s="172" customFormat="1" ht="15" customHeight="1" x14ac:dyDescent="0.25">
      <c r="A5130" s="803" t="s">
        <v>8769</v>
      </c>
      <c r="B5130" s="803" t="s">
        <v>8759</v>
      </c>
      <c r="C5130" s="803" t="s">
        <v>8759</v>
      </c>
      <c r="D5130" s="803" t="s">
        <v>8770</v>
      </c>
      <c r="E5130" s="803" t="s">
        <v>8771</v>
      </c>
      <c r="F5130" s="850">
        <v>30</v>
      </c>
      <c r="G5130" s="202" t="str">
        <f t="shared" si="79"/>
        <v/>
      </c>
    </row>
    <row r="5131" spans="1:7" s="172" customFormat="1" ht="15" customHeight="1" x14ac:dyDescent="0.25">
      <c r="A5131" s="803" t="s">
        <v>8772</v>
      </c>
      <c r="B5131" s="803" t="s">
        <v>8759</v>
      </c>
      <c r="C5131" s="803" t="s">
        <v>8759</v>
      </c>
      <c r="D5131" s="803" t="s">
        <v>8773</v>
      </c>
      <c r="E5131" s="803" t="s">
        <v>8774</v>
      </c>
      <c r="F5131" s="850">
        <v>10</v>
      </c>
      <c r="G5131" s="202" t="str">
        <f t="shared" si="79"/>
        <v/>
      </c>
    </row>
    <row r="5132" spans="1:7" s="172" customFormat="1" ht="15" customHeight="1" x14ac:dyDescent="0.25">
      <c r="A5132" s="803" t="s">
        <v>8775</v>
      </c>
      <c r="B5132" s="803" t="s">
        <v>8759</v>
      </c>
      <c r="C5132" s="803" t="s">
        <v>8759</v>
      </c>
      <c r="D5132" s="803" t="s">
        <v>8776</v>
      </c>
      <c r="E5132" s="803" t="s">
        <v>8771</v>
      </c>
      <c r="F5132" s="850">
        <v>10</v>
      </c>
      <c r="G5132" s="202" t="str">
        <f t="shared" si="79"/>
        <v/>
      </c>
    </row>
    <row r="5133" spans="1:7" s="172" customFormat="1" ht="15" customHeight="1" x14ac:dyDescent="0.25">
      <c r="A5133" s="803" t="s">
        <v>8777</v>
      </c>
      <c r="B5133" s="803" t="s">
        <v>8759</v>
      </c>
      <c r="C5133" s="803" t="s">
        <v>8759</v>
      </c>
      <c r="D5133" s="803" t="s">
        <v>8778</v>
      </c>
      <c r="E5133" s="803" t="s">
        <v>8771</v>
      </c>
      <c r="F5133" s="850">
        <v>18</v>
      </c>
      <c r="G5133" s="202" t="str">
        <f t="shared" si="79"/>
        <v/>
      </c>
    </row>
    <row r="5134" spans="1:7" s="172" customFormat="1" ht="15" customHeight="1" x14ac:dyDescent="0.25">
      <c r="A5134" s="803" t="s">
        <v>13043</v>
      </c>
      <c r="B5134" s="803" t="s">
        <v>8759</v>
      </c>
      <c r="C5134" s="803" t="s">
        <v>8759</v>
      </c>
      <c r="D5134" s="803" t="s">
        <v>8779</v>
      </c>
      <c r="E5134" s="803" t="s">
        <v>8771</v>
      </c>
      <c r="F5134" s="850">
        <v>19</v>
      </c>
      <c r="G5134" s="202" t="str">
        <f t="shared" si="79"/>
        <v/>
      </c>
    </row>
    <row r="5135" spans="1:7" s="172" customFormat="1" ht="15" customHeight="1" x14ac:dyDescent="0.25">
      <c r="A5135" s="803" t="s">
        <v>8780</v>
      </c>
      <c r="B5135" s="803" t="s">
        <v>8759</v>
      </c>
      <c r="C5135" s="803" t="s">
        <v>8759</v>
      </c>
      <c r="D5135" s="803" t="s">
        <v>8781</v>
      </c>
      <c r="E5135" s="803" t="s">
        <v>8765</v>
      </c>
      <c r="F5135" s="850">
        <v>24</v>
      </c>
      <c r="G5135" s="202" t="str">
        <f t="shared" si="79"/>
        <v/>
      </c>
    </row>
    <row r="5136" spans="1:7" s="172" customFormat="1" ht="15" customHeight="1" x14ac:dyDescent="0.25">
      <c r="A5136" s="803" t="s">
        <v>13044</v>
      </c>
      <c r="B5136" s="803" t="s">
        <v>8759</v>
      </c>
      <c r="C5136" s="803" t="s">
        <v>8759</v>
      </c>
      <c r="D5136" s="803" t="s">
        <v>8782</v>
      </c>
      <c r="E5136" s="803" t="s">
        <v>8774</v>
      </c>
      <c r="F5136" s="850">
        <v>30</v>
      </c>
      <c r="G5136" s="202" t="str">
        <f t="shared" si="79"/>
        <v/>
      </c>
    </row>
    <row r="5137" spans="1:7" s="172" customFormat="1" ht="15" customHeight="1" x14ac:dyDescent="0.25">
      <c r="A5137" s="803" t="s">
        <v>8775</v>
      </c>
      <c r="B5137" s="803" t="s">
        <v>8759</v>
      </c>
      <c r="C5137" s="803" t="s">
        <v>8759</v>
      </c>
      <c r="D5137" s="803" t="s">
        <v>8783</v>
      </c>
      <c r="E5137" s="803" t="s">
        <v>8784</v>
      </c>
      <c r="F5137" s="850">
        <v>120</v>
      </c>
      <c r="G5137" s="202" t="str">
        <f t="shared" si="79"/>
        <v/>
      </c>
    </row>
    <row r="5138" spans="1:7" s="172" customFormat="1" ht="15" customHeight="1" x14ac:dyDescent="0.25">
      <c r="A5138" s="803" t="s">
        <v>8758</v>
      </c>
      <c r="B5138" s="803" t="s">
        <v>8759</v>
      </c>
      <c r="C5138" s="803" t="s">
        <v>8759</v>
      </c>
      <c r="D5138" s="803" t="s">
        <v>8785</v>
      </c>
      <c r="E5138" s="803" t="s">
        <v>8784</v>
      </c>
      <c r="F5138" s="850">
        <v>44</v>
      </c>
      <c r="G5138" s="202" t="str">
        <f t="shared" si="79"/>
        <v/>
      </c>
    </row>
    <row r="5139" spans="1:7" s="172" customFormat="1" ht="15" customHeight="1" x14ac:dyDescent="0.25">
      <c r="A5139" s="803" t="s">
        <v>8786</v>
      </c>
      <c r="B5139" s="803" t="s">
        <v>8759</v>
      </c>
      <c r="C5139" s="803" t="s">
        <v>8759</v>
      </c>
      <c r="D5139" s="803" t="s">
        <v>8787</v>
      </c>
      <c r="E5139" s="803" t="s">
        <v>8788</v>
      </c>
      <c r="F5139" s="850">
        <v>30</v>
      </c>
      <c r="G5139" s="202" t="str">
        <f t="shared" si="79"/>
        <v/>
      </c>
    </row>
    <row r="5140" spans="1:7" s="172" customFormat="1" ht="15" customHeight="1" x14ac:dyDescent="0.25">
      <c r="A5140" s="803" t="s">
        <v>6075</v>
      </c>
      <c r="B5140" s="803" t="s">
        <v>8759</v>
      </c>
      <c r="C5140" s="803" t="s">
        <v>8759</v>
      </c>
      <c r="D5140" s="803" t="s">
        <v>8789</v>
      </c>
      <c r="E5140" s="803" t="s">
        <v>8790</v>
      </c>
      <c r="F5140" s="850">
        <v>10</v>
      </c>
      <c r="G5140" s="202" t="str">
        <f t="shared" si="79"/>
        <v/>
      </c>
    </row>
    <row r="5141" spans="1:7" s="172" customFormat="1" ht="15" customHeight="1" x14ac:dyDescent="0.25">
      <c r="A5141" s="803" t="s">
        <v>8791</v>
      </c>
      <c r="B5141" s="803" t="s">
        <v>8759</v>
      </c>
      <c r="C5141" s="803" t="s">
        <v>8759</v>
      </c>
      <c r="D5141" s="803" t="s">
        <v>8792</v>
      </c>
      <c r="E5141" s="803" t="s">
        <v>8771</v>
      </c>
      <c r="F5141" s="850">
        <v>32</v>
      </c>
      <c r="G5141" s="202" t="str">
        <f t="shared" si="79"/>
        <v/>
      </c>
    </row>
    <row r="5142" spans="1:7" s="172" customFormat="1" ht="15" customHeight="1" x14ac:dyDescent="0.25">
      <c r="A5142" s="803" t="s">
        <v>8793</v>
      </c>
      <c r="B5142" s="803" t="s">
        <v>8759</v>
      </c>
      <c r="C5142" s="803" t="s">
        <v>8759</v>
      </c>
      <c r="D5142" s="803" t="s">
        <v>8794</v>
      </c>
      <c r="E5142" s="803" t="s">
        <v>8774</v>
      </c>
      <c r="F5142" s="850">
        <v>12</v>
      </c>
      <c r="G5142" s="202" t="str">
        <f t="shared" si="79"/>
        <v/>
      </c>
    </row>
    <row r="5143" spans="1:7" s="172" customFormat="1" ht="15" customHeight="1" x14ac:dyDescent="0.25">
      <c r="A5143" s="803" t="s">
        <v>8795</v>
      </c>
      <c r="B5143" s="803" t="s">
        <v>8759</v>
      </c>
      <c r="C5143" s="803" t="s">
        <v>8759</v>
      </c>
      <c r="D5143" s="803" t="s">
        <v>8796</v>
      </c>
      <c r="E5143" s="803">
        <v>63</v>
      </c>
      <c r="F5143" s="850">
        <v>20</v>
      </c>
      <c r="G5143" s="202" t="str">
        <f t="shared" si="79"/>
        <v/>
      </c>
    </row>
    <row r="5144" spans="1:7" s="172" customFormat="1" ht="15" customHeight="1" x14ac:dyDescent="0.25">
      <c r="A5144" s="803" t="s">
        <v>8793</v>
      </c>
      <c r="B5144" s="803" t="s">
        <v>8759</v>
      </c>
      <c r="C5144" s="803" t="s">
        <v>8759</v>
      </c>
      <c r="D5144" s="803" t="s">
        <v>8797</v>
      </c>
      <c r="E5144" s="803" t="s">
        <v>8788</v>
      </c>
      <c r="F5144" s="850">
        <v>20</v>
      </c>
      <c r="G5144" s="202" t="str">
        <f t="shared" si="79"/>
        <v/>
      </c>
    </row>
    <row r="5145" spans="1:7" s="172" customFormat="1" ht="15" customHeight="1" x14ac:dyDescent="0.25">
      <c r="A5145" s="803" t="s">
        <v>8798</v>
      </c>
      <c r="B5145" s="803" t="s">
        <v>8759</v>
      </c>
      <c r="C5145" s="803" t="s">
        <v>8759</v>
      </c>
      <c r="D5145" s="803" t="s">
        <v>8799</v>
      </c>
      <c r="E5145" s="803" t="s">
        <v>8761</v>
      </c>
      <c r="F5145" s="850">
        <v>38</v>
      </c>
      <c r="G5145" s="202" t="str">
        <f t="shared" si="79"/>
        <v/>
      </c>
    </row>
    <row r="5146" spans="1:7" s="172" customFormat="1" ht="15" customHeight="1" x14ac:dyDescent="0.25">
      <c r="A5146" s="803" t="s">
        <v>8800</v>
      </c>
      <c r="B5146" s="803" t="s">
        <v>8759</v>
      </c>
      <c r="C5146" s="803" t="s">
        <v>8759</v>
      </c>
      <c r="D5146" s="803" t="s">
        <v>8801</v>
      </c>
      <c r="E5146" s="803" t="s">
        <v>8788</v>
      </c>
      <c r="F5146" s="850">
        <v>60</v>
      </c>
      <c r="G5146" s="202" t="str">
        <f t="shared" si="79"/>
        <v/>
      </c>
    </row>
    <row r="5147" spans="1:7" s="172" customFormat="1" ht="15" customHeight="1" x14ac:dyDescent="0.25">
      <c r="A5147" s="803" t="s">
        <v>8802</v>
      </c>
      <c r="B5147" s="803" t="s">
        <v>8759</v>
      </c>
      <c r="C5147" s="803" t="s">
        <v>8759</v>
      </c>
      <c r="D5147" s="803" t="s">
        <v>8803</v>
      </c>
      <c r="E5147" s="803" t="s">
        <v>8765</v>
      </c>
      <c r="F5147" s="850">
        <v>25</v>
      </c>
      <c r="G5147" s="202" t="str">
        <f t="shared" si="79"/>
        <v/>
      </c>
    </row>
    <row r="5148" spans="1:7" s="172" customFormat="1" ht="15" customHeight="1" x14ac:dyDescent="0.25">
      <c r="A5148" s="803" t="s">
        <v>8804</v>
      </c>
      <c r="B5148" s="803" t="s">
        <v>8759</v>
      </c>
      <c r="C5148" s="803" t="s">
        <v>8759</v>
      </c>
      <c r="D5148" s="803" t="s">
        <v>8805</v>
      </c>
      <c r="E5148" s="803" t="s">
        <v>8790</v>
      </c>
      <c r="F5148" s="850">
        <v>10</v>
      </c>
      <c r="G5148" s="202" t="str">
        <f t="shared" ref="G5148:G5211" si="80">IF(E5148=F5148,"не загружен","")</f>
        <v/>
      </c>
    </row>
    <row r="5149" spans="1:7" s="172" customFormat="1" ht="15" customHeight="1" x14ac:dyDescent="0.25">
      <c r="A5149" s="803" t="s">
        <v>8800</v>
      </c>
      <c r="B5149" s="803" t="s">
        <v>8759</v>
      </c>
      <c r="C5149" s="803" t="s">
        <v>8759</v>
      </c>
      <c r="D5149" s="803" t="s">
        <v>8806</v>
      </c>
      <c r="E5149" s="803" t="s">
        <v>8761</v>
      </c>
      <c r="F5149" s="850">
        <v>40</v>
      </c>
      <c r="G5149" s="202" t="str">
        <f t="shared" si="80"/>
        <v/>
      </c>
    </row>
    <row r="5150" spans="1:7" s="172" customFormat="1" ht="15" customHeight="1" x14ac:dyDescent="0.25">
      <c r="A5150" s="803" t="s">
        <v>8807</v>
      </c>
      <c r="B5150" s="803" t="s">
        <v>8759</v>
      </c>
      <c r="C5150" s="803" t="s">
        <v>8759</v>
      </c>
      <c r="D5150" s="803" t="s">
        <v>8808</v>
      </c>
      <c r="E5150" s="803" t="s">
        <v>8790</v>
      </c>
      <c r="F5150" s="850">
        <v>15</v>
      </c>
      <c r="G5150" s="202" t="str">
        <f t="shared" si="80"/>
        <v/>
      </c>
    </row>
    <row r="5151" spans="1:7" s="172" customFormat="1" ht="15" customHeight="1" x14ac:dyDescent="0.25">
      <c r="A5151" s="803" t="s">
        <v>8809</v>
      </c>
      <c r="B5151" s="803" t="s">
        <v>8759</v>
      </c>
      <c r="C5151" s="803" t="s">
        <v>8759</v>
      </c>
      <c r="D5151" s="803" t="s">
        <v>8810</v>
      </c>
      <c r="E5151" s="803" t="s">
        <v>8784</v>
      </c>
      <c r="F5151" s="850">
        <v>50</v>
      </c>
      <c r="G5151" s="202" t="str">
        <f t="shared" si="80"/>
        <v/>
      </c>
    </row>
    <row r="5152" spans="1:7" s="172" customFormat="1" ht="15" customHeight="1" x14ac:dyDescent="0.25">
      <c r="A5152" s="803" t="s">
        <v>3271</v>
      </c>
      <c r="B5152" s="803" t="s">
        <v>8759</v>
      </c>
      <c r="C5152" s="803" t="s">
        <v>8759</v>
      </c>
      <c r="D5152" s="803" t="s">
        <v>8811</v>
      </c>
      <c r="E5152" s="803" t="s">
        <v>8790</v>
      </c>
      <c r="F5152" s="850">
        <v>10</v>
      </c>
      <c r="G5152" s="202" t="str">
        <f t="shared" si="80"/>
        <v/>
      </c>
    </row>
    <row r="5153" spans="1:7" s="172" customFormat="1" ht="15" customHeight="1" x14ac:dyDescent="0.25">
      <c r="A5153" s="803" t="s">
        <v>8812</v>
      </c>
      <c r="B5153" s="803" t="s">
        <v>8759</v>
      </c>
      <c r="C5153" s="803" t="s">
        <v>8759</v>
      </c>
      <c r="D5153" s="803" t="s">
        <v>8813</v>
      </c>
      <c r="E5153" s="803" t="s">
        <v>8771</v>
      </c>
      <c r="F5153" s="850">
        <v>20</v>
      </c>
      <c r="G5153" s="202" t="str">
        <f t="shared" si="80"/>
        <v/>
      </c>
    </row>
    <row r="5154" spans="1:7" s="172" customFormat="1" ht="15" customHeight="1" x14ac:dyDescent="0.25">
      <c r="A5154" s="803" t="s">
        <v>8814</v>
      </c>
      <c r="B5154" s="803" t="s">
        <v>8759</v>
      </c>
      <c r="C5154" s="803" t="s">
        <v>8759</v>
      </c>
      <c r="D5154" s="803" t="s">
        <v>8815</v>
      </c>
      <c r="E5154" s="803" t="s">
        <v>8765</v>
      </c>
      <c r="F5154" s="850">
        <v>15</v>
      </c>
      <c r="G5154" s="202" t="str">
        <f t="shared" si="80"/>
        <v/>
      </c>
    </row>
    <row r="5155" spans="1:7" s="172" customFormat="1" ht="15" customHeight="1" x14ac:dyDescent="0.25">
      <c r="A5155" s="803" t="s">
        <v>8816</v>
      </c>
      <c r="B5155" s="803" t="s">
        <v>8759</v>
      </c>
      <c r="C5155" s="803" t="s">
        <v>8759</v>
      </c>
      <c r="D5155" s="803" t="s">
        <v>8817</v>
      </c>
      <c r="E5155" s="803" t="s">
        <v>8765</v>
      </c>
      <c r="F5155" s="850">
        <v>18</v>
      </c>
      <c r="G5155" s="202" t="str">
        <f t="shared" si="80"/>
        <v/>
      </c>
    </row>
    <row r="5156" spans="1:7" s="172" customFormat="1" ht="15" customHeight="1" x14ac:dyDescent="0.25">
      <c r="A5156" s="803" t="s">
        <v>8818</v>
      </c>
      <c r="B5156" s="803" t="s">
        <v>8759</v>
      </c>
      <c r="C5156" s="803" t="s">
        <v>8759</v>
      </c>
      <c r="D5156" s="803" t="s">
        <v>8819</v>
      </c>
      <c r="E5156" s="803" t="s">
        <v>8761</v>
      </c>
      <c r="F5156" s="850">
        <v>15</v>
      </c>
      <c r="G5156" s="202" t="str">
        <f t="shared" si="80"/>
        <v/>
      </c>
    </row>
    <row r="5157" spans="1:7" s="172" customFormat="1" ht="15" customHeight="1" x14ac:dyDescent="0.25">
      <c r="A5157" s="803" t="s">
        <v>8820</v>
      </c>
      <c r="B5157" s="803" t="s">
        <v>8759</v>
      </c>
      <c r="C5157" s="803" t="s">
        <v>8759</v>
      </c>
      <c r="D5157" s="803" t="s">
        <v>8821</v>
      </c>
      <c r="E5157" s="803" t="s">
        <v>8774</v>
      </c>
      <c r="F5157" s="850">
        <v>17</v>
      </c>
      <c r="G5157" s="202" t="str">
        <f t="shared" si="80"/>
        <v/>
      </c>
    </row>
    <row r="5158" spans="1:7" s="172" customFormat="1" ht="15" customHeight="1" x14ac:dyDescent="0.25">
      <c r="A5158" s="803" t="s">
        <v>8822</v>
      </c>
      <c r="B5158" s="803" t="s">
        <v>8759</v>
      </c>
      <c r="C5158" s="803" t="s">
        <v>8759</v>
      </c>
      <c r="D5158" s="803" t="s">
        <v>8823</v>
      </c>
      <c r="E5158" s="803" t="s">
        <v>8784</v>
      </c>
      <c r="F5158" s="850">
        <v>70</v>
      </c>
      <c r="G5158" s="202" t="str">
        <f t="shared" si="80"/>
        <v/>
      </c>
    </row>
    <row r="5159" spans="1:7" s="172" customFormat="1" ht="15" customHeight="1" x14ac:dyDescent="0.25">
      <c r="A5159" s="803" t="s">
        <v>8822</v>
      </c>
      <c r="B5159" s="803" t="s">
        <v>8759</v>
      </c>
      <c r="C5159" s="803" t="s">
        <v>8759</v>
      </c>
      <c r="D5159" s="803" t="s">
        <v>8824</v>
      </c>
      <c r="E5159" s="803" t="s">
        <v>8761</v>
      </c>
      <c r="F5159" s="850">
        <v>10</v>
      </c>
      <c r="G5159" s="202" t="str">
        <f t="shared" si="80"/>
        <v/>
      </c>
    </row>
    <row r="5160" spans="1:7" s="172" customFormat="1" ht="15" customHeight="1" x14ac:dyDescent="0.25">
      <c r="A5160" s="803" t="s">
        <v>8825</v>
      </c>
      <c r="B5160" s="803" t="s">
        <v>8759</v>
      </c>
      <c r="C5160" s="803" t="s">
        <v>8759</v>
      </c>
      <c r="D5160" s="803" t="s">
        <v>8826</v>
      </c>
      <c r="E5160" s="803" t="s">
        <v>6923</v>
      </c>
      <c r="F5160" s="850">
        <v>5</v>
      </c>
      <c r="G5160" s="202" t="str">
        <f t="shared" si="80"/>
        <v/>
      </c>
    </row>
    <row r="5161" spans="1:7" s="172" customFormat="1" ht="15" customHeight="1" x14ac:dyDescent="0.25">
      <c r="A5161" s="803" t="s">
        <v>8827</v>
      </c>
      <c r="B5161" s="803" t="s">
        <v>8759</v>
      </c>
      <c r="C5161" s="803" t="s">
        <v>8759</v>
      </c>
      <c r="D5161" s="803" t="s">
        <v>8828</v>
      </c>
      <c r="E5161" s="803" t="s">
        <v>8771</v>
      </c>
      <c r="F5161" s="850">
        <v>8</v>
      </c>
      <c r="G5161" s="202" t="str">
        <f t="shared" si="80"/>
        <v/>
      </c>
    </row>
    <row r="5162" spans="1:7" s="172" customFormat="1" ht="15" customHeight="1" x14ac:dyDescent="0.25">
      <c r="A5162" s="803" t="s">
        <v>8829</v>
      </c>
      <c r="B5162" s="803" t="s">
        <v>8759</v>
      </c>
      <c r="C5162" s="803" t="s">
        <v>8759</v>
      </c>
      <c r="D5162" s="803" t="s">
        <v>8830</v>
      </c>
      <c r="E5162" s="803" t="s">
        <v>8790</v>
      </c>
      <c r="F5162" s="850">
        <v>6</v>
      </c>
      <c r="G5162" s="202" t="str">
        <f t="shared" si="80"/>
        <v/>
      </c>
    </row>
    <row r="5163" spans="1:7" s="172" customFormat="1" ht="15" customHeight="1" x14ac:dyDescent="0.25">
      <c r="A5163" s="803" t="s">
        <v>8831</v>
      </c>
      <c r="B5163" s="803" t="s">
        <v>8759</v>
      </c>
      <c r="C5163" s="803" t="s">
        <v>8759</v>
      </c>
      <c r="D5163" s="803" t="s">
        <v>8832</v>
      </c>
      <c r="E5163" s="803" t="s">
        <v>8771</v>
      </c>
      <c r="F5163" s="850">
        <v>7</v>
      </c>
      <c r="G5163" s="202" t="str">
        <f t="shared" si="80"/>
        <v/>
      </c>
    </row>
    <row r="5164" spans="1:7" s="172" customFormat="1" ht="15" customHeight="1" x14ac:dyDescent="0.25">
      <c r="A5164" s="803" t="s">
        <v>8833</v>
      </c>
      <c r="B5164" s="803" t="s">
        <v>8759</v>
      </c>
      <c r="C5164" s="803" t="s">
        <v>8759</v>
      </c>
      <c r="D5164" s="803" t="s">
        <v>8834</v>
      </c>
      <c r="E5164" s="803" t="s">
        <v>8835</v>
      </c>
      <c r="F5164" s="850">
        <v>15</v>
      </c>
      <c r="G5164" s="202" t="str">
        <f t="shared" si="80"/>
        <v/>
      </c>
    </row>
    <row r="5165" spans="1:7" s="172" customFormat="1" ht="15" customHeight="1" x14ac:dyDescent="0.25">
      <c r="A5165" s="803" t="s">
        <v>8822</v>
      </c>
      <c r="B5165" s="803" t="s">
        <v>8759</v>
      </c>
      <c r="C5165" s="803" t="s">
        <v>8759</v>
      </c>
      <c r="D5165" s="803" t="s">
        <v>8836</v>
      </c>
      <c r="E5165" s="803" t="s">
        <v>8761</v>
      </c>
      <c r="F5165" s="850">
        <v>50</v>
      </c>
      <c r="G5165" s="202" t="str">
        <f t="shared" si="80"/>
        <v/>
      </c>
    </row>
    <row r="5166" spans="1:7" s="172" customFormat="1" ht="15" customHeight="1" x14ac:dyDescent="0.25">
      <c r="A5166" s="803" t="s">
        <v>8822</v>
      </c>
      <c r="B5166" s="803" t="s">
        <v>8759</v>
      </c>
      <c r="C5166" s="803" t="s">
        <v>8759</v>
      </c>
      <c r="D5166" s="803" t="s">
        <v>8837</v>
      </c>
      <c r="E5166" s="803" t="s">
        <v>8761</v>
      </c>
      <c r="F5166" s="850">
        <v>20</v>
      </c>
      <c r="G5166" s="202" t="str">
        <f t="shared" si="80"/>
        <v/>
      </c>
    </row>
    <row r="5167" spans="1:7" s="172" customFormat="1" ht="15" customHeight="1" x14ac:dyDescent="0.25">
      <c r="A5167" s="803" t="s">
        <v>8838</v>
      </c>
      <c r="B5167" s="803" t="s">
        <v>8759</v>
      </c>
      <c r="C5167" s="803" t="s">
        <v>8759</v>
      </c>
      <c r="D5167" s="803" t="s">
        <v>8839</v>
      </c>
      <c r="E5167" s="803" t="s">
        <v>8784</v>
      </c>
      <c r="F5167" s="850">
        <v>24</v>
      </c>
      <c r="G5167" s="202" t="str">
        <f t="shared" si="80"/>
        <v/>
      </c>
    </row>
    <row r="5168" spans="1:7" s="172" customFormat="1" ht="15" customHeight="1" x14ac:dyDescent="0.25">
      <c r="A5168" s="803" t="s">
        <v>8838</v>
      </c>
      <c r="B5168" s="803" t="s">
        <v>8759</v>
      </c>
      <c r="C5168" s="803" t="s">
        <v>8759</v>
      </c>
      <c r="D5168" s="803" t="s">
        <v>8840</v>
      </c>
      <c r="E5168" s="803" t="s">
        <v>8761</v>
      </c>
      <c r="F5168" s="850">
        <v>44</v>
      </c>
      <c r="G5168" s="202" t="str">
        <f t="shared" si="80"/>
        <v/>
      </c>
    </row>
    <row r="5169" spans="1:7" s="172" customFormat="1" ht="15" customHeight="1" x14ac:dyDescent="0.25">
      <c r="A5169" s="803" t="s">
        <v>8841</v>
      </c>
      <c r="B5169" s="803" t="s">
        <v>8759</v>
      </c>
      <c r="C5169" s="803" t="s">
        <v>8759</v>
      </c>
      <c r="D5169" s="803" t="s">
        <v>8842</v>
      </c>
      <c r="E5169" s="803" t="s">
        <v>8765</v>
      </c>
      <c r="F5169" s="850">
        <v>10</v>
      </c>
      <c r="G5169" s="202" t="str">
        <f t="shared" si="80"/>
        <v/>
      </c>
    </row>
    <row r="5170" spans="1:7" s="172" customFormat="1" ht="15" customHeight="1" x14ac:dyDescent="0.25">
      <c r="A5170" s="803" t="s">
        <v>8843</v>
      </c>
      <c r="B5170" s="803" t="s">
        <v>8759</v>
      </c>
      <c r="C5170" s="803" t="s">
        <v>8759</v>
      </c>
      <c r="D5170" s="803" t="s">
        <v>8844</v>
      </c>
      <c r="E5170" s="803" t="s">
        <v>8774</v>
      </c>
      <c r="F5170" s="850">
        <v>15</v>
      </c>
      <c r="G5170" s="202" t="str">
        <f t="shared" si="80"/>
        <v/>
      </c>
    </row>
    <row r="5171" spans="1:7" s="172" customFormat="1" ht="15" customHeight="1" x14ac:dyDescent="0.25">
      <c r="A5171" s="803" t="s">
        <v>8845</v>
      </c>
      <c r="B5171" s="803" t="s">
        <v>8759</v>
      </c>
      <c r="C5171" s="803" t="s">
        <v>8759</v>
      </c>
      <c r="D5171" s="803" t="s">
        <v>8846</v>
      </c>
      <c r="E5171" s="803" t="s">
        <v>2429</v>
      </c>
      <c r="F5171" s="850">
        <v>6</v>
      </c>
      <c r="G5171" s="202" t="str">
        <f t="shared" si="80"/>
        <v/>
      </c>
    </row>
    <row r="5172" spans="1:7" s="172" customFormat="1" ht="15" customHeight="1" x14ac:dyDescent="0.25">
      <c r="A5172" s="803" t="s">
        <v>8847</v>
      </c>
      <c r="B5172" s="803" t="s">
        <v>8759</v>
      </c>
      <c r="C5172" s="803" t="s">
        <v>8759</v>
      </c>
      <c r="D5172" s="803" t="s">
        <v>8848</v>
      </c>
      <c r="E5172" s="803" t="s">
        <v>8765</v>
      </c>
      <c r="F5172" s="850">
        <v>13</v>
      </c>
      <c r="G5172" s="202" t="str">
        <f t="shared" si="80"/>
        <v/>
      </c>
    </row>
    <row r="5173" spans="1:7" s="172" customFormat="1" ht="15" customHeight="1" x14ac:dyDescent="0.25">
      <c r="A5173" s="803" t="s">
        <v>8849</v>
      </c>
      <c r="B5173" s="803" t="s">
        <v>8759</v>
      </c>
      <c r="C5173" s="803" t="s">
        <v>8759</v>
      </c>
      <c r="D5173" s="803" t="s">
        <v>8850</v>
      </c>
      <c r="E5173" s="803" t="s">
        <v>2429</v>
      </c>
      <c r="F5173" s="850">
        <v>3</v>
      </c>
      <c r="G5173" s="202" t="str">
        <f t="shared" si="80"/>
        <v/>
      </c>
    </row>
    <row r="5174" spans="1:7" s="172" customFormat="1" ht="15" customHeight="1" x14ac:dyDescent="0.25">
      <c r="A5174" s="803" t="s">
        <v>8841</v>
      </c>
      <c r="B5174" s="803" t="s">
        <v>8759</v>
      </c>
      <c r="C5174" s="803" t="s">
        <v>8759</v>
      </c>
      <c r="D5174" s="803" t="s">
        <v>8851</v>
      </c>
      <c r="E5174" s="803" t="s">
        <v>8835</v>
      </c>
      <c r="F5174" s="850">
        <v>3</v>
      </c>
      <c r="G5174" s="202" t="str">
        <f t="shared" si="80"/>
        <v/>
      </c>
    </row>
    <row r="5175" spans="1:7" s="172" customFormat="1" ht="15" customHeight="1" x14ac:dyDescent="0.25">
      <c r="A5175" s="803" t="s">
        <v>8852</v>
      </c>
      <c r="B5175" s="803" t="s">
        <v>8759</v>
      </c>
      <c r="C5175" s="803" t="s">
        <v>8759</v>
      </c>
      <c r="D5175" s="803" t="s">
        <v>8853</v>
      </c>
      <c r="E5175" s="803" t="s">
        <v>2429</v>
      </c>
      <c r="F5175" s="850">
        <v>3</v>
      </c>
      <c r="G5175" s="202" t="str">
        <f t="shared" si="80"/>
        <v/>
      </c>
    </row>
    <row r="5176" spans="1:7" s="172" customFormat="1" ht="15" customHeight="1" x14ac:dyDescent="0.25">
      <c r="A5176" s="803" t="s">
        <v>6962</v>
      </c>
      <c r="B5176" s="803" t="s">
        <v>8759</v>
      </c>
      <c r="C5176" s="803" t="s">
        <v>8759</v>
      </c>
      <c r="D5176" s="803" t="s">
        <v>8854</v>
      </c>
      <c r="E5176" s="803" t="s">
        <v>8788</v>
      </c>
      <c r="F5176" s="850">
        <v>18</v>
      </c>
      <c r="G5176" s="202" t="str">
        <f t="shared" si="80"/>
        <v/>
      </c>
    </row>
    <row r="5177" spans="1:7" s="172" customFormat="1" ht="15" customHeight="1" x14ac:dyDescent="0.25">
      <c r="A5177" s="803" t="s">
        <v>3545</v>
      </c>
      <c r="B5177" s="803" t="s">
        <v>8759</v>
      </c>
      <c r="C5177" s="803" t="s">
        <v>8759</v>
      </c>
      <c r="D5177" s="803" t="s">
        <v>8855</v>
      </c>
      <c r="E5177" s="803" t="s">
        <v>8788</v>
      </c>
      <c r="F5177" s="850">
        <v>15</v>
      </c>
      <c r="G5177" s="202" t="str">
        <f t="shared" si="80"/>
        <v/>
      </c>
    </row>
    <row r="5178" spans="1:7" s="172" customFormat="1" ht="15" customHeight="1" x14ac:dyDescent="0.25">
      <c r="A5178" s="803" t="s">
        <v>8856</v>
      </c>
      <c r="B5178" s="803" t="s">
        <v>8759</v>
      </c>
      <c r="C5178" s="803" t="s">
        <v>8759</v>
      </c>
      <c r="D5178" s="803" t="s">
        <v>8857</v>
      </c>
      <c r="E5178" s="803" t="s">
        <v>8761</v>
      </c>
      <c r="F5178" s="850">
        <v>23</v>
      </c>
      <c r="G5178" s="202" t="str">
        <f t="shared" si="80"/>
        <v/>
      </c>
    </row>
    <row r="5179" spans="1:7" s="172" customFormat="1" ht="15" customHeight="1" x14ac:dyDescent="0.25">
      <c r="A5179" s="803" t="s">
        <v>8858</v>
      </c>
      <c r="B5179" s="803" t="s">
        <v>8759</v>
      </c>
      <c r="C5179" s="803" t="s">
        <v>8759</v>
      </c>
      <c r="D5179" s="803" t="s">
        <v>8859</v>
      </c>
      <c r="E5179" s="803" t="s">
        <v>8761</v>
      </c>
      <c r="F5179" s="850">
        <v>6</v>
      </c>
      <c r="G5179" s="202" t="str">
        <f t="shared" si="80"/>
        <v/>
      </c>
    </row>
    <row r="5180" spans="1:7" s="172" customFormat="1" ht="15" customHeight="1" x14ac:dyDescent="0.25">
      <c r="A5180" s="803" t="s">
        <v>8858</v>
      </c>
      <c r="B5180" s="803" t="s">
        <v>8759</v>
      </c>
      <c r="C5180" s="803" t="s">
        <v>8759</v>
      </c>
      <c r="D5180" s="803" t="s">
        <v>8860</v>
      </c>
      <c r="E5180" s="803" t="s">
        <v>8761</v>
      </c>
      <c r="F5180" s="850">
        <v>50</v>
      </c>
      <c r="G5180" s="202" t="str">
        <f t="shared" si="80"/>
        <v/>
      </c>
    </row>
    <row r="5181" spans="1:7" s="172" customFormat="1" ht="15" customHeight="1" x14ac:dyDescent="0.25">
      <c r="A5181" s="803" t="s">
        <v>8858</v>
      </c>
      <c r="B5181" s="803" t="s">
        <v>8759</v>
      </c>
      <c r="C5181" s="803" t="s">
        <v>8759</v>
      </c>
      <c r="D5181" s="803" t="s">
        <v>8861</v>
      </c>
      <c r="E5181" s="803">
        <v>160</v>
      </c>
      <c r="F5181" s="850">
        <v>20</v>
      </c>
      <c r="G5181" s="202" t="str">
        <f t="shared" si="80"/>
        <v/>
      </c>
    </row>
    <row r="5182" spans="1:7" s="172" customFormat="1" ht="15" customHeight="1" x14ac:dyDescent="0.25">
      <c r="A5182" s="803" t="s">
        <v>8862</v>
      </c>
      <c r="B5182" s="803" t="s">
        <v>8759</v>
      </c>
      <c r="C5182" s="803" t="s">
        <v>8759</v>
      </c>
      <c r="D5182" s="803" t="s">
        <v>8863</v>
      </c>
      <c r="E5182" s="803" t="s">
        <v>8790</v>
      </c>
      <c r="F5182" s="850">
        <v>10</v>
      </c>
      <c r="G5182" s="202" t="str">
        <f t="shared" si="80"/>
        <v/>
      </c>
    </row>
    <row r="5183" spans="1:7" s="172" customFormat="1" ht="15" customHeight="1" x14ac:dyDescent="0.25">
      <c r="A5183" s="803" t="s">
        <v>8864</v>
      </c>
      <c r="B5183" s="803" t="s">
        <v>8759</v>
      </c>
      <c r="C5183" s="803" t="s">
        <v>8759</v>
      </c>
      <c r="D5183" s="803" t="s">
        <v>8865</v>
      </c>
      <c r="E5183" s="803" t="s">
        <v>8835</v>
      </c>
      <c r="F5183" s="850">
        <v>3</v>
      </c>
      <c r="G5183" s="202" t="str">
        <f t="shared" si="80"/>
        <v/>
      </c>
    </row>
    <row r="5184" spans="1:7" s="172" customFormat="1" ht="15" customHeight="1" x14ac:dyDescent="0.25">
      <c r="A5184" s="803" t="s">
        <v>8866</v>
      </c>
      <c r="B5184" s="803" t="s">
        <v>8759</v>
      </c>
      <c r="C5184" s="803" t="s">
        <v>8759</v>
      </c>
      <c r="D5184" s="803" t="s">
        <v>8867</v>
      </c>
      <c r="E5184" s="803" t="s">
        <v>8784</v>
      </c>
      <c r="F5184" s="850">
        <v>30</v>
      </c>
      <c r="G5184" s="202" t="str">
        <f t="shared" si="80"/>
        <v/>
      </c>
    </row>
    <row r="5185" spans="1:7" s="172" customFormat="1" ht="15" customHeight="1" x14ac:dyDescent="0.25">
      <c r="A5185" s="803" t="s">
        <v>8868</v>
      </c>
      <c r="B5185" s="803" t="s">
        <v>8759</v>
      </c>
      <c r="C5185" s="803" t="s">
        <v>8759</v>
      </c>
      <c r="D5185" s="803" t="s">
        <v>8869</v>
      </c>
      <c r="E5185" s="803" t="s">
        <v>8790</v>
      </c>
      <c r="F5185" s="850">
        <v>12</v>
      </c>
      <c r="G5185" s="202" t="str">
        <f t="shared" si="80"/>
        <v/>
      </c>
    </row>
    <row r="5186" spans="1:7" s="172" customFormat="1" ht="15" customHeight="1" x14ac:dyDescent="0.25">
      <c r="A5186" s="803" t="s">
        <v>8870</v>
      </c>
      <c r="B5186" s="803" t="s">
        <v>8759</v>
      </c>
      <c r="C5186" s="803" t="s">
        <v>8759</v>
      </c>
      <c r="D5186" s="803" t="s">
        <v>8871</v>
      </c>
      <c r="E5186" s="803" t="s">
        <v>8790</v>
      </c>
      <c r="F5186" s="850">
        <v>10</v>
      </c>
      <c r="G5186" s="202" t="str">
        <f t="shared" si="80"/>
        <v/>
      </c>
    </row>
    <row r="5187" spans="1:7" s="172" customFormat="1" ht="15" customHeight="1" x14ac:dyDescent="0.25">
      <c r="A5187" s="803" t="s">
        <v>8872</v>
      </c>
      <c r="B5187" s="803" t="s">
        <v>8759</v>
      </c>
      <c r="C5187" s="803" t="s">
        <v>8759</v>
      </c>
      <c r="D5187" s="803" t="s">
        <v>8873</v>
      </c>
      <c r="E5187" s="803" t="s">
        <v>8765</v>
      </c>
      <c r="F5187" s="850">
        <v>15</v>
      </c>
      <c r="G5187" s="202" t="str">
        <f t="shared" si="80"/>
        <v/>
      </c>
    </row>
    <row r="5188" spans="1:7" s="172" customFormat="1" ht="15" customHeight="1" x14ac:dyDescent="0.25">
      <c r="A5188" s="803" t="s">
        <v>8874</v>
      </c>
      <c r="B5188" s="803" t="s">
        <v>8759</v>
      </c>
      <c r="C5188" s="803" t="s">
        <v>8759</v>
      </c>
      <c r="D5188" s="803" t="s">
        <v>8875</v>
      </c>
      <c r="E5188" s="803" t="s">
        <v>8876</v>
      </c>
      <c r="F5188" s="850">
        <v>18</v>
      </c>
      <c r="G5188" s="202" t="str">
        <f t="shared" si="80"/>
        <v/>
      </c>
    </row>
    <row r="5189" spans="1:7" s="172" customFormat="1" ht="15" customHeight="1" x14ac:dyDescent="0.25">
      <c r="A5189" s="803" t="s">
        <v>3135</v>
      </c>
      <c r="B5189" s="803" t="s">
        <v>8759</v>
      </c>
      <c r="C5189" s="803" t="s">
        <v>8759</v>
      </c>
      <c r="D5189" s="803" t="s">
        <v>8877</v>
      </c>
      <c r="E5189" s="803" t="s">
        <v>8774</v>
      </c>
      <c r="F5189" s="850">
        <v>10</v>
      </c>
      <c r="G5189" s="202" t="str">
        <f t="shared" si="80"/>
        <v/>
      </c>
    </row>
    <row r="5190" spans="1:7" s="172" customFormat="1" ht="15" customHeight="1" x14ac:dyDescent="0.25">
      <c r="A5190" s="803" t="s">
        <v>5727</v>
      </c>
      <c r="B5190" s="803" t="s">
        <v>8759</v>
      </c>
      <c r="C5190" s="803" t="s">
        <v>8759</v>
      </c>
      <c r="D5190" s="803" t="s">
        <v>8878</v>
      </c>
      <c r="E5190" s="803" t="s">
        <v>8765</v>
      </c>
      <c r="F5190" s="850">
        <v>15</v>
      </c>
      <c r="G5190" s="202" t="str">
        <f t="shared" si="80"/>
        <v/>
      </c>
    </row>
    <row r="5191" spans="1:7" s="172" customFormat="1" ht="15" customHeight="1" x14ac:dyDescent="0.25">
      <c r="A5191" s="803" t="s">
        <v>8879</v>
      </c>
      <c r="B5191" s="803" t="s">
        <v>8759</v>
      </c>
      <c r="C5191" s="803" t="s">
        <v>8759</v>
      </c>
      <c r="D5191" s="803" t="s">
        <v>8880</v>
      </c>
      <c r="E5191" s="803" t="s">
        <v>8761</v>
      </c>
      <c r="F5191" s="850">
        <v>40</v>
      </c>
      <c r="G5191" s="202" t="str">
        <f t="shared" si="80"/>
        <v/>
      </c>
    </row>
    <row r="5192" spans="1:7" s="172" customFormat="1" ht="15" customHeight="1" x14ac:dyDescent="0.25">
      <c r="A5192" s="803" t="s">
        <v>8881</v>
      </c>
      <c r="B5192" s="803" t="s">
        <v>8759</v>
      </c>
      <c r="C5192" s="803" t="s">
        <v>8759</v>
      </c>
      <c r="D5192" s="803" t="s">
        <v>8882</v>
      </c>
      <c r="E5192" s="803" t="s">
        <v>8774</v>
      </c>
      <c r="F5192" s="850">
        <v>15</v>
      </c>
      <c r="G5192" s="202" t="str">
        <f t="shared" si="80"/>
        <v/>
      </c>
    </row>
    <row r="5193" spans="1:7" s="172" customFormat="1" ht="15" customHeight="1" x14ac:dyDescent="0.25">
      <c r="A5193" s="803" t="s">
        <v>8883</v>
      </c>
      <c r="B5193" s="803" t="s">
        <v>8759</v>
      </c>
      <c r="C5193" s="803" t="s">
        <v>8759</v>
      </c>
      <c r="D5193" s="803" t="s">
        <v>8884</v>
      </c>
      <c r="E5193" s="803" t="s">
        <v>8765</v>
      </c>
      <c r="F5193" s="850">
        <v>10</v>
      </c>
      <c r="G5193" s="202" t="str">
        <f t="shared" si="80"/>
        <v/>
      </c>
    </row>
    <row r="5194" spans="1:7" s="172" customFormat="1" ht="15" customHeight="1" x14ac:dyDescent="0.25">
      <c r="A5194" s="803" t="s">
        <v>8885</v>
      </c>
      <c r="B5194" s="803" t="s">
        <v>8759</v>
      </c>
      <c r="C5194" s="803" t="s">
        <v>8759</v>
      </c>
      <c r="D5194" s="803" t="s">
        <v>8886</v>
      </c>
      <c r="E5194" s="803" t="s">
        <v>8774</v>
      </c>
      <c r="F5194" s="850">
        <v>13</v>
      </c>
      <c r="G5194" s="202" t="str">
        <f t="shared" si="80"/>
        <v/>
      </c>
    </row>
    <row r="5195" spans="1:7" s="172" customFormat="1" ht="15" customHeight="1" x14ac:dyDescent="0.25">
      <c r="A5195" s="803" t="s">
        <v>8887</v>
      </c>
      <c r="B5195" s="803" t="s">
        <v>8759</v>
      </c>
      <c r="C5195" s="803" t="s">
        <v>8759</v>
      </c>
      <c r="D5195" s="803" t="s">
        <v>8888</v>
      </c>
      <c r="E5195" s="803" t="s">
        <v>8790</v>
      </c>
      <c r="F5195" s="850">
        <v>7</v>
      </c>
      <c r="G5195" s="202" t="str">
        <f t="shared" si="80"/>
        <v/>
      </c>
    </row>
    <row r="5196" spans="1:7" s="172" customFormat="1" ht="15" customHeight="1" x14ac:dyDescent="0.25">
      <c r="A5196" s="803" t="s">
        <v>8889</v>
      </c>
      <c r="B5196" s="803" t="s">
        <v>8759</v>
      </c>
      <c r="C5196" s="803" t="s">
        <v>8759</v>
      </c>
      <c r="D5196" s="803" t="s">
        <v>8890</v>
      </c>
      <c r="E5196" s="803" t="s">
        <v>8771</v>
      </c>
      <c r="F5196" s="850">
        <v>10</v>
      </c>
      <c r="G5196" s="202" t="str">
        <f t="shared" si="80"/>
        <v/>
      </c>
    </row>
    <row r="5197" spans="1:7" s="172" customFormat="1" ht="15" customHeight="1" x14ac:dyDescent="0.25">
      <c r="A5197" s="803" t="s">
        <v>8889</v>
      </c>
      <c r="B5197" s="803" t="s">
        <v>8759</v>
      </c>
      <c r="C5197" s="803" t="s">
        <v>8759</v>
      </c>
      <c r="D5197" s="803" t="s">
        <v>8891</v>
      </c>
      <c r="E5197" s="803" t="s">
        <v>6923</v>
      </c>
      <c r="F5197" s="850">
        <v>5</v>
      </c>
      <c r="G5197" s="202" t="str">
        <f t="shared" si="80"/>
        <v/>
      </c>
    </row>
    <row r="5198" spans="1:7" s="172" customFormat="1" ht="15" customHeight="1" x14ac:dyDescent="0.25">
      <c r="A5198" s="803" t="s">
        <v>8775</v>
      </c>
      <c r="B5198" s="803" t="s">
        <v>8759</v>
      </c>
      <c r="C5198" s="803" t="s">
        <v>8759</v>
      </c>
      <c r="D5198" s="803" t="s">
        <v>8892</v>
      </c>
      <c r="E5198" s="803" t="s">
        <v>8761</v>
      </c>
      <c r="F5198" s="850">
        <v>17</v>
      </c>
      <c r="G5198" s="202" t="str">
        <f t="shared" si="80"/>
        <v/>
      </c>
    </row>
    <row r="5199" spans="1:7" s="172" customFormat="1" ht="15" customHeight="1" x14ac:dyDescent="0.25">
      <c r="A5199" s="803" t="s">
        <v>8893</v>
      </c>
      <c r="B5199" s="803" t="s">
        <v>8759</v>
      </c>
      <c r="C5199" s="803" t="s">
        <v>8759</v>
      </c>
      <c r="D5199" s="803" t="s">
        <v>8894</v>
      </c>
      <c r="E5199" s="803" t="s">
        <v>8790</v>
      </c>
      <c r="F5199" s="850">
        <v>5</v>
      </c>
      <c r="G5199" s="202" t="str">
        <f t="shared" si="80"/>
        <v/>
      </c>
    </row>
    <row r="5200" spans="1:7" s="172" customFormat="1" ht="15" customHeight="1" x14ac:dyDescent="0.25">
      <c r="A5200" s="803" t="s">
        <v>4823</v>
      </c>
      <c r="B5200" s="803" t="s">
        <v>8759</v>
      </c>
      <c r="C5200" s="803" t="s">
        <v>8759</v>
      </c>
      <c r="D5200" s="803" t="s">
        <v>8895</v>
      </c>
      <c r="E5200" s="803" t="s">
        <v>8774</v>
      </c>
      <c r="F5200" s="850">
        <v>20</v>
      </c>
      <c r="G5200" s="202" t="str">
        <f t="shared" si="80"/>
        <v/>
      </c>
    </row>
    <row r="5201" spans="1:7" s="172" customFormat="1" ht="15" customHeight="1" x14ac:dyDescent="0.25">
      <c r="A5201" s="803" t="s">
        <v>8896</v>
      </c>
      <c r="B5201" s="803" t="s">
        <v>8759</v>
      </c>
      <c r="C5201" s="803" t="s">
        <v>8759</v>
      </c>
      <c r="D5201" s="803" t="s">
        <v>8897</v>
      </c>
      <c r="E5201" s="803" t="s">
        <v>8774</v>
      </c>
      <c r="F5201" s="850">
        <v>10</v>
      </c>
      <c r="G5201" s="202" t="str">
        <f t="shared" si="80"/>
        <v/>
      </c>
    </row>
    <row r="5202" spans="1:7" s="172" customFormat="1" ht="15" customHeight="1" x14ac:dyDescent="0.25">
      <c r="A5202" s="803" t="s">
        <v>8898</v>
      </c>
      <c r="B5202" s="803" t="s">
        <v>8759</v>
      </c>
      <c r="C5202" s="803" t="s">
        <v>8759</v>
      </c>
      <c r="D5202" s="803" t="s">
        <v>8899</v>
      </c>
      <c r="E5202" s="803" t="s">
        <v>6923</v>
      </c>
      <c r="F5202" s="850">
        <v>5</v>
      </c>
      <c r="G5202" s="202" t="str">
        <f t="shared" si="80"/>
        <v/>
      </c>
    </row>
    <row r="5203" spans="1:7" s="172" customFormat="1" ht="15" customHeight="1" x14ac:dyDescent="0.25">
      <c r="A5203" s="803" t="s">
        <v>6165</v>
      </c>
      <c r="B5203" s="803" t="s">
        <v>8759</v>
      </c>
      <c r="C5203" s="803" t="s">
        <v>8759</v>
      </c>
      <c r="D5203" s="803" t="s">
        <v>8900</v>
      </c>
      <c r="E5203" s="803" t="s">
        <v>8790</v>
      </c>
      <c r="F5203" s="850">
        <v>15</v>
      </c>
      <c r="G5203" s="202" t="str">
        <f t="shared" si="80"/>
        <v/>
      </c>
    </row>
    <row r="5204" spans="1:7" s="172" customFormat="1" ht="15" customHeight="1" x14ac:dyDescent="0.25">
      <c r="A5204" s="803" t="s">
        <v>8901</v>
      </c>
      <c r="B5204" s="803" t="s">
        <v>8759</v>
      </c>
      <c r="C5204" s="803" t="s">
        <v>8759</v>
      </c>
      <c r="D5204" s="803" t="s">
        <v>8902</v>
      </c>
      <c r="E5204" s="803" t="s">
        <v>8835</v>
      </c>
      <c r="F5204" s="850">
        <v>12</v>
      </c>
      <c r="G5204" s="202" t="str">
        <f t="shared" si="80"/>
        <v/>
      </c>
    </row>
    <row r="5205" spans="1:7" s="172" customFormat="1" ht="15" customHeight="1" x14ac:dyDescent="0.25">
      <c r="A5205" s="803" t="s">
        <v>8903</v>
      </c>
      <c r="B5205" s="803" t="s">
        <v>8759</v>
      </c>
      <c r="C5205" s="803" t="s">
        <v>8759</v>
      </c>
      <c r="D5205" s="803" t="s">
        <v>8904</v>
      </c>
      <c r="E5205" s="803" t="s">
        <v>6923</v>
      </c>
      <c r="F5205" s="850">
        <v>15</v>
      </c>
      <c r="G5205" s="202" t="str">
        <f t="shared" si="80"/>
        <v/>
      </c>
    </row>
    <row r="5206" spans="1:7" s="172" customFormat="1" ht="15" customHeight="1" x14ac:dyDescent="0.25">
      <c r="A5206" s="803" t="s">
        <v>8905</v>
      </c>
      <c r="B5206" s="803" t="s">
        <v>8759</v>
      </c>
      <c r="C5206" s="803" t="s">
        <v>8759</v>
      </c>
      <c r="D5206" s="803" t="s">
        <v>8906</v>
      </c>
      <c r="E5206" s="803" t="s">
        <v>8835</v>
      </c>
      <c r="F5206" s="850">
        <v>15</v>
      </c>
      <c r="G5206" s="202" t="str">
        <f t="shared" si="80"/>
        <v/>
      </c>
    </row>
    <row r="5207" spans="1:7" s="172" customFormat="1" ht="15" customHeight="1" x14ac:dyDescent="0.25">
      <c r="A5207" s="803" t="s">
        <v>8907</v>
      </c>
      <c r="B5207" s="803" t="s">
        <v>8759</v>
      </c>
      <c r="C5207" s="803" t="s">
        <v>8759</v>
      </c>
      <c r="D5207" s="803" t="s">
        <v>8908</v>
      </c>
      <c r="E5207" s="803" t="s">
        <v>8761</v>
      </c>
      <c r="F5207" s="850">
        <v>18</v>
      </c>
      <c r="G5207" s="202" t="str">
        <f t="shared" si="80"/>
        <v/>
      </c>
    </row>
    <row r="5208" spans="1:7" s="172" customFormat="1" ht="15" customHeight="1" x14ac:dyDescent="0.25">
      <c r="A5208" s="803" t="s">
        <v>3131</v>
      </c>
      <c r="B5208" s="803" t="s">
        <v>8759</v>
      </c>
      <c r="C5208" s="803" t="s">
        <v>8759</v>
      </c>
      <c r="D5208" s="803" t="s">
        <v>3539</v>
      </c>
      <c r="E5208" s="803" t="s">
        <v>8774</v>
      </c>
      <c r="F5208" s="850">
        <v>22</v>
      </c>
      <c r="G5208" s="202" t="str">
        <f t="shared" si="80"/>
        <v/>
      </c>
    </row>
    <row r="5209" spans="1:7" s="172" customFormat="1" ht="15" customHeight="1" x14ac:dyDescent="0.25">
      <c r="A5209" s="803" t="s">
        <v>5723</v>
      </c>
      <c r="B5209" s="803" t="s">
        <v>8759</v>
      </c>
      <c r="C5209" s="803" t="s">
        <v>8759</v>
      </c>
      <c r="D5209" s="803" t="s">
        <v>8909</v>
      </c>
      <c r="E5209" s="803" t="s">
        <v>8761</v>
      </c>
      <c r="F5209" s="850">
        <v>44</v>
      </c>
      <c r="G5209" s="202" t="str">
        <f t="shared" si="80"/>
        <v/>
      </c>
    </row>
    <row r="5210" spans="1:7" s="172" customFormat="1" ht="15" customHeight="1" x14ac:dyDescent="0.25">
      <c r="A5210" s="803" t="s">
        <v>8910</v>
      </c>
      <c r="B5210" s="803" t="s">
        <v>8759</v>
      </c>
      <c r="C5210" s="803" t="s">
        <v>8759</v>
      </c>
      <c r="D5210" s="803" t="s">
        <v>8911</v>
      </c>
      <c r="E5210" s="803" t="s">
        <v>8876</v>
      </c>
      <c r="F5210" s="850">
        <v>15</v>
      </c>
      <c r="G5210" s="202" t="str">
        <f t="shared" si="80"/>
        <v/>
      </c>
    </row>
    <row r="5211" spans="1:7" s="172" customFormat="1" ht="15" customHeight="1" x14ac:dyDescent="0.25">
      <c r="A5211" s="803" t="s">
        <v>8907</v>
      </c>
      <c r="B5211" s="803" t="s">
        <v>8759</v>
      </c>
      <c r="C5211" s="803" t="s">
        <v>8759</v>
      </c>
      <c r="D5211" s="803" t="s">
        <v>8912</v>
      </c>
      <c r="E5211" s="803" t="s">
        <v>8761</v>
      </c>
      <c r="F5211" s="850">
        <v>20</v>
      </c>
      <c r="G5211" s="202" t="str">
        <f t="shared" si="80"/>
        <v/>
      </c>
    </row>
    <row r="5212" spans="1:7" s="172" customFormat="1" ht="15" customHeight="1" x14ac:dyDescent="0.25">
      <c r="A5212" s="803" t="s">
        <v>6962</v>
      </c>
      <c r="B5212" s="803" t="s">
        <v>8759</v>
      </c>
      <c r="C5212" s="803" t="s">
        <v>8759</v>
      </c>
      <c r="D5212" s="803" t="s">
        <v>8913</v>
      </c>
      <c r="E5212" s="803" t="s">
        <v>8876</v>
      </c>
      <c r="F5212" s="850">
        <v>25</v>
      </c>
      <c r="G5212" s="202" t="str">
        <f t="shared" ref="G5212:G5275" si="81">IF(E5212=F5212,"не загружен","")</f>
        <v/>
      </c>
    </row>
    <row r="5213" spans="1:7" s="172" customFormat="1" ht="15" customHeight="1" x14ac:dyDescent="0.25">
      <c r="A5213" s="803" t="s">
        <v>3135</v>
      </c>
      <c r="B5213" s="803" t="s">
        <v>8759</v>
      </c>
      <c r="C5213" s="803" t="s">
        <v>8759</v>
      </c>
      <c r="D5213" s="803" t="s">
        <v>8914</v>
      </c>
      <c r="E5213" s="803" t="s">
        <v>8761</v>
      </c>
      <c r="F5213" s="850">
        <v>33</v>
      </c>
      <c r="G5213" s="202" t="str">
        <f t="shared" si="81"/>
        <v/>
      </c>
    </row>
    <row r="5214" spans="1:7" s="172" customFormat="1" ht="15" customHeight="1" x14ac:dyDescent="0.25">
      <c r="A5214" s="803" t="s">
        <v>8915</v>
      </c>
      <c r="B5214" s="803" t="s">
        <v>8759</v>
      </c>
      <c r="C5214" s="803" t="s">
        <v>8759</v>
      </c>
      <c r="D5214" s="803" t="s">
        <v>8916</v>
      </c>
      <c r="E5214" s="803" t="s">
        <v>2429</v>
      </c>
      <c r="F5214" s="850">
        <v>3</v>
      </c>
      <c r="G5214" s="202" t="str">
        <f t="shared" si="81"/>
        <v/>
      </c>
    </row>
    <row r="5215" spans="1:7" s="172" customFormat="1" ht="15" customHeight="1" x14ac:dyDescent="0.25">
      <c r="A5215" s="803" t="s">
        <v>2727</v>
      </c>
      <c r="B5215" s="803" t="s">
        <v>8759</v>
      </c>
      <c r="C5215" s="803" t="s">
        <v>8759</v>
      </c>
      <c r="D5215" s="803" t="s">
        <v>8917</v>
      </c>
      <c r="E5215" s="803" t="s">
        <v>8790</v>
      </c>
      <c r="F5215" s="850">
        <v>5</v>
      </c>
      <c r="G5215" s="202" t="str">
        <f t="shared" si="81"/>
        <v/>
      </c>
    </row>
    <row r="5216" spans="1:7" s="172" customFormat="1" ht="15" customHeight="1" x14ac:dyDescent="0.25">
      <c r="A5216" s="803" t="s">
        <v>8889</v>
      </c>
      <c r="B5216" s="803" t="s">
        <v>8759</v>
      </c>
      <c r="C5216" s="803" t="s">
        <v>8759</v>
      </c>
      <c r="D5216" s="803" t="s">
        <v>8918</v>
      </c>
      <c r="E5216" s="803" t="s">
        <v>8771</v>
      </c>
      <c r="F5216" s="850">
        <v>15</v>
      </c>
      <c r="G5216" s="202" t="str">
        <f t="shared" si="81"/>
        <v/>
      </c>
    </row>
    <row r="5217" spans="1:7" s="172" customFormat="1" ht="15" customHeight="1" x14ac:dyDescent="0.25">
      <c r="A5217" s="803" t="s">
        <v>8889</v>
      </c>
      <c r="B5217" s="803" t="s">
        <v>8759</v>
      </c>
      <c r="C5217" s="803" t="s">
        <v>8759</v>
      </c>
      <c r="D5217" s="803" t="s">
        <v>8919</v>
      </c>
      <c r="E5217" s="803" t="s">
        <v>8771</v>
      </c>
      <c r="F5217" s="850">
        <v>18</v>
      </c>
      <c r="G5217" s="202" t="str">
        <f t="shared" si="81"/>
        <v/>
      </c>
    </row>
    <row r="5218" spans="1:7" s="172" customFormat="1" ht="15" customHeight="1" x14ac:dyDescent="0.25">
      <c r="A5218" s="803" t="s">
        <v>8889</v>
      </c>
      <c r="B5218" s="803" t="s">
        <v>8759</v>
      </c>
      <c r="C5218" s="803" t="s">
        <v>8759</v>
      </c>
      <c r="D5218" s="803" t="s">
        <v>8920</v>
      </c>
      <c r="E5218" s="803">
        <v>160</v>
      </c>
      <c r="F5218" s="850">
        <v>40</v>
      </c>
      <c r="G5218" s="202" t="str">
        <f t="shared" si="81"/>
        <v/>
      </c>
    </row>
    <row r="5219" spans="1:7" s="172" customFormat="1" ht="15" customHeight="1" x14ac:dyDescent="0.25">
      <c r="A5219" s="803" t="s">
        <v>8809</v>
      </c>
      <c r="B5219" s="803" t="s">
        <v>8759</v>
      </c>
      <c r="C5219" s="803" t="s">
        <v>8759</v>
      </c>
      <c r="D5219" s="803" t="s">
        <v>14764</v>
      </c>
      <c r="E5219" s="803" t="s">
        <v>8763</v>
      </c>
      <c r="F5219" s="850">
        <v>140</v>
      </c>
      <c r="G5219" s="202" t="str">
        <f t="shared" si="81"/>
        <v/>
      </c>
    </row>
    <row r="5220" spans="1:7" s="172" customFormat="1" ht="15" customHeight="1" x14ac:dyDescent="0.25">
      <c r="A5220" s="803" t="s">
        <v>8921</v>
      </c>
      <c r="B5220" s="803" t="s">
        <v>8759</v>
      </c>
      <c r="C5220" s="803" t="s">
        <v>8759</v>
      </c>
      <c r="D5220" s="803" t="s">
        <v>8922</v>
      </c>
      <c r="E5220" s="803" t="s">
        <v>8788</v>
      </c>
      <c r="F5220" s="850">
        <v>20</v>
      </c>
      <c r="G5220" s="202" t="str">
        <f t="shared" si="81"/>
        <v/>
      </c>
    </row>
    <row r="5221" spans="1:7" s="172" customFormat="1" ht="15" customHeight="1" x14ac:dyDescent="0.25">
      <c r="A5221" s="803" t="s">
        <v>8822</v>
      </c>
      <c r="B5221" s="803" t="s">
        <v>8759</v>
      </c>
      <c r="C5221" s="803" t="s">
        <v>8759</v>
      </c>
      <c r="D5221" s="803" t="s">
        <v>8923</v>
      </c>
      <c r="E5221" s="803" t="s">
        <v>8763</v>
      </c>
      <c r="F5221" s="850">
        <v>75</v>
      </c>
      <c r="G5221" s="202" t="str">
        <f t="shared" si="81"/>
        <v/>
      </c>
    </row>
    <row r="5222" spans="1:7" s="172" customFormat="1" ht="15" customHeight="1" x14ac:dyDescent="0.25">
      <c r="A5222" s="803" t="s">
        <v>8858</v>
      </c>
      <c r="B5222" s="803" t="s">
        <v>8759</v>
      </c>
      <c r="C5222" s="803" t="s">
        <v>8759</v>
      </c>
      <c r="D5222" s="803" t="s">
        <v>8924</v>
      </c>
      <c r="E5222" s="803" t="s">
        <v>8784</v>
      </c>
      <c r="F5222" s="850">
        <v>100</v>
      </c>
      <c r="G5222" s="202" t="str">
        <f t="shared" si="81"/>
        <v/>
      </c>
    </row>
    <row r="5223" spans="1:7" s="172" customFormat="1" ht="15" customHeight="1" x14ac:dyDescent="0.25">
      <c r="A5223" s="803" t="s">
        <v>2893</v>
      </c>
      <c r="B5223" s="803" t="s">
        <v>8759</v>
      </c>
      <c r="C5223" s="803" t="s">
        <v>8759</v>
      </c>
      <c r="D5223" s="803" t="s">
        <v>8925</v>
      </c>
      <c r="E5223" s="803" t="s">
        <v>8790</v>
      </c>
      <c r="F5223" s="850">
        <v>20</v>
      </c>
      <c r="G5223" s="202" t="str">
        <f t="shared" si="81"/>
        <v/>
      </c>
    </row>
    <row r="5224" spans="1:7" s="172" customFormat="1" ht="15" customHeight="1" x14ac:dyDescent="0.25">
      <c r="A5224" s="803" t="s">
        <v>2893</v>
      </c>
      <c r="B5224" s="803" t="s">
        <v>8759</v>
      </c>
      <c r="C5224" s="803" t="s">
        <v>8759</v>
      </c>
      <c r="D5224" s="803" t="s">
        <v>8926</v>
      </c>
      <c r="E5224" s="803" t="s">
        <v>8761</v>
      </c>
      <c r="F5224" s="850">
        <v>32</v>
      </c>
      <c r="G5224" s="202" t="str">
        <f t="shared" si="81"/>
        <v/>
      </c>
    </row>
    <row r="5225" spans="1:7" s="172" customFormat="1" ht="15" customHeight="1" x14ac:dyDescent="0.25">
      <c r="A5225" s="803" t="s">
        <v>4978</v>
      </c>
      <c r="B5225" s="803" t="s">
        <v>8759</v>
      </c>
      <c r="C5225" s="803" t="s">
        <v>8759</v>
      </c>
      <c r="D5225" s="803" t="s">
        <v>8927</v>
      </c>
      <c r="E5225" s="803" t="s">
        <v>8765</v>
      </c>
      <c r="F5225" s="850">
        <v>14</v>
      </c>
      <c r="G5225" s="202" t="str">
        <f t="shared" si="81"/>
        <v/>
      </c>
    </row>
    <row r="5226" spans="1:7" s="172" customFormat="1" ht="15" customHeight="1" x14ac:dyDescent="0.25">
      <c r="A5226" s="803" t="s">
        <v>4978</v>
      </c>
      <c r="B5226" s="803" t="s">
        <v>8759</v>
      </c>
      <c r="C5226" s="803" t="s">
        <v>8759</v>
      </c>
      <c r="D5226" s="803" t="s">
        <v>8928</v>
      </c>
      <c r="E5226" s="803" t="s">
        <v>8761</v>
      </c>
      <c r="F5226" s="850">
        <v>25</v>
      </c>
      <c r="G5226" s="202" t="str">
        <f t="shared" si="81"/>
        <v/>
      </c>
    </row>
    <row r="5227" spans="1:7" s="172" customFormat="1" ht="15" customHeight="1" x14ac:dyDescent="0.25">
      <c r="A5227" s="803" t="s">
        <v>2557</v>
      </c>
      <c r="B5227" s="803" t="s">
        <v>8759</v>
      </c>
      <c r="C5227" s="803" t="s">
        <v>8759</v>
      </c>
      <c r="D5227" s="803" t="s">
        <v>8929</v>
      </c>
      <c r="E5227" s="803" t="s">
        <v>8761</v>
      </c>
      <c r="F5227" s="850">
        <v>50</v>
      </c>
      <c r="G5227" s="202" t="str">
        <f t="shared" si="81"/>
        <v/>
      </c>
    </row>
    <row r="5228" spans="1:7" s="172" customFormat="1" ht="15" customHeight="1" x14ac:dyDescent="0.25">
      <c r="A5228" s="803" t="s">
        <v>3533</v>
      </c>
      <c r="B5228" s="803" t="s">
        <v>8759</v>
      </c>
      <c r="C5228" s="803" t="s">
        <v>8759</v>
      </c>
      <c r="D5228" s="803" t="s">
        <v>8930</v>
      </c>
      <c r="E5228" s="803" t="s">
        <v>8771</v>
      </c>
      <c r="F5228" s="850">
        <v>20</v>
      </c>
      <c r="G5228" s="202" t="str">
        <f t="shared" si="81"/>
        <v/>
      </c>
    </row>
    <row r="5229" spans="1:7" s="172" customFormat="1" ht="15" customHeight="1" x14ac:dyDescent="0.25">
      <c r="A5229" s="803" t="s">
        <v>8825</v>
      </c>
      <c r="B5229" s="803" t="s">
        <v>8759</v>
      </c>
      <c r="C5229" s="803" t="s">
        <v>8759</v>
      </c>
      <c r="D5229" s="803" t="s">
        <v>8931</v>
      </c>
      <c r="E5229" s="803" t="s">
        <v>6923</v>
      </c>
      <c r="F5229" s="850">
        <v>12</v>
      </c>
      <c r="G5229" s="202" t="str">
        <f t="shared" si="81"/>
        <v/>
      </c>
    </row>
    <row r="5230" spans="1:7" s="172" customFormat="1" ht="15" customHeight="1" x14ac:dyDescent="0.25">
      <c r="A5230" s="803" t="s">
        <v>8793</v>
      </c>
      <c r="B5230" s="803" t="s">
        <v>8759</v>
      </c>
      <c r="C5230" s="803" t="s">
        <v>8759</v>
      </c>
      <c r="D5230" s="803" t="s">
        <v>8932</v>
      </c>
      <c r="E5230" s="803" t="s">
        <v>8761</v>
      </c>
      <c r="F5230" s="850">
        <v>60</v>
      </c>
      <c r="G5230" s="202" t="str">
        <f t="shared" si="81"/>
        <v/>
      </c>
    </row>
    <row r="5231" spans="1:7" s="172" customFormat="1" ht="15" customHeight="1" x14ac:dyDescent="0.25">
      <c r="A5231" s="803" t="s">
        <v>8933</v>
      </c>
      <c r="B5231" s="803" t="s">
        <v>8759</v>
      </c>
      <c r="C5231" s="803" t="s">
        <v>8759</v>
      </c>
      <c r="D5231" s="803" t="s">
        <v>8934</v>
      </c>
      <c r="E5231" s="803" t="s">
        <v>8774</v>
      </c>
      <c r="F5231" s="850">
        <v>10</v>
      </c>
      <c r="G5231" s="202" t="str">
        <f t="shared" si="81"/>
        <v/>
      </c>
    </row>
    <row r="5232" spans="1:7" s="172" customFormat="1" ht="15" customHeight="1" x14ac:dyDescent="0.25">
      <c r="A5232" s="803" t="s">
        <v>8935</v>
      </c>
      <c r="B5232" s="803" t="s">
        <v>8759</v>
      </c>
      <c r="C5232" s="803" t="s">
        <v>8759</v>
      </c>
      <c r="D5232" s="803" t="s">
        <v>8936</v>
      </c>
      <c r="E5232" s="803" t="s">
        <v>8790</v>
      </c>
      <c r="F5232" s="850">
        <v>15</v>
      </c>
      <c r="G5232" s="202" t="str">
        <f t="shared" si="81"/>
        <v/>
      </c>
    </row>
    <row r="5233" spans="1:7" s="172" customFormat="1" ht="15" customHeight="1" x14ac:dyDescent="0.25">
      <c r="A5233" s="803" t="s">
        <v>2759</v>
      </c>
      <c r="B5233" s="803" t="s">
        <v>8759</v>
      </c>
      <c r="C5233" s="803" t="s">
        <v>8759</v>
      </c>
      <c r="D5233" s="803" t="s">
        <v>3565</v>
      </c>
      <c r="E5233" s="803" t="s">
        <v>8790</v>
      </c>
      <c r="F5233" s="850">
        <v>18</v>
      </c>
      <c r="G5233" s="202" t="str">
        <f t="shared" si="81"/>
        <v/>
      </c>
    </row>
    <row r="5234" spans="1:7" s="172" customFormat="1" ht="15" customHeight="1" x14ac:dyDescent="0.25">
      <c r="A5234" s="803" t="s">
        <v>8937</v>
      </c>
      <c r="B5234" s="803" t="s">
        <v>8759</v>
      </c>
      <c r="C5234" s="803" t="s">
        <v>8759</v>
      </c>
      <c r="D5234" s="803" t="s">
        <v>8938</v>
      </c>
      <c r="E5234" s="803" t="s">
        <v>8790</v>
      </c>
      <c r="F5234" s="850">
        <v>19</v>
      </c>
      <c r="G5234" s="202" t="str">
        <f t="shared" si="81"/>
        <v/>
      </c>
    </row>
    <row r="5235" spans="1:7" s="172" customFormat="1" ht="15" customHeight="1" x14ac:dyDescent="0.25">
      <c r="A5235" s="803" t="s">
        <v>8939</v>
      </c>
      <c r="B5235" s="803" t="s">
        <v>8759</v>
      </c>
      <c r="C5235" s="803" t="s">
        <v>8759</v>
      </c>
      <c r="D5235" s="803" t="s">
        <v>8940</v>
      </c>
      <c r="E5235" s="803" t="s">
        <v>8761</v>
      </c>
      <c r="F5235" s="850">
        <v>20</v>
      </c>
      <c r="G5235" s="202" t="str">
        <f t="shared" si="81"/>
        <v/>
      </c>
    </row>
    <row r="5236" spans="1:7" s="172" customFormat="1" ht="15" customHeight="1" x14ac:dyDescent="0.25">
      <c r="A5236" s="803" t="s">
        <v>8941</v>
      </c>
      <c r="B5236" s="803" t="s">
        <v>8759</v>
      </c>
      <c r="C5236" s="803" t="s">
        <v>8759</v>
      </c>
      <c r="D5236" s="803" t="s">
        <v>8942</v>
      </c>
      <c r="E5236" s="803" t="s">
        <v>8788</v>
      </c>
      <c r="F5236" s="850">
        <v>15</v>
      </c>
      <c r="G5236" s="202" t="str">
        <f t="shared" si="81"/>
        <v/>
      </c>
    </row>
    <row r="5237" spans="1:7" s="172" customFormat="1" ht="15" customHeight="1" x14ac:dyDescent="0.25">
      <c r="A5237" s="803" t="s">
        <v>6412</v>
      </c>
      <c r="B5237" s="803" t="s">
        <v>8759</v>
      </c>
      <c r="C5237" s="803" t="s">
        <v>8759</v>
      </c>
      <c r="D5237" s="803" t="s">
        <v>8943</v>
      </c>
      <c r="E5237" s="803" t="s">
        <v>8765</v>
      </c>
      <c r="F5237" s="850">
        <v>20</v>
      </c>
      <c r="G5237" s="202" t="str">
        <f t="shared" si="81"/>
        <v/>
      </c>
    </row>
    <row r="5238" spans="1:7" s="172" customFormat="1" ht="15" customHeight="1" x14ac:dyDescent="0.25">
      <c r="A5238" s="803" t="s">
        <v>8889</v>
      </c>
      <c r="B5238" s="803" t="s">
        <v>8759</v>
      </c>
      <c r="C5238" s="803" t="s">
        <v>8759</v>
      </c>
      <c r="D5238" s="803" t="s">
        <v>8944</v>
      </c>
      <c r="E5238" s="803" t="s">
        <v>8784</v>
      </c>
      <c r="F5238" s="850">
        <v>20</v>
      </c>
      <c r="G5238" s="202" t="str">
        <f t="shared" si="81"/>
        <v/>
      </c>
    </row>
    <row r="5239" spans="1:7" s="172" customFormat="1" ht="15" customHeight="1" x14ac:dyDescent="0.25">
      <c r="A5239" s="803" t="s">
        <v>3135</v>
      </c>
      <c r="B5239" s="803" t="s">
        <v>8759</v>
      </c>
      <c r="C5239" s="803" t="s">
        <v>8759</v>
      </c>
      <c r="D5239" s="803" t="s">
        <v>8945</v>
      </c>
      <c r="E5239" s="803" t="s">
        <v>8771</v>
      </c>
      <c r="F5239" s="850">
        <v>11</v>
      </c>
      <c r="G5239" s="202" t="str">
        <f t="shared" si="81"/>
        <v/>
      </c>
    </row>
    <row r="5240" spans="1:7" s="172" customFormat="1" ht="15" customHeight="1" x14ac:dyDescent="0.25">
      <c r="A5240" s="803" t="s">
        <v>8858</v>
      </c>
      <c r="B5240" s="803" t="s">
        <v>8759</v>
      </c>
      <c r="C5240" s="803" t="s">
        <v>8759</v>
      </c>
      <c r="D5240" s="803" t="s">
        <v>8946</v>
      </c>
      <c r="E5240" s="803" t="s">
        <v>8784</v>
      </c>
      <c r="F5240" s="850">
        <v>110</v>
      </c>
      <c r="G5240" s="202" t="str">
        <f t="shared" si="81"/>
        <v/>
      </c>
    </row>
    <row r="5241" spans="1:7" s="172" customFormat="1" ht="15" customHeight="1" x14ac:dyDescent="0.25">
      <c r="A5241" s="803" t="s">
        <v>8838</v>
      </c>
      <c r="B5241" s="803" t="s">
        <v>8759</v>
      </c>
      <c r="C5241" s="803" t="s">
        <v>8759</v>
      </c>
      <c r="D5241" s="803" t="s">
        <v>8947</v>
      </c>
      <c r="E5241" s="803" t="s">
        <v>8784</v>
      </c>
      <c r="F5241" s="850">
        <v>55</v>
      </c>
      <c r="G5241" s="202" t="str">
        <f t="shared" si="81"/>
        <v/>
      </c>
    </row>
    <row r="5242" spans="1:7" s="172" customFormat="1" ht="15" customHeight="1" x14ac:dyDescent="0.25">
      <c r="A5242" s="803" t="s">
        <v>8775</v>
      </c>
      <c r="B5242" s="803" t="s">
        <v>8759</v>
      </c>
      <c r="C5242" s="803" t="s">
        <v>8759</v>
      </c>
      <c r="D5242" s="803" t="s">
        <v>8948</v>
      </c>
      <c r="E5242" s="803" t="s">
        <v>8788</v>
      </c>
      <c r="F5242" s="850">
        <v>60</v>
      </c>
      <c r="G5242" s="202" t="str">
        <f t="shared" si="81"/>
        <v/>
      </c>
    </row>
    <row r="5243" spans="1:7" s="172" customFormat="1" ht="15" customHeight="1" x14ac:dyDescent="0.25">
      <c r="A5243" s="803" t="s">
        <v>8949</v>
      </c>
      <c r="B5243" s="803" t="s">
        <v>8759</v>
      </c>
      <c r="C5243" s="803" t="s">
        <v>8759</v>
      </c>
      <c r="D5243" s="803" t="s">
        <v>8950</v>
      </c>
      <c r="E5243" s="803" t="s">
        <v>8835</v>
      </c>
      <c r="F5243" s="850">
        <v>10</v>
      </c>
      <c r="G5243" s="202" t="str">
        <f t="shared" si="81"/>
        <v/>
      </c>
    </row>
    <row r="5244" spans="1:7" s="172" customFormat="1" ht="15" customHeight="1" x14ac:dyDescent="0.25">
      <c r="A5244" s="803" t="s">
        <v>8951</v>
      </c>
      <c r="B5244" s="803" t="s">
        <v>8759</v>
      </c>
      <c r="C5244" s="803" t="s">
        <v>8759</v>
      </c>
      <c r="D5244" s="803" t="s">
        <v>8952</v>
      </c>
      <c r="E5244" s="803" t="s">
        <v>8765</v>
      </c>
      <c r="F5244" s="850">
        <v>25</v>
      </c>
      <c r="G5244" s="202" t="str">
        <f t="shared" si="81"/>
        <v/>
      </c>
    </row>
    <row r="5245" spans="1:7" s="172" customFormat="1" ht="15" customHeight="1" x14ac:dyDescent="0.25">
      <c r="A5245" s="803" t="s">
        <v>8953</v>
      </c>
      <c r="B5245" s="803" t="s">
        <v>8759</v>
      </c>
      <c r="C5245" s="803" t="s">
        <v>8759</v>
      </c>
      <c r="D5245" s="803" t="s">
        <v>8954</v>
      </c>
      <c r="E5245" s="803" t="s">
        <v>8790</v>
      </c>
      <c r="F5245" s="850">
        <v>15</v>
      </c>
      <c r="G5245" s="202" t="str">
        <f t="shared" si="81"/>
        <v/>
      </c>
    </row>
    <row r="5246" spans="1:7" s="172" customFormat="1" ht="15" customHeight="1" x14ac:dyDescent="0.25">
      <c r="A5246" s="803" t="s">
        <v>8955</v>
      </c>
      <c r="B5246" s="803" t="s">
        <v>8759</v>
      </c>
      <c r="C5246" s="803" t="s">
        <v>8759</v>
      </c>
      <c r="D5246" s="803" t="s">
        <v>8956</v>
      </c>
      <c r="E5246" s="803" t="s">
        <v>8790</v>
      </c>
      <c r="F5246" s="850">
        <v>7</v>
      </c>
      <c r="G5246" s="202" t="str">
        <f t="shared" si="81"/>
        <v/>
      </c>
    </row>
    <row r="5247" spans="1:7" s="172" customFormat="1" ht="15" customHeight="1" x14ac:dyDescent="0.25">
      <c r="A5247" s="803" t="s">
        <v>8957</v>
      </c>
      <c r="B5247" s="803" t="s">
        <v>8759</v>
      </c>
      <c r="C5247" s="803" t="s">
        <v>8759</v>
      </c>
      <c r="D5247" s="803" t="s">
        <v>8958</v>
      </c>
      <c r="E5247" s="803" t="s">
        <v>8790</v>
      </c>
      <c r="F5247" s="850">
        <v>15</v>
      </c>
      <c r="G5247" s="202" t="str">
        <f t="shared" si="81"/>
        <v/>
      </c>
    </row>
    <row r="5248" spans="1:7" s="172" customFormat="1" ht="15" customHeight="1" x14ac:dyDescent="0.25">
      <c r="A5248" s="806" t="s">
        <v>8809</v>
      </c>
      <c r="B5248" s="806" t="s">
        <v>8759</v>
      </c>
      <c r="C5248" s="806" t="s">
        <v>8759</v>
      </c>
      <c r="D5248" s="843" t="s">
        <v>8959</v>
      </c>
      <c r="E5248" s="819" t="s">
        <v>8784</v>
      </c>
      <c r="F5248" s="809">
        <v>85</v>
      </c>
      <c r="G5248" s="202" t="str">
        <f t="shared" si="81"/>
        <v/>
      </c>
    </row>
    <row r="5249" spans="1:7" s="172" customFormat="1" ht="15" customHeight="1" x14ac:dyDescent="0.25">
      <c r="A5249" s="806" t="s">
        <v>8758</v>
      </c>
      <c r="B5249" s="806" t="s">
        <v>8759</v>
      </c>
      <c r="C5249" s="806" t="s">
        <v>8759</v>
      </c>
      <c r="D5249" s="843" t="s">
        <v>8960</v>
      </c>
      <c r="E5249" s="819" t="s">
        <v>8761</v>
      </c>
      <c r="F5249" s="809">
        <v>10</v>
      </c>
      <c r="G5249" s="202" t="str">
        <f t="shared" si="81"/>
        <v/>
      </c>
    </row>
    <row r="5250" spans="1:7" s="172" customFormat="1" ht="15" customHeight="1" x14ac:dyDescent="0.25">
      <c r="A5250" s="806" t="s">
        <v>8775</v>
      </c>
      <c r="B5250" s="806" t="s">
        <v>8759</v>
      </c>
      <c r="C5250" s="806" t="s">
        <v>8759</v>
      </c>
      <c r="D5250" s="843" t="s">
        <v>8961</v>
      </c>
      <c r="E5250" s="809" t="s">
        <v>8788</v>
      </c>
      <c r="F5250" s="809">
        <v>30</v>
      </c>
      <c r="G5250" s="202" t="str">
        <f t="shared" si="81"/>
        <v/>
      </c>
    </row>
    <row r="5251" spans="1:7" s="172" customFormat="1" ht="15" customHeight="1" x14ac:dyDescent="0.25">
      <c r="A5251" s="806" t="s">
        <v>3135</v>
      </c>
      <c r="B5251" s="806" t="s">
        <v>8759</v>
      </c>
      <c r="C5251" s="806" t="s">
        <v>8759</v>
      </c>
      <c r="D5251" s="843" t="s">
        <v>8962</v>
      </c>
      <c r="E5251" s="809" t="s">
        <v>8765</v>
      </c>
      <c r="F5251" s="809">
        <v>30</v>
      </c>
      <c r="G5251" s="202" t="str">
        <f t="shared" si="81"/>
        <v/>
      </c>
    </row>
    <row r="5252" spans="1:7" s="172" customFormat="1" ht="15" customHeight="1" x14ac:dyDescent="0.25">
      <c r="A5252" s="806" t="s">
        <v>8921</v>
      </c>
      <c r="B5252" s="806" t="s">
        <v>8759</v>
      </c>
      <c r="C5252" s="806" t="s">
        <v>8759</v>
      </c>
      <c r="D5252" s="843" t="s">
        <v>8963</v>
      </c>
      <c r="E5252" s="809" t="s">
        <v>8784</v>
      </c>
      <c r="F5252" s="809">
        <v>50</v>
      </c>
      <c r="G5252" s="202" t="str">
        <f t="shared" si="81"/>
        <v/>
      </c>
    </row>
    <row r="5253" spans="1:7" s="172" customFormat="1" ht="15" customHeight="1" x14ac:dyDescent="0.25">
      <c r="A5253" s="806" t="s">
        <v>2893</v>
      </c>
      <c r="B5253" s="806" t="s">
        <v>8759</v>
      </c>
      <c r="C5253" s="806" t="s">
        <v>8759</v>
      </c>
      <c r="D5253" s="843" t="s">
        <v>8964</v>
      </c>
      <c r="E5253" s="809" t="s">
        <v>8761</v>
      </c>
      <c r="F5253" s="809">
        <v>55</v>
      </c>
      <c r="G5253" s="202" t="str">
        <f t="shared" si="81"/>
        <v/>
      </c>
    </row>
    <row r="5254" spans="1:7" s="172" customFormat="1" ht="15" customHeight="1" x14ac:dyDescent="0.25">
      <c r="A5254" s="806" t="s">
        <v>8965</v>
      </c>
      <c r="B5254" s="806" t="s">
        <v>8759</v>
      </c>
      <c r="C5254" s="806" t="s">
        <v>8759</v>
      </c>
      <c r="D5254" s="843" t="s">
        <v>8966</v>
      </c>
      <c r="E5254" s="809" t="s">
        <v>8790</v>
      </c>
      <c r="F5254" s="809">
        <v>7</v>
      </c>
      <c r="G5254" s="202" t="str">
        <f t="shared" si="81"/>
        <v/>
      </c>
    </row>
    <row r="5255" spans="1:7" s="172" customFormat="1" ht="15" customHeight="1" x14ac:dyDescent="0.25">
      <c r="A5255" s="815" t="s">
        <v>8967</v>
      </c>
      <c r="B5255" s="806" t="s">
        <v>8759</v>
      </c>
      <c r="C5255" s="806" t="s">
        <v>8759</v>
      </c>
      <c r="D5255" s="843" t="s">
        <v>8968</v>
      </c>
      <c r="E5255" s="809" t="s">
        <v>8790</v>
      </c>
      <c r="F5255" s="809">
        <v>5</v>
      </c>
      <c r="G5255" s="202" t="str">
        <f t="shared" si="81"/>
        <v/>
      </c>
    </row>
    <row r="5256" spans="1:7" s="172" customFormat="1" ht="15" customHeight="1" x14ac:dyDescent="0.25">
      <c r="A5256" s="815" t="s">
        <v>2893</v>
      </c>
      <c r="B5256" s="806" t="s">
        <v>8759</v>
      </c>
      <c r="C5256" s="806" t="s">
        <v>8759</v>
      </c>
      <c r="D5256" s="843" t="s">
        <v>8969</v>
      </c>
      <c r="E5256" s="809" t="s">
        <v>8788</v>
      </c>
      <c r="F5256" s="809">
        <v>120</v>
      </c>
      <c r="G5256" s="202" t="str">
        <f t="shared" si="81"/>
        <v/>
      </c>
    </row>
    <row r="5257" spans="1:7" s="172" customFormat="1" ht="15" customHeight="1" x14ac:dyDescent="0.25">
      <c r="A5257" s="815" t="s">
        <v>8767</v>
      </c>
      <c r="B5257" s="806" t="s">
        <v>8759</v>
      </c>
      <c r="C5257" s="806" t="s">
        <v>8759</v>
      </c>
      <c r="D5257" s="843" t="s">
        <v>8970</v>
      </c>
      <c r="E5257" s="809" t="s">
        <v>8771</v>
      </c>
      <c r="F5257" s="809">
        <v>30</v>
      </c>
      <c r="G5257" s="202" t="str">
        <f t="shared" si="81"/>
        <v/>
      </c>
    </row>
    <row r="5258" spans="1:7" s="172" customFormat="1" ht="15" customHeight="1" x14ac:dyDescent="0.25">
      <c r="A5258" s="815" t="s">
        <v>8793</v>
      </c>
      <c r="B5258" s="806" t="s">
        <v>8759</v>
      </c>
      <c r="C5258" s="806" t="s">
        <v>8759</v>
      </c>
      <c r="D5258" s="843" t="s">
        <v>8971</v>
      </c>
      <c r="E5258" s="809" t="s">
        <v>8763</v>
      </c>
      <c r="F5258" s="809">
        <v>300</v>
      </c>
      <c r="G5258" s="202" t="str">
        <f t="shared" si="81"/>
        <v/>
      </c>
    </row>
    <row r="5259" spans="1:7" s="172" customFormat="1" ht="15" customHeight="1" x14ac:dyDescent="0.25">
      <c r="A5259" s="815" t="s">
        <v>2735</v>
      </c>
      <c r="B5259" s="806" t="s">
        <v>8759</v>
      </c>
      <c r="C5259" s="806" t="s">
        <v>8759</v>
      </c>
      <c r="D5259" s="843" t="s">
        <v>8972</v>
      </c>
      <c r="E5259" s="809" t="s">
        <v>8761</v>
      </c>
      <c r="F5259" s="809">
        <v>20</v>
      </c>
      <c r="G5259" s="202" t="str">
        <f t="shared" si="81"/>
        <v/>
      </c>
    </row>
    <row r="5260" spans="1:7" s="172" customFormat="1" ht="15" customHeight="1" x14ac:dyDescent="0.25">
      <c r="A5260" s="815" t="s">
        <v>8838</v>
      </c>
      <c r="B5260" s="806" t="s">
        <v>8759</v>
      </c>
      <c r="C5260" s="806" t="s">
        <v>8759</v>
      </c>
      <c r="D5260" s="843" t="s">
        <v>8973</v>
      </c>
      <c r="E5260" s="809" t="s">
        <v>8761</v>
      </c>
      <c r="F5260" s="809">
        <v>54</v>
      </c>
      <c r="G5260" s="202" t="str">
        <f t="shared" si="81"/>
        <v/>
      </c>
    </row>
    <row r="5261" spans="1:7" s="172" customFormat="1" ht="15" customHeight="1" x14ac:dyDescent="0.25">
      <c r="A5261" s="815" t="s">
        <v>8838</v>
      </c>
      <c r="B5261" s="806" t="s">
        <v>8759</v>
      </c>
      <c r="C5261" s="806" t="s">
        <v>8759</v>
      </c>
      <c r="D5261" s="843" t="s">
        <v>8974</v>
      </c>
      <c r="E5261" s="809" t="s">
        <v>8784</v>
      </c>
      <c r="F5261" s="809">
        <v>47</v>
      </c>
      <c r="G5261" s="202" t="str">
        <f t="shared" si="81"/>
        <v/>
      </c>
    </row>
    <row r="5262" spans="1:7" s="172" customFormat="1" ht="15" customHeight="1" x14ac:dyDescent="0.25">
      <c r="A5262" s="815" t="s">
        <v>3491</v>
      </c>
      <c r="B5262" s="806" t="s">
        <v>8759</v>
      </c>
      <c r="C5262" s="806" t="s">
        <v>8759</v>
      </c>
      <c r="D5262" s="843" t="s">
        <v>8975</v>
      </c>
      <c r="E5262" s="809" t="s">
        <v>8835</v>
      </c>
      <c r="F5262" s="809">
        <v>3</v>
      </c>
      <c r="G5262" s="202" t="str">
        <f t="shared" si="81"/>
        <v/>
      </c>
    </row>
    <row r="5263" spans="1:7" s="172" customFormat="1" ht="15" customHeight="1" x14ac:dyDescent="0.25">
      <c r="A5263" s="815" t="s">
        <v>8976</v>
      </c>
      <c r="B5263" s="806" t="s">
        <v>8759</v>
      </c>
      <c r="C5263" s="806" t="s">
        <v>8759</v>
      </c>
      <c r="D5263" s="843" t="s">
        <v>8977</v>
      </c>
      <c r="E5263" s="809" t="s">
        <v>8774</v>
      </c>
      <c r="F5263" s="809">
        <v>10</v>
      </c>
      <c r="G5263" s="202" t="str">
        <f t="shared" si="81"/>
        <v/>
      </c>
    </row>
    <row r="5264" spans="1:7" s="172" customFormat="1" ht="15" customHeight="1" x14ac:dyDescent="0.25">
      <c r="A5264" s="815" t="s">
        <v>8889</v>
      </c>
      <c r="B5264" s="806" t="s">
        <v>8759</v>
      </c>
      <c r="C5264" s="806" t="s">
        <v>8759</v>
      </c>
      <c r="D5264" s="843" t="s">
        <v>8978</v>
      </c>
      <c r="E5264" s="809" t="s">
        <v>8788</v>
      </c>
      <c r="F5264" s="809">
        <v>20</v>
      </c>
      <c r="G5264" s="202" t="str">
        <f t="shared" si="81"/>
        <v/>
      </c>
    </row>
    <row r="5265" spans="1:7" s="172" customFormat="1" ht="15" customHeight="1" x14ac:dyDescent="0.25">
      <c r="A5265" s="815" t="s">
        <v>8979</v>
      </c>
      <c r="B5265" s="806" t="s">
        <v>8759</v>
      </c>
      <c r="C5265" s="806" t="s">
        <v>8759</v>
      </c>
      <c r="D5265" s="843" t="s">
        <v>8980</v>
      </c>
      <c r="E5265" s="809" t="s">
        <v>8835</v>
      </c>
      <c r="F5265" s="809">
        <v>5</v>
      </c>
      <c r="G5265" s="202" t="str">
        <f t="shared" si="81"/>
        <v/>
      </c>
    </row>
    <row r="5266" spans="1:7" s="172" customFormat="1" ht="15" customHeight="1" x14ac:dyDescent="0.25">
      <c r="A5266" s="815" t="s">
        <v>2662</v>
      </c>
      <c r="B5266" s="806" t="s">
        <v>8759</v>
      </c>
      <c r="C5266" s="806" t="s">
        <v>8759</v>
      </c>
      <c r="D5266" s="843" t="s">
        <v>8981</v>
      </c>
      <c r="E5266" s="809" t="s">
        <v>8771</v>
      </c>
      <c r="F5266" s="809">
        <v>25</v>
      </c>
      <c r="G5266" s="202" t="str">
        <f t="shared" si="81"/>
        <v/>
      </c>
    </row>
    <row r="5267" spans="1:7" s="172" customFormat="1" ht="15" customHeight="1" x14ac:dyDescent="0.25">
      <c r="A5267" s="815" t="s">
        <v>8982</v>
      </c>
      <c r="B5267" s="806" t="s">
        <v>8759</v>
      </c>
      <c r="C5267" s="806" t="s">
        <v>8759</v>
      </c>
      <c r="D5267" s="843" t="s">
        <v>8983</v>
      </c>
      <c r="E5267" s="809" t="s">
        <v>8765</v>
      </c>
      <c r="F5267" s="809">
        <v>25</v>
      </c>
      <c r="G5267" s="202" t="str">
        <f t="shared" si="81"/>
        <v/>
      </c>
    </row>
    <row r="5268" spans="1:7" s="172" customFormat="1" ht="15" customHeight="1" x14ac:dyDescent="0.25">
      <c r="A5268" s="815" t="s">
        <v>6369</v>
      </c>
      <c r="B5268" s="806" t="s">
        <v>8759</v>
      </c>
      <c r="C5268" s="806" t="s">
        <v>8759</v>
      </c>
      <c r="D5268" s="843" t="s">
        <v>8984</v>
      </c>
      <c r="E5268" s="809" t="s">
        <v>8790</v>
      </c>
      <c r="F5268" s="809">
        <v>8</v>
      </c>
      <c r="G5268" s="202" t="str">
        <f t="shared" si="81"/>
        <v/>
      </c>
    </row>
    <row r="5269" spans="1:7" s="172" customFormat="1" ht="15" customHeight="1" x14ac:dyDescent="0.25">
      <c r="A5269" s="815" t="s">
        <v>8985</v>
      </c>
      <c r="B5269" s="806" t="s">
        <v>8759</v>
      </c>
      <c r="C5269" s="806" t="s">
        <v>8759</v>
      </c>
      <c r="D5269" s="843" t="s">
        <v>8986</v>
      </c>
      <c r="E5269" s="809" t="s">
        <v>8788</v>
      </c>
      <c r="F5269" s="809">
        <v>100</v>
      </c>
      <c r="G5269" s="202" t="str">
        <f t="shared" si="81"/>
        <v/>
      </c>
    </row>
    <row r="5270" spans="1:7" s="172" customFormat="1" ht="15" customHeight="1" x14ac:dyDescent="0.25">
      <c r="A5270" s="815" t="s">
        <v>8987</v>
      </c>
      <c r="B5270" s="806" t="s">
        <v>8759</v>
      </c>
      <c r="C5270" s="806" t="s">
        <v>8759</v>
      </c>
      <c r="D5270" s="843" t="s">
        <v>8988</v>
      </c>
      <c r="E5270" s="809" t="s">
        <v>8788</v>
      </c>
      <c r="F5270" s="809">
        <v>20</v>
      </c>
      <c r="G5270" s="202" t="str">
        <f t="shared" si="81"/>
        <v/>
      </c>
    </row>
    <row r="5271" spans="1:7" s="172" customFormat="1" ht="15" customHeight="1" x14ac:dyDescent="0.25">
      <c r="A5271" s="815" t="s">
        <v>8989</v>
      </c>
      <c r="B5271" s="806" t="s">
        <v>8759</v>
      </c>
      <c r="C5271" s="806" t="s">
        <v>8759</v>
      </c>
      <c r="D5271" s="843" t="s">
        <v>8990</v>
      </c>
      <c r="E5271" s="809" t="s">
        <v>8784</v>
      </c>
      <c r="F5271" s="809">
        <v>130</v>
      </c>
      <c r="G5271" s="202" t="str">
        <f t="shared" si="81"/>
        <v/>
      </c>
    </row>
    <row r="5272" spans="1:7" s="172" customFormat="1" ht="15" customHeight="1" x14ac:dyDescent="0.25">
      <c r="A5272" s="815" t="s">
        <v>8758</v>
      </c>
      <c r="B5272" s="806" t="s">
        <v>8759</v>
      </c>
      <c r="C5272" s="806" t="s">
        <v>8759</v>
      </c>
      <c r="D5272" s="843" t="s">
        <v>8991</v>
      </c>
      <c r="E5272" s="809" t="s">
        <v>8784</v>
      </c>
      <c r="F5272" s="809">
        <v>60</v>
      </c>
      <c r="G5272" s="202" t="str">
        <f t="shared" si="81"/>
        <v/>
      </c>
    </row>
    <row r="5273" spans="1:7" s="172" customFormat="1" ht="15" customHeight="1" x14ac:dyDescent="0.25">
      <c r="A5273" s="815" t="s">
        <v>3545</v>
      </c>
      <c r="B5273" s="806" t="s">
        <v>8759</v>
      </c>
      <c r="C5273" s="806" t="s">
        <v>8759</v>
      </c>
      <c r="D5273" s="843" t="s">
        <v>8992</v>
      </c>
      <c r="E5273" s="809" t="s">
        <v>8784</v>
      </c>
      <c r="F5273" s="809">
        <v>200</v>
      </c>
      <c r="G5273" s="202" t="str">
        <f t="shared" si="81"/>
        <v/>
      </c>
    </row>
    <row r="5274" spans="1:7" s="172" customFormat="1" ht="15" customHeight="1" x14ac:dyDescent="0.25">
      <c r="A5274" s="815" t="s">
        <v>6962</v>
      </c>
      <c r="B5274" s="806" t="s">
        <v>8759</v>
      </c>
      <c r="C5274" s="806" t="s">
        <v>8759</v>
      </c>
      <c r="D5274" s="843" t="s">
        <v>8993</v>
      </c>
      <c r="E5274" s="809" t="s">
        <v>8784</v>
      </c>
      <c r="F5274" s="809">
        <v>50</v>
      </c>
      <c r="G5274" s="202" t="str">
        <f t="shared" si="81"/>
        <v/>
      </c>
    </row>
    <row r="5275" spans="1:7" s="172" customFormat="1" ht="15" customHeight="1" x14ac:dyDescent="0.25">
      <c r="A5275" s="815" t="s">
        <v>8827</v>
      </c>
      <c r="B5275" s="806" t="s">
        <v>8759</v>
      </c>
      <c r="C5275" s="806" t="s">
        <v>8759</v>
      </c>
      <c r="D5275" s="843" t="s">
        <v>8994</v>
      </c>
      <c r="E5275" s="809" t="s">
        <v>8788</v>
      </c>
      <c r="F5275" s="809">
        <v>100</v>
      </c>
      <c r="G5275" s="202" t="str">
        <f t="shared" si="81"/>
        <v/>
      </c>
    </row>
    <row r="5276" spans="1:7" s="172" customFormat="1" ht="15" customHeight="1" x14ac:dyDescent="0.25">
      <c r="A5276" s="815" t="s">
        <v>3143</v>
      </c>
      <c r="B5276" s="806" t="s">
        <v>8759</v>
      </c>
      <c r="C5276" s="806" t="s">
        <v>8759</v>
      </c>
      <c r="D5276" s="843" t="s">
        <v>8995</v>
      </c>
      <c r="E5276" s="809" t="s">
        <v>8761</v>
      </c>
      <c r="F5276" s="809">
        <v>17</v>
      </c>
      <c r="G5276" s="202" t="str">
        <f t="shared" ref="G5276:G5339" si="82">IF(E5276=F5276,"не загружен","")</f>
        <v/>
      </c>
    </row>
    <row r="5277" spans="1:7" s="172" customFormat="1" ht="15" customHeight="1" x14ac:dyDescent="0.25">
      <c r="A5277" s="815" t="s">
        <v>8758</v>
      </c>
      <c r="B5277" s="806" t="s">
        <v>8759</v>
      </c>
      <c r="C5277" s="806" t="s">
        <v>8759</v>
      </c>
      <c r="D5277" s="843" t="s">
        <v>8996</v>
      </c>
      <c r="E5277" s="809" t="s">
        <v>8788</v>
      </c>
      <c r="F5277" s="809">
        <v>110</v>
      </c>
      <c r="G5277" s="202" t="str">
        <f t="shared" si="82"/>
        <v/>
      </c>
    </row>
    <row r="5278" spans="1:7" s="172" customFormat="1" ht="15" customHeight="1" x14ac:dyDescent="0.25">
      <c r="A5278" s="815" t="s">
        <v>8997</v>
      </c>
      <c r="B5278" s="806" t="s">
        <v>8759</v>
      </c>
      <c r="C5278" s="806" t="s">
        <v>8759</v>
      </c>
      <c r="D5278" s="843" t="s">
        <v>8998</v>
      </c>
      <c r="E5278" s="809" t="s">
        <v>8763</v>
      </c>
      <c r="F5278" s="809">
        <v>300</v>
      </c>
      <c r="G5278" s="202" t="str">
        <f t="shared" si="82"/>
        <v/>
      </c>
    </row>
    <row r="5279" spans="1:7" s="172" customFormat="1" ht="15" customHeight="1" x14ac:dyDescent="0.25">
      <c r="A5279" s="815" t="s">
        <v>8997</v>
      </c>
      <c r="B5279" s="806" t="s">
        <v>8759</v>
      </c>
      <c r="C5279" s="806" t="s">
        <v>8759</v>
      </c>
      <c r="D5279" s="843" t="s">
        <v>8999</v>
      </c>
      <c r="E5279" s="809" t="s">
        <v>8765</v>
      </c>
      <c r="F5279" s="809">
        <v>20</v>
      </c>
      <c r="G5279" s="202" t="str">
        <f t="shared" si="82"/>
        <v/>
      </c>
    </row>
    <row r="5280" spans="1:7" s="172" customFormat="1" ht="15" customHeight="1" x14ac:dyDescent="0.25">
      <c r="A5280" s="815" t="s">
        <v>8985</v>
      </c>
      <c r="B5280" s="806" t="s">
        <v>8759</v>
      </c>
      <c r="C5280" s="806" t="s">
        <v>8759</v>
      </c>
      <c r="D5280" s="843" t="s">
        <v>9000</v>
      </c>
      <c r="E5280" s="809" t="s">
        <v>8876</v>
      </c>
      <c r="F5280" s="809">
        <v>30</v>
      </c>
      <c r="G5280" s="202" t="str">
        <f t="shared" si="82"/>
        <v/>
      </c>
    </row>
    <row r="5281" spans="1:7" s="172" customFormat="1" ht="15" customHeight="1" x14ac:dyDescent="0.25">
      <c r="A5281" s="815" t="s">
        <v>6165</v>
      </c>
      <c r="B5281" s="806" t="s">
        <v>8759</v>
      </c>
      <c r="C5281" s="806" t="s">
        <v>8759</v>
      </c>
      <c r="D5281" s="843" t="s">
        <v>9001</v>
      </c>
      <c r="E5281" s="809" t="s">
        <v>2429</v>
      </c>
      <c r="F5281" s="809">
        <v>2</v>
      </c>
      <c r="G5281" s="202" t="str">
        <f t="shared" si="82"/>
        <v/>
      </c>
    </row>
    <row r="5282" spans="1:7" s="172" customFormat="1" ht="15" customHeight="1" x14ac:dyDescent="0.25">
      <c r="A5282" s="815" t="s">
        <v>8976</v>
      </c>
      <c r="B5282" s="806" t="s">
        <v>8759</v>
      </c>
      <c r="C5282" s="806" t="s">
        <v>8759</v>
      </c>
      <c r="D5282" s="843" t="s">
        <v>9002</v>
      </c>
      <c r="E5282" s="809" t="s">
        <v>8761</v>
      </c>
      <c r="F5282" s="809">
        <v>50</v>
      </c>
      <c r="G5282" s="202" t="str">
        <f t="shared" si="82"/>
        <v/>
      </c>
    </row>
    <row r="5283" spans="1:7" s="172" customFormat="1" ht="15" customHeight="1" x14ac:dyDescent="0.25">
      <c r="A5283" s="815" t="s">
        <v>8987</v>
      </c>
      <c r="B5283" s="806" t="s">
        <v>8759</v>
      </c>
      <c r="C5283" s="806" t="s">
        <v>8759</v>
      </c>
      <c r="D5283" s="843" t="s">
        <v>9003</v>
      </c>
      <c r="E5283" s="809" t="s">
        <v>8761</v>
      </c>
      <c r="F5283" s="809">
        <v>20</v>
      </c>
      <c r="G5283" s="202" t="str">
        <f t="shared" si="82"/>
        <v/>
      </c>
    </row>
    <row r="5284" spans="1:7" s="172" customFormat="1" ht="15" customHeight="1" x14ac:dyDescent="0.25">
      <c r="A5284" s="815" t="s">
        <v>8767</v>
      </c>
      <c r="B5284" s="806" t="s">
        <v>8759</v>
      </c>
      <c r="C5284" s="806" t="s">
        <v>8759</v>
      </c>
      <c r="D5284" s="843" t="s">
        <v>9004</v>
      </c>
      <c r="E5284" s="809" t="s">
        <v>8835</v>
      </c>
      <c r="F5284" s="809">
        <v>3</v>
      </c>
      <c r="G5284" s="202" t="str">
        <f t="shared" si="82"/>
        <v/>
      </c>
    </row>
    <row r="5285" spans="1:7" s="172" customFormat="1" ht="15" customHeight="1" x14ac:dyDescent="0.25">
      <c r="A5285" s="815" t="s">
        <v>9005</v>
      </c>
      <c r="B5285" s="806" t="s">
        <v>8759</v>
      </c>
      <c r="C5285" s="806" t="s">
        <v>8759</v>
      </c>
      <c r="D5285" s="843" t="s">
        <v>9006</v>
      </c>
      <c r="E5285" s="809" t="s">
        <v>8790</v>
      </c>
      <c r="F5285" s="809">
        <v>20</v>
      </c>
      <c r="G5285" s="202" t="str">
        <f t="shared" si="82"/>
        <v/>
      </c>
    </row>
    <row r="5286" spans="1:7" s="172" customFormat="1" ht="15" customHeight="1" x14ac:dyDescent="0.25">
      <c r="A5286" s="815" t="s">
        <v>9007</v>
      </c>
      <c r="B5286" s="806" t="s">
        <v>8759</v>
      </c>
      <c r="C5286" s="806" t="s">
        <v>8759</v>
      </c>
      <c r="D5286" s="843" t="s">
        <v>9008</v>
      </c>
      <c r="E5286" s="809" t="s">
        <v>8761</v>
      </c>
      <c r="F5286" s="809">
        <v>65</v>
      </c>
      <c r="G5286" s="202" t="str">
        <f t="shared" si="82"/>
        <v/>
      </c>
    </row>
    <row r="5287" spans="1:7" s="172" customFormat="1" ht="15" customHeight="1" x14ac:dyDescent="0.25">
      <c r="A5287" s="815" t="s">
        <v>13045</v>
      </c>
      <c r="B5287" s="806" t="s">
        <v>8759</v>
      </c>
      <c r="C5287" s="806" t="s">
        <v>8759</v>
      </c>
      <c r="D5287" s="843" t="s">
        <v>9009</v>
      </c>
      <c r="E5287" s="809" t="s">
        <v>8788</v>
      </c>
      <c r="F5287" s="809">
        <v>25</v>
      </c>
      <c r="G5287" s="202" t="str">
        <f t="shared" si="82"/>
        <v/>
      </c>
    </row>
    <row r="5288" spans="1:7" s="172" customFormat="1" ht="15" customHeight="1" x14ac:dyDescent="0.25">
      <c r="A5288" s="815" t="s">
        <v>9010</v>
      </c>
      <c r="B5288" s="806" t="s">
        <v>8759</v>
      </c>
      <c r="C5288" s="806" t="s">
        <v>8759</v>
      </c>
      <c r="D5288" s="843" t="s">
        <v>9011</v>
      </c>
      <c r="E5288" s="809" t="s">
        <v>8784</v>
      </c>
      <c r="F5288" s="809">
        <v>50</v>
      </c>
      <c r="G5288" s="202" t="str">
        <f t="shared" si="82"/>
        <v/>
      </c>
    </row>
    <row r="5289" spans="1:7" s="172" customFormat="1" ht="15" customHeight="1" x14ac:dyDescent="0.25">
      <c r="A5289" s="815" t="s">
        <v>9010</v>
      </c>
      <c r="B5289" s="806" t="s">
        <v>8759</v>
      </c>
      <c r="C5289" s="806" t="s">
        <v>8759</v>
      </c>
      <c r="D5289" s="843" t="s">
        <v>9012</v>
      </c>
      <c r="E5289" s="809" t="s">
        <v>8788</v>
      </c>
      <c r="F5289" s="809">
        <v>30</v>
      </c>
      <c r="G5289" s="202" t="str">
        <f t="shared" si="82"/>
        <v/>
      </c>
    </row>
    <row r="5290" spans="1:7" s="172" customFormat="1" ht="15" customHeight="1" x14ac:dyDescent="0.25">
      <c r="A5290" s="815" t="s">
        <v>9010</v>
      </c>
      <c r="B5290" s="806" t="s">
        <v>8759</v>
      </c>
      <c r="C5290" s="806" t="s">
        <v>8759</v>
      </c>
      <c r="D5290" s="843" t="s">
        <v>9013</v>
      </c>
      <c r="E5290" s="809" t="s">
        <v>18244</v>
      </c>
      <c r="F5290" s="809">
        <v>100</v>
      </c>
      <c r="G5290" s="202" t="str">
        <f t="shared" si="82"/>
        <v/>
      </c>
    </row>
    <row r="5291" spans="1:7" s="172" customFormat="1" ht="15" customHeight="1" x14ac:dyDescent="0.25">
      <c r="A5291" s="815" t="s">
        <v>8758</v>
      </c>
      <c r="B5291" s="806" t="s">
        <v>8759</v>
      </c>
      <c r="C5291" s="806" t="s">
        <v>8759</v>
      </c>
      <c r="D5291" s="843" t="s">
        <v>9014</v>
      </c>
      <c r="E5291" s="809" t="s">
        <v>8761</v>
      </c>
      <c r="F5291" s="809">
        <v>50</v>
      </c>
      <c r="G5291" s="202" t="str">
        <f t="shared" si="82"/>
        <v/>
      </c>
    </row>
    <row r="5292" spans="1:7" s="172" customFormat="1" ht="15" customHeight="1" x14ac:dyDescent="0.25">
      <c r="A5292" s="815" t="s">
        <v>9015</v>
      </c>
      <c r="B5292" s="806" t="s">
        <v>8759</v>
      </c>
      <c r="C5292" s="806" t="s">
        <v>8759</v>
      </c>
      <c r="D5292" s="843" t="s">
        <v>9016</v>
      </c>
      <c r="E5292" s="809" t="s">
        <v>8788</v>
      </c>
      <c r="F5292" s="809">
        <v>35</v>
      </c>
      <c r="G5292" s="202" t="str">
        <f t="shared" si="82"/>
        <v/>
      </c>
    </row>
    <row r="5293" spans="1:7" s="172" customFormat="1" ht="15" customHeight="1" x14ac:dyDescent="0.25">
      <c r="A5293" s="815" t="s">
        <v>9015</v>
      </c>
      <c r="B5293" s="806" t="s">
        <v>8759</v>
      </c>
      <c r="C5293" s="806" t="s">
        <v>8759</v>
      </c>
      <c r="D5293" s="843" t="s">
        <v>9017</v>
      </c>
      <c r="E5293" s="809" t="s">
        <v>8761</v>
      </c>
      <c r="F5293" s="809">
        <v>60</v>
      </c>
      <c r="G5293" s="202" t="str">
        <f t="shared" si="82"/>
        <v/>
      </c>
    </row>
    <row r="5294" spans="1:7" s="172" customFormat="1" ht="15" customHeight="1" x14ac:dyDescent="0.25">
      <c r="A5294" s="815" t="s">
        <v>8921</v>
      </c>
      <c r="B5294" s="806" t="s">
        <v>8759</v>
      </c>
      <c r="C5294" s="806" t="s">
        <v>8759</v>
      </c>
      <c r="D5294" s="843" t="s">
        <v>9018</v>
      </c>
      <c r="E5294" s="809" t="s">
        <v>8788</v>
      </c>
      <c r="F5294" s="809">
        <v>30</v>
      </c>
      <c r="G5294" s="202" t="str">
        <f t="shared" si="82"/>
        <v/>
      </c>
    </row>
    <row r="5295" spans="1:7" s="172" customFormat="1" ht="15" customHeight="1" x14ac:dyDescent="0.25">
      <c r="A5295" s="815" t="s">
        <v>8800</v>
      </c>
      <c r="B5295" s="806" t="s">
        <v>8759</v>
      </c>
      <c r="C5295" s="806" t="s">
        <v>8759</v>
      </c>
      <c r="D5295" s="843" t="s">
        <v>9019</v>
      </c>
      <c r="E5295" s="809" t="s">
        <v>8784</v>
      </c>
      <c r="F5295" s="809">
        <v>200</v>
      </c>
      <c r="G5295" s="202" t="str">
        <f t="shared" si="82"/>
        <v/>
      </c>
    </row>
    <row r="5296" spans="1:7" s="172" customFormat="1" ht="15" customHeight="1" x14ac:dyDescent="0.25">
      <c r="A5296" s="815" t="s">
        <v>8800</v>
      </c>
      <c r="B5296" s="806" t="s">
        <v>8759</v>
      </c>
      <c r="C5296" s="806" t="s">
        <v>8759</v>
      </c>
      <c r="D5296" s="843" t="s">
        <v>9020</v>
      </c>
      <c r="E5296" s="809">
        <v>250</v>
      </c>
      <c r="F5296" s="809">
        <v>180</v>
      </c>
      <c r="G5296" s="202" t="str">
        <f t="shared" si="82"/>
        <v/>
      </c>
    </row>
    <row r="5297" spans="1:7" s="172" customFormat="1" ht="15" customHeight="1" x14ac:dyDescent="0.25">
      <c r="A5297" s="815" t="s">
        <v>9021</v>
      </c>
      <c r="B5297" s="806" t="s">
        <v>8759</v>
      </c>
      <c r="C5297" s="806" t="s">
        <v>8759</v>
      </c>
      <c r="D5297" s="843" t="s">
        <v>9022</v>
      </c>
      <c r="E5297" s="809" t="s">
        <v>8774</v>
      </c>
      <c r="F5297" s="809">
        <v>10</v>
      </c>
      <c r="G5297" s="202" t="str">
        <f t="shared" si="82"/>
        <v/>
      </c>
    </row>
    <row r="5298" spans="1:7" s="172" customFormat="1" ht="15" customHeight="1" x14ac:dyDescent="0.25">
      <c r="A5298" s="815" t="s">
        <v>8858</v>
      </c>
      <c r="B5298" s="806" t="s">
        <v>8759</v>
      </c>
      <c r="C5298" s="806" t="s">
        <v>8759</v>
      </c>
      <c r="D5298" s="843" t="s">
        <v>9023</v>
      </c>
      <c r="E5298" s="809" t="s">
        <v>8763</v>
      </c>
      <c r="F5298" s="809">
        <v>300</v>
      </c>
      <c r="G5298" s="202" t="str">
        <f t="shared" si="82"/>
        <v/>
      </c>
    </row>
    <row r="5299" spans="1:7" s="172" customFormat="1" ht="15" customHeight="1" x14ac:dyDescent="0.25">
      <c r="A5299" s="815" t="s">
        <v>9024</v>
      </c>
      <c r="B5299" s="806" t="s">
        <v>8759</v>
      </c>
      <c r="C5299" s="806" t="s">
        <v>8759</v>
      </c>
      <c r="D5299" s="843" t="s">
        <v>9025</v>
      </c>
      <c r="E5299" s="809" t="s">
        <v>8790</v>
      </c>
      <c r="F5299" s="809">
        <v>5</v>
      </c>
      <c r="G5299" s="202" t="str">
        <f t="shared" si="82"/>
        <v/>
      </c>
    </row>
    <row r="5300" spans="1:7" s="172" customFormat="1" ht="15" customHeight="1" x14ac:dyDescent="0.25">
      <c r="A5300" s="815" t="s">
        <v>9026</v>
      </c>
      <c r="B5300" s="806" t="s">
        <v>8759</v>
      </c>
      <c r="C5300" s="806" t="s">
        <v>8759</v>
      </c>
      <c r="D5300" s="843" t="s">
        <v>9027</v>
      </c>
      <c r="E5300" s="809" t="s">
        <v>8790</v>
      </c>
      <c r="F5300" s="809">
        <v>17</v>
      </c>
      <c r="G5300" s="202" t="str">
        <f t="shared" si="82"/>
        <v/>
      </c>
    </row>
    <row r="5301" spans="1:7" s="172" customFormat="1" ht="15" customHeight="1" x14ac:dyDescent="0.25">
      <c r="A5301" s="815" t="s">
        <v>9028</v>
      </c>
      <c r="B5301" s="806" t="s">
        <v>8759</v>
      </c>
      <c r="C5301" s="806" t="s">
        <v>8759</v>
      </c>
      <c r="D5301" s="843" t="s">
        <v>9029</v>
      </c>
      <c r="E5301" s="809" t="s">
        <v>8761</v>
      </c>
      <c r="F5301" s="809">
        <v>25</v>
      </c>
      <c r="G5301" s="202" t="str">
        <f t="shared" si="82"/>
        <v/>
      </c>
    </row>
    <row r="5302" spans="1:7" s="172" customFormat="1" ht="15" customHeight="1" x14ac:dyDescent="0.25">
      <c r="A5302" s="815" t="s">
        <v>9030</v>
      </c>
      <c r="B5302" s="806" t="s">
        <v>8759</v>
      </c>
      <c r="C5302" s="806" t="s">
        <v>8759</v>
      </c>
      <c r="D5302" s="843" t="s">
        <v>9031</v>
      </c>
      <c r="E5302" s="809" t="s">
        <v>8761</v>
      </c>
      <c r="F5302" s="809">
        <v>20</v>
      </c>
      <c r="G5302" s="202" t="str">
        <f t="shared" si="82"/>
        <v/>
      </c>
    </row>
    <row r="5303" spans="1:7" s="172" customFormat="1" ht="15" customHeight="1" x14ac:dyDescent="0.25">
      <c r="A5303" s="815" t="s">
        <v>9032</v>
      </c>
      <c r="B5303" s="806" t="s">
        <v>8759</v>
      </c>
      <c r="C5303" s="806" t="s">
        <v>8759</v>
      </c>
      <c r="D5303" s="843" t="s">
        <v>9033</v>
      </c>
      <c r="E5303" s="809" t="s">
        <v>8790</v>
      </c>
      <c r="F5303" s="809">
        <v>5</v>
      </c>
      <c r="G5303" s="202" t="str">
        <f t="shared" si="82"/>
        <v/>
      </c>
    </row>
    <row r="5304" spans="1:7" s="172" customFormat="1" ht="15" customHeight="1" x14ac:dyDescent="0.25">
      <c r="A5304" s="815" t="s">
        <v>8889</v>
      </c>
      <c r="B5304" s="806" t="s">
        <v>8759</v>
      </c>
      <c r="C5304" s="806" t="s">
        <v>8759</v>
      </c>
      <c r="D5304" s="843" t="s">
        <v>9034</v>
      </c>
      <c r="E5304" s="809" t="s">
        <v>8761</v>
      </c>
      <c r="F5304" s="809">
        <v>90</v>
      </c>
      <c r="G5304" s="202" t="str">
        <f t="shared" si="82"/>
        <v/>
      </c>
    </row>
    <row r="5305" spans="1:7" s="172" customFormat="1" ht="15" customHeight="1" x14ac:dyDescent="0.25">
      <c r="A5305" s="815" t="s">
        <v>15285</v>
      </c>
      <c r="B5305" s="806" t="s">
        <v>15286</v>
      </c>
      <c r="C5305" s="806" t="s">
        <v>15286</v>
      </c>
      <c r="D5305" s="843" t="s">
        <v>15287</v>
      </c>
      <c r="E5305" s="809">
        <v>10</v>
      </c>
      <c r="F5305" s="809">
        <v>2</v>
      </c>
      <c r="G5305" s="202" t="str">
        <f t="shared" si="82"/>
        <v/>
      </c>
    </row>
    <row r="5306" spans="1:7" s="172" customFormat="1" ht="15" customHeight="1" x14ac:dyDescent="0.25">
      <c r="A5306" s="815" t="s">
        <v>15288</v>
      </c>
      <c r="B5306" s="806" t="s">
        <v>15286</v>
      </c>
      <c r="C5306" s="806" t="s">
        <v>15286</v>
      </c>
      <c r="D5306" s="843" t="s">
        <v>15289</v>
      </c>
      <c r="E5306" s="809">
        <v>40</v>
      </c>
      <c r="F5306" s="809">
        <v>5</v>
      </c>
      <c r="G5306" s="202" t="str">
        <f t="shared" si="82"/>
        <v/>
      </c>
    </row>
    <row r="5307" spans="1:7" s="172" customFormat="1" ht="15" customHeight="1" x14ac:dyDescent="0.25">
      <c r="A5307" s="815" t="s">
        <v>15290</v>
      </c>
      <c r="B5307" s="806" t="s">
        <v>15286</v>
      </c>
      <c r="C5307" s="806" t="s">
        <v>15286</v>
      </c>
      <c r="D5307" s="843" t="s">
        <v>15291</v>
      </c>
      <c r="E5307" s="809">
        <v>63</v>
      </c>
      <c r="F5307" s="809">
        <v>23</v>
      </c>
      <c r="G5307" s="202" t="str">
        <f t="shared" si="82"/>
        <v/>
      </c>
    </row>
    <row r="5308" spans="1:7" s="172" customFormat="1" ht="15" customHeight="1" x14ac:dyDescent="0.25">
      <c r="A5308" s="815" t="s">
        <v>15292</v>
      </c>
      <c r="B5308" s="806" t="s">
        <v>15286</v>
      </c>
      <c r="C5308" s="806" t="s">
        <v>15286</v>
      </c>
      <c r="D5308" s="843" t="s">
        <v>15293</v>
      </c>
      <c r="E5308" s="809">
        <v>250</v>
      </c>
      <c r="F5308" s="809">
        <v>90</v>
      </c>
      <c r="G5308" s="202" t="str">
        <f t="shared" si="82"/>
        <v/>
      </c>
    </row>
    <row r="5309" spans="1:7" s="172" customFormat="1" ht="15" customHeight="1" x14ac:dyDescent="0.25">
      <c r="A5309" s="815" t="s">
        <v>15294</v>
      </c>
      <c r="B5309" s="806" t="s">
        <v>15286</v>
      </c>
      <c r="C5309" s="806" t="s">
        <v>15286</v>
      </c>
      <c r="D5309" s="843" t="s">
        <v>15295</v>
      </c>
      <c r="E5309" s="809">
        <v>400</v>
      </c>
      <c r="F5309" s="809">
        <v>150</v>
      </c>
      <c r="G5309" s="202" t="str">
        <f t="shared" si="82"/>
        <v/>
      </c>
    </row>
    <row r="5310" spans="1:7" s="172" customFormat="1" ht="15" customHeight="1" x14ac:dyDescent="0.25">
      <c r="A5310" s="815" t="s">
        <v>15294</v>
      </c>
      <c r="B5310" s="806" t="s">
        <v>15286</v>
      </c>
      <c r="C5310" s="806" t="s">
        <v>15286</v>
      </c>
      <c r="D5310" s="843" t="s">
        <v>15296</v>
      </c>
      <c r="E5310" s="809">
        <v>100</v>
      </c>
      <c r="F5310" s="809">
        <v>20</v>
      </c>
      <c r="G5310" s="202" t="str">
        <f t="shared" si="82"/>
        <v/>
      </c>
    </row>
    <row r="5311" spans="1:7" s="172" customFormat="1" ht="15" customHeight="1" x14ac:dyDescent="0.25">
      <c r="A5311" s="815" t="s">
        <v>15294</v>
      </c>
      <c r="B5311" s="806" t="s">
        <v>15286</v>
      </c>
      <c r="C5311" s="806" t="s">
        <v>15286</v>
      </c>
      <c r="D5311" s="843" t="s">
        <v>15297</v>
      </c>
      <c r="E5311" s="809">
        <v>250</v>
      </c>
      <c r="F5311" s="809">
        <v>150</v>
      </c>
      <c r="G5311" s="202" t="str">
        <f t="shared" si="82"/>
        <v/>
      </c>
    </row>
    <row r="5312" spans="1:7" s="172" customFormat="1" ht="15" customHeight="1" x14ac:dyDescent="0.25">
      <c r="A5312" s="815" t="s">
        <v>15298</v>
      </c>
      <c r="B5312" s="806" t="s">
        <v>15286</v>
      </c>
      <c r="C5312" s="806" t="s">
        <v>15286</v>
      </c>
      <c r="D5312" s="843" t="s">
        <v>15299</v>
      </c>
      <c r="E5312" s="809">
        <v>40</v>
      </c>
      <c r="F5312" s="809">
        <v>15</v>
      </c>
      <c r="G5312" s="202" t="str">
        <f t="shared" si="82"/>
        <v/>
      </c>
    </row>
    <row r="5313" spans="1:7" s="172" customFormat="1" ht="15" customHeight="1" x14ac:dyDescent="0.25">
      <c r="A5313" s="815" t="s">
        <v>15300</v>
      </c>
      <c r="B5313" s="806" t="s">
        <v>15286</v>
      </c>
      <c r="C5313" s="806" t="s">
        <v>15286</v>
      </c>
      <c r="D5313" s="843" t="s">
        <v>15301</v>
      </c>
      <c r="E5313" s="809">
        <v>10</v>
      </c>
      <c r="F5313" s="809">
        <v>3</v>
      </c>
      <c r="G5313" s="202" t="str">
        <f t="shared" si="82"/>
        <v/>
      </c>
    </row>
    <row r="5314" spans="1:7" s="172" customFormat="1" ht="15" customHeight="1" x14ac:dyDescent="0.25">
      <c r="A5314" s="815" t="s">
        <v>15302</v>
      </c>
      <c r="B5314" s="806" t="s">
        <v>15286</v>
      </c>
      <c r="C5314" s="806" t="s">
        <v>15286</v>
      </c>
      <c r="D5314" s="843" t="s">
        <v>15303</v>
      </c>
      <c r="E5314" s="809">
        <v>40</v>
      </c>
      <c r="F5314" s="809">
        <v>8</v>
      </c>
      <c r="G5314" s="202" t="str">
        <f t="shared" si="82"/>
        <v/>
      </c>
    </row>
    <row r="5315" spans="1:7" s="172" customFormat="1" ht="15" customHeight="1" x14ac:dyDescent="0.25">
      <c r="A5315" s="815" t="s">
        <v>15304</v>
      </c>
      <c r="B5315" s="806" t="s">
        <v>15286</v>
      </c>
      <c r="C5315" s="806" t="s">
        <v>15286</v>
      </c>
      <c r="D5315" s="843" t="s">
        <v>15305</v>
      </c>
      <c r="E5315" s="809">
        <v>63</v>
      </c>
      <c r="F5315" s="809">
        <v>3</v>
      </c>
      <c r="G5315" s="202" t="str">
        <f t="shared" si="82"/>
        <v/>
      </c>
    </row>
    <row r="5316" spans="1:7" s="172" customFormat="1" ht="15" customHeight="1" x14ac:dyDescent="0.25">
      <c r="A5316" s="815" t="s">
        <v>15306</v>
      </c>
      <c r="B5316" s="806" t="s">
        <v>15286</v>
      </c>
      <c r="C5316" s="806" t="s">
        <v>15286</v>
      </c>
      <c r="D5316" s="843" t="s">
        <v>15307</v>
      </c>
      <c r="E5316" s="809">
        <v>63</v>
      </c>
      <c r="F5316" s="809">
        <v>10</v>
      </c>
      <c r="G5316" s="202" t="str">
        <f t="shared" si="82"/>
        <v/>
      </c>
    </row>
    <row r="5317" spans="1:7" s="172" customFormat="1" ht="15" customHeight="1" x14ac:dyDescent="0.25">
      <c r="A5317" s="815" t="s">
        <v>15046</v>
      </c>
      <c r="B5317" s="806" t="s">
        <v>15286</v>
      </c>
      <c r="C5317" s="806" t="s">
        <v>15286</v>
      </c>
      <c r="D5317" s="843" t="s">
        <v>15308</v>
      </c>
      <c r="E5317" s="809">
        <v>100</v>
      </c>
      <c r="F5317" s="809">
        <v>20</v>
      </c>
      <c r="G5317" s="202" t="str">
        <f t="shared" si="82"/>
        <v/>
      </c>
    </row>
    <row r="5318" spans="1:7" s="172" customFormat="1" ht="15" customHeight="1" x14ac:dyDescent="0.25">
      <c r="A5318" s="815" t="s">
        <v>15046</v>
      </c>
      <c r="B5318" s="806" t="s">
        <v>15286</v>
      </c>
      <c r="C5318" s="806" t="s">
        <v>15286</v>
      </c>
      <c r="D5318" s="843" t="s">
        <v>15309</v>
      </c>
      <c r="E5318" s="809">
        <v>250</v>
      </c>
      <c r="F5318" s="809">
        <v>150</v>
      </c>
      <c r="G5318" s="202" t="str">
        <f t="shared" si="82"/>
        <v/>
      </c>
    </row>
    <row r="5319" spans="1:7" s="172" customFormat="1" ht="15" customHeight="1" x14ac:dyDescent="0.25">
      <c r="A5319" s="815" t="s">
        <v>15046</v>
      </c>
      <c r="B5319" s="806" t="s">
        <v>15286</v>
      </c>
      <c r="C5319" s="806" t="s">
        <v>15286</v>
      </c>
      <c r="D5319" s="843" t="s">
        <v>15310</v>
      </c>
      <c r="E5319" s="809">
        <v>160</v>
      </c>
      <c r="F5319" s="809">
        <v>60</v>
      </c>
      <c r="G5319" s="202" t="str">
        <f t="shared" si="82"/>
        <v/>
      </c>
    </row>
    <row r="5320" spans="1:7" s="172" customFormat="1" ht="15" customHeight="1" x14ac:dyDescent="0.25">
      <c r="A5320" s="815" t="s">
        <v>15046</v>
      </c>
      <c r="B5320" s="806" t="s">
        <v>15286</v>
      </c>
      <c r="C5320" s="806" t="s">
        <v>15286</v>
      </c>
      <c r="D5320" s="843" t="s">
        <v>15311</v>
      </c>
      <c r="E5320" s="809">
        <v>400</v>
      </c>
      <c r="F5320" s="809">
        <v>250</v>
      </c>
      <c r="G5320" s="202" t="str">
        <f t="shared" si="82"/>
        <v/>
      </c>
    </row>
    <row r="5321" spans="1:7" s="172" customFormat="1" ht="15" customHeight="1" x14ac:dyDescent="0.25">
      <c r="A5321" s="815" t="s">
        <v>15312</v>
      </c>
      <c r="B5321" s="806" t="s">
        <v>15286</v>
      </c>
      <c r="C5321" s="806" t="s">
        <v>15286</v>
      </c>
      <c r="D5321" s="843" t="s">
        <v>15313</v>
      </c>
      <c r="E5321" s="809">
        <v>10</v>
      </c>
      <c r="F5321" s="809">
        <v>5</v>
      </c>
      <c r="G5321" s="202" t="str">
        <f t="shared" si="82"/>
        <v/>
      </c>
    </row>
    <row r="5322" spans="1:7" s="172" customFormat="1" ht="15" customHeight="1" x14ac:dyDescent="0.25">
      <c r="A5322" s="815" t="s">
        <v>15314</v>
      </c>
      <c r="B5322" s="806" t="s">
        <v>15286</v>
      </c>
      <c r="C5322" s="806" t="s">
        <v>15286</v>
      </c>
      <c r="D5322" s="843" t="s">
        <v>15315</v>
      </c>
      <c r="E5322" s="809">
        <v>100</v>
      </c>
      <c r="F5322" s="809">
        <v>25</v>
      </c>
      <c r="G5322" s="202" t="str">
        <f t="shared" si="82"/>
        <v/>
      </c>
    </row>
    <row r="5323" spans="1:7" s="172" customFormat="1" ht="15" customHeight="1" x14ac:dyDescent="0.25">
      <c r="A5323" s="815" t="s">
        <v>15316</v>
      </c>
      <c r="B5323" s="806" t="s">
        <v>15286</v>
      </c>
      <c r="C5323" s="806" t="s">
        <v>15286</v>
      </c>
      <c r="D5323" s="843" t="s">
        <v>15317</v>
      </c>
      <c r="E5323" s="809">
        <v>63</v>
      </c>
      <c r="F5323" s="809">
        <v>6</v>
      </c>
      <c r="G5323" s="202" t="str">
        <f t="shared" si="82"/>
        <v/>
      </c>
    </row>
    <row r="5324" spans="1:7" s="172" customFormat="1" ht="15" customHeight="1" x14ac:dyDescent="0.25">
      <c r="A5324" s="815" t="s">
        <v>15318</v>
      </c>
      <c r="B5324" s="806" t="s">
        <v>15286</v>
      </c>
      <c r="C5324" s="806" t="s">
        <v>15286</v>
      </c>
      <c r="D5324" s="843" t="s">
        <v>15319</v>
      </c>
      <c r="E5324" s="809">
        <v>40</v>
      </c>
      <c r="F5324" s="809">
        <v>10</v>
      </c>
      <c r="G5324" s="202" t="str">
        <f t="shared" si="82"/>
        <v/>
      </c>
    </row>
    <row r="5325" spans="1:7" s="172" customFormat="1" ht="15" customHeight="1" x14ac:dyDescent="0.25">
      <c r="A5325" s="815" t="s">
        <v>15320</v>
      </c>
      <c r="B5325" s="806" t="s">
        <v>15286</v>
      </c>
      <c r="C5325" s="806" t="s">
        <v>15286</v>
      </c>
      <c r="D5325" s="843" t="s">
        <v>15321</v>
      </c>
      <c r="E5325" s="809">
        <v>30</v>
      </c>
      <c r="F5325" s="809">
        <v>3</v>
      </c>
      <c r="G5325" s="202" t="str">
        <f t="shared" si="82"/>
        <v/>
      </c>
    </row>
    <row r="5326" spans="1:7" s="172" customFormat="1" ht="15" customHeight="1" x14ac:dyDescent="0.25">
      <c r="A5326" s="815" t="s">
        <v>15322</v>
      </c>
      <c r="B5326" s="806" t="s">
        <v>15286</v>
      </c>
      <c r="C5326" s="806" t="s">
        <v>15286</v>
      </c>
      <c r="D5326" s="843" t="s">
        <v>15323</v>
      </c>
      <c r="E5326" s="821">
        <v>60</v>
      </c>
      <c r="F5326" s="821">
        <v>20</v>
      </c>
      <c r="G5326" s="202" t="str">
        <f t="shared" si="82"/>
        <v/>
      </c>
    </row>
    <row r="5327" spans="1:7" s="172" customFormat="1" ht="15" customHeight="1" x14ac:dyDescent="0.25">
      <c r="A5327" s="815" t="s">
        <v>15324</v>
      </c>
      <c r="B5327" s="806" t="s">
        <v>15286</v>
      </c>
      <c r="C5327" s="806" t="s">
        <v>15286</v>
      </c>
      <c r="D5327" s="843" t="s">
        <v>15325</v>
      </c>
      <c r="E5327" s="809">
        <v>40</v>
      </c>
      <c r="F5327" s="809">
        <v>5</v>
      </c>
      <c r="G5327" s="202" t="str">
        <f t="shared" si="82"/>
        <v/>
      </c>
    </row>
    <row r="5328" spans="1:7" s="172" customFormat="1" ht="15" customHeight="1" x14ac:dyDescent="0.25">
      <c r="A5328" s="815" t="s">
        <v>15326</v>
      </c>
      <c r="B5328" s="806" t="s">
        <v>15286</v>
      </c>
      <c r="C5328" s="806" t="s">
        <v>15286</v>
      </c>
      <c r="D5328" s="843" t="s">
        <v>15327</v>
      </c>
      <c r="E5328" s="809">
        <v>100</v>
      </c>
      <c r="F5328" s="809">
        <v>20</v>
      </c>
      <c r="G5328" s="202" t="str">
        <f t="shared" si="82"/>
        <v/>
      </c>
    </row>
    <row r="5329" spans="1:7" s="172" customFormat="1" ht="15" customHeight="1" x14ac:dyDescent="0.25">
      <c r="A5329" s="815" t="s">
        <v>15328</v>
      </c>
      <c r="B5329" s="806" t="s">
        <v>15286</v>
      </c>
      <c r="C5329" s="806" t="s">
        <v>15286</v>
      </c>
      <c r="D5329" s="843" t="s">
        <v>15329</v>
      </c>
      <c r="E5329" s="809">
        <v>25</v>
      </c>
      <c r="F5329" s="809">
        <v>20</v>
      </c>
      <c r="G5329" s="202" t="str">
        <f t="shared" si="82"/>
        <v/>
      </c>
    </row>
    <row r="5330" spans="1:7" s="172" customFormat="1" ht="15" customHeight="1" x14ac:dyDescent="0.25">
      <c r="A5330" s="815" t="s">
        <v>15330</v>
      </c>
      <c r="B5330" s="806" t="s">
        <v>15286</v>
      </c>
      <c r="C5330" s="806" t="s">
        <v>15286</v>
      </c>
      <c r="D5330" s="843" t="s">
        <v>15331</v>
      </c>
      <c r="E5330" s="809">
        <v>25</v>
      </c>
      <c r="F5330" s="809">
        <v>15</v>
      </c>
      <c r="G5330" s="202" t="str">
        <f t="shared" si="82"/>
        <v/>
      </c>
    </row>
    <row r="5331" spans="1:7" s="172" customFormat="1" ht="15" customHeight="1" x14ac:dyDescent="0.25">
      <c r="A5331" s="815" t="s">
        <v>15332</v>
      </c>
      <c r="B5331" s="806" t="s">
        <v>15286</v>
      </c>
      <c r="C5331" s="806" t="s">
        <v>15286</v>
      </c>
      <c r="D5331" s="843" t="s">
        <v>15333</v>
      </c>
      <c r="E5331" s="809">
        <v>100</v>
      </c>
      <c r="F5331" s="809">
        <v>10</v>
      </c>
      <c r="G5331" s="202" t="str">
        <f t="shared" si="82"/>
        <v/>
      </c>
    </row>
    <row r="5332" spans="1:7" s="172" customFormat="1" ht="15" customHeight="1" x14ac:dyDescent="0.25">
      <c r="A5332" s="815" t="s">
        <v>15332</v>
      </c>
      <c r="B5332" s="806" t="s">
        <v>15286</v>
      </c>
      <c r="C5332" s="806" t="s">
        <v>15286</v>
      </c>
      <c r="D5332" s="843" t="s">
        <v>15334</v>
      </c>
      <c r="E5332" s="809">
        <v>400</v>
      </c>
      <c r="F5332" s="809">
        <v>250</v>
      </c>
      <c r="G5332" s="202" t="str">
        <f t="shared" si="82"/>
        <v/>
      </c>
    </row>
    <row r="5333" spans="1:7" s="172" customFormat="1" ht="15" customHeight="1" x14ac:dyDescent="0.25">
      <c r="A5333" s="815" t="s">
        <v>15335</v>
      </c>
      <c r="B5333" s="806" t="s">
        <v>15286</v>
      </c>
      <c r="C5333" s="806" t="s">
        <v>15286</v>
      </c>
      <c r="D5333" s="843" t="s">
        <v>15336</v>
      </c>
      <c r="E5333" s="809">
        <v>100</v>
      </c>
      <c r="F5333" s="809">
        <v>20</v>
      </c>
      <c r="G5333" s="202" t="str">
        <f t="shared" si="82"/>
        <v/>
      </c>
    </row>
    <row r="5334" spans="1:7" s="172" customFormat="1" ht="15" customHeight="1" x14ac:dyDescent="0.25">
      <c r="A5334" s="815" t="s">
        <v>15335</v>
      </c>
      <c r="B5334" s="806" t="s">
        <v>15286</v>
      </c>
      <c r="C5334" s="806" t="s">
        <v>15286</v>
      </c>
      <c r="D5334" s="843" t="s">
        <v>15337</v>
      </c>
      <c r="E5334" s="809">
        <v>30</v>
      </c>
      <c r="F5334" s="809">
        <v>12</v>
      </c>
      <c r="G5334" s="202" t="str">
        <f t="shared" si="82"/>
        <v/>
      </c>
    </row>
    <row r="5335" spans="1:7" s="172" customFormat="1" ht="15" customHeight="1" x14ac:dyDescent="0.25">
      <c r="A5335" s="815" t="s">
        <v>15335</v>
      </c>
      <c r="B5335" s="806" t="s">
        <v>15286</v>
      </c>
      <c r="C5335" s="806" t="s">
        <v>15286</v>
      </c>
      <c r="D5335" s="843" t="s">
        <v>15338</v>
      </c>
      <c r="E5335" s="809">
        <v>250</v>
      </c>
      <c r="F5335" s="809">
        <v>70</v>
      </c>
      <c r="G5335" s="202" t="str">
        <f t="shared" si="82"/>
        <v/>
      </c>
    </row>
    <row r="5336" spans="1:7" s="172" customFormat="1" ht="15" customHeight="1" x14ac:dyDescent="0.25">
      <c r="A5336" s="815" t="s">
        <v>15328</v>
      </c>
      <c r="B5336" s="806" t="s">
        <v>15286</v>
      </c>
      <c r="C5336" s="806" t="s">
        <v>15286</v>
      </c>
      <c r="D5336" s="843" t="s">
        <v>15339</v>
      </c>
      <c r="E5336" s="809">
        <v>100</v>
      </c>
      <c r="F5336" s="809">
        <v>15</v>
      </c>
      <c r="G5336" s="202" t="str">
        <f t="shared" si="82"/>
        <v/>
      </c>
    </row>
    <row r="5337" spans="1:7" s="172" customFormat="1" ht="15" customHeight="1" x14ac:dyDescent="0.25">
      <c r="A5337" s="815" t="s">
        <v>15328</v>
      </c>
      <c r="B5337" s="806" t="s">
        <v>15286</v>
      </c>
      <c r="C5337" s="806" t="s">
        <v>15286</v>
      </c>
      <c r="D5337" s="843" t="s">
        <v>15340</v>
      </c>
      <c r="E5337" s="809">
        <v>400</v>
      </c>
      <c r="F5337" s="809">
        <v>300</v>
      </c>
      <c r="G5337" s="202" t="str">
        <f t="shared" si="82"/>
        <v/>
      </c>
    </row>
    <row r="5338" spans="1:7" s="172" customFormat="1" ht="15" customHeight="1" x14ac:dyDescent="0.25">
      <c r="A5338" s="815" t="s">
        <v>15328</v>
      </c>
      <c r="B5338" s="806" t="s">
        <v>15286</v>
      </c>
      <c r="C5338" s="806" t="s">
        <v>15286</v>
      </c>
      <c r="D5338" s="843" t="s">
        <v>15341</v>
      </c>
      <c r="E5338" s="809">
        <v>400</v>
      </c>
      <c r="F5338" s="809">
        <v>15</v>
      </c>
      <c r="G5338" s="202" t="str">
        <f t="shared" si="82"/>
        <v/>
      </c>
    </row>
    <row r="5339" spans="1:7" s="172" customFormat="1" ht="15" customHeight="1" x14ac:dyDescent="0.25">
      <c r="A5339" s="815" t="s">
        <v>15328</v>
      </c>
      <c r="B5339" s="806" t="s">
        <v>15286</v>
      </c>
      <c r="C5339" s="806" t="s">
        <v>15286</v>
      </c>
      <c r="D5339" s="843" t="s">
        <v>15342</v>
      </c>
      <c r="E5339" s="809">
        <v>30</v>
      </c>
      <c r="F5339" s="809">
        <v>6</v>
      </c>
      <c r="G5339" s="202" t="str">
        <f t="shared" si="82"/>
        <v/>
      </c>
    </row>
    <row r="5340" spans="1:7" s="172" customFormat="1" ht="15" customHeight="1" x14ac:dyDescent="0.25">
      <c r="A5340" s="815" t="s">
        <v>15328</v>
      </c>
      <c r="B5340" s="806" t="s">
        <v>15286</v>
      </c>
      <c r="C5340" s="806" t="s">
        <v>15286</v>
      </c>
      <c r="D5340" s="843" t="s">
        <v>15343</v>
      </c>
      <c r="E5340" s="809">
        <v>100</v>
      </c>
      <c r="F5340" s="809">
        <v>8</v>
      </c>
      <c r="G5340" s="202" t="str">
        <f t="shared" ref="G5340:G5403" si="83">IF(E5340=F5340,"не загружен","")</f>
        <v/>
      </c>
    </row>
    <row r="5341" spans="1:7" s="172" customFormat="1" ht="15" customHeight="1" x14ac:dyDescent="0.25">
      <c r="A5341" s="815" t="s">
        <v>15328</v>
      </c>
      <c r="B5341" s="806" t="s">
        <v>15286</v>
      </c>
      <c r="C5341" s="806" t="s">
        <v>15286</v>
      </c>
      <c r="D5341" s="843" t="s">
        <v>15344</v>
      </c>
      <c r="E5341" s="809">
        <v>100</v>
      </c>
      <c r="F5341" s="809">
        <v>10</v>
      </c>
      <c r="G5341" s="202" t="str">
        <f t="shared" si="83"/>
        <v/>
      </c>
    </row>
    <row r="5342" spans="1:7" s="172" customFormat="1" ht="15" customHeight="1" x14ac:dyDescent="0.25">
      <c r="A5342" s="815" t="s">
        <v>15328</v>
      </c>
      <c r="B5342" s="806" t="s">
        <v>15286</v>
      </c>
      <c r="C5342" s="806" t="s">
        <v>15286</v>
      </c>
      <c r="D5342" s="843" t="s">
        <v>20134</v>
      </c>
      <c r="E5342" s="809">
        <v>40</v>
      </c>
      <c r="F5342" s="809">
        <v>0</v>
      </c>
      <c r="G5342" s="202" t="str">
        <f t="shared" si="83"/>
        <v/>
      </c>
    </row>
    <row r="5343" spans="1:7" s="172" customFormat="1" ht="15" customHeight="1" x14ac:dyDescent="0.25">
      <c r="A5343" s="815" t="s">
        <v>4835</v>
      </c>
      <c r="B5343" s="806" t="s">
        <v>15286</v>
      </c>
      <c r="C5343" s="806" t="s">
        <v>15286</v>
      </c>
      <c r="D5343" s="843" t="s">
        <v>15345</v>
      </c>
      <c r="E5343" s="809">
        <v>100</v>
      </c>
      <c r="F5343" s="809">
        <v>10</v>
      </c>
      <c r="G5343" s="202" t="str">
        <f t="shared" si="83"/>
        <v/>
      </c>
    </row>
    <row r="5344" spans="1:7" s="172" customFormat="1" ht="15" customHeight="1" x14ac:dyDescent="0.25">
      <c r="A5344" s="815" t="s">
        <v>4835</v>
      </c>
      <c r="B5344" s="806" t="s">
        <v>15286</v>
      </c>
      <c r="C5344" s="806" t="s">
        <v>15286</v>
      </c>
      <c r="D5344" s="843" t="s">
        <v>15346</v>
      </c>
      <c r="E5344" s="809">
        <v>160</v>
      </c>
      <c r="F5344" s="809">
        <v>100</v>
      </c>
      <c r="G5344" s="202" t="str">
        <f t="shared" si="83"/>
        <v/>
      </c>
    </row>
    <row r="5345" spans="1:7" s="172" customFormat="1" ht="15" customHeight="1" x14ac:dyDescent="0.25">
      <c r="A5345" s="815" t="s">
        <v>15328</v>
      </c>
      <c r="B5345" s="806" t="s">
        <v>15286</v>
      </c>
      <c r="C5345" s="806" t="s">
        <v>15286</v>
      </c>
      <c r="D5345" s="843" t="s">
        <v>15347</v>
      </c>
      <c r="E5345" s="809">
        <v>400</v>
      </c>
      <c r="F5345" s="809">
        <v>15</v>
      </c>
      <c r="G5345" s="202" t="str">
        <f t="shared" si="83"/>
        <v/>
      </c>
    </row>
    <row r="5346" spans="1:7" s="172" customFormat="1" ht="15" customHeight="1" x14ac:dyDescent="0.25">
      <c r="A5346" s="815" t="s">
        <v>15328</v>
      </c>
      <c r="B5346" s="806" t="s">
        <v>15286</v>
      </c>
      <c r="C5346" s="806" t="s">
        <v>15286</v>
      </c>
      <c r="D5346" s="843" t="s">
        <v>15348</v>
      </c>
      <c r="E5346" s="809">
        <v>160</v>
      </c>
      <c r="F5346" s="809">
        <v>10</v>
      </c>
      <c r="G5346" s="202" t="str">
        <f t="shared" si="83"/>
        <v/>
      </c>
    </row>
    <row r="5347" spans="1:7" s="172" customFormat="1" ht="15" customHeight="1" x14ac:dyDescent="0.25">
      <c r="A5347" s="815" t="s">
        <v>15328</v>
      </c>
      <c r="B5347" s="806" t="s">
        <v>15286</v>
      </c>
      <c r="C5347" s="806" t="s">
        <v>15286</v>
      </c>
      <c r="D5347" s="843" t="s">
        <v>15349</v>
      </c>
      <c r="E5347" s="809">
        <v>100</v>
      </c>
      <c r="F5347" s="809">
        <v>30</v>
      </c>
      <c r="G5347" s="202" t="str">
        <f t="shared" si="83"/>
        <v/>
      </c>
    </row>
    <row r="5348" spans="1:7" s="172" customFormat="1" ht="15" customHeight="1" x14ac:dyDescent="0.25">
      <c r="A5348" s="815" t="s">
        <v>15328</v>
      </c>
      <c r="B5348" s="806" t="s">
        <v>15286</v>
      </c>
      <c r="C5348" s="806" t="s">
        <v>15286</v>
      </c>
      <c r="D5348" s="843" t="s">
        <v>15350</v>
      </c>
      <c r="E5348" s="809">
        <v>250</v>
      </c>
      <c r="F5348" s="809">
        <v>50</v>
      </c>
      <c r="G5348" s="202" t="str">
        <f t="shared" si="83"/>
        <v/>
      </c>
    </row>
    <row r="5349" spans="1:7" s="172" customFormat="1" ht="15" customHeight="1" x14ac:dyDescent="0.25">
      <c r="A5349" s="815" t="s">
        <v>15328</v>
      </c>
      <c r="B5349" s="806" t="s">
        <v>15286</v>
      </c>
      <c r="C5349" s="806" t="s">
        <v>15286</v>
      </c>
      <c r="D5349" s="843" t="s">
        <v>15351</v>
      </c>
      <c r="E5349" s="809">
        <v>250</v>
      </c>
      <c r="F5349" s="809">
        <v>30</v>
      </c>
      <c r="G5349" s="202" t="str">
        <f t="shared" si="83"/>
        <v/>
      </c>
    </row>
    <row r="5350" spans="1:7" s="172" customFormat="1" ht="15" customHeight="1" x14ac:dyDescent="0.25">
      <c r="A5350" s="815" t="s">
        <v>15328</v>
      </c>
      <c r="B5350" s="806" t="s">
        <v>15286</v>
      </c>
      <c r="C5350" s="806" t="s">
        <v>15286</v>
      </c>
      <c r="D5350" s="843" t="s">
        <v>15352</v>
      </c>
      <c r="E5350" s="809">
        <v>400</v>
      </c>
      <c r="F5350" s="809">
        <v>320</v>
      </c>
      <c r="G5350" s="202" t="str">
        <f t="shared" si="83"/>
        <v/>
      </c>
    </row>
    <row r="5351" spans="1:7" s="172" customFormat="1" ht="15" customHeight="1" x14ac:dyDescent="0.25">
      <c r="A5351" s="815" t="s">
        <v>15328</v>
      </c>
      <c r="B5351" s="806" t="s">
        <v>15286</v>
      </c>
      <c r="C5351" s="806" t="s">
        <v>15286</v>
      </c>
      <c r="D5351" s="843" t="s">
        <v>15353</v>
      </c>
      <c r="E5351" s="809">
        <v>63</v>
      </c>
      <c r="F5351" s="809">
        <v>0</v>
      </c>
      <c r="G5351" s="202" t="str">
        <f t="shared" si="83"/>
        <v/>
      </c>
    </row>
    <row r="5352" spans="1:7" s="172" customFormat="1" ht="15" customHeight="1" x14ac:dyDescent="0.25">
      <c r="A5352" s="815" t="s">
        <v>15354</v>
      </c>
      <c r="B5352" s="806" t="s">
        <v>15286</v>
      </c>
      <c r="C5352" s="806" t="s">
        <v>15286</v>
      </c>
      <c r="D5352" s="843" t="s">
        <v>15355</v>
      </c>
      <c r="E5352" s="809">
        <v>250</v>
      </c>
      <c r="F5352" s="809">
        <v>50</v>
      </c>
      <c r="G5352" s="202" t="str">
        <f t="shared" si="83"/>
        <v/>
      </c>
    </row>
    <row r="5353" spans="1:7" s="172" customFormat="1" ht="15" customHeight="1" x14ac:dyDescent="0.25">
      <c r="A5353" s="815" t="s">
        <v>15354</v>
      </c>
      <c r="B5353" s="806" t="s">
        <v>15286</v>
      </c>
      <c r="C5353" s="806" t="s">
        <v>15286</v>
      </c>
      <c r="D5353" s="843" t="s">
        <v>15356</v>
      </c>
      <c r="E5353" s="809">
        <v>60</v>
      </c>
      <c r="F5353" s="809">
        <v>12</v>
      </c>
      <c r="G5353" s="202" t="str">
        <f t="shared" si="83"/>
        <v/>
      </c>
    </row>
    <row r="5354" spans="1:7" s="172" customFormat="1" ht="15" customHeight="1" x14ac:dyDescent="0.25">
      <c r="A5354" s="815" t="s">
        <v>15354</v>
      </c>
      <c r="B5354" s="806" t="s">
        <v>15286</v>
      </c>
      <c r="C5354" s="806" t="s">
        <v>15286</v>
      </c>
      <c r="D5354" s="843" t="s">
        <v>15357</v>
      </c>
      <c r="E5354" s="809">
        <v>63</v>
      </c>
      <c r="F5354" s="809">
        <v>10</v>
      </c>
      <c r="G5354" s="202" t="str">
        <f t="shared" si="83"/>
        <v/>
      </c>
    </row>
    <row r="5355" spans="1:7" s="172" customFormat="1" ht="15" customHeight="1" x14ac:dyDescent="0.25">
      <c r="A5355" s="815" t="s">
        <v>15354</v>
      </c>
      <c r="B5355" s="806" t="s">
        <v>15286</v>
      </c>
      <c r="C5355" s="806" t="s">
        <v>15286</v>
      </c>
      <c r="D5355" s="843" t="s">
        <v>15358</v>
      </c>
      <c r="E5355" s="809">
        <v>160</v>
      </c>
      <c r="F5355" s="809">
        <v>50</v>
      </c>
      <c r="G5355" s="202" t="str">
        <f t="shared" si="83"/>
        <v/>
      </c>
    </row>
    <row r="5356" spans="1:7" s="172" customFormat="1" ht="15" customHeight="1" x14ac:dyDescent="0.25">
      <c r="A5356" s="815" t="s">
        <v>15324</v>
      </c>
      <c r="B5356" s="806" t="s">
        <v>15286</v>
      </c>
      <c r="C5356" s="806" t="s">
        <v>15286</v>
      </c>
      <c r="D5356" s="843" t="s">
        <v>15359</v>
      </c>
      <c r="E5356" s="809">
        <v>250</v>
      </c>
      <c r="F5356" s="809">
        <v>25</v>
      </c>
      <c r="G5356" s="202" t="str">
        <f t="shared" si="83"/>
        <v/>
      </c>
    </row>
    <row r="5357" spans="1:7" s="172" customFormat="1" ht="15" customHeight="1" x14ac:dyDescent="0.25">
      <c r="A5357" s="815" t="s">
        <v>15324</v>
      </c>
      <c r="B5357" s="806" t="s">
        <v>15286</v>
      </c>
      <c r="C5357" s="806" t="s">
        <v>15286</v>
      </c>
      <c r="D5357" s="843" t="s">
        <v>15360</v>
      </c>
      <c r="E5357" s="809">
        <v>63</v>
      </c>
      <c r="F5357" s="809">
        <v>15</v>
      </c>
      <c r="G5357" s="202" t="str">
        <f t="shared" si="83"/>
        <v/>
      </c>
    </row>
    <row r="5358" spans="1:7" s="172" customFormat="1" ht="15" customHeight="1" x14ac:dyDescent="0.25">
      <c r="A5358" s="815" t="s">
        <v>15324</v>
      </c>
      <c r="B5358" s="806" t="s">
        <v>15286</v>
      </c>
      <c r="C5358" s="806" t="s">
        <v>15286</v>
      </c>
      <c r="D5358" s="843" t="s">
        <v>15361</v>
      </c>
      <c r="E5358" s="809">
        <v>250</v>
      </c>
      <c r="F5358" s="809">
        <v>100</v>
      </c>
      <c r="G5358" s="202" t="str">
        <f t="shared" si="83"/>
        <v/>
      </c>
    </row>
    <row r="5359" spans="1:7" s="172" customFormat="1" ht="15" customHeight="1" x14ac:dyDescent="0.25">
      <c r="A5359" s="815" t="s">
        <v>15362</v>
      </c>
      <c r="B5359" s="806" t="s">
        <v>15286</v>
      </c>
      <c r="C5359" s="806" t="s">
        <v>15286</v>
      </c>
      <c r="D5359" s="843" t="s">
        <v>15363</v>
      </c>
      <c r="E5359" s="809">
        <v>40</v>
      </c>
      <c r="F5359" s="809">
        <v>10</v>
      </c>
      <c r="G5359" s="202" t="str">
        <f t="shared" si="83"/>
        <v/>
      </c>
    </row>
    <row r="5360" spans="1:7" s="172" customFormat="1" ht="15" customHeight="1" x14ac:dyDescent="0.25">
      <c r="A5360" s="815" t="s">
        <v>15362</v>
      </c>
      <c r="B5360" s="806" t="s">
        <v>15286</v>
      </c>
      <c r="C5360" s="806" t="s">
        <v>15286</v>
      </c>
      <c r="D5360" s="843" t="s">
        <v>15364</v>
      </c>
      <c r="E5360" s="809">
        <v>100</v>
      </c>
      <c r="F5360" s="809">
        <v>60</v>
      </c>
      <c r="G5360" s="202" t="str">
        <f t="shared" si="83"/>
        <v/>
      </c>
    </row>
    <row r="5361" spans="1:7" s="172" customFormat="1" ht="15" customHeight="1" x14ac:dyDescent="0.25">
      <c r="A5361" s="815" t="s">
        <v>15328</v>
      </c>
      <c r="B5361" s="806" t="s">
        <v>15286</v>
      </c>
      <c r="C5361" s="806" t="s">
        <v>15286</v>
      </c>
      <c r="D5361" s="843" t="s">
        <v>15365</v>
      </c>
      <c r="E5361" s="809">
        <v>160</v>
      </c>
      <c r="F5361" s="809">
        <v>20</v>
      </c>
      <c r="G5361" s="202" t="str">
        <f t="shared" si="83"/>
        <v/>
      </c>
    </row>
    <row r="5362" spans="1:7" s="172" customFormat="1" ht="15" customHeight="1" x14ac:dyDescent="0.25">
      <c r="A5362" s="815" t="s">
        <v>15366</v>
      </c>
      <c r="B5362" s="806" t="s">
        <v>15286</v>
      </c>
      <c r="C5362" s="806" t="s">
        <v>15286</v>
      </c>
      <c r="D5362" s="843" t="s">
        <v>15367</v>
      </c>
      <c r="E5362" s="809">
        <v>10</v>
      </c>
      <c r="F5362" s="809">
        <v>5</v>
      </c>
      <c r="G5362" s="202" t="str">
        <f t="shared" si="83"/>
        <v/>
      </c>
    </row>
    <row r="5363" spans="1:7" s="172" customFormat="1" ht="15" customHeight="1" x14ac:dyDescent="0.25">
      <c r="A5363" s="815" t="s">
        <v>15368</v>
      </c>
      <c r="B5363" s="806" t="s">
        <v>15286</v>
      </c>
      <c r="C5363" s="806" t="s">
        <v>15286</v>
      </c>
      <c r="D5363" s="843" t="s">
        <v>15369</v>
      </c>
      <c r="E5363" s="809">
        <v>100</v>
      </c>
      <c r="F5363" s="809">
        <v>80</v>
      </c>
      <c r="G5363" s="202" t="str">
        <f t="shared" si="83"/>
        <v/>
      </c>
    </row>
    <row r="5364" spans="1:7" s="172" customFormat="1" ht="15" customHeight="1" x14ac:dyDescent="0.25">
      <c r="A5364" s="815" t="s">
        <v>15368</v>
      </c>
      <c r="B5364" s="806" t="s">
        <v>15286</v>
      </c>
      <c r="C5364" s="806" t="s">
        <v>15286</v>
      </c>
      <c r="D5364" s="843" t="s">
        <v>15370</v>
      </c>
      <c r="E5364" s="809">
        <v>160</v>
      </c>
      <c r="F5364" s="809">
        <v>100</v>
      </c>
      <c r="G5364" s="202" t="str">
        <f t="shared" si="83"/>
        <v/>
      </c>
    </row>
    <row r="5365" spans="1:7" s="172" customFormat="1" ht="15" customHeight="1" x14ac:dyDescent="0.25">
      <c r="A5365" s="815" t="s">
        <v>15371</v>
      </c>
      <c r="B5365" s="806" t="s">
        <v>15286</v>
      </c>
      <c r="C5365" s="806" t="s">
        <v>15286</v>
      </c>
      <c r="D5365" s="843" t="s">
        <v>15372</v>
      </c>
      <c r="E5365" s="809">
        <v>30</v>
      </c>
      <c r="F5365" s="809">
        <v>10</v>
      </c>
      <c r="G5365" s="202" t="str">
        <f t="shared" si="83"/>
        <v/>
      </c>
    </row>
    <row r="5366" spans="1:7" s="172" customFormat="1" ht="15" customHeight="1" x14ac:dyDescent="0.25">
      <c r="A5366" s="815" t="s">
        <v>15373</v>
      </c>
      <c r="B5366" s="806" t="s">
        <v>15286</v>
      </c>
      <c r="C5366" s="806" t="s">
        <v>15286</v>
      </c>
      <c r="D5366" s="843" t="s">
        <v>15374</v>
      </c>
      <c r="E5366" s="809">
        <v>30</v>
      </c>
      <c r="F5366" s="809">
        <v>15</v>
      </c>
      <c r="G5366" s="202" t="str">
        <f t="shared" si="83"/>
        <v/>
      </c>
    </row>
    <row r="5367" spans="1:7" s="172" customFormat="1" ht="15" customHeight="1" x14ac:dyDescent="0.25">
      <c r="A5367" s="815" t="s">
        <v>15368</v>
      </c>
      <c r="B5367" s="806" t="s">
        <v>15286</v>
      </c>
      <c r="C5367" s="806" t="s">
        <v>15286</v>
      </c>
      <c r="D5367" s="843" t="s">
        <v>15375</v>
      </c>
      <c r="E5367" s="809">
        <v>250</v>
      </c>
      <c r="F5367" s="809">
        <v>100</v>
      </c>
      <c r="G5367" s="202" t="str">
        <f t="shared" si="83"/>
        <v/>
      </c>
    </row>
    <row r="5368" spans="1:7" s="172" customFormat="1" ht="15" customHeight="1" x14ac:dyDescent="0.25">
      <c r="A5368" s="815" t="s">
        <v>15368</v>
      </c>
      <c r="B5368" s="806" t="s">
        <v>15286</v>
      </c>
      <c r="C5368" s="806" t="s">
        <v>15286</v>
      </c>
      <c r="D5368" s="843" t="s">
        <v>15376</v>
      </c>
      <c r="E5368" s="809">
        <v>100</v>
      </c>
      <c r="F5368" s="809">
        <v>15</v>
      </c>
      <c r="G5368" s="202" t="str">
        <f t="shared" si="83"/>
        <v/>
      </c>
    </row>
    <row r="5369" spans="1:7" s="172" customFormat="1" ht="15" customHeight="1" x14ac:dyDescent="0.25">
      <c r="A5369" s="815" t="s">
        <v>15377</v>
      </c>
      <c r="B5369" s="806" t="s">
        <v>15286</v>
      </c>
      <c r="C5369" s="806" t="s">
        <v>15286</v>
      </c>
      <c r="D5369" s="843" t="s">
        <v>15378</v>
      </c>
      <c r="E5369" s="809">
        <v>10</v>
      </c>
      <c r="F5369" s="809">
        <v>5</v>
      </c>
      <c r="G5369" s="202" t="str">
        <f t="shared" si="83"/>
        <v/>
      </c>
    </row>
    <row r="5370" spans="1:7" s="172" customFormat="1" ht="15" customHeight="1" x14ac:dyDescent="0.25">
      <c r="A5370" s="815" t="s">
        <v>15379</v>
      </c>
      <c r="B5370" s="806" t="s">
        <v>15286</v>
      </c>
      <c r="C5370" s="806" t="s">
        <v>15286</v>
      </c>
      <c r="D5370" s="843" t="s">
        <v>15380</v>
      </c>
      <c r="E5370" s="809">
        <v>10</v>
      </c>
      <c r="F5370" s="809">
        <v>10</v>
      </c>
      <c r="G5370" s="202" t="str">
        <f t="shared" si="83"/>
        <v>не загружен</v>
      </c>
    </row>
    <row r="5371" spans="1:7" s="172" customFormat="1" ht="15" customHeight="1" x14ac:dyDescent="0.25">
      <c r="A5371" s="815" t="s">
        <v>15381</v>
      </c>
      <c r="B5371" s="806" t="s">
        <v>15286</v>
      </c>
      <c r="C5371" s="806" t="s">
        <v>15286</v>
      </c>
      <c r="D5371" s="843" t="s">
        <v>15382</v>
      </c>
      <c r="E5371" s="809">
        <v>30</v>
      </c>
      <c r="F5371" s="809">
        <v>8</v>
      </c>
      <c r="G5371" s="202" t="str">
        <f t="shared" si="83"/>
        <v/>
      </c>
    </row>
    <row r="5372" spans="1:7" s="172" customFormat="1" ht="15" customHeight="1" x14ac:dyDescent="0.25">
      <c r="A5372" s="815" t="s">
        <v>15381</v>
      </c>
      <c r="B5372" s="806" t="s">
        <v>15286</v>
      </c>
      <c r="C5372" s="806" t="s">
        <v>15286</v>
      </c>
      <c r="D5372" s="843" t="s">
        <v>15383</v>
      </c>
      <c r="E5372" s="809">
        <v>160</v>
      </c>
      <c r="F5372" s="809">
        <v>30</v>
      </c>
      <c r="G5372" s="202" t="str">
        <f t="shared" si="83"/>
        <v/>
      </c>
    </row>
    <row r="5373" spans="1:7" s="172" customFormat="1" ht="15" customHeight="1" x14ac:dyDescent="0.25">
      <c r="A5373" s="815" t="s">
        <v>15328</v>
      </c>
      <c r="B5373" s="806" t="s">
        <v>15286</v>
      </c>
      <c r="C5373" s="806" t="s">
        <v>15286</v>
      </c>
      <c r="D5373" s="843" t="s">
        <v>15384</v>
      </c>
      <c r="E5373" s="809">
        <v>100</v>
      </c>
      <c r="F5373" s="809">
        <v>70</v>
      </c>
      <c r="G5373" s="202" t="str">
        <f t="shared" si="83"/>
        <v/>
      </c>
    </row>
    <row r="5374" spans="1:7" s="172" customFormat="1" ht="15" customHeight="1" x14ac:dyDescent="0.25">
      <c r="A5374" s="815" t="s">
        <v>15328</v>
      </c>
      <c r="B5374" s="806" t="s">
        <v>15286</v>
      </c>
      <c r="C5374" s="806" t="s">
        <v>15286</v>
      </c>
      <c r="D5374" s="843" t="s">
        <v>15385</v>
      </c>
      <c r="E5374" s="809">
        <v>160</v>
      </c>
      <c r="F5374" s="809">
        <v>60</v>
      </c>
      <c r="G5374" s="202" t="str">
        <f t="shared" si="83"/>
        <v/>
      </c>
    </row>
    <row r="5375" spans="1:7" s="172" customFormat="1" ht="15" customHeight="1" x14ac:dyDescent="0.25">
      <c r="A5375" s="815" t="s">
        <v>15328</v>
      </c>
      <c r="B5375" s="806" t="s">
        <v>15286</v>
      </c>
      <c r="C5375" s="806" t="s">
        <v>15286</v>
      </c>
      <c r="D5375" s="843" t="s">
        <v>15386</v>
      </c>
      <c r="E5375" s="809">
        <v>250</v>
      </c>
      <c r="F5375" s="809">
        <v>200</v>
      </c>
      <c r="G5375" s="202" t="str">
        <f t="shared" si="83"/>
        <v/>
      </c>
    </row>
    <row r="5376" spans="1:7" s="172" customFormat="1" ht="15" customHeight="1" x14ac:dyDescent="0.25">
      <c r="A5376" s="815" t="s">
        <v>15387</v>
      </c>
      <c r="B5376" s="806" t="s">
        <v>15286</v>
      </c>
      <c r="C5376" s="806" t="s">
        <v>15286</v>
      </c>
      <c r="D5376" s="843" t="s">
        <v>15388</v>
      </c>
      <c r="E5376" s="809">
        <v>100</v>
      </c>
      <c r="F5376" s="809">
        <v>15</v>
      </c>
      <c r="G5376" s="202" t="str">
        <f t="shared" si="83"/>
        <v/>
      </c>
    </row>
    <row r="5377" spans="1:7" s="172" customFormat="1" ht="15" customHeight="1" x14ac:dyDescent="0.25">
      <c r="A5377" s="815" t="s">
        <v>15389</v>
      </c>
      <c r="B5377" s="806" t="s">
        <v>15286</v>
      </c>
      <c r="C5377" s="806" t="s">
        <v>15286</v>
      </c>
      <c r="D5377" s="843" t="s">
        <v>15390</v>
      </c>
      <c r="E5377" s="809">
        <v>30</v>
      </c>
      <c r="F5377" s="809">
        <v>10</v>
      </c>
      <c r="G5377" s="202" t="str">
        <f t="shared" si="83"/>
        <v/>
      </c>
    </row>
    <row r="5378" spans="1:7" s="172" customFormat="1" ht="15" customHeight="1" x14ac:dyDescent="0.25">
      <c r="A5378" s="815" t="s">
        <v>15391</v>
      </c>
      <c r="B5378" s="806" t="s">
        <v>15286</v>
      </c>
      <c r="C5378" s="806" t="s">
        <v>15286</v>
      </c>
      <c r="D5378" s="843" t="s">
        <v>15392</v>
      </c>
      <c r="E5378" s="809">
        <v>63</v>
      </c>
      <c r="F5378" s="809">
        <v>4</v>
      </c>
      <c r="G5378" s="202" t="str">
        <f t="shared" si="83"/>
        <v/>
      </c>
    </row>
    <row r="5379" spans="1:7" s="172" customFormat="1" ht="15" customHeight="1" x14ac:dyDescent="0.25">
      <c r="A5379" s="815" t="s">
        <v>15393</v>
      </c>
      <c r="B5379" s="806" t="s">
        <v>15286</v>
      </c>
      <c r="C5379" s="806" t="s">
        <v>15286</v>
      </c>
      <c r="D5379" s="843" t="s">
        <v>15394</v>
      </c>
      <c r="E5379" s="809">
        <v>25</v>
      </c>
      <c r="F5379" s="809">
        <v>15</v>
      </c>
      <c r="G5379" s="202" t="str">
        <f t="shared" si="83"/>
        <v/>
      </c>
    </row>
    <row r="5380" spans="1:7" s="172" customFormat="1" ht="15" customHeight="1" x14ac:dyDescent="0.25">
      <c r="A5380" s="815" t="s">
        <v>15395</v>
      </c>
      <c r="B5380" s="806" t="s">
        <v>15286</v>
      </c>
      <c r="C5380" s="806" t="s">
        <v>15286</v>
      </c>
      <c r="D5380" s="843" t="s">
        <v>15396</v>
      </c>
      <c r="E5380" s="809">
        <v>40</v>
      </c>
      <c r="F5380" s="809">
        <v>12</v>
      </c>
      <c r="G5380" s="202" t="str">
        <f t="shared" si="83"/>
        <v/>
      </c>
    </row>
    <row r="5381" spans="1:7" s="172" customFormat="1" ht="15" customHeight="1" x14ac:dyDescent="0.25">
      <c r="A5381" s="815" t="s">
        <v>15397</v>
      </c>
      <c r="B5381" s="806" t="s">
        <v>15286</v>
      </c>
      <c r="C5381" s="806" t="s">
        <v>15286</v>
      </c>
      <c r="D5381" s="843" t="s">
        <v>15398</v>
      </c>
      <c r="E5381" s="809">
        <v>10</v>
      </c>
      <c r="F5381" s="809">
        <v>5</v>
      </c>
      <c r="G5381" s="202" t="str">
        <f t="shared" si="83"/>
        <v/>
      </c>
    </row>
    <row r="5382" spans="1:7" s="172" customFormat="1" ht="15" customHeight="1" x14ac:dyDescent="0.25">
      <c r="A5382" s="815" t="s">
        <v>15399</v>
      </c>
      <c r="B5382" s="806" t="s">
        <v>15286</v>
      </c>
      <c r="C5382" s="806" t="s">
        <v>15286</v>
      </c>
      <c r="D5382" s="843" t="s">
        <v>15400</v>
      </c>
      <c r="E5382" s="809">
        <v>160</v>
      </c>
      <c r="F5382" s="809">
        <v>40</v>
      </c>
      <c r="G5382" s="202" t="str">
        <f t="shared" si="83"/>
        <v/>
      </c>
    </row>
    <row r="5383" spans="1:7" s="172" customFormat="1" ht="15" customHeight="1" x14ac:dyDescent="0.25">
      <c r="A5383" s="815" t="s">
        <v>15399</v>
      </c>
      <c r="B5383" s="806" t="s">
        <v>15286</v>
      </c>
      <c r="C5383" s="806" t="s">
        <v>15286</v>
      </c>
      <c r="D5383" s="843" t="s">
        <v>15401</v>
      </c>
      <c r="E5383" s="809">
        <v>250</v>
      </c>
      <c r="F5383" s="809">
        <v>200</v>
      </c>
      <c r="G5383" s="202" t="str">
        <f t="shared" si="83"/>
        <v/>
      </c>
    </row>
    <row r="5384" spans="1:7" s="172" customFormat="1" ht="15" customHeight="1" x14ac:dyDescent="0.25">
      <c r="A5384" s="815" t="s">
        <v>15399</v>
      </c>
      <c r="B5384" s="806" t="s">
        <v>15286</v>
      </c>
      <c r="C5384" s="806" t="s">
        <v>15286</v>
      </c>
      <c r="D5384" s="843" t="s">
        <v>15402</v>
      </c>
      <c r="E5384" s="809">
        <v>250</v>
      </c>
      <c r="F5384" s="809">
        <v>70</v>
      </c>
      <c r="G5384" s="202" t="str">
        <f t="shared" si="83"/>
        <v/>
      </c>
    </row>
    <row r="5385" spans="1:7" s="172" customFormat="1" ht="15" customHeight="1" x14ac:dyDescent="0.25">
      <c r="A5385" s="815" t="s">
        <v>15403</v>
      </c>
      <c r="B5385" s="806" t="s">
        <v>15286</v>
      </c>
      <c r="C5385" s="806" t="s">
        <v>15286</v>
      </c>
      <c r="D5385" s="843" t="s">
        <v>15404</v>
      </c>
      <c r="E5385" s="809">
        <v>60</v>
      </c>
      <c r="F5385" s="809">
        <v>15</v>
      </c>
      <c r="G5385" s="202" t="str">
        <f t="shared" si="83"/>
        <v/>
      </c>
    </row>
    <row r="5386" spans="1:7" s="172" customFormat="1" ht="15" customHeight="1" x14ac:dyDescent="0.25">
      <c r="A5386" s="815" t="s">
        <v>15405</v>
      </c>
      <c r="B5386" s="806" t="s">
        <v>15286</v>
      </c>
      <c r="C5386" s="806" t="s">
        <v>15286</v>
      </c>
      <c r="D5386" s="843" t="s">
        <v>15406</v>
      </c>
      <c r="E5386" s="809">
        <v>30</v>
      </c>
      <c r="F5386" s="809">
        <v>5</v>
      </c>
      <c r="G5386" s="202" t="str">
        <f t="shared" si="83"/>
        <v/>
      </c>
    </row>
    <row r="5387" spans="1:7" s="172" customFormat="1" ht="15" customHeight="1" x14ac:dyDescent="0.25">
      <c r="A5387" s="815" t="s">
        <v>15407</v>
      </c>
      <c r="B5387" s="806" t="s">
        <v>15286</v>
      </c>
      <c r="C5387" s="806" t="s">
        <v>15286</v>
      </c>
      <c r="D5387" s="843" t="s">
        <v>15408</v>
      </c>
      <c r="E5387" s="809">
        <v>10</v>
      </c>
      <c r="F5387" s="809">
        <v>6</v>
      </c>
      <c r="G5387" s="202" t="str">
        <f t="shared" si="83"/>
        <v/>
      </c>
    </row>
    <row r="5388" spans="1:7" s="172" customFormat="1" ht="15" customHeight="1" x14ac:dyDescent="0.25">
      <c r="A5388" s="815" t="s">
        <v>15409</v>
      </c>
      <c r="B5388" s="806" t="s">
        <v>15286</v>
      </c>
      <c r="C5388" s="806" t="s">
        <v>15286</v>
      </c>
      <c r="D5388" s="843" t="s">
        <v>15410</v>
      </c>
      <c r="E5388" s="809">
        <v>63</v>
      </c>
      <c r="F5388" s="809">
        <v>12</v>
      </c>
      <c r="G5388" s="202" t="str">
        <f t="shared" si="83"/>
        <v/>
      </c>
    </row>
    <row r="5389" spans="1:7" s="172" customFormat="1" ht="15" customHeight="1" x14ac:dyDescent="0.25">
      <c r="A5389" s="815" t="s">
        <v>15411</v>
      </c>
      <c r="B5389" s="806" t="s">
        <v>15286</v>
      </c>
      <c r="C5389" s="806" t="s">
        <v>15286</v>
      </c>
      <c r="D5389" s="843" t="s">
        <v>15412</v>
      </c>
      <c r="E5389" s="809">
        <v>160</v>
      </c>
      <c r="F5389" s="809">
        <v>60</v>
      </c>
      <c r="G5389" s="202" t="str">
        <f t="shared" si="83"/>
        <v/>
      </c>
    </row>
    <row r="5390" spans="1:7" s="172" customFormat="1" ht="15" customHeight="1" x14ac:dyDescent="0.25">
      <c r="A5390" s="815" t="s">
        <v>15413</v>
      </c>
      <c r="B5390" s="806" t="s">
        <v>15286</v>
      </c>
      <c r="C5390" s="806" t="s">
        <v>15286</v>
      </c>
      <c r="D5390" s="843" t="s">
        <v>15414</v>
      </c>
      <c r="E5390" s="809">
        <v>25</v>
      </c>
      <c r="F5390" s="809">
        <v>10</v>
      </c>
      <c r="G5390" s="202" t="str">
        <f t="shared" si="83"/>
        <v/>
      </c>
    </row>
    <row r="5391" spans="1:7" s="172" customFormat="1" ht="15" customHeight="1" x14ac:dyDescent="0.25">
      <c r="A5391" s="815" t="s">
        <v>15328</v>
      </c>
      <c r="B5391" s="806" t="s">
        <v>15286</v>
      </c>
      <c r="C5391" s="806" t="s">
        <v>15286</v>
      </c>
      <c r="D5391" s="843" t="s">
        <v>15415</v>
      </c>
      <c r="E5391" s="809">
        <v>100</v>
      </c>
      <c r="F5391" s="809">
        <v>40</v>
      </c>
      <c r="G5391" s="202" t="str">
        <f t="shared" si="83"/>
        <v/>
      </c>
    </row>
    <row r="5392" spans="1:7" s="172" customFormat="1" ht="15" customHeight="1" x14ac:dyDescent="0.25">
      <c r="A5392" s="815" t="s">
        <v>15328</v>
      </c>
      <c r="B5392" s="806" t="s">
        <v>15286</v>
      </c>
      <c r="C5392" s="806" t="s">
        <v>15286</v>
      </c>
      <c r="D5392" s="843" t="s">
        <v>15416</v>
      </c>
      <c r="E5392" s="809">
        <v>63</v>
      </c>
      <c r="F5392" s="809">
        <v>23</v>
      </c>
      <c r="G5392" s="202" t="str">
        <f t="shared" si="83"/>
        <v/>
      </c>
    </row>
    <row r="5393" spans="1:7" s="172" customFormat="1" ht="15" customHeight="1" x14ac:dyDescent="0.25">
      <c r="A5393" s="815" t="s">
        <v>15328</v>
      </c>
      <c r="B5393" s="806" t="s">
        <v>15286</v>
      </c>
      <c r="C5393" s="806" t="s">
        <v>15286</v>
      </c>
      <c r="D5393" s="843" t="s">
        <v>15417</v>
      </c>
      <c r="E5393" s="809">
        <v>100</v>
      </c>
      <c r="F5393" s="809">
        <v>12</v>
      </c>
      <c r="G5393" s="202" t="str">
        <f t="shared" si="83"/>
        <v/>
      </c>
    </row>
    <row r="5394" spans="1:7" s="172" customFormat="1" ht="15" customHeight="1" x14ac:dyDescent="0.25">
      <c r="A5394" s="815" t="s">
        <v>15328</v>
      </c>
      <c r="B5394" s="806" t="s">
        <v>15286</v>
      </c>
      <c r="C5394" s="806" t="s">
        <v>15286</v>
      </c>
      <c r="D5394" s="843" t="s">
        <v>15418</v>
      </c>
      <c r="E5394" s="809">
        <v>100</v>
      </c>
      <c r="F5394" s="809">
        <v>10</v>
      </c>
      <c r="G5394" s="202" t="str">
        <f t="shared" si="83"/>
        <v/>
      </c>
    </row>
    <row r="5395" spans="1:7" s="172" customFormat="1" ht="15" customHeight="1" x14ac:dyDescent="0.25">
      <c r="A5395" s="815" t="s">
        <v>15419</v>
      </c>
      <c r="B5395" s="806" t="s">
        <v>15286</v>
      </c>
      <c r="C5395" s="806" t="s">
        <v>15286</v>
      </c>
      <c r="D5395" s="843" t="s">
        <v>15420</v>
      </c>
      <c r="E5395" s="809">
        <v>100</v>
      </c>
      <c r="F5395" s="809">
        <v>14</v>
      </c>
      <c r="G5395" s="202" t="str">
        <f t="shared" si="83"/>
        <v/>
      </c>
    </row>
    <row r="5396" spans="1:7" s="172" customFormat="1" ht="15" customHeight="1" x14ac:dyDescent="0.25">
      <c r="A5396" s="815" t="s">
        <v>15419</v>
      </c>
      <c r="B5396" s="806" t="s">
        <v>15286</v>
      </c>
      <c r="C5396" s="806" t="s">
        <v>15286</v>
      </c>
      <c r="D5396" s="843" t="s">
        <v>15421</v>
      </c>
      <c r="E5396" s="809">
        <v>160</v>
      </c>
      <c r="F5396" s="809">
        <v>60</v>
      </c>
      <c r="G5396" s="202" t="str">
        <f t="shared" si="83"/>
        <v/>
      </c>
    </row>
    <row r="5397" spans="1:7" s="172" customFormat="1" ht="15" customHeight="1" x14ac:dyDescent="0.25">
      <c r="A5397" s="815" t="s">
        <v>15419</v>
      </c>
      <c r="B5397" s="806" t="s">
        <v>15286</v>
      </c>
      <c r="C5397" s="806" t="s">
        <v>15286</v>
      </c>
      <c r="D5397" s="843" t="s">
        <v>15422</v>
      </c>
      <c r="E5397" s="809">
        <v>400</v>
      </c>
      <c r="F5397" s="809">
        <v>350</v>
      </c>
      <c r="G5397" s="202" t="str">
        <f t="shared" si="83"/>
        <v/>
      </c>
    </row>
    <row r="5398" spans="1:7" s="172" customFormat="1" ht="15" customHeight="1" x14ac:dyDescent="0.25">
      <c r="A5398" s="815" t="s">
        <v>15423</v>
      </c>
      <c r="B5398" s="806" t="s">
        <v>15286</v>
      </c>
      <c r="C5398" s="806" t="s">
        <v>15286</v>
      </c>
      <c r="D5398" s="843" t="s">
        <v>15424</v>
      </c>
      <c r="E5398" s="809">
        <v>10</v>
      </c>
      <c r="F5398" s="809">
        <v>-20</v>
      </c>
      <c r="G5398" s="202" t="str">
        <f t="shared" si="83"/>
        <v/>
      </c>
    </row>
    <row r="5399" spans="1:7" s="172" customFormat="1" ht="15" customHeight="1" x14ac:dyDescent="0.25">
      <c r="A5399" s="815" t="s">
        <v>15425</v>
      </c>
      <c r="B5399" s="806" t="s">
        <v>15286</v>
      </c>
      <c r="C5399" s="806" t="s">
        <v>15286</v>
      </c>
      <c r="D5399" s="843" t="s">
        <v>15426</v>
      </c>
      <c r="E5399" s="809">
        <v>100</v>
      </c>
      <c r="F5399" s="809">
        <v>13</v>
      </c>
      <c r="G5399" s="202" t="str">
        <f t="shared" si="83"/>
        <v/>
      </c>
    </row>
    <row r="5400" spans="1:7" s="172" customFormat="1" ht="15" customHeight="1" x14ac:dyDescent="0.25">
      <c r="A5400" s="815" t="s">
        <v>15425</v>
      </c>
      <c r="B5400" s="806" t="s">
        <v>15286</v>
      </c>
      <c r="C5400" s="806" t="s">
        <v>15286</v>
      </c>
      <c r="D5400" s="843" t="s">
        <v>15427</v>
      </c>
      <c r="E5400" s="809">
        <v>63</v>
      </c>
      <c r="F5400" s="809">
        <v>15</v>
      </c>
      <c r="G5400" s="202" t="str">
        <f t="shared" si="83"/>
        <v/>
      </c>
    </row>
    <row r="5401" spans="1:7" s="172" customFormat="1" ht="15" customHeight="1" x14ac:dyDescent="0.25">
      <c r="A5401" s="815" t="s">
        <v>15425</v>
      </c>
      <c r="B5401" s="806" t="s">
        <v>15286</v>
      </c>
      <c r="C5401" s="806" t="s">
        <v>15286</v>
      </c>
      <c r="D5401" s="843" t="s">
        <v>15428</v>
      </c>
      <c r="E5401" s="809">
        <v>10</v>
      </c>
      <c r="F5401" s="809">
        <v>25</v>
      </c>
      <c r="G5401" s="202" t="str">
        <f t="shared" si="83"/>
        <v/>
      </c>
    </row>
    <row r="5402" spans="1:7" s="172" customFormat="1" ht="15" customHeight="1" x14ac:dyDescent="0.25">
      <c r="A5402" s="815" t="s">
        <v>15429</v>
      </c>
      <c r="B5402" s="806" t="s">
        <v>15286</v>
      </c>
      <c r="C5402" s="806" t="s">
        <v>15286</v>
      </c>
      <c r="D5402" s="843" t="s">
        <v>15430</v>
      </c>
      <c r="E5402" s="809">
        <v>160</v>
      </c>
      <c r="F5402" s="809">
        <v>20</v>
      </c>
      <c r="G5402" s="202" t="str">
        <f t="shared" si="83"/>
        <v/>
      </c>
    </row>
    <row r="5403" spans="1:7" s="172" customFormat="1" ht="15" customHeight="1" x14ac:dyDescent="0.25">
      <c r="A5403" s="815" t="s">
        <v>15429</v>
      </c>
      <c r="B5403" s="806" t="s">
        <v>15286</v>
      </c>
      <c r="C5403" s="806" t="s">
        <v>15286</v>
      </c>
      <c r="D5403" s="843" t="s">
        <v>15431</v>
      </c>
      <c r="E5403" s="809">
        <v>25</v>
      </c>
      <c r="F5403" s="809">
        <v>6</v>
      </c>
      <c r="G5403" s="202" t="str">
        <f t="shared" si="83"/>
        <v/>
      </c>
    </row>
    <row r="5404" spans="1:7" s="172" customFormat="1" ht="15" customHeight="1" x14ac:dyDescent="0.25">
      <c r="A5404" s="815" t="s">
        <v>15429</v>
      </c>
      <c r="B5404" s="806" t="s">
        <v>15286</v>
      </c>
      <c r="C5404" s="806" t="s">
        <v>15286</v>
      </c>
      <c r="D5404" s="843" t="s">
        <v>15432</v>
      </c>
      <c r="E5404" s="809">
        <v>25</v>
      </c>
      <c r="F5404" s="809">
        <v>10</v>
      </c>
      <c r="G5404" s="202" t="str">
        <f t="shared" ref="G5404:G5467" si="84">IF(E5404=F5404,"не загружен","")</f>
        <v/>
      </c>
    </row>
    <row r="5405" spans="1:7" s="172" customFormat="1" ht="15" customHeight="1" x14ac:dyDescent="0.25">
      <c r="A5405" s="815" t="s">
        <v>15433</v>
      </c>
      <c r="B5405" s="806" t="s">
        <v>15286</v>
      </c>
      <c r="C5405" s="806" t="s">
        <v>15286</v>
      </c>
      <c r="D5405" s="843" t="s">
        <v>15434</v>
      </c>
      <c r="E5405" s="809">
        <v>30</v>
      </c>
      <c r="F5405" s="809">
        <v>10</v>
      </c>
      <c r="G5405" s="202" t="str">
        <f t="shared" si="84"/>
        <v/>
      </c>
    </row>
    <row r="5406" spans="1:7" s="172" customFormat="1" ht="15" customHeight="1" x14ac:dyDescent="0.25">
      <c r="A5406" s="815" t="s">
        <v>15435</v>
      </c>
      <c r="B5406" s="806" t="s">
        <v>15286</v>
      </c>
      <c r="C5406" s="806" t="s">
        <v>15286</v>
      </c>
      <c r="D5406" s="843" t="s">
        <v>15436</v>
      </c>
      <c r="E5406" s="809">
        <v>400</v>
      </c>
      <c r="F5406" s="809">
        <v>350</v>
      </c>
      <c r="G5406" s="202" t="str">
        <f t="shared" si="84"/>
        <v/>
      </c>
    </row>
    <row r="5407" spans="1:7" s="172" customFormat="1" ht="15" customHeight="1" x14ac:dyDescent="0.25">
      <c r="A5407" s="815" t="s">
        <v>15435</v>
      </c>
      <c r="B5407" s="806" t="s">
        <v>15286</v>
      </c>
      <c r="C5407" s="806" t="s">
        <v>15286</v>
      </c>
      <c r="D5407" s="843" t="s">
        <v>20135</v>
      </c>
      <c r="E5407" s="809">
        <v>10</v>
      </c>
      <c r="F5407" s="809">
        <v>4</v>
      </c>
      <c r="G5407" s="202" t="str">
        <f t="shared" si="84"/>
        <v/>
      </c>
    </row>
    <row r="5408" spans="1:7" s="172" customFormat="1" ht="15" customHeight="1" x14ac:dyDescent="0.25">
      <c r="A5408" s="815" t="s">
        <v>15435</v>
      </c>
      <c r="B5408" s="806" t="s">
        <v>15286</v>
      </c>
      <c r="C5408" s="806" t="s">
        <v>15286</v>
      </c>
      <c r="D5408" s="843" t="s">
        <v>15437</v>
      </c>
      <c r="E5408" s="809">
        <v>100</v>
      </c>
      <c r="F5408" s="809">
        <v>12</v>
      </c>
      <c r="G5408" s="202" t="str">
        <f t="shared" si="84"/>
        <v/>
      </c>
    </row>
    <row r="5409" spans="1:7" s="172" customFormat="1" ht="15" customHeight="1" x14ac:dyDescent="0.25">
      <c r="A5409" s="815" t="s">
        <v>15438</v>
      </c>
      <c r="B5409" s="806" t="s">
        <v>15286</v>
      </c>
      <c r="C5409" s="806" t="s">
        <v>15286</v>
      </c>
      <c r="D5409" s="843" t="s">
        <v>15439</v>
      </c>
      <c r="E5409" s="809">
        <v>10</v>
      </c>
      <c r="F5409" s="809">
        <v>5</v>
      </c>
      <c r="G5409" s="202" t="str">
        <f t="shared" si="84"/>
        <v/>
      </c>
    </row>
    <row r="5410" spans="1:7" s="172" customFormat="1" ht="15" customHeight="1" x14ac:dyDescent="0.25">
      <c r="A5410" s="815" t="s">
        <v>15440</v>
      </c>
      <c r="B5410" s="806" t="s">
        <v>15286</v>
      </c>
      <c r="C5410" s="806" t="s">
        <v>15286</v>
      </c>
      <c r="D5410" s="843" t="s">
        <v>15441</v>
      </c>
      <c r="E5410" s="809">
        <v>10</v>
      </c>
      <c r="F5410" s="809">
        <v>6</v>
      </c>
      <c r="G5410" s="202" t="str">
        <f t="shared" si="84"/>
        <v/>
      </c>
    </row>
    <row r="5411" spans="1:7" s="172" customFormat="1" ht="15" customHeight="1" x14ac:dyDescent="0.25">
      <c r="A5411" s="815" t="s">
        <v>15442</v>
      </c>
      <c r="B5411" s="806" t="s">
        <v>15286</v>
      </c>
      <c r="C5411" s="806" t="s">
        <v>15286</v>
      </c>
      <c r="D5411" s="843" t="s">
        <v>15443</v>
      </c>
      <c r="E5411" s="809">
        <v>40</v>
      </c>
      <c r="F5411" s="809">
        <v>30</v>
      </c>
      <c r="G5411" s="202" t="str">
        <f t="shared" si="84"/>
        <v/>
      </c>
    </row>
    <row r="5412" spans="1:7" s="172" customFormat="1" ht="15" customHeight="1" x14ac:dyDescent="0.25">
      <c r="A5412" s="803" t="s">
        <v>15442</v>
      </c>
      <c r="B5412" s="803" t="s">
        <v>15286</v>
      </c>
      <c r="C5412" s="803" t="s">
        <v>15286</v>
      </c>
      <c r="D5412" s="803" t="s">
        <v>15444</v>
      </c>
      <c r="E5412" s="803">
        <v>160</v>
      </c>
      <c r="F5412" s="850">
        <v>30</v>
      </c>
      <c r="G5412" s="202" t="str">
        <f t="shared" si="84"/>
        <v/>
      </c>
    </row>
    <row r="5413" spans="1:7" s="172" customFormat="1" ht="15" customHeight="1" x14ac:dyDescent="0.25">
      <c r="A5413" s="803" t="s">
        <v>15442</v>
      </c>
      <c r="B5413" s="803" t="s">
        <v>15286</v>
      </c>
      <c r="C5413" s="803" t="s">
        <v>15286</v>
      </c>
      <c r="D5413" s="803" t="s">
        <v>15445</v>
      </c>
      <c r="E5413" s="803">
        <v>250</v>
      </c>
      <c r="F5413" s="850">
        <v>200</v>
      </c>
      <c r="G5413" s="202" t="str">
        <f t="shared" si="84"/>
        <v/>
      </c>
    </row>
    <row r="5414" spans="1:7" s="172" customFormat="1" ht="15" customHeight="1" x14ac:dyDescent="0.25">
      <c r="A5414" s="803" t="s">
        <v>15442</v>
      </c>
      <c r="B5414" s="803" t="s">
        <v>15286</v>
      </c>
      <c r="C5414" s="803" t="s">
        <v>15286</v>
      </c>
      <c r="D5414" s="803" t="s">
        <v>15446</v>
      </c>
      <c r="E5414" s="803">
        <v>100</v>
      </c>
      <c r="F5414" s="850">
        <v>12</v>
      </c>
      <c r="G5414" s="202" t="str">
        <f t="shared" si="84"/>
        <v/>
      </c>
    </row>
    <row r="5415" spans="1:7" s="172" customFormat="1" ht="15" customHeight="1" x14ac:dyDescent="0.25">
      <c r="A5415" s="803" t="s">
        <v>15447</v>
      </c>
      <c r="B5415" s="803" t="s">
        <v>15286</v>
      </c>
      <c r="C5415" s="803" t="s">
        <v>15286</v>
      </c>
      <c r="D5415" s="803" t="s">
        <v>15448</v>
      </c>
      <c r="E5415" s="803">
        <v>30</v>
      </c>
      <c r="F5415" s="850">
        <v>6</v>
      </c>
      <c r="G5415" s="202" t="str">
        <f t="shared" si="84"/>
        <v/>
      </c>
    </row>
    <row r="5416" spans="1:7" s="172" customFormat="1" ht="15" customHeight="1" x14ac:dyDescent="0.25">
      <c r="A5416" s="803" t="s">
        <v>15449</v>
      </c>
      <c r="B5416" s="803" t="s">
        <v>15286</v>
      </c>
      <c r="C5416" s="803" t="s">
        <v>15286</v>
      </c>
      <c r="D5416" s="803" t="s">
        <v>15450</v>
      </c>
      <c r="E5416" s="803">
        <v>10</v>
      </c>
      <c r="F5416" s="850">
        <v>5</v>
      </c>
      <c r="G5416" s="202" t="str">
        <f t="shared" si="84"/>
        <v/>
      </c>
    </row>
    <row r="5417" spans="1:7" s="172" customFormat="1" ht="15" customHeight="1" x14ac:dyDescent="0.25">
      <c r="A5417" s="803" t="s">
        <v>15451</v>
      </c>
      <c r="B5417" s="803" t="s">
        <v>15286</v>
      </c>
      <c r="C5417" s="803" t="s">
        <v>15286</v>
      </c>
      <c r="D5417" s="803" t="s">
        <v>15452</v>
      </c>
      <c r="E5417" s="803">
        <v>30</v>
      </c>
      <c r="F5417" s="850">
        <v>10</v>
      </c>
      <c r="G5417" s="202" t="str">
        <f t="shared" si="84"/>
        <v/>
      </c>
    </row>
    <row r="5418" spans="1:7" s="172" customFormat="1" ht="15" customHeight="1" x14ac:dyDescent="0.25">
      <c r="A5418" s="803" t="s">
        <v>15453</v>
      </c>
      <c r="B5418" s="803" t="s">
        <v>15286</v>
      </c>
      <c r="C5418" s="803" t="s">
        <v>15286</v>
      </c>
      <c r="D5418" s="803" t="s">
        <v>15454</v>
      </c>
      <c r="E5418" s="803">
        <v>10</v>
      </c>
      <c r="F5418" s="850">
        <v>5</v>
      </c>
      <c r="G5418" s="202" t="str">
        <f t="shared" si="84"/>
        <v/>
      </c>
    </row>
    <row r="5419" spans="1:7" s="172" customFormat="1" ht="15" customHeight="1" x14ac:dyDescent="0.25">
      <c r="A5419" s="803" t="s">
        <v>15455</v>
      </c>
      <c r="B5419" s="803" t="s">
        <v>15286</v>
      </c>
      <c r="C5419" s="803" t="s">
        <v>15286</v>
      </c>
      <c r="D5419" s="803" t="s">
        <v>15456</v>
      </c>
      <c r="E5419" s="803">
        <v>10</v>
      </c>
      <c r="F5419" s="850">
        <v>4</v>
      </c>
      <c r="G5419" s="202" t="str">
        <f t="shared" si="84"/>
        <v/>
      </c>
    </row>
    <row r="5420" spans="1:7" s="172" customFormat="1" ht="15" customHeight="1" x14ac:dyDescent="0.25">
      <c r="A5420" s="803" t="s">
        <v>15457</v>
      </c>
      <c r="B5420" s="803" t="s">
        <v>15286</v>
      </c>
      <c r="C5420" s="803" t="s">
        <v>15286</v>
      </c>
      <c r="D5420" s="803" t="s">
        <v>15458</v>
      </c>
      <c r="E5420" s="803">
        <v>100</v>
      </c>
      <c r="F5420" s="850">
        <v>60</v>
      </c>
      <c r="G5420" s="202" t="str">
        <f t="shared" si="84"/>
        <v/>
      </c>
    </row>
    <row r="5421" spans="1:7" s="172" customFormat="1" ht="15" customHeight="1" x14ac:dyDescent="0.25">
      <c r="A5421" s="803" t="s">
        <v>15459</v>
      </c>
      <c r="B5421" s="803" t="s">
        <v>15286</v>
      </c>
      <c r="C5421" s="803" t="s">
        <v>15286</v>
      </c>
      <c r="D5421" s="803" t="s">
        <v>15460</v>
      </c>
      <c r="E5421" s="803">
        <v>40</v>
      </c>
      <c r="F5421" s="850">
        <v>15</v>
      </c>
      <c r="G5421" s="202" t="str">
        <f t="shared" si="84"/>
        <v/>
      </c>
    </row>
    <row r="5422" spans="1:7" s="172" customFormat="1" ht="15" customHeight="1" x14ac:dyDescent="0.25">
      <c r="A5422" s="803" t="s">
        <v>15461</v>
      </c>
      <c r="B5422" s="803" t="s">
        <v>15286</v>
      </c>
      <c r="C5422" s="803" t="s">
        <v>15286</v>
      </c>
      <c r="D5422" s="803" t="s">
        <v>15462</v>
      </c>
      <c r="E5422" s="803">
        <v>10</v>
      </c>
      <c r="F5422" s="850">
        <v>4</v>
      </c>
      <c r="G5422" s="202" t="str">
        <f t="shared" si="84"/>
        <v/>
      </c>
    </row>
    <row r="5423" spans="1:7" s="172" customFormat="1" ht="15" customHeight="1" x14ac:dyDescent="0.25">
      <c r="A5423" s="803" t="s">
        <v>15442</v>
      </c>
      <c r="B5423" s="803" t="s">
        <v>15286</v>
      </c>
      <c r="C5423" s="803" t="s">
        <v>15286</v>
      </c>
      <c r="D5423" s="803" t="s">
        <v>15463</v>
      </c>
      <c r="E5423" s="803">
        <v>25</v>
      </c>
      <c r="F5423" s="850">
        <v>4</v>
      </c>
      <c r="G5423" s="202" t="str">
        <f t="shared" si="84"/>
        <v/>
      </c>
    </row>
    <row r="5424" spans="1:7" s="172" customFormat="1" ht="15" customHeight="1" x14ac:dyDescent="0.25">
      <c r="A5424" s="803" t="s">
        <v>15464</v>
      </c>
      <c r="B5424" s="803" t="s">
        <v>15286</v>
      </c>
      <c r="C5424" s="803" t="s">
        <v>15286</v>
      </c>
      <c r="D5424" s="803" t="s">
        <v>15465</v>
      </c>
      <c r="E5424" s="803">
        <v>63</v>
      </c>
      <c r="F5424" s="850">
        <v>12</v>
      </c>
      <c r="G5424" s="202" t="str">
        <f t="shared" si="84"/>
        <v/>
      </c>
    </row>
    <row r="5425" spans="1:7" s="172" customFormat="1" ht="15" customHeight="1" x14ac:dyDescent="0.25">
      <c r="A5425" s="803" t="s">
        <v>15466</v>
      </c>
      <c r="B5425" s="803" t="s">
        <v>15286</v>
      </c>
      <c r="C5425" s="803" t="s">
        <v>15286</v>
      </c>
      <c r="D5425" s="803" t="s">
        <v>15467</v>
      </c>
      <c r="E5425" s="803">
        <v>40</v>
      </c>
      <c r="F5425" s="850">
        <v>15</v>
      </c>
      <c r="G5425" s="202" t="str">
        <f t="shared" si="84"/>
        <v/>
      </c>
    </row>
    <row r="5426" spans="1:7" s="172" customFormat="1" ht="15" customHeight="1" x14ac:dyDescent="0.25">
      <c r="A5426" s="803" t="s">
        <v>15468</v>
      </c>
      <c r="B5426" s="803" t="s">
        <v>15286</v>
      </c>
      <c r="C5426" s="803" t="s">
        <v>15286</v>
      </c>
      <c r="D5426" s="803" t="s">
        <v>15469</v>
      </c>
      <c r="E5426" s="803">
        <v>250</v>
      </c>
      <c r="F5426" s="850">
        <v>150</v>
      </c>
      <c r="G5426" s="202" t="str">
        <f t="shared" si="84"/>
        <v/>
      </c>
    </row>
    <row r="5427" spans="1:7" s="172" customFormat="1" ht="15" customHeight="1" x14ac:dyDescent="0.25">
      <c r="A5427" s="803" t="s">
        <v>15468</v>
      </c>
      <c r="B5427" s="803" t="s">
        <v>15286</v>
      </c>
      <c r="C5427" s="803" t="s">
        <v>15286</v>
      </c>
      <c r="D5427" s="803" t="s">
        <v>15470</v>
      </c>
      <c r="E5427" s="803">
        <v>400</v>
      </c>
      <c r="F5427" s="850">
        <v>150</v>
      </c>
      <c r="G5427" s="202" t="str">
        <f t="shared" si="84"/>
        <v/>
      </c>
    </row>
    <row r="5428" spans="1:7" s="172" customFormat="1" ht="15" customHeight="1" x14ac:dyDescent="0.25">
      <c r="A5428" s="803" t="s">
        <v>15471</v>
      </c>
      <c r="B5428" s="803" t="s">
        <v>15286</v>
      </c>
      <c r="C5428" s="803" t="s">
        <v>15286</v>
      </c>
      <c r="D5428" s="803" t="s">
        <v>15472</v>
      </c>
      <c r="E5428" s="803">
        <v>250</v>
      </c>
      <c r="F5428" s="850">
        <v>40</v>
      </c>
      <c r="G5428" s="202" t="str">
        <f t="shared" si="84"/>
        <v/>
      </c>
    </row>
    <row r="5429" spans="1:7" s="172" customFormat="1" ht="15" customHeight="1" x14ac:dyDescent="0.25">
      <c r="A5429" s="803" t="s">
        <v>15473</v>
      </c>
      <c r="B5429" s="803" t="s">
        <v>15286</v>
      </c>
      <c r="C5429" s="803" t="s">
        <v>15286</v>
      </c>
      <c r="D5429" s="803" t="s">
        <v>15474</v>
      </c>
      <c r="E5429" s="803">
        <v>60</v>
      </c>
      <c r="F5429" s="850">
        <v>16</v>
      </c>
      <c r="G5429" s="202" t="str">
        <f t="shared" si="84"/>
        <v/>
      </c>
    </row>
    <row r="5430" spans="1:7" s="172" customFormat="1" ht="15" customHeight="1" x14ac:dyDescent="0.25">
      <c r="A5430" s="803" t="s">
        <v>15475</v>
      </c>
      <c r="B5430" s="803" t="s">
        <v>15286</v>
      </c>
      <c r="C5430" s="803" t="s">
        <v>15286</v>
      </c>
      <c r="D5430" s="803" t="s">
        <v>15476</v>
      </c>
      <c r="E5430" s="803">
        <v>63</v>
      </c>
      <c r="F5430" s="850">
        <v>20</v>
      </c>
      <c r="G5430" s="202" t="str">
        <f t="shared" si="84"/>
        <v/>
      </c>
    </row>
    <row r="5431" spans="1:7" s="172" customFormat="1" ht="15" customHeight="1" x14ac:dyDescent="0.25">
      <c r="A5431" s="803" t="s">
        <v>15475</v>
      </c>
      <c r="B5431" s="803" t="s">
        <v>15286</v>
      </c>
      <c r="C5431" s="803" t="s">
        <v>15286</v>
      </c>
      <c r="D5431" s="803" t="s">
        <v>15477</v>
      </c>
      <c r="E5431" s="803">
        <v>250</v>
      </c>
      <c r="F5431" s="850">
        <v>100</v>
      </c>
      <c r="G5431" s="202" t="str">
        <f t="shared" si="84"/>
        <v/>
      </c>
    </row>
    <row r="5432" spans="1:7" s="172" customFormat="1" ht="15" customHeight="1" x14ac:dyDescent="0.25">
      <c r="A5432" s="803" t="s">
        <v>15475</v>
      </c>
      <c r="B5432" s="803" t="s">
        <v>15286</v>
      </c>
      <c r="C5432" s="803" t="s">
        <v>15286</v>
      </c>
      <c r="D5432" s="803" t="s">
        <v>15478</v>
      </c>
      <c r="E5432" s="803">
        <v>100</v>
      </c>
      <c r="F5432" s="850">
        <v>30</v>
      </c>
      <c r="G5432" s="202" t="str">
        <f t="shared" si="84"/>
        <v/>
      </c>
    </row>
    <row r="5433" spans="1:7" s="172" customFormat="1" ht="15" customHeight="1" x14ac:dyDescent="0.25">
      <c r="A5433" s="803" t="s">
        <v>15475</v>
      </c>
      <c r="B5433" s="803" t="s">
        <v>15286</v>
      </c>
      <c r="C5433" s="803" t="s">
        <v>15286</v>
      </c>
      <c r="D5433" s="803" t="s">
        <v>15479</v>
      </c>
      <c r="E5433" s="803">
        <v>160</v>
      </c>
      <c r="F5433" s="850">
        <v>60</v>
      </c>
      <c r="G5433" s="202" t="str">
        <f t="shared" si="84"/>
        <v/>
      </c>
    </row>
    <row r="5434" spans="1:7" s="172" customFormat="1" ht="15" customHeight="1" x14ac:dyDescent="0.25">
      <c r="A5434" s="803" t="s">
        <v>15475</v>
      </c>
      <c r="B5434" s="803" t="s">
        <v>15286</v>
      </c>
      <c r="C5434" s="803" t="s">
        <v>15286</v>
      </c>
      <c r="D5434" s="803" t="s">
        <v>15480</v>
      </c>
      <c r="E5434" s="803">
        <v>100</v>
      </c>
      <c r="F5434" s="850">
        <v>60</v>
      </c>
      <c r="G5434" s="202" t="str">
        <f t="shared" si="84"/>
        <v/>
      </c>
    </row>
    <row r="5435" spans="1:7" s="172" customFormat="1" ht="15" customHeight="1" x14ac:dyDescent="0.25">
      <c r="A5435" s="803" t="s">
        <v>15481</v>
      </c>
      <c r="B5435" s="803" t="s">
        <v>15286</v>
      </c>
      <c r="C5435" s="803" t="s">
        <v>15286</v>
      </c>
      <c r="D5435" s="803" t="s">
        <v>15482</v>
      </c>
      <c r="E5435" s="803">
        <v>10</v>
      </c>
      <c r="F5435" s="850">
        <v>5</v>
      </c>
      <c r="G5435" s="202" t="str">
        <f t="shared" si="84"/>
        <v/>
      </c>
    </row>
    <row r="5436" spans="1:7" s="172" customFormat="1" ht="15" customHeight="1" x14ac:dyDescent="0.25">
      <c r="A5436" s="803" t="s">
        <v>15475</v>
      </c>
      <c r="B5436" s="803" t="s">
        <v>15286</v>
      </c>
      <c r="C5436" s="803" t="s">
        <v>15286</v>
      </c>
      <c r="D5436" s="803" t="s">
        <v>15483</v>
      </c>
      <c r="E5436" s="803">
        <v>160</v>
      </c>
      <c r="F5436" s="850">
        <v>120</v>
      </c>
      <c r="G5436" s="202" t="str">
        <f t="shared" si="84"/>
        <v/>
      </c>
    </row>
    <row r="5437" spans="1:7" s="172" customFormat="1" ht="15" customHeight="1" x14ac:dyDescent="0.25">
      <c r="A5437" s="803" t="s">
        <v>15484</v>
      </c>
      <c r="B5437" s="803" t="s">
        <v>15286</v>
      </c>
      <c r="C5437" s="803" t="s">
        <v>15286</v>
      </c>
      <c r="D5437" s="803" t="s">
        <v>15485</v>
      </c>
      <c r="E5437" s="803">
        <v>100</v>
      </c>
      <c r="F5437" s="850">
        <v>30</v>
      </c>
      <c r="G5437" s="202" t="str">
        <f t="shared" si="84"/>
        <v/>
      </c>
    </row>
    <row r="5438" spans="1:7" s="172" customFormat="1" ht="15" customHeight="1" x14ac:dyDescent="0.25">
      <c r="A5438" s="803" t="s">
        <v>15484</v>
      </c>
      <c r="B5438" s="803" t="s">
        <v>15286</v>
      </c>
      <c r="C5438" s="803" t="s">
        <v>15286</v>
      </c>
      <c r="D5438" s="803" t="s">
        <v>15486</v>
      </c>
      <c r="E5438" s="803">
        <v>100</v>
      </c>
      <c r="F5438" s="850">
        <v>60</v>
      </c>
      <c r="G5438" s="202" t="str">
        <f t="shared" si="84"/>
        <v/>
      </c>
    </row>
    <row r="5439" spans="1:7" s="172" customFormat="1" ht="15" customHeight="1" x14ac:dyDescent="0.25">
      <c r="A5439" s="803" t="s">
        <v>15487</v>
      </c>
      <c r="B5439" s="803" t="s">
        <v>15286</v>
      </c>
      <c r="C5439" s="803" t="s">
        <v>15286</v>
      </c>
      <c r="D5439" s="803" t="s">
        <v>15488</v>
      </c>
      <c r="E5439" s="803">
        <v>30</v>
      </c>
      <c r="F5439" s="850">
        <v>12</v>
      </c>
      <c r="G5439" s="202" t="str">
        <f t="shared" si="84"/>
        <v/>
      </c>
    </row>
    <row r="5440" spans="1:7" s="172" customFormat="1" ht="15" customHeight="1" x14ac:dyDescent="0.25">
      <c r="A5440" s="803" t="s">
        <v>15489</v>
      </c>
      <c r="B5440" s="803" t="s">
        <v>15286</v>
      </c>
      <c r="C5440" s="803" t="s">
        <v>15286</v>
      </c>
      <c r="D5440" s="803" t="s">
        <v>15490</v>
      </c>
      <c r="E5440" s="803">
        <v>100</v>
      </c>
      <c r="F5440" s="850">
        <v>60</v>
      </c>
      <c r="G5440" s="202" t="str">
        <f t="shared" si="84"/>
        <v/>
      </c>
    </row>
    <row r="5441" spans="1:7" s="172" customFormat="1" ht="15" customHeight="1" x14ac:dyDescent="0.25">
      <c r="A5441" s="803" t="s">
        <v>15489</v>
      </c>
      <c r="B5441" s="803" t="s">
        <v>15286</v>
      </c>
      <c r="C5441" s="803" t="s">
        <v>15286</v>
      </c>
      <c r="D5441" s="803" t="s">
        <v>15491</v>
      </c>
      <c r="E5441" s="803">
        <v>100</v>
      </c>
      <c r="F5441" s="850">
        <v>10</v>
      </c>
      <c r="G5441" s="202" t="str">
        <f t="shared" si="84"/>
        <v/>
      </c>
    </row>
    <row r="5442" spans="1:7" s="172" customFormat="1" ht="15" customHeight="1" x14ac:dyDescent="0.25">
      <c r="A5442" s="803" t="s">
        <v>15492</v>
      </c>
      <c r="B5442" s="803" t="s">
        <v>15286</v>
      </c>
      <c r="C5442" s="803" t="s">
        <v>15286</v>
      </c>
      <c r="D5442" s="803" t="s">
        <v>15493</v>
      </c>
      <c r="E5442" s="803">
        <v>25</v>
      </c>
      <c r="F5442" s="850">
        <v>4</v>
      </c>
      <c r="G5442" s="202" t="str">
        <f t="shared" si="84"/>
        <v/>
      </c>
    </row>
    <row r="5443" spans="1:7" s="172" customFormat="1" ht="15" customHeight="1" x14ac:dyDescent="0.25">
      <c r="A5443" s="803" t="s">
        <v>15494</v>
      </c>
      <c r="B5443" s="803" t="s">
        <v>15286</v>
      </c>
      <c r="C5443" s="803" t="s">
        <v>15286</v>
      </c>
      <c r="D5443" s="803" t="s">
        <v>15495</v>
      </c>
      <c r="E5443" s="803">
        <v>160</v>
      </c>
      <c r="F5443" s="850">
        <v>90</v>
      </c>
      <c r="G5443" s="202" t="str">
        <f t="shared" si="84"/>
        <v/>
      </c>
    </row>
    <row r="5444" spans="1:7" s="172" customFormat="1" ht="15" customHeight="1" x14ac:dyDescent="0.25">
      <c r="A5444" s="803" t="s">
        <v>15494</v>
      </c>
      <c r="B5444" s="803" t="s">
        <v>15286</v>
      </c>
      <c r="C5444" s="803" t="s">
        <v>15286</v>
      </c>
      <c r="D5444" s="803" t="s">
        <v>15496</v>
      </c>
      <c r="E5444" s="803">
        <v>63</v>
      </c>
      <c r="F5444" s="850">
        <v>10</v>
      </c>
      <c r="G5444" s="202" t="str">
        <f t="shared" si="84"/>
        <v/>
      </c>
    </row>
    <row r="5445" spans="1:7" s="172" customFormat="1" ht="15" customHeight="1" x14ac:dyDescent="0.25">
      <c r="A5445" s="803" t="s">
        <v>15497</v>
      </c>
      <c r="B5445" s="803" t="s">
        <v>15286</v>
      </c>
      <c r="C5445" s="803" t="s">
        <v>15286</v>
      </c>
      <c r="D5445" s="803" t="s">
        <v>15498</v>
      </c>
      <c r="E5445" s="803">
        <v>40</v>
      </c>
      <c r="F5445" s="850">
        <v>25</v>
      </c>
      <c r="G5445" s="202" t="str">
        <f t="shared" si="84"/>
        <v/>
      </c>
    </row>
    <row r="5446" spans="1:7" s="172" customFormat="1" ht="15" customHeight="1" x14ac:dyDescent="0.25">
      <c r="A5446" s="803" t="s">
        <v>15499</v>
      </c>
      <c r="B5446" s="803" t="s">
        <v>15286</v>
      </c>
      <c r="C5446" s="803" t="s">
        <v>15286</v>
      </c>
      <c r="D5446" s="803" t="s">
        <v>15500</v>
      </c>
      <c r="E5446" s="803">
        <v>25</v>
      </c>
      <c r="F5446" s="850">
        <v>5</v>
      </c>
      <c r="G5446" s="202" t="str">
        <f t="shared" si="84"/>
        <v/>
      </c>
    </row>
    <row r="5447" spans="1:7" s="172" customFormat="1" ht="15" customHeight="1" x14ac:dyDescent="0.25">
      <c r="A5447" s="803" t="s">
        <v>15501</v>
      </c>
      <c r="B5447" s="803" t="s">
        <v>15286</v>
      </c>
      <c r="C5447" s="803" t="s">
        <v>15286</v>
      </c>
      <c r="D5447" s="803" t="s">
        <v>15502</v>
      </c>
      <c r="E5447" s="803">
        <v>30</v>
      </c>
      <c r="F5447" s="850">
        <v>12</v>
      </c>
      <c r="G5447" s="202" t="str">
        <f t="shared" si="84"/>
        <v/>
      </c>
    </row>
    <row r="5448" spans="1:7" s="172" customFormat="1" ht="15" customHeight="1" x14ac:dyDescent="0.25">
      <c r="A5448" s="803" t="s">
        <v>15503</v>
      </c>
      <c r="B5448" s="803" t="s">
        <v>15286</v>
      </c>
      <c r="C5448" s="803" t="s">
        <v>15286</v>
      </c>
      <c r="D5448" s="803" t="s">
        <v>15504</v>
      </c>
      <c r="E5448" s="803">
        <v>30</v>
      </c>
      <c r="F5448" s="850">
        <v>14</v>
      </c>
      <c r="G5448" s="202" t="str">
        <f t="shared" si="84"/>
        <v/>
      </c>
    </row>
    <row r="5449" spans="1:7" s="172" customFormat="1" ht="15" customHeight="1" x14ac:dyDescent="0.25">
      <c r="A5449" s="803" t="s">
        <v>15505</v>
      </c>
      <c r="B5449" s="803" t="s">
        <v>15286</v>
      </c>
      <c r="C5449" s="803" t="s">
        <v>15286</v>
      </c>
      <c r="D5449" s="803" t="s">
        <v>15506</v>
      </c>
      <c r="E5449" s="803">
        <v>20</v>
      </c>
      <c r="F5449" s="850">
        <v>10</v>
      </c>
      <c r="G5449" s="202" t="str">
        <f t="shared" si="84"/>
        <v/>
      </c>
    </row>
    <row r="5450" spans="1:7" s="172" customFormat="1" ht="15" customHeight="1" x14ac:dyDescent="0.25">
      <c r="A5450" s="803" t="s">
        <v>15507</v>
      </c>
      <c r="B5450" s="803" t="s">
        <v>15286</v>
      </c>
      <c r="C5450" s="803" t="s">
        <v>15286</v>
      </c>
      <c r="D5450" s="803" t="s">
        <v>15508</v>
      </c>
      <c r="E5450" s="803">
        <v>10</v>
      </c>
      <c r="F5450" s="850">
        <v>6</v>
      </c>
      <c r="G5450" s="202" t="str">
        <f t="shared" si="84"/>
        <v/>
      </c>
    </row>
    <row r="5451" spans="1:7" s="172" customFormat="1" ht="15" customHeight="1" x14ac:dyDescent="0.25">
      <c r="A5451" s="803" t="s">
        <v>15509</v>
      </c>
      <c r="B5451" s="803" t="s">
        <v>15286</v>
      </c>
      <c r="C5451" s="803" t="s">
        <v>15286</v>
      </c>
      <c r="D5451" s="803" t="s">
        <v>15510</v>
      </c>
      <c r="E5451" s="803">
        <v>10</v>
      </c>
      <c r="F5451" s="850">
        <v>4</v>
      </c>
      <c r="G5451" s="202" t="str">
        <f t="shared" si="84"/>
        <v/>
      </c>
    </row>
    <row r="5452" spans="1:7" s="172" customFormat="1" ht="15" customHeight="1" x14ac:dyDescent="0.25">
      <c r="A5452" s="803" t="s">
        <v>15511</v>
      </c>
      <c r="B5452" s="803" t="s">
        <v>15286</v>
      </c>
      <c r="C5452" s="803" t="s">
        <v>15286</v>
      </c>
      <c r="D5452" s="803" t="s">
        <v>7398</v>
      </c>
      <c r="E5452" s="803">
        <v>25</v>
      </c>
      <c r="F5452" s="850">
        <v>2</v>
      </c>
      <c r="G5452" s="202" t="str">
        <f t="shared" si="84"/>
        <v/>
      </c>
    </row>
    <row r="5453" spans="1:7" s="172" customFormat="1" ht="15" customHeight="1" x14ac:dyDescent="0.25">
      <c r="A5453" s="803" t="s">
        <v>15512</v>
      </c>
      <c r="B5453" s="803" t="s">
        <v>15286</v>
      </c>
      <c r="C5453" s="803" t="s">
        <v>15286</v>
      </c>
      <c r="D5453" s="803" t="s">
        <v>15513</v>
      </c>
      <c r="E5453" s="803">
        <v>100</v>
      </c>
      <c r="F5453" s="850">
        <v>16</v>
      </c>
      <c r="G5453" s="202" t="str">
        <f t="shared" si="84"/>
        <v/>
      </c>
    </row>
    <row r="5454" spans="1:7" s="172" customFormat="1" ht="15" customHeight="1" x14ac:dyDescent="0.25">
      <c r="A5454" s="803" t="s">
        <v>15514</v>
      </c>
      <c r="B5454" s="803" t="s">
        <v>15286</v>
      </c>
      <c r="C5454" s="803" t="s">
        <v>15286</v>
      </c>
      <c r="D5454" s="803" t="s">
        <v>15515</v>
      </c>
      <c r="E5454" s="803">
        <v>100</v>
      </c>
      <c r="F5454" s="850">
        <v>19</v>
      </c>
      <c r="G5454" s="202" t="str">
        <f t="shared" si="84"/>
        <v/>
      </c>
    </row>
    <row r="5455" spans="1:7" s="172" customFormat="1" ht="15" customHeight="1" x14ac:dyDescent="0.25">
      <c r="A5455" s="803" t="s">
        <v>15516</v>
      </c>
      <c r="B5455" s="803" t="s">
        <v>15286</v>
      </c>
      <c r="C5455" s="803" t="s">
        <v>15286</v>
      </c>
      <c r="D5455" s="803" t="s">
        <v>15517</v>
      </c>
      <c r="E5455" s="803">
        <v>63</v>
      </c>
      <c r="F5455" s="850">
        <v>4</v>
      </c>
      <c r="G5455" s="202" t="str">
        <f t="shared" si="84"/>
        <v/>
      </c>
    </row>
    <row r="5456" spans="1:7" s="172" customFormat="1" ht="15" customHeight="1" x14ac:dyDescent="0.25">
      <c r="A5456" s="803" t="s">
        <v>15518</v>
      </c>
      <c r="B5456" s="803" t="s">
        <v>15286</v>
      </c>
      <c r="C5456" s="803" t="s">
        <v>15286</v>
      </c>
      <c r="D5456" s="803" t="s">
        <v>15519</v>
      </c>
      <c r="E5456" s="803">
        <v>30</v>
      </c>
      <c r="F5456" s="850">
        <v>3</v>
      </c>
      <c r="G5456" s="202" t="str">
        <f t="shared" si="84"/>
        <v/>
      </c>
    </row>
    <row r="5457" spans="1:7" s="172" customFormat="1" ht="15" customHeight="1" x14ac:dyDescent="0.25">
      <c r="A5457" s="803" t="s">
        <v>15520</v>
      </c>
      <c r="B5457" s="803" t="s">
        <v>15286</v>
      </c>
      <c r="C5457" s="803" t="s">
        <v>15286</v>
      </c>
      <c r="D5457" s="803" t="s">
        <v>15521</v>
      </c>
      <c r="E5457" s="803">
        <v>40</v>
      </c>
      <c r="F5457" s="850">
        <v>2</v>
      </c>
      <c r="G5457" s="202" t="str">
        <f t="shared" si="84"/>
        <v/>
      </c>
    </row>
    <row r="5458" spans="1:7" s="172" customFormat="1" ht="15" customHeight="1" x14ac:dyDescent="0.25">
      <c r="A5458" s="803" t="s">
        <v>15522</v>
      </c>
      <c r="B5458" s="803" t="s">
        <v>15286</v>
      </c>
      <c r="C5458" s="803" t="s">
        <v>15286</v>
      </c>
      <c r="D5458" s="803" t="s">
        <v>15523</v>
      </c>
      <c r="E5458" s="803">
        <v>10</v>
      </c>
      <c r="F5458" s="850">
        <v>4</v>
      </c>
      <c r="G5458" s="202" t="str">
        <f t="shared" si="84"/>
        <v/>
      </c>
    </row>
    <row r="5459" spans="1:7" s="172" customFormat="1" ht="15" customHeight="1" x14ac:dyDescent="0.25">
      <c r="A5459" s="803" t="s">
        <v>15524</v>
      </c>
      <c r="B5459" s="803" t="s">
        <v>15286</v>
      </c>
      <c r="C5459" s="803" t="s">
        <v>15286</v>
      </c>
      <c r="D5459" s="803" t="s">
        <v>15525</v>
      </c>
      <c r="E5459" s="803">
        <v>10</v>
      </c>
      <c r="F5459" s="850">
        <v>6</v>
      </c>
      <c r="G5459" s="202" t="str">
        <f t="shared" si="84"/>
        <v/>
      </c>
    </row>
    <row r="5460" spans="1:7" s="172" customFormat="1" ht="15" customHeight="1" x14ac:dyDescent="0.25">
      <c r="A5460" s="803" t="s">
        <v>15526</v>
      </c>
      <c r="B5460" s="803" t="s">
        <v>15286</v>
      </c>
      <c r="C5460" s="803" t="s">
        <v>15286</v>
      </c>
      <c r="D5460" s="803" t="s">
        <v>15527</v>
      </c>
      <c r="E5460" s="803">
        <v>100</v>
      </c>
      <c r="F5460" s="850">
        <v>15</v>
      </c>
      <c r="G5460" s="202" t="str">
        <f t="shared" si="84"/>
        <v/>
      </c>
    </row>
    <row r="5461" spans="1:7" s="172" customFormat="1" ht="15" customHeight="1" x14ac:dyDescent="0.25">
      <c r="A5461" s="803" t="s">
        <v>15526</v>
      </c>
      <c r="B5461" s="803" t="s">
        <v>15286</v>
      </c>
      <c r="C5461" s="803" t="s">
        <v>15286</v>
      </c>
      <c r="D5461" s="803" t="s">
        <v>15528</v>
      </c>
      <c r="E5461" s="803">
        <v>250</v>
      </c>
      <c r="F5461" s="850">
        <v>200</v>
      </c>
      <c r="G5461" s="202" t="str">
        <f t="shared" si="84"/>
        <v/>
      </c>
    </row>
    <row r="5462" spans="1:7" s="172" customFormat="1" ht="15" customHeight="1" x14ac:dyDescent="0.25">
      <c r="A5462" s="803" t="s">
        <v>15529</v>
      </c>
      <c r="B5462" s="803" t="s">
        <v>15286</v>
      </c>
      <c r="C5462" s="803" t="s">
        <v>15286</v>
      </c>
      <c r="D5462" s="803" t="s">
        <v>15530</v>
      </c>
      <c r="E5462" s="803">
        <v>63</v>
      </c>
      <c r="F5462" s="850">
        <v>12</v>
      </c>
      <c r="G5462" s="202" t="str">
        <f t="shared" si="84"/>
        <v/>
      </c>
    </row>
    <row r="5463" spans="1:7" s="172" customFormat="1" ht="15" customHeight="1" x14ac:dyDescent="0.25">
      <c r="A5463" s="803" t="s">
        <v>15531</v>
      </c>
      <c r="B5463" s="803" t="s">
        <v>15286</v>
      </c>
      <c r="C5463" s="803" t="s">
        <v>15286</v>
      </c>
      <c r="D5463" s="803" t="s">
        <v>15532</v>
      </c>
      <c r="E5463" s="803">
        <v>40</v>
      </c>
      <c r="F5463" s="850">
        <v>35</v>
      </c>
      <c r="G5463" s="202" t="str">
        <f t="shared" si="84"/>
        <v/>
      </c>
    </row>
    <row r="5464" spans="1:7" s="172" customFormat="1" ht="15" customHeight="1" x14ac:dyDescent="0.25">
      <c r="A5464" s="803" t="s">
        <v>15533</v>
      </c>
      <c r="B5464" s="803" t="s">
        <v>15286</v>
      </c>
      <c r="C5464" s="803" t="s">
        <v>15286</v>
      </c>
      <c r="D5464" s="803" t="s">
        <v>15534</v>
      </c>
      <c r="E5464" s="803">
        <v>40</v>
      </c>
      <c r="F5464" s="850">
        <v>14</v>
      </c>
      <c r="G5464" s="202" t="str">
        <f t="shared" si="84"/>
        <v/>
      </c>
    </row>
    <row r="5465" spans="1:7" s="172" customFormat="1" ht="15" customHeight="1" x14ac:dyDescent="0.25">
      <c r="A5465" s="803" t="s">
        <v>15535</v>
      </c>
      <c r="B5465" s="803" t="s">
        <v>15286</v>
      </c>
      <c r="C5465" s="803" t="s">
        <v>15286</v>
      </c>
      <c r="D5465" s="803" t="s">
        <v>15536</v>
      </c>
      <c r="E5465" s="803">
        <v>40</v>
      </c>
      <c r="F5465" s="850">
        <v>10</v>
      </c>
      <c r="G5465" s="202" t="str">
        <f t="shared" si="84"/>
        <v/>
      </c>
    </row>
    <row r="5466" spans="1:7" s="172" customFormat="1" ht="15" customHeight="1" x14ac:dyDescent="0.25">
      <c r="A5466" s="803" t="s">
        <v>15537</v>
      </c>
      <c r="B5466" s="803" t="s">
        <v>15286</v>
      </c>
      <c r="C5466" s="803" t="s">
        <v>15286</v>
      </c>
      <c r="D5466" s="803" t="s">
        <v>15538</v>
      </c>
      <c r="E5466" s="803">
        <v>100</v>
      </c>
      <c r="F5466" s="850">
        <v>20</v>
      </c>
      <c r="G5466" s="202" t="str">
        <f t="shared" si="84"/>
        <v/>
      </c>
    </row>
    <row r="5467" spans="1:7" s="172" customFormat="1" ht="15" customHeight="1" x14ac:dyDescent="0.25">
      <c r="A5467" s="803" t="s">
        <v>15539</v>
      </c>
      <c r="B5467" s="803" t="s">
        <v>15286</v>
      </c>
      <c r="C5467" s="803" t="s">
        <v>15286</v>
      </c>
      <c r="D5467" s="803" t="s">
        <v>15540</v>
      </c>
      <c r="E5467" s="803">
        <v>30</v>
      </c>
      <c r="F5467" s="850">
        <v>10</v>
      </c>
      <c r="G5467" s="202" t="str">
        <f t="shared" si="84"/>
        <v/>
      </c>
    </row>
    <row r="5468" spans="1:7" s="172" customFormat="1" ht="15" customHeight="1" x14ac:dyDescent="0.25">
      <c r="A5468" s="803" t="s">
        <v>15541</v>
      </c>
      <c r="B5468" s="803" t="s">
        <v>15286</v>
      </c>
      <c r="C5468" s="803" t="s">
        <v>15286</v>
      </c>
      <c r="D5468" s="803" t="s">
        <v>15542</v>
      </c>
      <c r="E5468" s="803">
        <v>160</v>
      </c>
      <c r="F5468" s="850">
        <v>20</v>
      </c>
      <c r="G5468" s="202" t="str">
        <f t="shared" ref="G5468:G5531" si="85">IF(E5468=F5468,"не загружен","")</f>
        <v/>
      </c>
    </row>
    <row r="5469" spans="1:7" s="172" customFormat="1" ht="15" customHeight="1" x14ac:dyDescent="0.25">
      <c r="A5469" s="803" t="s">
        <v>15543</v>
      </c>
      <c r="B5469" s="803" t="s">
        <v>15286</v>
      </c>
      <c r="C5469" s="803" t="s">
        <v>15286</v>
      </c>
      <c r="D5469" s="803" t="s">
        <v>15544</v>
      </c>
      <c r="E5469" s="803">
        <v>100</v>
      </c>
      <c r="F5469" s="850">
        <v>40</v>
      </c>
      <c r="G5469" s="202" t="str">
        <f t="shared" si="85"/>
        <v/>
      </c>
    </row>
    <row r="5470" spans="1:7" s="172" customFormat="1" ht="15" customHeight="1" x14ac:dyDescent="0.25">
      <c r="A5470" s="803" t="s">
        <v>15543</v>
      </c>
      <c r="B5470" s="803" t="s">
        <v>15286</v>
      </c>
      <c r="C5470" s="803" t="s">
        <v>15286</v>
      </c>
      <c r="D5470" s="803" t="s">
        <v>15545</v>
      </c>
      <c r="E5470" s="803">
        <v>250</v>
      </c>
      <c r="F5470" s="850">
        <v>50</v>
      </c>
      <c r="G5470" s="202" t="str">
        <f t="shared" si="85"/>
        <v/>
      </c>
    </row>
    <row r="5471" spans="1:7" s="172" customFormat="1" ht="15" customHeight="1" x14ac:dyDescent="0.25">
      <c r="A5471" s="803" t="s">
        <v>17721</v>
      </c>
      <c r="B5471" s="803" t="s">
        <v>11776</v>
      </c>
      <c r="C5471" s="803" t="s">
        <v>11776</v>
      </c>
      <c r="D5471" s="803" t="s">
        <v>11777</v>
      </c>
      <c r="E5471" s="803">
        <v>30</v>
      </c>
      <c r="F5471" s="850">
        <v>14.879799999999999</v>
      </c>
      <c r="G5471" s="202" t="str">
        <f t="shared" si="85"/>
        <v/>
      </c>
    </row>
    <row r="5472" spans="1:7" s="172" customFormat="1" ht="15" customHeight="1" x14ac:dyDescent="0.25">
      <c r="A5472" s="803" t="s">
        <v>11778</v>
      </c>
      <c r="B5472" s="803" t="s">
        <v>11776</v>
      </c>
      <c r="C5472" s="803" t="s">
        <v>11776</v>
      </c>
      <c r="D5472" s="803" t="s">
        <v>11779</v>
      </c>
      <c r="E5472" s="803">
        <v>30</v>
      </c>
      <c r="F5472" s="850">
        <v>22.041999999999998</v>
      </c>
      <c r="G5472" s="202" t="str">
        <f t="shared" si="85"/>
        <v/>
      </c>
    </row>
    <row r="5473" spans="1:7" s="172" customFormat="1" ht="15" customHeight="1" x14ac:dyDescent="0.25">
      <c r="A5473" s="803" t="s">
        <v>11780</v>
      </c>
      <c r="B5473" s="803" t="s">
        <v>11776</v>
      </c>
      <c r="C5473" s="803" t="s">
        <v>11776</v>
      </c>
      <c r="D5473" s="803" t="s">
        <v>11781</v>
      </c>
      <c r="E5473" s="803">
        <v>30</v>
      </c>
      <c r="F5473" s="850">
        <v>27.214700000000001</v>
      </c>
      <c r="G5473" s="202" t="str">
        <f t="shared" si="85"/>
        <v/>
      </c>
    </row>
    <row r="5474" spans="1:7" s="172" customFormat="1" ht="15" customHeight="1" x14ac:dyDescent="0.25">
      <c r="A5474" s="803" t="s">
        <v>6916</v>
      </c>
      <c r="B5474" s="803" t="s">
        <v>11776</v>
      </c>
      <c r="C5474" s="803" t="s">
        <v>11776</v>
      </c>
      <c r="D5474" s="803" t="s">
        <v>11782</v>
      </c>
      <c r="E5474" s="803">
        <v>160</v>
      </c>
      <c r="F5474" s="850">
        <v>156.8168</v>
      </c>
      <c r="G5474" s="202" t="str">
        <f t="shared" si="85"/>
        <v/>
      </c>
    </row>
    <row r="5475" spans="1:7" s="172" customFormat="1" ht="15" customHeight="1" x14ac:dyDescent="0.25">
      <c r="A5475" s="803" t="s">
        <v>6347</v>
      </c>
      <c r="B5475" s="803" t="s">
        <v>11776</v>
      </c>
      <c r="C5475" s="803" t="s">
        <v>11776</v>
      </c>
      <c r="D5475" s="803" t="s">
        <v>11783</v>
      </c>
      <c r="E5475" s="803">
        <v>10</v>
      </c>
      <c r="F5475" s="850">
        <v>3.6335999999999995</v>
      </c>
      <c r="G5475" s="202" t="str">
        <f t="shared" si="85"/>
        <v/>
      </c>
    </row>
    <row r="5476" spans="1:7" s="172" customFormat="1" ht="15" customHeight="1" x14ac:dyDescent="0.25">
      <c r="A5476" s="803" t="s">
        <v>11784</v>
      </c>
      <c r="B5476" s="803" t="s">
        <v>11776</v>
      </c>
      <c r="C5476" s="803" t="s">
        <v>11776</v>
      </c>
      <c r="D5476" s="803" t="s">
        <v>11785</v>
      </c>
      <c r="E5476" s="803">
        <v>63</v>
      </c>
      <c r="F5476" s="850">
        <v>46.288200000000003</v>
      </c>
      <c r="G5476" s="202" t="str">
        <f t="shared" si="85"/>
        <v/>
      </c>
    </row>
    <row r="5477" spans="1:7" s="172" customFormat="1" ht="15" customHeight="1" x14ac:dyDescent="0.25">
      <c r="A5477" s="803" t="s">
        <v>3263</v>
      </c>
      <c r="B5477" s="803" t="s">
        <v>11776</v>
      </c>
      <c r="C5477" s="803" t="s">
        <v>11776</v>
      </c>
      <c r="D5477" s="803" t="s">
        <v>11786</v>
      </c>
      <c r="E5477" s="803">
        <v>160</v>
      </c>
      <c r="F5477" s="850">
        <v>100.315</v>
      </c>
      <c r="G5477" s="202" t="str">
        <f t="shared" si="85"/>
        <v/>
      </c>
    </row>
    <row r="5478" spans="1:7" s="172" customFormat="1" ht="15" customHeight="1" x14ac:dyDescent="0.25">
      <c r="A5478" s="803" t="s">
        <v>3263</v>
      </c>
      <c r="B5478" s="803" t="s">
        <v>11776</v>
      </c>
      <c r="C5478" s="803" t="s">
        <v>11776</v>
      </c>
      <c r="D5478" s="803" t="s">
        <v>11787</v>
      </c>
      <c r="E5478" s="803">
        <v>250</v>
      </c>
      <c r="F5478" s="850">
        <v>208.22049999999999</v>
      </c>
      <c r="G5478" s="202" t="str">
        <f t="shared" si="85"/>
        <v/>
      </c>
    </row>
    <row r="5479" spans="1:7" s="172" customFormat="1" ht="15" customHeight="1" x14ac:dyDescent="0.25">
      <c r="A5479" s="803" t="s">
        <v>11788</v>
      </c>
      <c r="B5479" s="803" t="s">
        <v>11776</v>
      </c>
      <c r="C5479" s="803" t="s">
        <v>11776</v>
      </c>
      <c r="D5479" s="803" t="s">
        <v>11789</v>
      </c>
      <c r="E5479" s="803">
        <v>63</v>
      </c>
      <c r="F5479" s="850">
        <v>47.083999999999996</v>
      </c>
      <c r="G5479" s="202" t="str">
        <f t="shared" si="85"/>
        <v/>
      </c>
    </row>
    <row r="5480" spans="1:7" s="172" customFormat="1" ht="15" customHeight="1" x14ac:dyDescent="0.25">
      <c r="A5480" s="803" t="s">
        <v>3263</v>
      </c>
      <c r="B5480" s="803" t="s">
        <v>11776</v>
      </c>
      <c r="C5480" s="803" t="s">
        <v>11776</v>
      </c>
      <c r="D5480" s="803" t="s">
        <v>11790</v>
      </c>
      <c r="E5480" s="803">
        <v>63</v>
      </c>
      <c r="F5480" s="850">
        <v>47.083999999999996</v>
      </c>
      <c r="G5480" s="202" t="str">
        <f t="shared" si="85"/>
        <v/>
      </c>
    </row>
    <row r="5481" spans="1:7" s="172" customFormat="1" ht="15" customHeight="1" x14ac:dyDescent="0.25">
      <c r="A5481" s="803" t="s">
        <v>11791</v>
      </c>
      <c r="B5481" s="803" t="s">
        <v>11776</v>
      </c>
      <c r="C5481" s="803" t="s">
        <v>11776</v>
      </c>
      <c r="D5481" s="803" t="s">
        <v>11792</v>
      </c>
      <c r="E5481" s="803">
        <v>250</v>
      </c>
      <c r="F5481" s="850">
        <v>233.68610000000001</v>
      </c>
      <c r="G5481" s="202" t="str">
        <f t="shared" si="85"/>
        <v/>
      </c>
    </row>
    <row r="5482" spans="1:7" s="172" customFormat="1" ht="15" customHeight="1" x14ac:dyDescent="0.25">
      <c r="A5482" s="803" t="s">
        <v>17723</v>
      </c>
      <c r="B5482" s="803" t="s">
        <v>11776</v>
      </c>
      <c r="C5482" s="803" t="s">
        <v>11776</v>
      </c>
      <c r="D5482" s="803" t="s">
        <v>11793</v>
      </c>
      <c r="E5482" s="803">
        <v>160</v>
      </c>
      <c r="F5482" s="850">
        <v>100.315</v>
      </c>
      <c r="G5482" s="202" t="str">
        <f t="shared" si="85"/>
        <v/>
      </c>
    </row>
    <row r="5483" spans="1:7" s="172" customFormat="1" ht="15" customHeight="1" x14ac:dyDescent="0.25">
      <c r="A5483" s="803" t="s">
        <v>17723</v>
      </c>
      <c r="B5483" s="803" t="s">
        <v>11776</v>
      </c>
      <c r="C5483" s="803" t="s">
        <v>11776</v>
      </c>
      <c r="D5483" s="803" t="s">
        <v>11794</v>
      </c>
      <c r="E5483" s="803">
        <v>160</v>
      </c>
      <c r="F5483" s="850">
        <v>154.03149999999999</v>
      </c>
      <c r="G5483" s="202" t="str">
        <f t="shared" si="85"/>
        <v/>
      </c>
    </row>
    <row r="5484" spans="1:7" s="172" customFormat="1" ht="15" customHeight="1" x14ac:dyDescent="0.25">
      <c r="A5484" s="803" t="s">
        <v>17723</v>
      </c>
      <c r="B5484" s="803" t="s">
        <v>11776</v>
      </c>
      <c r="C5484" s="803" t="s">
        <v>11776</v>
      </c>
      <c r="D5484" s="803" t="s">
        <v>11795</v>
      </c>
      <c r="E5484" s="803">
        <v>250</v>
      </c>
      <c r="F5484" s="850">
        <v>170.02209999999999</v>
      </c>
      <c r="G5484" s="202" t="str">
        <f t="shared" si="85"/>
        <v/>
      </c>
    </row>
    <row r="5485" spans="1:7" s="172" customFormat="1" ht="15" customHeight="1" x14ac:dyDescent="0.25">
      <c r="A5485" s="803" t="s">
        <v>17728</v>
      </c>
      <c r="B5485" s="803" t="s">
        <v>11776</v>
      </c>
      <c r="C5485" s="803" t="s">
        <v>11776</v>
      </c>
      <c r="D5485" s="803" t="s">
        <v>11796</v>
      </c>
      <c r="E5485" s="803">
        <v>63</v>
      </c>
      <c r="F5485" s="850">
        <v>47.083999999999996</v>
      </c>
      <c r="G5485" s="202" t="str">
        <f t="shared" si="85"/>
        <v/>
      </c>
    </row>
    <row r="5486" spans="1:7" s="172" customFormat="1" ht="15" customHeight="1" x14ac:dyDescent="0.25">
      <c r="A5486" s="803" t="s">
        <v>17720</v>
      </c>
      <c r="B5486" s="803" t="s">
        <v>11776</v>
      </c>
      <c r="C5486" s="803" t="s">
        <v>11776</v>
      </c>
      <c r="D5486" s="803" t="s">
        <v>11797</v>
      </c>
      <c r="E5486" s="803">
        <v>63</v>
      </c>
      <c r="F5486" s="850">
        <v>57.827300000000001</v>
      </c>
      <c r="G5486" s="202" t="str">
        <f t="shared" si="85"/>
        <v/>
      </c>
    </row>
    <row r="5487" spans="1:7" s="172" customFormat="1" ht="15" customHeight="1" x14ac:dyDescent="0.25">
      <c r="A5487" s="803" t="s">
        <v>11798</v>
      </c>
      <c r="B5487" s="803" t="s">
        <v>11776</v>
      </c>
      <c r="C5487" s="803" t="s">
        <v>11776</v>
      </c>
      <c r="D5487" s="803" t="s">
        <v>11797</v>
      </c>
      <c r="E5487" s="803">
        <v>63</v>
      </c>
      <c r="F5487" s="850">
        <v>60.214700000000001</v>
      </c>
      <c r="G5487" s="202" t="str">
        <f t="shared" si="85"/>
        <v/>
      </c>
    </row>
    <row r="5488" spans="1:7" s="172" customFormat="1" ht="15" customHeight="1" x14ac:dyDescent="0.25">
      <c r="A5488" s="803" t="s">
        <v>11799</v>
      </c>
      <c r="B5488" s="803" t="s">
        <v>11776</v>
      </c>
      <c r="C5488" s="803" t="s">
        <v>11776</v>
      </c>
      <c r="D5488" s="803" t="s">
        <v>11800</v>
      </c>
      <c r="E5488" s="803">
        <v>100</v>
      </c>
      <c r="F5488" s="850">
        <v>76.126000000000005</v>
      </c>
      <c r="G5488" s="202" t="str">
        <f t="shared" si="85"/>
        <v/>
      </c>
    </row>
    <row r="5489" spans="1:7" s="172" customFormat="1" ht="15" customHeight="1" x14ac:dyDescent="0.25">
      <c r="A5489" s="803" t="s">
        <v>11799</v>
      </c>
      <c r="B5489" s="803" t="s">
        <v>11776</v>
      </c>
      <c r="C5489" s="803" t="s">
        <v>11776</v>
      </c>
      <c r="D5489" s="803" t="s">
        <v>11801</v>
      </c>
      <c r="E5489" s="803">
        <v>250</v>
      </c>
      <c r="F5489" s="850">
        <v>227.7176</v>
      </c>
      <c r="G5489" s="202" t="str">
        <f t="shared" si="85"/>
        <v/>
      </c>
    </row>
    <row r="5490" spans="1:7" s="172" customFormat="1" ht="15" customHeight="1" x14ac:dyDescent="0.25">
      <c r="A5490" s="803" t="s">
        <v>11799</v>
      </c>
      <c r="B5490" s="803" t="s">
        <v>11776</v>
      </c>
      <c r="C5490" s="803" t="s">
        <v>11776</v>
      </c>
      <c r="D5490" s="803" t="s">
        <v>11802</v>
      </c>
      <c r="E5490" s="803">
        <v>250</v>
      </c>
      <c r="F5490" s="850">
        <v>237.2672</v>
      </c>
      <c r="G5490" s="202" t="str">
        <f t="shared" si="85"/>
        <v/>
      </c>
    </row>
    <row r="5491" spans="1:7" s="172" customFormat="1" ht="15" customHeight="1" x14ac:dyDescent="0.25">
      <c r="A5491" s="803" t="s">
        <v>3391</v>
      </c>
      <c r="B5491" s="803" t="s">
        <v>11776</v>
      </c>
      <c r="C5491" s="803" t="s">
        <v>11776</v>
      </c>
      <c r="D5491" s="803" t="s">
        <v>11803</v>
      </c>
      <c r="E5491" s="803">
        <v>20</v>
      </c>
      <c r="F5491" s="850">
        <v>16.021000000000001</v>
      </c>
      <c r="G5491" s="202" t="str">
        <f t="shared" si="85"/>
        <v/>
      </c>
    </row>
    <row r="5492" spans="1:7" s="172" customFormat="1" ht="15" customHeight="1" x14ac:dyDescent="0.25">
      <c r="A5492" s="803" t="s">
        <v>11804</v>
      </c>
      <c r="B5492" s="803" t="s">
        <v>11776</v>
      </c>
      <c r="C5492" s="803" t="s">
        <v>11776</v>
      </c>
      <c r="D5492" s="803" t="s">
        <v>11805</v>
      </c>
      <c r="E5492" s="803">
        <v>400</v>
      </c>
      <c r="F5492" s="850">
        <v>388.06299999999999</v>
      </c>
      <c r="G5492" s="202" t="str">
        <f t="shared" si="85"/>
        <v/>
      </c>
    </row>
    <row r="5493" spans="1:7" s="172" customFormat="1" ht="15" customHeight="1" x14ac:dyDescent="0.25">
      <c r="A5493" s="803" t="s">
        <v>11804</v>
      </c>
      <c r="B5493" s="803" t="s">
        <v>11776</v>
      </c>
      <c r="C5493" s="803" t="s">
        <v>11776</v>
      </c>
      <c r="D5493" s="803" t="s">
        <v>11806</v>
      </c>
      <c r="E5493" s="803">
        <v>63</v>
      </c>
      <c r="F5493" s="850">
        <v>43.105000000000004</v>
      </c>
      <c r="G5493" s="202" t="str">
        <f t="shared" si="85"/>
        <v/>
      </c>
    </row>
    <row r="5494" spans="1:7" s="172" customFormat="1" ht="15" customHeight="1" x14ac:dyDescent="0.25">
      <c r="A5494" s="803" t="s">
        <v>11804</v>
      </c>
      <c r="B5494" s="803" t="s">
        <v>11776</v>
      </c>
      <c r="C5494" s="803" t="s">
        <v>11776</v>
      </c>
      <c r="D5494" s="803" t="s">
        <v>11807</v>
      </c>
      <c r="E5494" s="803">
        <v>63</v>
      </c>
      <c r="F5494" s="850">
        <v>43.900800000000004</v>
      </c>
      <c r="G5494" s="202" t="str">
        <f t="shared" si="85"/>
        <v/>
      </c>
    </row>
    <row r="5495" spans="1:7" s="172" customFormat="1" ht="15" customHeight="1" x14ac:dyDescent="0.25">
      <c r="A5495" s="803" t="s">
        <v>11808</v>
      </c>
      <c r="B5495" s="803" t="s">
        <v>11776</v>
      </c>
      <c r="C5495" s="803" t="s">
        <v>11776</v>
      </c>
      <c r="D5495" s="803" t="s">
        <v>11809</v>
      </c>
      <c r="E5495" s="803">
        <v>100</v>
      </c>
      <c r="F5495" s="850">
        <v>83.288200000000003</v>
      </c>
      <c r="G5495" s="202" t="str">
        <f t="shared" si="85"/>
        <v/>
      </c>
    </row>
    <row r="5496" spans="1:7" s="172" customFormat="1" ht="15" customHeight="1" x14ac:dyDescent="0.25">
      <c r="A5496" s="803" t="s">
        <v>11810</v>
      </c>
      <c r="B5496" s="803" t="s">
        <v>11776</v>
      </c>
      <c r="C5496" s="803" t="s">
        <v>11776</v>
      </c>
      <c r="D5496" s="803" t="s">
        <v>11811</v>
      </c>
      <c r="E5496" s="803">
        <v>10</v>
      </c>
      <c r="F5496" s="850">
        <v>6.8167999999999997</v>
      </c>
      <c r="G5496" s="202" t="str">
        <f t="shared" si="85"/>
        <v/>
      </c>
    </row>
    <row r="5497" spans="1:7" s="172" customFormat="1" ht="15" customHeight="1" x14ac:dyDescent="0.25">
      <c r="A5497" s="803" t="s">
        <v>11812</v>
      </c>
      <c r="B5497" s="803" t="s">
        <v>11776</v>
      </c>
      <c r="C5497" s="803" t="s">
        <v>11776</v>
      </c>
      <c r="D5497" s="803" t="s">
        <v>11813</v>
      </c>
      <c r="E5497" s="803">
        <v>63</v>
      </c>
      <c r="F5497" s="850">
        <v>47.481899999999996</v>
      </c>
      <c r="G5497" s="202" t="str">
        <f t="shared" si="85"/>
        <v/>
      </c>
    </row>
    <row r="5498" spans="1:7" s="172" customFormat="1" ht="15" customHeight="1" x14ac:dyDescent="0.25">
      <c r="A5498" s="803" t="s">
        <v>19503</v>
      </c>
      <c r="B5498" s="803" t="s">
        <v>11776</v>
      </c>
      <c r="C5498" s="803" t="s">
        <v>11776</v>
      </c>
      <c r="D5498" s="803" t="s">
        <v>20136</v>
      </c>
      <c r="E5498" s="803">
        <v>100</v>
      </c>
      <c r="F5498" s="850">
        <v>72</v>
      </c>
      <c r="G5498" s="202" t="str">
        <f t="shared" si="85"/>
        <v/>
      </c>
    </row>
    <row r="5499" spans="1:7" s="172" customFormat="1" ht="15" customHeight="1" x14ac:dyDescent="0.25">
      <c r="A5499" s="803" t="s">
        <v>20137</v>
      </c>
      <c r="B5499" s="803" t="s">
        <v>11776</v>
      </c>
      <c r="C5499" s="803" t="s">
        <v>11776</v>
      </c>
      <c r="D5499" s="803" t="s">
        <v>11814</v>
      </c>
      <c r="E5499" s="803">
        <v>160</v>
      </c>
      <c r="F5499" s="850">
        <v>124.18899999999999</v>
      </c>
      <c r="G5499" s="202" t="str">
        <f t="shared" si="85"/>
        <v/>
      </c>
    </row>
    <row r="5500" spans="1:7" s="172" customFormat="1" ht="15" customHeight="1" x14ac:dyDescent="0.25">
      <c r="A5500" s="803" t="s">
        <v>11815</v>
      </c>
      <c r="B5500" s="803" t="s">
        <v>11776</v>
      </c>
      <c r="C5500" s="803" t="s">
        <v>11776</v>
      </c>
      <c r="D5500" s="803" t="s">
        <v>11816</v>
      </c>
      <c r="E5500" s="803">
        <v>250</v>
      </c>
      <c r="F5500" s="850">
        <v>150.52500000000001</v>
      </c>
      <c r="G5500" s="202" t="str">
        <f t="shared" si="85"/>
        <v/>
      </c>
    </row>
    <row r="5501" spans="1:7" s="172" customFormat="1" ht="15" customHeight="1" x14ac:dyDescent="0.25">
      <c r="A5501" s="803" t="s">
        <v>11817</v>
      </c>
      <c r="B5501" s="803" t="s">
        <v>11776</v>
      </c>
      <c r="C5501" s="803" t="s">
        <v>11776</v>
      </c>
      <c r="D5501" s="803" t="s">
        <v>11818</v>
      </c>
      <c r="E5501" s="803">
        <v>63</v>
      </c>
      <c r="F5501" s="850">
        <v>50.267200000000003</v>
      </c>
      <c r="G5501" s="202" t="str">
        <f t="shared" si="85"/>
        <v/>
      </c>
    </row>
    <row r="5502" spans="1:7" s="172" customFormat="1" ht="15" customHeight="1" x14ac:dyDescent="0.25">
      <c r="A5502" s="803" t="s">
        <v>11819</v>
      </c>
      <c r="B5502" s="803" t="s">
        <v>11776</v>
      </c>
      <c r="C5502" s="803" t="s">
        <v>11776</v>
      </c>
      <c r="D5502" s="803" t="s">
        <v>11820</v>
      </c>
      <c r="E5502" s="803">
        <v>63</v>
      </c>
      <c r="F5502" s="850">
        <v>55.042000000000002</v>
      </c>
      <c r="G5502" s="202" t="str">
        <f t="shared" si="85"/>
        <v/>
      </c>
    </row>
    <row r="5503" spans="1:7" s="172" customFormat="1" ht="15" customHeight="1" x14ac:dyDescent="0.25">
      <c r="A5503" s="803" t="s">
        <v>11821</v>
      </c>
      <c r="B5503" s="803" t="s">
        <v>11776</v>
      </c>
      <c r="C5503" s="803" t="s">
        <v>11776</v>
      </c>
      <c r="D5503" s="803" t="s">
        <v>11822</v>
      </c>
      <c r="E5503" s="803">
        <v>160</v>
      </c>
      <c r="F5503" s="850">
        <v>154.03149999999999</v>
      </c>
      <c r="G5503" s="202" t="str">
        <f t="shared" si="85"/>
        <v/>
      </c>
    </row>
    <row r="5504" spans="1:7" s="172" customFormat="1" ht="15" customHeight="1" x14ac:dyDescent="0.25">
      <c r="A5504" s="803" t="s">
        <v>6427</v>
      </c>
      <c r="B5504" s="803" t="s">
        <v>11776</v>
      </c>
      <c r="C5504" s="803" t="s">
        <v>11776</v>
      </c>
      <c r="D5504" s="803" t="s">
        <v>11823</v>
      </c>
      <c r="E5504" s="803">
        <v>160</v>
      </c>
      <c r="F5504" s="850">
        <v>148.8588</v>
      </c>
      <c r="G5504" s="202" t="str">
        <f t="shared" si="85"/>
        <v/>
      </c>
    </row>
    <row r="5505" spans="1:7" s="172" customFormat="1" ht="15" customHeight="1" x14ac:dyDescent="0.25">
      <c r="A5505" s="803" t="s">
        <v>11815</v>
      </c>
      <c r="B5505" s="803" t="s">
        <v>11776</v>
      </c>
      <c r="C5505" s="803" t="s">
        <v>11776</v>
      </c>
      <c r="D5505" s="803" t="s">
        <v>11824</v>
      </c>
      <c r="E5505" s="803">
        <v>250</v>
      </c>
      <c r="F5505" s="850">
        <v>224.13650000000001</v>
      </c>
      <c r="G5505" s="202" t="str">
        <f t="shared" si="85"/>
        <v/>
      </c>
    </row>
    <row r="5506" spans="1:7" s="172" customFormat="1" ht="15" customHeight="1" x14ac:dyDescent="0.25">
      <c r="A5506" s="803" t="s">
        <v>11815</v>
      </c>
      <c r="B5506" s="803" t="s">
        <v>11776</v>
      </c>
      <c r="C5506" s="803" t="s">
        <v>11776</v>
      </c>
      <c r="D5506" s="803" t="s">
        <v>11825</v>
      </c>
      <c r="E5506" s="803">
        <v>250</v>
      </c>
      <c r="F5506" s="850">
        <v>190.315</v>
      </c>
      <c r="G5506" s="202" t="str">
        <f t="shared" si="85"/>
        <v/>
      </c>
    </row>
    <row r="5507" spans="1:7" s="172" customFormat="1" ht="15" customHeight="1" x14ac:dyDescent="0.25">
      <c r="A5507" s="803" t="s">
        <v>11815</v>
      </c>
      <c r="B5507" s="803" t="s">
        <v>11776</v>
      </c>
      <c r="C5507" s="803" t="s">
        <v>11776</v>
      </c>
      <c r="D5507" s="803" t="s">
        <v>11826</v>
      </c>
      <c r="E5507" s="803">
        <v>160</v>
      </c>
      <c r="F5507" s="850">
        <v>133.3407</v>
      </c>
      <c r="G5507" s="202" t="str">
        <f t="shared" si="85"/>
        <v/>
      </c>
    </row>
    <row r="5508" spans="1:7" s="172" customFormat="1" ht="15" customHeight="1" x14ac:dyDescent="0.25">
      <c r="A5508" s="803" t="s">
        <v>11827</v>
      </c>
      <c r="B5508" s="803" t="s">
        <v>11776</v>
      </c>
      <c r="C5508" s="803" t="s">
        <v>11776</v>
      </c>
      <c r="D5508" s="803" t="s">
        <v>11828</v>
      </c>
      <c r="E5508" s="803">
        <v>63</v>
      </c>
      <c r="F5508" s="850">
        <v>54.246200000000002</v>
      </c>
      <c r="G5508" s="202" t="str">
        <f t="shared" si="85"/>
        <v/>
      </c>
    </row>
    <row r="5509" spans="1:7" s="172" customFormat="1" ht="15" customHeight="1" x14ac:dyDescent="0.25">
      <c r="A5509" s="803" t="s">
        <v>11829</v>
      </c>
      <c r="B5509" s="803" t="s">
        <v>11776</v>
      </c>
      <c r="C5509" s="803" t="s">
        <v>11776</v>
      </c>
      <c r="D5509" s="803" t="s">
        <v>11830</v>
      </c>
      <c r="E5509" s="803">
        <v>100</v>
      </c>
      <c r="F5509" s="850">
        <v>83.288200000000003</v>
      </c>
      <c r="G5509" s="202" t="str">
        <f t="shared" si="85"/>
        <v/>
      </c>
    </row>
    <row r="5510" spans="1:7" s="172" customFormat="1" ht="15" customHeight="1" x14ac:dyDescent="0.25">
      <c r="A5510" s="803" t="s">
        <v>9839</v>
      </c>
      <c r="B5510" s="803" t="s">
        <v>11776</v>
      </c>
      <c r="C5510" s="803" t="s">
        <v>11776</v>
      </c>
      <c r="D5510" s="803" t="s">
        <v>11831</v>
      </c>
      <c r="E5510" s="803">
        <v>63</v>
      </c>
      <c r="F5510" s="850">
        <v>55.837800000000001</v>
      </c>
      <c r="G5510" s="202" t="str">
        <f t="shared" si="85"/>
        <v/>
      </c>
    </row>
    <row r="5511" spans="1:7" s="172" customFormat="1" ht="15" customHeight="1" x14ac:dyDescent="0.25">
      <c r="A5511" s="803" t="s">
        <v>11832</v>
      </c>
      <c r="B5511" s="803" t="s">
        <v>11776</v>
      </c>
      <c r="C5511" s="803" t="s">
        <v>11776</v>
      </c>
      <c r="D5511" s="803" t="s">
        <v>11833</v>
      </c>
      <c r="E5511" s="803">
        <v>63</v>
      </c>
      <c r="F5511" s="850">
        <v>49.073499999999996</v>
      </c>
      <c r="G5511" s="202" t="str">
        <f t="shared" si="85"/>
        <v/>
      </c>
    </row>
    <row r="5512" spans="1:7" s="172" customFormat="1" ht="15" customHeight="1" x14ac:dyDescent="0.25">
      <c r="A5512" s="803" t="s">
        <v>11834</v>
      </c>
      <c r="B5512" s="803" t="s">
        <v>11776</v>
      </c>
      <c r="C5512" s="803" t="s">
        <v>11776</v>
      </c>
      <c r="D5512" s="803" t="s">
        <v>11835</v>
      </c>
      <c r="E5512" s="803">
        <v>63</v>
      </c>
      <c r="F5512" s="850">
        <v>50.267200000000003</v>
      </c>
      <c r="G5512" s="202" t="str">
        <f t="shared" si="85"/>
        <v/>
      </c>
    </row>
    <row r="5513" spans="1:7" s="172" customFormat="1" ht="15" customHeight="1" x14ac:dyDescent="0.25">
      <c r="A5513" s="803" t="s">
        <v>17727</v>
      </c>
      <c r="B5513" s="803" t="s">
        <v>11776</v>
      </c>
      <c r="C5513" s="803" t="s">
        <v>11776</v>
      </c>
      <c r="D5513" s="803" t="s">
        <v>11836</v>
      </c>
      <c r="E5513" s="803">
        <v>30</v>
      </c>
      <c r="F5513" s="850">
        <v>22.041999999999998</v>
      </c>
      <c r="G5513" s="202" t="str">
        <f t="shared" si="85"/>
        <v/>
      </c>
    </row>
    <row r="5514" spans="1:7" s="172" customFormat="1" ht="15" customHeight="1" x14ac:dyDescent="0.25">
      <c r="A5514" s="803" t="s">
        <v>11837</v>
      </c>
      <c r="B5514" s="803" t="s">
        <v>11776</v>
      </c>
      <c r="C5514" s="803" t="s">
        <v>11776</v>
      </c>
      <c r="D5514" s="803" t="s">
        <v>11838</v>
      </c>
      <c r="E5514" s="803">
        <v>30</v>
      </c>
      <c r="F5514" s="850">
        <v>22.439900000000002</v>
      </c>
      <c r="G5514" s="202" t="str">
        <f t="shared" si="85"/>
        <v/>
      </c>
    </row>
    <row r="5515" spans="1:7" s="172" customFormat="1" ht="15" customHeight="1" x14ac:dyDescent="0.25">
      <c r="A5515" s="803" t="s">
        <v>17719</v>
      </c>
      <c r="B5515" s="803" t="s">
        <v>20138</v>
      </c>
      <c r="C5515" s="803" t="s">
        <v>20138</v>
      </c>
      <c r="D5515" s="803" t="s">
        <v>11839</v>
      </c>
      <c r="E5515" s="803">
        <v>250</v>
      </c>
      <c r="F5515" s="850">
        <v>218.16800000000001</v>
      </c>
      <c r="G5515" s="202" t="str">
        <f t="shared" si="85"/>
        <v/>
      </c>
    </row>
    <row r="5516" spans="1:7" s="172" customFormat="1" ht="15" customHeight="1" x14ac:dyDescent="0.25">
      <c r="A5516" s="803" t="s">
        <v>17719</v>
      </c>
      <c r="B5516" s="803" t="s">
        <v>11776</v>
      </c>
      <c r="C5516" s="803" t="s">
        <v>11776</v>
      </c>
      <c r="D5516" s="803" t="s">
        <v>11840</v>
      </c>
      <c r="E5516" s="803">
        <v>63</v>
      </c>
      <c r="F5516" s="850">
        <v>45.094499999999996</v>
      </c>
      <c r="G5516" s="202" t="str">
        <f t="shared" si="85"/>
        <v/>
      </c>
    </row>
    <row r="5517" spans="1:7" s="172" customFormat="1" ht="15" customHeight="1" x14ac:dyDescent="0.25">
      <c r="A5517" s="803" t="s">
        <v>9960</v>
      </c>
      <c r="B5517" s="803" t="s">
        <v>11776</v>
      </c>
      <c r="C5517" s="803" t="s">
        <v>11776</v>
      </c>
      <c r="D5517" s="803" t="s">
        <v>11841</v>
      </c>
      <c r="E5517" s="803">
        <v>30</v>
      </c>
      <c r="F5517" s="850">
        <v>21.644100000000002</v>
      </c>
      <c r="G5517" s="202" t="str">
        <f t="shared" si="85"/>
        <v/>
      </c>
    </row>
    <row r="5518" spans="1:7" s="172" customFormat="1" ht="15" customHeight="1" x14ac:dyDescent="0.25">
      <c r="A5518" s="803" t="s">
        <v>3166</v>
      </c>
      <c r="B5518" s="803" t="s">
        <v>11776</v>
      </c>
      <c r="C5518" s="803" t="s">
        <v>11776</v>
      </c>
      <c r="D5518" s="803" t="s">
        <v>11842</v>
      </c>
      <c r="E5518" s="803">
        <v>250</v>
      </c>
      <c r="F5518" s="850">
        <v>190.315</v>
      </c>
      <c r="G5518" s="202" t="str">
        <f t="shared" si="85"/>
        <v/>
      </c>
    </row>
    <row r="5519" spans="1:7" s="172" customFormat="1" ht="15" customHeight="1" x14ac:dyDescent="0.25">
      <c r="A5519" s="803" t="s">
        <v>11843</v>
      </c>
      <c r="B5519" s="803" t="s">
        <v>11776</v>
      </c>
      <c r="C5519" s="803" t="s">
        <v>11776</v>
      </c>
      <c r="D5519" s="803" t="s">
        <v>11844</v>
      </c>
      <c r="E5519" s="803">
        <v>250</v>
      </c>
      <c r="F5519" s="850">
        <v>186.33599999999998</v>
      </c>
      <c r="G5519" s="202" t="str">
        <f t="shared" si="85"/>
        <v/>
      </c>
    </row>
    <row r="5520" spans="1:7" s="172" customFormat="1" ht="15" customHeight="1" x14ac:dyDescent="0.25">
      <c r="A5520" s="803" t="s">
        <v>11845</v>
      </c>
      <c r="B5520" s="803" t="s">
        <v>11776</v>
      </c>
      <c r="C5520" s="803" t="s">
        <v>11776</v>
      </c>
      <c r="D5520" s="803" t="s">
        <v>11846</v>
      </c>
      <c r="E5520" s="803">
        <v>63</v>
      </c>
      <c r="F5520" s="850">
        <v>33.157499999999999</v>
      </c>
      <c r="G5520" s="202" t="str">
        <f t="shared" si="85"/>
        <v/>
      </c>
    </row>
    <row r="5521" spans="1:7" s="172" customFormat="1" ht="15" customHeight="1" x14ac:dyDescent="0.25">
      <c r="A5521" s="803" t="s">
        <v>3462</v>
      </c>
      <c r="B5521" s="803" t="s">
        <v>11776</v>
      </c>
      <c r="C5521" s="803" t="s">
        <v>11776</v>
      </c>
      <c r="D5521" s="803" t="s">
        <v>11847</v>
      </c>
      <c r="E5521" s="803">
        <v>30</v>
      </c>
      <c r="F5521" s="850">
        <v>18.858799999999999</v>
      </c>
      <c r="G5521" s="202" t="str">
        <f t="shared" si="85"/>
        <v/>
      </c>
    </row>
    <row r="5522" spans="1:7" s="172" customFormat="1" ht="15" customHeight="1" x14ac:dyDescent="0.25">
      <c r="A5522" s="803" t="s">
        <v>11848</v>
      </c>
      <c r="B5522" s="803" t="s">
        <v>11776</v>
      </c>
      <c r="C5522" s="803" t="s">
        <v>11776</v>
      </c>
      <c r="D5522" s="803" t="s">
        <v>11849</v>
      </c>
      <c r="E5522" s="803">
        <v>100</v>
      </c>
      <c r="F5522" s="850">
        <v>48.670899999999996</v>
      </c>
      <c r="G5522" s="202" t="str">
        <f t="shared" si="85"/>
        <v/>
      </c>
    </row>
    <row r="5523" spans="1:7" s="172" customFormat="1" ht="15" customHeight="1" x14ac:dyDescent="0.25">
      <c r="A5523" s="803" t="s">
        <v>11850</v>
      </c>
      <c r="B5523" s="803" t="s">
        <v>11776</v>
      </c>
      <c r="C5523" s="803" t="s">
        <v>11776</v>
      </c>
      <c r="D5523" s="803" t="s">
        <v>11851</v>
      </c>
      <c r="E5523" s="803">
        <v>250</v>
      </c>
      <c r="F5523" s="850">
        <v>158.08510000000001</v>
      </c>
      <c r="G5523" s="202" t="str">
        <f t="shared" si="85"/>
        <v/>
      </c>
    </row>
    <row r="5524" spans="1:7" s="172" customFormat="1" ht="15" customHeight="1" x14ac:dyDescent="0.25">
      <c r="A5524" s="803" t="s">
        <v>11852</v>
      </c>
      <c r="B5524" s="803" t="s">
        <v>11776</v>
      </c>
      <c r="C5524" s="803" t="s">
        <v>11776</v>
      </c>
      <c r="D5524" s="803" t="s">
        <v>11853</v>
      </c>
      <c r="E5524" s="803">
        <v>30</v>
      </c>
      <c r="F5524" s="850">
        <v>17.665100000000002</v>
      </c>
      <c r="G5524" s="202" t="str">
        <f t="shared" si="85"/>
        <v/>
      </c>
    </row>
    <row r="5525" spans="1:7" s="172" customFormat="1" ht="15" customHeight="1" x14ac:dyDescent="0.25">
      <c r="A5525" s="803" t="s">
        <v>11854</v>
      </c>
      <c r="B5525" s="803" t="s">
        <v>11776</v>
      </c>
      <c r="C5525" s="803" t="s">
        <v>11776</v>
      </c>
      <c r="D5525" s="803" t="s">
        <v>11855</v>
      </c>
      <c r="E5525" s="803">
        <v>250</v>
      </c>
      <c r="F5525" s="850">
        <v>140.57749999999999</v>
      </c>
      <c r="G5525" s="202" t="str">
        <f t="shared" si="85"/>
        <v/>
      </c>
    </row>
    <row r="5526" spans="1:7" s="172" customFormat="1" ht="15" customHeight="1" x14ac:dyDescent="0.25">
      <c r="A5526" s="803" t="s">
        <v>5779</v>
      </c>
      <c r="B5526" s="803" t="s">
        <v>11776</v>
      </c>
      <c r="C5526" s="803" t="s">
        <v>11776</v>
      </c>
      <c r="D5526" s="803" t="s">
        <v>11856</v>
      </c>
      <c r="E5526" s="803">
        <v>10</v>
      </c>
      <c r="F5526" s="850">
        <v>3.6335999999999995</v>
      </c>
      <c r="G5526" s="202" t="str">
        <f t="shared" si="85"/>
        <v/>
      </c>
    </row>
    <row r="5527" spans="1:7" s="172" customFormat="1" ht="15" customHeight="1" x14ac:dyDescent="0.25">
      <c r="A5527" s="803" t="s">
        <v>11857</v>
      </c>
      <c r="B5527" s="803" t="s">
        <v>11776</v>
      </c>
      <c r="C5527" s="803" t="s">
        <v>11776</v>
      </c>
      <c r="D5527" s="803" t="s">
        <v>11858</v>
      </c>
      <c r="E5527" s="803">
        <v>100</v>
      </c>
      <c r="F5527" s="850">
        <v>53.047800000000002</v>
      </c>
      <c r="G5527" s="202" t="str">
        <f t="shared" si="85"/>
        <v/>
      </c>
    </row>
    <row r="5528" spans="1:7" s="172" customFormat="1" ht="15" customHeight="1" x14ac:dyDescent="0.25">
      <c r="A5528" s="803" t="s">
        <v>3557</v>
      </c>
      <c r="B5528" s="803" t="s">
        <v>11776</v>
      </c>
      <c r="C5528" s="803" t="s">
        <v>11776</v>
      </c>
      <c r="D5528" s="803" t="s">
        <v>11859</v>
      </c>
      <c r="E5528" s="803">
        <v>30</v>
      </c>
      <c r="F5528" s="850">
        <v>13.6861</v>
      </c>
      <c r="G5528" s="202" t="str">
        <f t="shared" si="85"/>
        <v/>
      </c>
    </row>
    <row r="5529" spans="1:7" s="172" customFormat="1" ht="15" customHeight="1" x14ac:dyDescent="0.25">
      <c r="A5529" s="803" t="s">
        <v>2530</v>
      </c>
      <c r="B5529" s="803" t="s">
        <v>11776</v>
      </c>
      <c r="C5529" s="803" t="s">
        <v>11776</v>
      </c>
      <c r="D5529" s="803" t="s">
        <v>11859</v>
      </c>
      <c r="E5529" s="803">
        <v>30</v>
      </c>
      <c r="F5529" s="850">
        <v>13.6861</v>
      </c>
      <c r="G5529" s="202" t="str">
        <f t="shared" si="85"/>
        <v/>
      </c>
    </row>
    <row r="5530" spans="1:7" s="172" customFormat="1" ht="15" customHeight="1" x14ac:dyDescent="0.25">
      <c r="A5530" s="803" t="s">
        <v>11860</v>
      </c>
      <c r="B5530" s="803" t="s">
        <v>11776</v>
      </c>
      <c r="C5530" s="803" t="s">
        <v>11776</v>
      </c>
      <c r="D5530" s="803" t="s">
        <v>11861</v>
      </c>
      <c r="E5530" s="803">
        <v>63</v>
      </c>
      <c r="F5530" s="850">
        <v>35.942799999999998</v>
      </c>
      <c r="G5530" s="202" t="str">
        <f t="shared" si="85"/>
        <v/>
      </c>
    </row>
    <row r="5531" spans="1:7" s="172" customFormat="1" ht="15" customHeight="1" x14ac:dyDescent="0.25">
      <c r="A5531" s="803" t="s">
        <v>11862</v>
      </c>
      <c r="B5531" s="803" t="s">
        <v>11776</v>
      </c>
      <c r="C5531" s="803" t="s">
        <v>11776</v>
      </c>
      <c r="D5531" s="803" t="s">
        <v>11863</v>
      </c>
      <c r="E5531" s="803">
        <v>30</v>
      </c>
      <c r="F5531" s="850">
        <v>24.031500000000001</v>
      </c>
      <c r="G5531" s="202" t="str">
        <f t="shared" si="85"/>
        <v/>
      </c>
    </row>
    <row r="5532" spans="1:7" s="172" customFormat="1" ht="15" customHeight="1" x14ac:dyDescent="0.25">
      <c r="A5532" s="803" t="s">
        <v>11864</v>
      </c>
      <c r="B5532" s="803" t="s">
        <v>11776</v>
      </c>
      <c r="C5532" s="803" t="s">
        <v>11776</v>
      </c>
      <c r="D5532" s="803" t="s">
        <v>11863</v>
      </c>
      <c r="E5532" s="803">
        <v>30</v>
      </c>
      <c r="F5532" s="850">
        <v>17.665100000000002</v>
      </c>
      <c r="G5532" s="202" t="str">
        <f t="shared" ref="G5532:G5595" si="86">IF(E5532=F5532,"не загружен","")</f>
        <v/>
      </c>
    </row>
    <row r="5533" spans="1:7" s="172" customFormat="1" ht="15" customHeight="1" x14ac:dyDescent="0.25">
      <c r="A5533" s="803" t="s">
        <v>3126</v>
      </c>
      <c r="B5533" s="803" t="s">
        <v>11776</v>
      </c>
      <c r="C5533" s="803" t="s">
        <v>11776</v>
      </c>
      <c r="D5533" s="803" t="s">
        <v>11865</v>
      </c>
      <c r="E5533" s="803">
        <v>100</v>
      </c>
      <c r="F5533" s="850">
        <v>43.896100000000004</v>
      </c>
      <c r="G5533" s="202" t="str">
        <f t="shared" si="86"/>
        <v/>
      </c>
    </row>
    <row r="5534" spans="1:7" s="172" customFormat="1" ht="15" customHeight="1" x14ac:dyDescent="0.25">
      <c r="A5534" s="803" t="s">
        <v>11866</v>
      </c>
      <c r="B5534" s="803" t="s">
        <v>11776</v>
      </c>
      <c r="C5534" s="803" t="s">
        <v>11776</v>
      </c>
      <c r="D5534" s="803" t="s">
        <v>11867</v>
      </c>
      <c r="E5534" s="803">
        <v>30</v>
      </c>
      <c r="F5534" s="850">
        <v>24.031500000000001</v>
      </c>
      <c r="G5534" s="202" t="str">
        <f t="shared" si="86"/>
        <v/>
      </c>
    </row>
    <row r="5535" spans="1:7" s="172" customFormat="1" ht="15" customHeight="1" x14ac:dyDescent="0.25">
      <c r="A5535" s="803" t="s">
        <v>8935</v>
      </c>
      <c r="B5535" s="803" t="s">
        <v>11776</v>
      </c>
      <c r="C5535" s="803" t="s">
        <v>11776</v>
      </c>
      <c r="D5535" s="803" t="s">
        <v>11868</v>
      </c>
      <c r="E5535" s="803">
        <v>30</v>
      </c>
      <c r="F5535" s="850">
        <v>25.225200000000001</v>
      </c>
      <c r="G5535" s="202" t="str">
        <f t="shared" si="86"/>
        <v/>
      </c>
    </row>
    <row r="5536" spans="1:7" s="172" customFormat="1" ht="15" customHeight="1" x14ac:dyDescent="0.25">
      <c r="A5536" s="803" t="s">
        <v>11869</v>
      </c>
      <c r="B5536" s="803" t="s">
        <v>11776</v>
      </c>
      <c r="C5536" s="803" t="s">
        <v>11776</v>
      </c>
      <c r="D5536" s="803" t="s">
        <v>11870</v>
      </c>
      <c r="E5536" s="803">
        <v>30</v>
      </c>
      <c r="F5536" s="850">
        <v>25.225200000000001</v>
      </c>
      <c r="G5536" s="202" t="str">
        <f t="shared" si="86"/>
        <v/>
      </c>
    </row>
    <row r="5537" spans="1:7" s="172" customFormat="1" ht="15" customHeight="1" x14ac:dyDescent="0.25">
      <c r="A5537" s="803" t="s">
        <v>3166</v>
      </c>
      <c r="B5537" s="803" t="s">
        <v>11776</v>
      </c>
      <c r="C5537" s="803" t="s">
        <v>11776</v>
      </c>
      <c r="D5537" s="803" t="s">
        <v>11871</v>
      </c>
      <c r="E5537" s="803">
        <v>160</v>
      </c>
      <c r="F5537" s="850">
        <v>82.011599999999987</v>
      </c>
      <c r="G5537" s="202" t="str">
        <f t="shared" si="86"/>
        <v/>
      </c>
    </row>
    <row r="5538" spans="1:7" s="172" customFormat="1" ht="15" customHeight="1" x14ac:dyDescent="0.25">
      <c r="A5538" s="803" t="s">
        <v>11872</v>
      </c>
      <c r="B5538" s="803" t="s">
        <v>11776</v>
      </c>
      <c r="C5538" s="803" t="s">
        <v>11776</v>
      </c>
      <c r="D5538" s="803" t="s">
        <v>11873</v>
      </c>
      <c r="E5538" s="803">
        <v>63</v>
      </c>
      <c r="F5538" s="850">
        <v>39.125999999999998</v>
      </c>
      <c r="G5538" s="202" t="str">
        <f t="shared" si="86"/>
        <v/>
      </c>
    </row>
    <row r="5539" spans="1:7" s="172" customFormat="1" ht="15" customHeight="1" x14ac:dyDescent="0.25">
      <c r="A5539" s="803" t="s">
        <v>11874</v>
      </c>
      <c r="B5539" s="803" t="s">
        <v>11776</v>
      </c>
      <c r="C5539" s="803" t="s">
        <v>11776</v>
      </c>
      <c r="D5539" s="803" t="s">
        <v>11875</v>
      </c>
      <c r="E5539" s="803">
        <v>30</v>
      </c>
      <c r="F5539" s="850">
        <v>19.654599999999999</v>
      </c>
      <c r="G5539" s="202" t="str">
        <f t="shared" si="86"/>
        <v/>
      </c>
    </row>
    <row r="5540" spans="1:7" s="172" customFormat="1" ht="15" customHeight="1" x14ac:dyDescent="0.25">
      <c r="A5540" s="803" t="s">
        <v>11876</v>
      </c>
      <c r="B5540" s="803" t="s">
        <v>11776</v>
      </c>
      <c r="C5540" s="803" t="s">
        <v>11776</v>
      </c>
      <c r="D5540" s="803" t="s">
        <v>11877</v>
      </c>
      <c r="E5540" s="803">
        <v>63</v>
      </c>
      <c r="F5540" s="850">
        <v>35.146999999999998</v>
      </c>
      <c r="G5540" s="202" t="str">
        <f t="shared" si="86"/>
        <v/>
      </c>
    </row>
    <row r="5541" spans="1:7" s="172" customFormat="1" ht="15" customHeight="1" x14ac:dyDescent="0.25">
      <c r="A5541" s="803" t="s">
        <v>11878</v>
      </c>
      <c r="B5541" s="803" t="s">
        <v>11776</v>
      </c>
      <c r="C5541" s="803" t="s">
        <v>11776</v>
      </c>
      <c r="D5541" s="803" t="s">
        <v>11879</v>
      </c>
      <c r="E5541" s="803">
        <v>250</v>
      </c>
      <c r="F5541" s="850">
        <v>121.47829999999999</v>
      </c>
      <c r="G5541" s="202" t="str">
        <f t="shared" si="86"/>
        <v/>
      </c>
    </row>
    <row r="5542" spans="1:7" s="172" customFormat="1" ht="15" customHeight="1" x14ac:dyDescent="0.25">
      <c r="A5542" s="803" t="s">
        <v>11880</v>
      </c>
      <c r="B5542" s="803" t="s">
        <v>11776</v>
      </c>
      <c r="C5542" s="803" t="s">
        <v>11776</v>
      </c>
      <c r="D5542" s="803" t="s">
        <v>11881</v>
      </c>
      <c r="E5542" s="803">
        <v>400</v>
      </c>
      <c r="F5542" s="850">
        <v>319.22629999999998</v>
      </c>
      <c r="G5542" s="202" t="str">
        <f t="shared" si="86"/>
        <v/>
      </c>
    </row>
    <row r="5543" spans="1:7" s="172" customFormat="1" ht="15" customHeight="1" x14ac:dyDescent="0.25">
      <c r="A5543" s="803" t="s">
        <v>11880</v>
      </c>
      <c r="B5543" s="803" t="s">
        <v>11776</v>
      </c>
      <c r="C5543" s="803" t="s">
        <v>11776</v>
      </c>
      <c r="D5543" s="803" t="s">
        <v>11882</v>
      </c>
      <c r="E5543" s="803">
        <v>100</v>
      </c>
      <c r="F5543" s="850">
        <v>87.267200000000003</v>
      </c>
      <c r="G5543" s="202" t="str">
        <f t="shared" si="86"/>
        <v/>
      </c>
    </row>
    <row r="5544" spans="1:7" s="172" customFormat="1" ht="15" customHeight="1" x14ac:dyDescent="0.25">
      <c r="A5544" s="803" t="s">
        <v>11883</v>
      </c>
      <c r="B5544" s="803" t="s">
        <v>11776</v>
      </c>
      <c r="C5544" s="803" t="s">
        <v>11776</v>
      </c>
      <c r="D5544" s="803" t="s">
        <v>11884</v>
      </c>
      <c r="E5544" s="803">
        <v>100</v>
      </c>
      <c r="F5544" s="850">
        <v>64.984800000000007</v>
      </c>
      <c r="G5544" s="202" t="str">
        <f t="shared" si="86"/>
        <v/>
      </c>
    </row>
    <row r="5545" spans="1:7" s="172" customFormat="1" ht="15" customHeight="1" x14ac:dyDescent="0.25">
      <c r="A5545" s="803" t="s">
        <v>11885</v>
      </c>
      <c r="B5545" s="803" t="s">
        <v>11776</v>
      </c>
      <c r="C5545" s="803" t="s">
        <v>11776</v>
      </c>
      <c r="D5545" s="803" t="s">
        <v>11886</v>
      </c>
      <c r="E5545" s="803">
        <v>63</v>
      </c>
      <c r="F5545" s="850">
        <v>35.544899999999998</v>
      </c>
      <c r="G5545" s="202" t="str">
        <f t="shared" si="86"/>
        <v/>
      </c>
    </row>
    <row r="5546" spans="1:7" s="172" customFormat="1" ht="15" customHeight="1" x14ac:dyDescent="0.25">
      <c r="A5546" s="803" t="s">
        <v>11887</v>
      </c>
      <c r="B5546" s="803" t="s">
        <v>11776</v>
      </c>
      <c r="C5546" s="803" t="s">
        <v>11776</v>
      </c>
      <c r="D5546" s="803" t="s">
        <v>11888</v>
      </c>
      <c r="E5546" s="803">
        <v>30</v>
      </c>
      <c r="F5546" s="850">
        <v>16.073499999999999</v>
      </c>
      <c r="G5546" s="202" t="str">
        <f t="shared" si="86"/>
        <v/>
      </c>
    </row>
    <row r="5547" spans="1:7" s="172" customFormat="1" ht="15" customHeight="1" x14ac:dyDescent="0.25">
      <c r="A5547" s="803" t="s">
        <v>11887</v>
      </c>
      <c r="B5547" s="803" t="s">
        <v>11776</v>
      </c>
      <c r="C5547" s="803" t="s">
        <v>11776</v>
      </c>
      <c r="D5547" s="803" t="s">
        <v>11889</v>
      </c>
      <c r="E5547" s="803">
        <v>250</v>
      </c>
      <c r="F5547" s="850">
        <v>141.37329999999997</v>
      </c>
      <c r="G5547" s="202" t="str">
        <f t="shared" si="86"/>
        <v/>
      </c>
    </row>
    <row r="5548" spans="1:7" s="172" customFormat="1" ht="15" customHeight="1" x14ac:dyDescent="0.25">
      <c r="A5548" s="803" t="s">
        <v>11887</v>
      </c>
      <c r="B5548" s="803" t="s">
        <v>11776</v>
      </c>
      <c r="C5548" s="803" t="s">
        <v>11776</v>
      </c>
      <c r="D5548" s="803" t="s">
        <v>11890</v>
      </c>
      <c r="E5548" s="803">
        <v>400</v>
      </c>
      <c r="F5548" s="850">
        <v>214.57859999999999</v>
      </c>
      <c r="G5548" s="202" t="str">
        <f t="shared" si="86"/>
        <v/>
      </c>
    </row>
    <row r="5549" spans="1:7" s="172" customFormat="1" ht="15" customHeight="1" x14ac:dyDescent="0.25">
      <c r="A5549" s="803" t="s">
        <v>11887</v>
      </c>
      <c r="B5549" s="803" t="s">
        <v>11776</v>
      </c>
      <c r="C5549" s="803" t="s">
        <v>11776</v>
      </c>
      <c r="D5549" s="803" t="s">
        <v>11891</v>
      </c>
      <c r="E5549" s="803">
        <v>400</v>
      </c>
      <c r="F5549" s="850">
        <v>318.82839999999999</v>
      </c>
      <c r="G5549" s="202" t="str">
        <f t="shared" si="86"/>
        <v/>
      </c>
    </row>
    <row r="5550" spans="1:7" s="172" customFormat="1" ht="15" customHeight="1" x14ac:dyDescent="0.25">
      <c r="A5550" s="803" t="s">
        <v>11887</v>
      </c>
      <c r="B5550" s="803" t="s">
        <v>11776</v>
      </c>
      <c r="C5550" s="803" t="s">
        <v>11776</v>
      </c>
      <c r="D5550" s="803" t="s">
        <v>11892</v>
      </c>
      <c r="E5550" s="803">
        <v>250</v>
      </c>
      <c r="F5550" s="850">
        <v>129.43630000000002</v>
      </c>
      <c r="G5550" s="202" t="str">
        <f t="shared" si="86"/>
        <v/>
      </c>
    </row>
    <row r="5551" spans="1:7" s="172" customFormat="1" ht="15" customHeight="1" x14ac:dyDescent="0.25">
      <c r="A5551" s="803" t="s">
        <v>11893</v>
      </c>
      <c r="B5551" s="803" t="s">
        <v>11776</v>
      </c>
      <c r="C5551" s="803" t="s">
        <v>11776</v>
      </c>
      <c r="D5551" s="803" t="s">
        <v>11894</v>
      </c>
      <c r="E5551" s="803">
        <v>100</v>
      </c>
      <c r="F5551" s="850">
        <v>71.749099999999999</v>
      </c>
      <c r="G5551" s="202" t="str">
        <f t="shared" si="86"/>
        <v/>
      </c>
    </row>
    <row r="5552" spans="1:7" s="172" customFormat="1" ht="15" customHeight="1" x14ac:dyDescent="0.25">
      <c r="A5552" s="803" t="s">
        <v>11895</v>
      </c>
      <c r="B5552" s="803" t="s">
        <v>11776</v>
      </c>
      <c r="C5552" s="803" t="s">
        <v>11776</v>
      </c>
      <c r="D5552" s="803" t="s">
        <v>11896</v>
      </c>
      <c r="E5552" s="803">
        <v>100</v>
      </c>
      <c r="F5552" s="850">
        <v>18.828400000000002</v>
      </c>
      <c r="G5552" s="202" t="str">
        <f t="shared" si="86"/>
        <v/>
      </c>
    </row>
    <row r="5553" spans="1:7" s="172" customFormat="1" ht="15" customHeight="1" x14ac:dyDescent="0.25">
      <c r="A5553" s="803" t="s">
        <v>2473</v>
      </c>
      <c r="B5553" s="803" t="s">
        <v>11776</v>
      </c>
      <c r="C5553" s="803" t="s">
        <v>11776</v>
      </c>
      <c r="D5553" s="803" t="s">
        <v>11897</v>
      </c>
      <c r="E5553" s="803">
        <v>40</v>
      </c>
      <c r="F5553" s="850">
        <v>24.879799999999999</v>
      </c>
      <c r="G5553" s="202" t="str">
        <f t="shared" si="86"/>
        <v/>
      </c>
    </row>
    <row r="5554" spans="1:7" s="172" customFormat="1" ht="15" customHeight="1" x14ac:dyDescent="0.25">
      <c r="A5554" s="803" t="s">
        <v>11514</v>
      </c>
      <c r="B5554" s="803" t="s">
        <v>11776</v>
      </c>
      <c r="C5554" s="803" t="s">
        <v>11776</v>
      </c>
      <c r="D5554" s="803" t="s">
        <v>11898</v>
      </c>
      <c r="E5554" s="803">
        <v>100</v>
      </c>
      <c r="F5554" s="850">
        <v>54.241499999999995</v>
      </c>
      <c r="G5554" s="202" t="str">
        <f t="shared" si="86"/>
        <v/>
      </c>
    </row>
    <row r="5555" spans="1:7" s="172" customFormat="1" ht="15" customHeight="1" x14ac:dyDescent="0.25">
      <c r="A5555" s="803" t="s">
        <v>3135</v>
      </c>
      <c r="B5555" s="803" t="s">
        <v>11776</v>
      </c>
      <c r="C5555" s="803" t="s">
        <v>11776</v>
      </c>
      <c r="D5555" s="803" t="s">
        <v>11899</v>
      </c>
      <c r="E5555" s="803">
        <v>60</v>
      </c>
      <c r="F5555" s="850">
        <v>32.942799999999998</v>
      </c>
      <c r="G5555" s="202" t="str">
        <f t="shared" si="86"/>
        <v/>
      </c>
    </row>
    <row r="5556" spans="1:7" s="172" customFormat="1" ht="15" customHeight="1" x14ac:dyDescent="0.25">
      <c r="A5556" s="803" t="s">
        <v>3292</v>
      </c>
      <c r="B5556" s="803" t="s">
        <v>11776</v>
      </c>
      <c r="C5556" s="803" t="s">
        <v>11776</v>
      </c>
      <c r="D5556" s="803" t="s">
        <v>11900</v>
      </c>
      <c r="E5556" s="803">
        <v>100</v>
      </c>
      <c r="F5556" s="850">
        <v>52.649899999999995</v>
      </c>
      <c r="G5556" s="202" t="str">
        <f t="shared" si="86"/>
        <v/>
      </c>
    </row>
    <row r="5557" spans="1:7" s="172" customFormat="1" ht="15" customHeight="1" x14ac:dyDescent="0.25">
      <c r="A5557" s="803" t="s">
        <v>3292</v>
      </c>
      <c r="B5557" s="803" t="s">
        <v>11776</v>
      </c>
      <c r="C5557" s="803" t="s">
        <v>11776</v>
      </c>
      <c r="D5557" s="803" t="s">
        <v>11901</v>
      </c>
      <c r="E5557" s="803">
        <v>160</v>
      </c>
      <c r="F5557" s="850">
        <v>92.356999999999999</v>
      </c>
      <c r="G5557" s="202" t="str">
        <f t="shared" si="86"/>
        <v/>
      </c>
    </row>
    <row r="5558" spans="1:7" s="172" customFormat="1" ht="15" customHeight="1" x14ac:dyDescent="0.25">
      <c r="A5558" s="803" t="s">
        <v>3292</v>
      </c>
      <c r="B5558" s="803" t="s">
        <v>11776</v>
      </c>
      <c r="C5558" s="803" t="s">
        <v>11776</v>
      </c>
      <c r="D5558" s="803" t="s">
        <v>11902</v>
      </c>
      <c r="E5558" s="803">
        <v>100</v>
      </c>
      <c r="F5558" s="850">
        <v>52.251999999999995</v>
      </c>
      <c r="G5558" s="202" t="str">
        <f t="shared" si="86"/>
        <v/>
      </c>
    </row>
    <row r="5559" spans="1:7" s="172" customFormat="1" ht="15" customHeight="1" x14ac:dyDescent="0.25">
      <c r="A5559" s="803" t="s">
        <v>11903</v>
      </c>
      <c r="B5559" s="803" t="s">
        <v>11776</v>
      </c>
      <c r="C5559" s="803" t="s">
        <v>11776</v>
      </c>
      <c r="D5559" s="803" t="s">
        <v>11902</v>
      </c>
      <c r="E5559" s="803">
        <v>63</v>
      </c>
      <c r="F5559" s="850">
        <v>39.125999999999998</v>
      </c>
      <c r="G5559" s="202" t="str">
        <f t="shared" si="86"/>
        <v/>
      </c>
    </row>
    <row r="5560" spans="1:7" s="172" customFormat="1" ht="15" customHeight="1" x14ac:dyDescent="0.25">
      <c r="A5560" s="803" t="s">
        <v>11904</v>
      </c>
      <c r="B5560" s="803" t="s">
        <v>11776</v>
      </c>
      <c r="C5560" s="803" t="s">
        <v>11776</v>
      </c>
      <c r="D5560" s="803" t="s">
        <v>11905</v>
      </c>
      <c r="E5560" s="803">
        <v>63</v>
      </c>
      <c r="F5560" s="850">
        <v>37.136499999999998</v>
      </c>
      <c r="G5560" s="202" t="str">
        <f t="shared" si="86"/>
        <v/>
      </c>
    </row>
    <row r="5561" spans="1:7" s="172" customFormat="1" ht="15" customHeight="1" x14ac:dyDescent="0.25">
      <c r="A5561" s="803" t="s">
        <v>11906</v>
      </c>
      <c r="B5561" s="803" t="s">
        <v>11776</v>
      </c>
      <c r="C5561" s="803" t="s">
        <v>11776</v>
      </c>
      <c r="D5561" s="803" t="s">
        <v>11907</v>
      </c>
      <c r="E5561" s="803">
        <v>63</v>
      </c>
      <c r="F5561" s="850">
        <v>41.115499999999997</v>
      </c>
      <c r="G5561" s="202" t="str">
        <f t="shared" si="86"/>
        <v/>
      </c>
    </row>
    <row r="5562" spans="1:7" s="172" customFormat="1" ht="15" customHeight="1" x14ac:dyDescent="0.25">
      <c r="A5562" s="803" t="s">
        <v>11908</v>
      </c>
      <c r="B5562" s="803" t="s">
        <v>11776</v>
      </c>
      <c r="C5562" s="803" t="s">
        <v>11776</v>
      </c>
      <c r="D5562" s="803" t="s">
        <v>11909</v>
      </c>
      <c r="E5562" s="803">
        <v>30</v>
      </c>
      <c r="F5562" s="850">
        <v>18.062999999999999</v>
      </c>
      <c r="G5562" s="202" t="str">
        <f t="shared" si="86"/>
        <v/>
      </c>
    </row>
    <row r="5563" spans="1:7" s="172" customFormat="1" ht="15" customHeight="1" x14ac:dyDescent="0.25">
      <c r="A5563" s="803" t="s">
        <v>8334</v>
      </c>
      <c r="B5563" s="803" t="s">
        <v>11776</v>
      </c>
      <c r="C5563" s="803" t="s">
        <v>11776</v>
      </c>
      <c r="D5563" s="803" t="s">
        <v>11910</v>
      </c>
      <c r="E5563" s="803">
        <v>63</v>
      </c>
      <c r="F5563" s="850">
        <v>33.157499999999999</v>
      </c>
      <c r="G5563" s="202" t="str">
        <f t="shared" si="86"/>
        <v/>
      </c>
    </row>
    <row r="5564" spans="1:7" s="172" customFormat="1" ht="15" customHeight="1" x14ac:dyDescent="0.25">
      <c r="A5564" s="803" t="s">
        <v>3006</v>
      </c>
      <c r="B5564" s="803" t="s">
        <v>11776</v>
      </c>
      <c r="C5564" s="803" t="s">
        <v>11776</v>
      </c>
      <c r="D5564" s="803" t="s">
        <v>11911</v>
      </c>
      <c r="E5564" s="803">
        <v>30</v>
      </c>
      <c r="F5564" s="850">
        <v>12.0945</v>
      </c>
      <c r="G5564" s="202" t="str">
        <f t="shared" si="86"/>
        <v/>
      </c>
    </row>
    <row r="5565" spans="1:7" s="172" customFormat="1" ht="15" customHeight="1" x14ac:dyDescent="0.25">
      <c r="A5565" s="803" t="s">
        <v>3346</v>
      </c>
      <c r="B5565" s="803" t="s">
        <v>11776</v>
      </c>
      <c r="C5565" s="803" t="s">
        <v>11776</v>
      </c>
      <c r="D5565" s="803" t="s">
        <v>11912</v>
      </c>
      <c r="E5565" s="803">
        <v>100</v>
      </c>
      <c r="F5565" s="850">
        <v>54.241499999999995</v>
      </c>
      <c r="G5565" s="202" t="str">
        <f t="shared" si="86"/>
        <v/>
      </c>
    </row>
    <row r="5566" spans="1:7" s="172" customFormat="1" ht="15" customHeight="1" x14ac:dyDescent="0.25">
      <c r="A5566" s="803" t="s">
        <v>3530</v>
      </c>
      <c r="B5566" s="803" t="s">
        <v>11776</v>
      </c>
      <c r="C5566" s="803" t="s">
        <v>11776</v>
      </c>
      <c r="D5566" s="803" t="s">
        <v>11913</v>
      </c>
      <c r="E5566" s="803">
        <v>250</v>
      </c>
      <c r="F5566" s="850">
        <v>176.38849999999999</v>
      </c>
      <c r="G5566" s="202" t="str">
        <f t="shared" si="86"/>
        <v/>
      </c>
    </row>
    <row r="5567" spans="1:7" s="172" customFormat="1" ht="15" customHeight="1" x14ac:dyDescent="0.25">
      <c r="A5567" s="803" t="s">
        <v>3346</v>
      </c>
      <c r="B5567" s="803" t="s">
        <v>11776</v>
      </c>
      <c r="C5567" s="803" t="s">
        <v>11776</v>
      </c>
      <c r="D5567" s="803" t="s">
        <v>11914</v>
      </c>
      <c r="E5567" s="803">
        <v>400</v>
      </c>
      <c r="F5567" s="850">
        <v>279.83420000000001</v>
      </c>
      <c r="G5567" s="202" t="str">
        <f t="shared" si="86"/>
        <v/>
      </c>
    </row>
    <row r="5568" spans="1:7" s="172" customFormat="1" ht="15" customHeight="1" x14ac:dyDescent="0.25">
      <c r="A5568" s="803" t="s">
        <v>11915</v>
      </c>
      <c r="B5568" s="803" t="s">
        <v>11776</v>
      </c>
      <c r="C5568" s="803" t="s">
        <v>11776</v>
      </c>
      <c r="D5568" s="803" t="s">
        <v>11916</v>
      </c>
      <c r="E5568" s="803">
        <v>63</v>
      </c>
      <c r="F5568" s="850">
        <v>31.167999999999996</v>
      </c>
      <c r="G5568" s="202" t="str">
        <f t="shared" si="86"/>
        <v/>
      </c>
    </row>
    <row r="5569" spans="1:7" s="172" customFormat="1" ht="15" customHeight="1" x14ac:dyDescent="0.25">
      <c r="A5569" s="803" t="s">
        <v>11917</v>
      </c>
      <c r="B5569" s="803" t="s">
        <v>11776</v>
      </c>
      <c r="C5569" s="803" t="s">
        <v>11776</v>
      </c>
      <c r="D5569" s="803" t="s">
        <v>11918</v>
      </c>
      <c r="E5569" s="803">
        <v>63</v>
      </c>
      <c r="F5569" s="850">
        <v>41.513400000000004</v>
      </c>
      <c r="G5569" s="202" t="str">
        <f t="shared" si="86"/>
        <v/>
      </c>
    </row>
    <row r="5570" spans="1:7" s="172" customFormat="1" ht="15" customHeight="1" x14ac:dyDescent="0.25">
      <c r="A5570" s="803" t="s">
        <v>3126</v>
      </c>
      <c r="B5570" s="803" t="s">
        <v>11776</v>
      </c>
      <c r="C5570" s="803" t="s">
        <v>11776</v>
      </c>
      <c r="D5570" s="803" t="s">
        <v>11919</v>
      </c>
      <c r="E5570" s="803">
        <v>30</v>
      </c>
      <c r="F5570" s="850">
        <v>20.848300000000002</v>
      </c>
      <c r="G5570" s="202" t="str">
        <f t="shared" si="86"/>
        <v/>
      </c>
    </row>
    <row r="5571" spans="1:7" s="172" customFormat="1" ht="15" customHeight="1" x14ac:dyDescent="0.25">
      <c r="A5571" s="803" t="s">
        <v>4840</v>
      </c>
      <c r="B5571" s="803" t="s">
        <v>11776</v>
      </c>
      <c r="C5571" s="803" t="s">
        <v>11776</v>
      </c>
      <c r="D5571" s="803" t="s">
        <v>11920</v>
      </c>
      <c r="E5571" s="803">
        <v>63</v>
      </c>
      <c r="F5571" s="850">
        <v>33.157499999999999</v>
      </c>
      <c r="G5571" s="202" t="str">
        <f t="shared" si="86"/>
        <v/>
      </c>
    </row>
    <row r="5572" spans="1:7" s="172" customFormat="1" ht="15" customHeight="1" x14ac:dyDescent="0.25">
      <c r="A5572" s="803" t="s">
        <v>11921</v>
      </c>
      <c r="B5572" s="803" t="s">
        <v>11776</v>
      </c>
      <c r="C5572" s="803" t="s">
        <v>11776</v>
      </c>
      <c r="D5572" s="803" t="s">
        <v>11922</v>
      </c>
      <c r="E5572" s="803">
        <v>63</v>
      </c>
      <c r="F5572" s="850">
        <v>30.372199999999999</v>
      </c>
      <c r="G5572" s="202" t="str">
        <f t="shared" si="86"/>
        <v/>
      </c>
    </row>
    <row r="5573" spans="1:7" s="172" customFormat="1" ht="15" customHeight="1" x14ac:dyDescent="0.25">
      <c r="A5573" s="803" t="s">
        <v>8384</v>
      </c>
      <c r="B5573" s="803" t="s">
        <v>11776</v>
      </c>
      <c r="C5573" s="803" t="s">
        <v>11776</v>
      </c>
      <c r="D5573" s="803" t="s">
        <v>11922</v>
      </c>
      <c r="E5573" s="803">
        <v>63</v>
      </c>
      <c r="F5573" s="850">
        <v>31.167999999999996</v>
      </c>
      <c r="G5573" s="202" t="str">
        <f t="shared" si="86"/>
        <v/>
      </c>
    </row>
    <row r="5574" spans="1:7" s="172" customFormat="1" ht="15" customHeight="1" x14ac:dyDescent="0.25">
      <c r="A5574" s="803" t="s">
        <v>11923</v>
      </c>
      <c r="B5574" s="803" t="s">
        <v>11776</v>
      </c>
      <c r="C5574" s="803" t="s">
        <v>11776</v>
      </c>
      <c r="D5574" s="803" t="s">
        <v>11924</v>
      </c>
      <c r="E5574" s="803">
        <v>100</v>
      </c>
      <c r="F5574" s="850">
        <v>46.283499999999997</v>
      </c>
      <c r="G5574" s="202" t="str">
        <f t="shared" si="86"/>
        <v/>
      </c>
    </row>
    <row r="5575" spans="1:7" s="172" customFormat="1" ht="15" customHeight="1" x14ac:dyDescent="0.25">
      <c r="A5575" s="803" t="s">
        <v>3006</v>
      </c>
      <c r="B5575" s="803" t="s">
        <v>11776</v>
      </c>
      <c r="C5575" s="803" t="s">
        <v>11776</v>
      </c>
      <c r="D5575" s="803" t="s">
        <v>11925</v>
      </c>
      <c r="E5575" s="803">
        <v>30</v>
      </c>
      <c r="F5575" s="850">
        <v>18.062999999999999</v>
      </c>
      <c r="G5575" s="202" t="str">
        <f t="shared" si="86"/>
        <v/>
      </c>
    </row>
    <row r="5576" spans="1:7" s="172" customFormat="1" ht="15" customHeight="1" x14ac:dyDescent="0.25">
      <c r="A5576" s="803" t="s">
        <v>11926</v>
      </c>
      <c r="B5576" s="803" t="s">
        <v>11776</v>
      </c>
      <c r="C5576" s="803" t="s">
        <v>11776</v>
      </c>
      <c r="D5576" s="803" t="s">
        <v>11927</v>
      </c>
      <c r="E5576" s="803">
        <v>63</v>
      </c>
      <c r="F5576" s="850">
        <v>37.136499999999998</v>
      </c>
      <c r="G5576" s="202" t="str">
        <f t="shared" si="86"/>
        <v/>
      </c>
    </row>
    <row r="5577" spans="1:7" s="172" customFormat="1" ht="15" customHeight="1" x14ac:dyDescent="0.25">
      <c r="A5577" s="803" t="s">
        <v>11923</v>
      </c>
      <c r="B5577" s="803" t="s">
        <v>11776</v>
      </c>
      <c r="C5577" s="803" t="s">
        <v>11776</v>
      </c>
      <c r="D5577" s="803" t="s">
        <v>11928</v>
      </c>
      <c r="E5577" s="803">
        <v>63</v>
      </c>
      <c r="F5577" s="850">
        <v>31.167999999999996</v>
      </c>
      <c r="G5577" s="202" t="str">
        <f t="shared" si="86"/>
        <v/>
      </c>
    </row>
    <row r="5578" spans="1:7" s="172" customFormat="1" ht="15" customHeight="1" x14ac:dyDescent="0.25">
      <c r="A5578" s="803" t="s">
        <v>11923</v>
      </c>
      <c r="B5578" s="803" t="s">
        <v>11776</v>
      </c>
      <c r="C5578" s="803" t="s">
        <v>11776</v>
      </c>
      <c r="D5578" s="803" t="s">
        <v>11929</v>
      </c>
      <c r="E5578" s="803">
        <v>250</v>
      </c>
      <c r="F5578" s="850">
        <v>174.399</v>
      </c>
      <c r="G5578" s="202" t="str">
        <f t="shared" si="86"/>
        <v/>
      </c>
    </row>
    <row r="5579" spans="1:7" s="172" customFormat="1" ht="15" customHeight="1" x14ac:dyDescent="0.25">
      <c r="A5579" s="803" t="s">
        <v>11923</v>
      </c>
      <c r="B5579" s="803" t="s">
        <v>11776</v>
      </c>
      <c r="C5579" s="803" t="s">
        <v>11776</v>
      </c>
      <c r="D5579" s="803" t="s">
        <v>11930</v>
      </c>
      <c r="E5579" s="803">
        <v>250</v>
      </c>
      <c r="F5579" s="850">
        <v>202.25200000000001</v>
      </c>
      <c r="G5579" s="202" t="str">
        <f t="shared" si="86"/>
        <v/>
      </c>
    </row>
    <row r="5580" spans="1:7" s="172" customFormat="1" ht="15" customHeight="1" x14ac:dyDescent="0.25">
      <c r="A5580" s="803" t="s">
        <v>11931</v>
      </c>
      <c r="B5580" s="803" t="s">
        <v>11776</v>
      </c>
      <c r="C5580" s="803" t="s">
        <v>11776</v>
      </c>
      <c r="D5580" s="803" t="s">
        <v>11932</v>
      </c>
      <c r="E5580" s="803">
        <v>100</v>
      </c>
      <c r="F5580" s="850">
        <v>76.126000000000005</v>
      </c>
      <c r="G5580" s="202" t="str">
        <f t="shared" si="86"/>
        <v/>
      </c>
    </row>
    <row r="5581" spans="1:7" s="172" customFormat="1" ht="15" customHeight="1" x14ac:dyDescent="0.25">
      <c r="A5581" s="803" t="s">
        <v>11931</v>
      </c>
      <c r="B5581" s="803" t="s">
        <v>11776</v>
      </c>
      <c r="C5581" s="803" t="s">
        <v>11776</v>
      </c>
      <c r="D5581" s="803" t="s">
        <v>11933</v>
      </c>
      <c r="E5581" s="803">
        <v>250</v>
      </c>
      <c r="F5581" s="850">
        <v>188.7234</v>
      </c>
      <c r="G5581" s="202" t="str">
        <f t="shared" si="86"/>
        <v/>
      </c>
    </row>
    <row r="5582" spans="1:7" s="172" customFormat="1" ht="15" customHeight="1" x14ac:dyDescent="0.25">
      <c r="A5582" s="803" t="s">
        <v>11934</v>
      </c>
      <c r="B5582" s="803" t="s">
        <v>11776</v>
      </c>
      <c r="C5582" s="803" t="s">
        <v>11776</v>
      </c>
      <c r="D5582" s="803" t="s">
        <v>11935</v>
      </c>
      <c r="E5582" s="803">
        <v>20</v>
      </c>
      <c r="F5582" s="850">
        <v>2.0945</v>
      </c>
      <c r="G5582" s="202" t="str">
        <f t="shared" si="86"/>
        <v/>
      </c>
    </row>
    <row r="5583" spans="1:7" s="172" customFormat="1" ht="15" customHeight="1" x14ac:dyDescent="0.25">
      <c r="A5583" s="803" t="s">
        <v>11936</v>
      </c>
      <c r="B5583" s="803" t="s">
        <v>11776</v>
      </c>
      <c r="C5583" s="803" t="s">
        <v>11776</v>
      </c>
      <c r="D5583" s="803" t="s">
        <v>11937</v>
      </c>
      <c r="E5583" s="803">
        <v>160</v>
      </c>
      <c r="F5583" s="850">
        <v>128.96379999999999</v>
      </c>
      <c r="G5583" s="202" t="str">
        <f t="shared" si="86"/>
        <v/>
      </c>
    </row>
    <row r="5584" spans="1:7" s="172" customFormat="1" ht="15" customHeight="1" x14ac:dyDescent="0.25">
      <c r="A5584" s="803" t="s">
        <v>11936</v>
      </c>
      <c r="B5584" s="803" t="s">
        <v>11776</v>
      </c>
      <c r="C5584" s="803" t="s">
        <v>11776</v>
      </c>
      <c r="D5584" s="803" t="s">
        <v>11938</v>
      </c>
      <c r="E5584" s="803">
        <v>400</v>
      </c>
      <c r="F5584" s="850">
        <v>278.64049999999997</v>
      </c>
      <c r="G5584" s="202" t="str">
        <f t="shared" si="86"/>
        <v/>
      </c>
    </row>
    <row r="5585" spans="1:7" s="172" customFormat="1" ht="15" customHeight="1" x14ac:dyDescent="0.25">
      <c r="A5585" s="803" t="s">
        <v>11939</v>
      </c>
      <c r="B5585" s="803" t="s">
        <v>11776</v>
      </c>
      <c r="C5585" s="803" t="s">
        <v>11776</v>
      </c>
      <c r="D5585" s="803" t="s">
        <v>11940</v>
      </c>
      <c r="E5585" s="803">
        <v>60</v>
      </c>
      <c r="F5585" s="850">
        <v>17.424700000000001</v>
      </c>
      <c r="G5585" s="202" t="str">
        <f t="shared" si="86"/>
        <v/>
      </c>
    </row>
    <row r="5586" spans="1:7" s="172" customFormat="1" ht="15" customHeight="1" x14ac:dyDescent="0.25">
      <c r="A5586" s="803" t="s">
        <v>11941</v>
      </c>
      <c r="B5586" s="803" t="s">
        <v>11776</v>
      </c>
      <c r="C5586" s="803" t="s">
        <v>11776</v>
      </c>
      <c r="D5586" s="803" t="s">
        <v>11942</v>
      </c>
      <c r="E5586" s="803">
        <v>63</v>
      </c>
      <c r="F5586" s="850">
        <v>17.241499999999995</v>
      </c>
      <c r="G5586" s="202" t="str">
        <f t="shared" si="86"/>
        <v/>
      </c>
    </row>
    <row r="5587" spans="1:7" s="172" customFormat="1" ht="15" customHeight="1" x14ac:dyDescent="0.25">
      <c r="A5587" s="803" t="s">
        <v>11943</v>
      </c>
      <c r="B5587" s="803" t="s">
        <v>11776</v>
      </c>
      <c r="C5587" s="803" t="s">
        <v>11776</v>
      </c>
      <c r="D5587" s="803" t="s">
        <v>11944</v>
      </c>
      <c r="E5587" s="803">
        <v>40</v>
      </c>
      <c r="F5587" s="850">
        <v>28.858799999999999</v>
      </c>
      <c r="G5587" s="202" t="str">
        <f t="shared" si="86"/>
        <v/>
      </c>
    </row>
    <row r="5588" spans="1:7" s="172" customFormat="1" ht="15" customHeight="1" x14ac:dyDescent="0.25">
      <c r="A5588" s="803" t="s">
        <v>3699</v>
      </c>
      <c r="B5588" s="803" t="s">
        <v>11776</v>
      </c>
      <c r="C5588" s="803" t="s">
        <v>11776</v>
      </c>
      <c r="D5588" s="803" t="s">
        <v>11945</v>
      </c>
      <c r="E5588" s="803">
        <v>10</v>
      </c>
      <c r="F5588" s="850">
        <v>6.8167999999999997</v>
      </c>
      <c r="G5588" s="202" t="str">
        <f t="shared" si="86"/>
        <v/>
      </c>
    </row>
    <row r="5589" spans="1:7" s="172" customFormat="1" ht="15" customHeight="1" x14ac:dyDescent="0.25">
      <c r="A5589" s="803" t="s">
        <v>11946</v>
      </c>
      <c r="B5589" s="803" t="s">
        <v>11776</v>
      </c>
      <c r="C5589" s="803" t="s">
        <v>11776</v>
      </c>
      <c r="D5589" s="803" t="s">
        <v>11947</v>
      </c>
      <c r="E5589" s="803">
        <v>63</v>
      </c>
      <c r="F5589" s="850">
        <v>39.523899999999998</v>
      </c>
      <c r="G5589" s="202" t="str">
        <f t="shared" si="86"/>
        <v/>
      </c>
    </row>
    <row r="5590" spans="1:7" s="172" customFormat="1" ht="15" customHeight="1" x14ac:dyDescent="0.25">
      <c r="A5590" s="803" t="s">
        <v>11948</v>
      </c>
      <c r="B5590" s="803" t="s">
        <v>11776</v>
      </c>
      <c r="C5590" s="803" t="s">
        <v>11776</v>
      </c>
      <c r="D5590" s="803" t="s">
        <v>11949</v>
      </c>
      <c r="E5590" s="803">
        <v>30</v>
      </c>
      <c r="F5590" s="850">
        <v>16.073499999999999</v>
      </c>
      <c r="G5590" s="202" t="str">
        <f t="shared" si="86"/>
        <v/>
      </c>
    </row>
    <row r="5591" spans="1:7" s="172" customFormat="1" ht="15" customHeight="1" x14ac:dyDescent="0.25">
      <c r="A5591" s="803" t="s">
        <v>11950</v>
      </c>
      <c r="B5591" s="803" t="s">
        <v>11776</v>
      </c>
      <c r="C5591" s="803" t="s">
        <v>11776</v>
      </c>
      <c r="D5591" s="803" t="s">
        <v>11951</v>
      </c>
      <c r="E5591" s="803">
        <v>100</v>
      </c>
      <c r="F5591" s="850">
        <v>60.21</v>
      </c>
      <c r="G5591" s="202" t="str">
        <f t="shared" si="86"/>
        <v/>
      </c>
    </row>
    <row r="5592" spans="1:7" s="172" customFormat="1" ht="15" customHeight="1" x14ac:dyDescent="0.25">
      <c r="A5592" s="803" t="s">
        <v>3249</v>
      </c>
      <c r="B5592" s="803" t="s">
        <v>11776</v>
      </c>
      <c r="C5592" s="803" t="s">
        <v>11776</v>
      </c>
      <c r="D5592" s="803" t="s">
        <v>11952</v>
      </c>
      <c r="E5592" s="803">
        <v>30</v>
      </c>
      <c r="F5592" s="850">
        <v>18.062999999999999</v>
      </c>
      <c r="G5592" s="202" t="str">
        <f t="shared" si="86"/>
        <v/>
      </c>
    </row>
    <row r="5593" spans="1:7" s="172" customFormat="1" ht="15" customHeight="1" x14ac:dyDescent="0.25">
      <c r="A5593" s="803" t="s">
        <v>11936</v>
      </c>
      <c r="B5593" s="803" t="s">
        <v>11776</v>
      </c>
      <c r="C5593" s="803" t="s">
        <v>11776</v>
      </c>
      <c r="D5593" s="803" t="s">
        <v>11953</v>
      </c>
      <c r="E5593" s="803">
        <v>160</v>
      </c>
      <c r="F5593" s="850">
        <v>91.959100000000007</v>
      </c>
      <c r="G5593" s="202" t="str">
        <f t="shared" si="86"/>
        <v/>
      </c>
    </row>
    <row r="5594" spans="1:7" s="172" customFormat="1" ht="15" customHeight="1" x14ac:dyDescent="0.25">
      <c r="A5594" s="803" t="s">
        <v>11936</v>
      </c>
      <c r="B5594" s="803" t="s">
        <v>11776</v>
      </c>
      <c r="C5594" s="803" t="s">
        <v>11776</v>
      </c>
      <c r="D5594" s="803" t="s">
        <v>11954</v>
      </c>
      <c r="E5594" s="803">
        <v>160</v>
      </c>
      <c r="F5594" s="850">
        <v>92.356999999999999</v>
      </c>
      <c r="G5594" s="202" t="str">
        <f t="shared" si="86"/>
        <v/>
      </c>
    </row>
    <row r="5595" spans="1:7" s="172" customFormat="1" ht="15" customHeight="1" x14ac:dyDescent="0.25">
      <c r="A5595" s="803" t="s">
        <v>11936</v>
      </c>
      <c r="B5595" s="803" t="s">
        <v>11776</v>
      </c>
      <c r="C5595" s="803" t="s">
        <v>11776</v>
      </c>
      <c r="D5595" s="803" t="s">
        <v>11955</v>
      </c>
      <c r="E5595" s="803">
        <v>250</v>
      </c>
      <c r="F5595" s="850">
        <v>171.2158</v>
      </c>
      <c r="G5595" s="202" t="str">
        <f t="shared" si="86"/>
        <v/>
      </c>
    </row>
    <row r="5596" spans="1:7" s="172" customFormat="1" ht="15" customHeight="1" x14ac:dyDescent="0.25">
      <c r="A5596" s="803" t="s">
        <v>11936</v>
      </c>
      <c r="B5596" s="803" t="s">
        <v>11776</v>
      </c>
      <c r="C5596" s="803" t="s">
        <v>11776</v>
      </c>
      <c r="D5596" s="803" t="s">
        <v>11956</v>
      </c>
      <c r="E5596" s="803">
        <v>100</v>
      </c>
      <c r="F5596" s="850">
        <v>55.435199999999995</v>
      </c>
      <c r="G5596" s="202" t="str">
        <f t="shared" ref="G5596:G5659" si="87">IF(E5596=F5596,"не загружен","")</f>
        <v/>
      </c>
    </row>
    <row r="5597" spans="1:7" s="172" customFormat="1" ht="15" customHeight="1" x14ac:dyDescent="0.25">
      <c r="A5597" s="803" t="s">
        <v>11936</v>
      </c>
      <c r="B5597" s="803" t="s">
        <v>11776</v>
      </c>
      <c r="C5597" s="803" t="s">
        <v>11776</v>
      </c>
      <c r="D5597" s="803" t="s">
        <v>11957</v>
      </c>
      <c r="E5597" s="803">
        <v>160</v>
      </c>
      <c r="F5597" s="850">
        <v>90.367500000000007</v>
      </c>
      <c r="G5597" s="202" t="str">
        <f t="shared" si="87"/>
        <v/>
      </c>
    </row>
    <row r="5598" spans="1:7" s="172" customFormat="1" ht="15" customHeight="1" x14ac:dyDescent="0.25">
      <c r="A5598" s="803" t="s">
        <v>11936</v>
      </c>
      <c r="B5598" s="803" t="s">
        <v>11776</v>
      </c>
      <c r="C5598" s="803" t="s">
        <v>11776</v>
      </c>
      <c r="D5598" s="803" t="s">
        <v>11958</v>
      </c>
      <c r="E5598" s="803">
        <v>250</v>
      </c>
      <c r="F5598" s="850">
        <v>146.54599999999999</v>
      </c>
      <c r="G5598" s="202" t="str">
        <f t="shared" si="87"/>
        <v/>
      </c>
    </row>
    <row r="5599" spans="1:7" s="172" customFormat="1" ht="15" customHeight="1" x14ac:dyDescent="0.25">
      <c r="A5599" s="803" t="s">
        <v>2916</v>
      </c>
      <c r="B5599" s="803" t="s">
        <v>11776</v>
      </c>
      <c r="C5599" s="803" t="s">
        <v>11776</v>
      </c>
      <c r="D5599" s="803" t="s">
        <v>11959</v>
      </c>
      <c r="E5599" s="803">
        <v>63</v>
      </c>
      <c r="F5599" s="850">
        <v>38.330200000000005</v>
      </c>
      <c r="G5599" s="202" t="str">
        <f t="shared" si="87"/>
        <v/>
      </c>
    </row>
    <row r="5600" spans="1:7" s="172" customFormat="1" ht="15" customHeight="1" x14ac:dyDescent="0.25">
      <c r="A5600" s="803" t="s">
        <v>11960</v>
      </c>
      <c r="B5600" s="803" t="s">
        <v>11776</v>
      </c>
      <c r="C5600" s="803" t="s">
        <v>11776</v>
      </c>
      <c r="D5600" s="803" t="s">
        <v>11961</v>
      </c>
      <c r="E5600" s="803">
        <v>160</v>
      </c>
      <c r="F5600" s="850">
        <v>115.43519999999999</v>
      </c>
      <c r="G5600" s="202" t="str">
        <f t="shared" si="87"/>
        <v/>
      </c>
    </row>
    <row r="5601" spans="1:7" s="172" customFormat="1" ht="15" customHeight="1" x14ac:dyDescent="0.25">
      <c r="A5601" s="803" t="s">
        <v>11960</v>
      </c>
      <c r="B5601" s="803" t="s">
        <v>11776</v>
      </c>
      <c r="C5601" s="803" t="s">
        <v>11776</v>
      </c>
      <c r="D5601" s="803" t="s">
        <v>11962</v>
      </c>
      <c r="E5601" s="803">
        <v>630</v>
      </c>
      <c r="F5601" s="850">
        <v>470.84000000000003</v>
      </c>
      <c r="G5601" s="202" t="str">
        <f t="shared" si="87"/>
        <v/>
      </c>
    </row>
    <row r="5602" spans="1:7" s="172" customFormat="1" ht="15" customHeight="1" x14ac:dyDescent="0.25">
      <c r="A5602" s="803" t="s">
        <v>7905</v>
      </c>
      <c r="B5602" s="803" t="s">
        <v>11776</v>
      </c>
      <c r="C5602" s="803" t="s">
        <v>11776</v>
      </c>
      <c r="D5602" s="803" t="s">
        <v>11963</v>
      </c>
      <c r="E5602" s="803">
        <v>20</v>
      </c>
      <c r="F5602" s="850">
        <v>12.837799999999998</v>
      </c>
      <c r="G5602" s="202" t="str">
        <f t="shared" si="87"/>
        <v/>
      </c>
    </row>
    <row r="5603" spans="1:7" s="172" customFormat="1" ht="15" customHeight="1" x14ac:dyDescent="0.25">
      <c r="A5603" s="803" t="s">
        <v>11960</v>
      </c>
      <c r="B5603" s="803" t="s">
        <v>11776</v>
      </c>
      <c r="C5603" s="803" t="s">
        <v>11776</v>
      </c>
      <c r="D5603" s="803" t="s">
        <v>11964</v>
      </c>
      <c r="E5603" s="803">
        <v>160</v>
      </c>
      <c r="F5603" s="850">
        <v>82.807399999999987</v>
      </c>
      <c r="G5603" s="202" t="str">
        <f t="shared" si="87"/>
        <v/>
      </c>
    </row>
    <row r="5604" spans="1:7" s="172" customFormat="1" ht="15" customHeight="1" x14ac:dyDescent="0.25">
      <c r="A5604" s="803" t="s">
        <v>11960</v>
      </c>
      <c r="B5604" s="803" t="s">
        <v>11776</v>
      </c>
      <c r="C5604" s="803" t="s">
        <v>11776</v>
      </c>
      <c r="D5604" s="803" t="s">
        <v>11965</v>
      </c>
      <c r="E5604" s="803">
        <v>250</v>
      </c>
      <c r="F5604" s="850">
        <v>172.01159999999999</v>
      </c>
      <c r="G5604" s="202" t="str">
        <f t="shared" si="87"/>
        <v/>
      </c>
    </row>
    <row r="5605" spans="1:7" s="172" customFormat="1" ht="15" customHeight="1" x14ac:dyDescent="0.25">
      <c r="A5605" s="803" t="s">
        <v>11966</v>
      </c>
      <c r="B5605" s="803" t="s">
        <v>11776</v>
      </c>
      <c r="C5605" s="803" t="s">
        <v>11776</v>
      </c>
      <c r="D5605" s="803" t="s">
        <v>11967</v>
      </c>
      <c r="E5605" s="803">
        <v>30</v>
      </c>
      <c r="F5605" s="850">
        <v>20.052500000000002</v>
      </c>
      <c r="G5605" s="202" t="str">
        <f t="shared" si="87"/>
        <v/>
      </c>
    </row>
    <row r="5606" spans="1:7" s="172" customFormat="1" ht="15" customHeight="1" x14ac:dyDescent="0.25">
      <c r="A5606" s="803" t="s">
        <v>9246</v>
      </c>
      <c r="B5606" s="803" t="s">
        <v>11776</v>
      </c>
      <c r="C5606" s="803" t="s">
        <v>11776</v>
      </c>
      <c r="D5606" s="803" t="s">
        <v>11968</v>
      </c>
      <c r="E5606" s="803">
        <v>30</v>
      </c>
      <c r="F5606" s="850">
        <v>22.041999999999998</v>
      </c>
      <c r="G5606" s="202" t="str">
        <f t="shared" si="87"/>
        <v/>
      </c>
    </row>
    <row r="5607" spans="1:7" s="172" customFormat="1" ht="15" customHeight="1" x14ac:dyDescent="0.25">
      <c r="A5607" s="803" t="s">
        <v>11895</v>
      </c>
      <c r="B5607" s="803" t="s">
        <v>11776</v>
      </c>
      <c r="C5607" s="803" t="s">
        <v>11776</v>
      </c>
      <c r="D5607" s="803" t="s">
        <v>11969</v>
      </c>
      <c r="E5607" s="803">
        <v>100</v>
      </c>
      <c r="F5607" s="850">
        <v>55.037299999999995</v>
      </c>
      <c r="G5607" s="202" t="str">
        <f t="shared" si="87"/>
        <v/>
      </c>
    </row>
    <row r="5608" spans="1:7" s="172" customFormat="1" ht="15" customHeight="1" x14ac:dyDescent="0.25">
      <c r="A5608" s="803" t="s">
        <v>11970</v>
      </c>
      <c r="B5608" s="803" t="s">
        <v>11776</v>
      </c>
      <c r="C5608" s="803" t="s">
        <v>11776</v>
      </c>
      <c r="D5608" s="803" t="s">
        <v>11971</v>
      </c>
      <c r="E5608" s="803">
        <v>63</v>
      </c>
      <c r="F5608" s="850">
        <v>35.146999999999998</v>
      </c>
      <c r="G5608" s="202" t="str">
        <f t="shared" si="87"/>
        <v/>
      </c>
    </row>
    <row r="5609" spans="1:7" s="172" customFormat="1" ht="15" customHeight="1" x14ac:dyDescent="0.25">
      <c r="A5609" s="803" t="s">
        <v>11972</v>
      </c>
      <c r="B5609" s="803" t="s">
        <v>11776</v>
      </c>
      <c r="C5609" s="803" t="s">
        <v>11776</v>
      </c>
      <c r="D5609" s="803" t="s">
        <v>11973</v>
      </c>
      <c r="E5609" s="803">
        <v>63</v>
      </c>
      <c r="F5609" s="850">
        <v>43.502899999999997</v>
      </c>
      <c r="G5609" s="202" t="str">
        <f t="shared" si="87"/>
        <v/>
      </c>
    </row>
    <row r="5610" spans="1:7" s="172" customFormat="1" ht="15" customHeight="1" x14ac:dyDescent="0.25">
      <c r="A5610" s="803" t="s">
        <v>11974</v>
      </c>
      <c r="B5610" s="803" t="s">
        <v>11776</v>
      </c>
      <c r="C5610" s="803" t="s">
        <v>11776</v>
      </c>
      <c r="D5610" s="803" t="s">
        <v>11975</v>
      </c>
      <c r="E5610" s="803">
        <v>25</v>
      </c>
      <c r="F5610" s="850">
        <v>13.062999999999999</v>
      </c>
      <c r="G5610" s="202" t="str">
        <f t="shared" si="87"/>
        <v/>
      </c>
    </row>
    <row r="5611" spans="1:7" s="172" customFormat="1" ht="15" customHeight="1" x14ac:dyDescent="0.25">
      <c r="A5611" s="803" t="s">
        <v>4880</v>
      </c>
      <c r="B5611" s="803" t="s">
        <v>11776</v>
      </c>
      <c r="C5611" s="803" t="s">
        <v>11776</v>
      </c>
      <c r="D5611" s="803" t="s">
        <v>11976</v>
      </c>
      <c r="E5611" s="803">
        <v>20</v>
      </c>
      <c r="F5611" s="850">
        <v>16.816800000000001</v>
      </c>
      <c r="G5611" s="202" t="str">
        <f t="shared" si="87"/>
        <v/>
      </c>
    </row>
    <row r="5612" spans="1:7" s="172" customFormat="1" ht="15" customHeight="1" x14ac:dyDescent="0.25">
      <c r="A5612" s="803" t="s">
        <v>4867</v>
      </c>
      <c r="B5612" s="803" t="s">
        <v>11776</v>
      </c>
      <c r="C5612" s="803" t="s">
        <v>11776</v>
      </c>
      <c r="D5612" s="803" t="s">
        <v>11977</v>
      </c>
      <c r="E5612" s="803">
        <v>160</v>
      </c>
      <c r="F5612" s="850">
        <v>84.399000000000001</v>
      </c>
      <c r="G5612" s="202" t="str">
        <f t="shared" si="87"/>
        <v/>
      </c>
    </row>
    <row r="5613" spans="1:7" s="172" customFormat="1" ht="15" customHeight="1" x14ac:dyDescent="0.25">
      <c r="A5613" s="803" t="s">
        <v>11978</v>
      </c>
      <c r="B5613" s="803" t="s">
        <v>11776</v>
      </c>
      <c r="C5613" s="803" t="s">
        <v>11776</v>
      </c>
      <c r="D5613" s="803" t="s">
        <v>11979</v>
      </c>
      <c r="E5613" s="803">
        <v>100</v>
      </c>
      <c r="F5613" s="850">
        <v>52.251999999999995</v>
      </c>
      <c r="G5613" s="202" t="str">
        <f t="shared" si="87"/>
        <v/>
      </c>
    </row>
    <row r="5614" spans="1:7" s="172" customFormat="1" ht="15" customHeight="1" x14ac:dyDescent="0.25">
      <c r="A5614" s="803" t="s">
        <v>11980</v>
      </c>
      <c r="B5614" s="803" t="s">
        <v>11776</v>
      </c>
      <c r="C5614" s="803" t="s">
        <v>11776</v>
      </c>
      <c r="D5614" s="803" t="s">
        <v>11981</v>
      </c>
      <c r="E5614" s="803">
        <v>30</v>
      </c>
      <c r="F5614" s="850">
        <v>19.654599999999999</v>
      </c>
      <c r="G5614" s="202" t="str">
        <f t="shared" si="87"/>
        <v/>
      </c>
    </row>
    <row r="5615" spans="1:7" s="172" customFormat="1" ht="15" customHeight="1" x14ac:dyDescent="0.25">
      <c r="A5615" s="803" t="s">
        <v>11982</v>
      </c>
      <c r="B5615" s="803" t="s">
        <v>11776</v>
      </c>
      <c r="C5615" s="803" t="s">
        <v>11776</v>
      </c>
      <c r="D5615" s="803" t="s">
        <v>11983</v>
      </c>
      <c r="E5615" s="803">
        <v>60</v>
      </c>
      <c r="F5615" s="850">
        <v>36.523899999999998</v>
      </c>
      <c r="G5615" s="202" t="str">
        <f t="shared" si="87"/>
        <v/>
      </c>
    </row>
    <row r="5616" spans="1:7" s="172" customFormat="1" ht="15" customHeight="1" x14ac:dyDescent="0.25">
      <c r="A5616" s="803" t="s">
        <v>11984</v>
      </c>
      <c r="B5616" s="803" t="s">
        <v>11776</v>
      </c>
      <c r="C5616" s="803" t="s">
        <v>11776</v>
      </c>
      <c r="D5616" s="803" t="s">
        <v>11985</v>
      </c>
      <c r="E5616" s="803">
        <v>30</v>
      </c>
      <c r="F5616" s="850">
        <v>18.858799999999999</v>
      </c>
      <c r="G5616" s="202" t="str">
        <f t="shared" si="87"/>
        <v/>
      </c>
    </row>
    <row r="5617" spans="1:7" s="172" customFormat="1" ht="15" customHeight="1" x14ac:dyDescent="0.25">
      <c r="A5617" s="803" t="s">
        <v>11939</v>
      </c>
      <c r="B5617" s="803" t="s">
        <v>11776</v>
      </c>
      <c r="C5617" s="803" t="s">
        <v>11776</v>
      </c>
      <c r="D5617" s="803" t="s">
        <v>11986</v>
      </c>
      <c r="E5617" s="803">
        <v>63</v>
      </c>
      <c r="F5617" s="850">
        <v>37.136499999999998</v>
      </c>
      <c r="G5617" s="202" t="str">
        <f t="shared" si="87"/>
        <v/>
      </c>
    </row>
    <row r="5618" spans="1:7" s="172" customFormat="1" ht="15" customHeight="1" x14ac:dyDescent="0.25">
      <c r="A5618" s="803" t="s">
        <v>11987</v>
      </c>
      <c r="B5618" s="803" t="s">
        <v>11776</v>
      </c>
      <c r="C5618" s="803" t="s">
        <v>11776</v>
      </c>
      <c r="D5618" s="803" t="s">
        <v>11988</v>
      </c>
      <c r="E5618" s="803">
        <v>63</v>
      </c>
      <c r="F5618" s="850">
        <v>43.105000000000004</v>
      </c>
      <c r="G5618" s="202" t="str">
        <f t="shared" si="87"/>
        <v/>
      </c>
    </row>
    <row r="5619" spans="1:7" s="172" customFormat="1" ht="15" customHeight="1" x14ac:dyDescent="0.25">
      <c r="A5619" s="803" t="s">
        <v>8795</v>
      </c>
      <c r="B5619" s="803" t="s">
        <v>11776</v>
      </c>
      <c r="C5619" s="803" t="s">
        <v>11776</v>
      </c>
      <c r="D5619" s="803" t="s">
        <v>11989</v>
      </c>
      <c r="E5619" s="803">
        <v>160</v>
      </c>
      <c r="F5619" s="850">
        <v>91.163300000000007</v>
      </c>
      <c r="G5619" s="202" t="str">
        <f t="shared" si="87"/>
        <v/>
      </c>
    </row>
    <row r="5620" spans="1:7" s="172" customFormat="1" ht="15" customHeight="1" x14ac:dyDescent="0.25">
      <c r="A5620" s="803" t="s">
        <v>2735</v>
      </c>
      <c r="B5620" s="803" t="s">
        <v>11776</v>
      </c>
      <c r="C5620" s="803" t="s">
        <v>11776</v>
      </c>
      <c r="D5620" s="803" t="s">
        <v>11990</v>
      </c>
      <c r="E5620" s="803">
        <v>160</v>
      </c>
      <c r="F5620" s="850">
        <v>118.22049999999999</v>
      </c>
      <c r="G5620" s="202" t="str">
        <f t="shared" si="87"/>
        <v/>
      </c>
    </row>
    <row r="5621" spans="1:7" s="172" customFormat="1" ht="15" customHeight="1" x14ac:dyDescent="0.25">
      <c r="A5621" s="803" t="s">
        <v>2493</v>
      </c>
      <c r="B5621" s="803" t="s">
        <v>11776</v>
      </c>
      <c r="C5621" s="803" t="s">
        <v>11776</v>
      </c>
      <c r="D5621" s="803" t="s">
        <v>11991</v>
      </c>
      <c r="E5621" s="803">
        <v>250</v>
      </c>
      <c r="F5621" s="850">
        <v>185.5402</v>
      </c>
      <c r="G5621" s="202" t="str">
        <f t="shared" si="87"/>
        <v/>
      </c>
    </row>
    <row r="5622" spans="1:7" s="172" customFormat="1" ht="15" customHeight="1" x14ac:dyDescent="0.25">
      <c r="A5622" s="803" t="s">
        <v>2493</v>
      </c>
      <c r="B5622" s="803" t="s">
        <v>11776</v>
      </c>
      <c r="C5622" s="803" t="s">
        <v>11776</v>
      </c>
      <c r="D5622" s="803" t="s">
        <v>11992</v>
      </c>
      <c r="E5622" s="803">
        <v>250</v>
      </c>
      <c r="F5622" s="850">
        <v>177.5822</v>
      </c>
      <c r="G5622" s="202" t="str">
        <f t="shared" si="87"/>
        <v/>
      </c>
    </row>
    <row r="5623" spans="1:7" s="172" customFormat="1" ht="15" customHeight="1" x14ac:dyDescent="0.25">
      <c r="A5623" s="803" t="s">
        <v>2493</v>
      </c>
      <c r="B5623" s="803" t="s">
        <v>11776</v>
      </c>
      <c r="C5623" s="803" t="s">
        <v>11776</v>
      </c>
      <c r="D5623" s="803" t="s">
        <v>11993</v>
      </c>
      <c r="E5623" s="803">
        <v>250</v>
      </c>
      <c r="F5623" s="850">
        <v>173.20529999999999</v>
      </c>
      <c r="G5623" s="202" t="str">
        <f t="shared" si="87"/>
        <v/>
      </c>
    </row>
    <row r="5624" spans="1:7" s="172" customFormat="1" ht="15" customHeight="1" x14ac:dyDescent="0.25">
      <c r="A5624" s="803" t="s">
        <v>11994</v>
      </c>
      <c r="B5624" s="803" t="s">
        <v>11776</v>
      </c>
      <c r="C5624" s="803" t="s">
        <v>11776</v>
      </c>
      <c r="D5624" s="803" t="s">
        <v>11995</v>
      </c>
      <c r="E5624" s="803">
        <v>20</v>
      </c>
      <c r="F5624" s="850">
        <v>15.623100000000001</v>
      </c>
      <c r="G5624" s="202" t="str">
        <f t="shared" si="87"/>
        <v/>
      </c>
    </row>
    <row r="5625" spans="1:7" s="172" customFormat="1" ht="15" customHeight="1" x14ac:dyDescent="0.25">
      <c r="A5625" s="803" t="s">
        <v>4966</v>
      </c>
      <c r="B5625" s="803" t="s">
        <v>11776</v>
      </c>
      <c r="C5625" s="803" t="s">
        <v>11776</v>
      </c>
      <c r="D5625" s="803" t="s">
        <v>11996</v>
      </c>
      <c r="E5625" s="803">
        <v>63</v>
      </c>
      <c r="F5625" s="850">
        <v>34.351199999999992</v>
      </c>
      <c r="G5625" s="202" t="str">
        <f t="shared" si="87"/>
        <v/>
      </c>
    </row>
    <row r="5626" spans="1:7" s="172" customFormat="1" ht="15" customHeight="1" x14ac:dyDescent="0.25">
      <c r="A5626" s="803" t="s">
        <v>2922</v>
      </c>
      <c r="B5626" s="803" t="s">
        <v>20138</v>
      </c>
      <c r="C5626" s="803" t="s">
        <v>20138</v>
      </c>
      <c r="D5626" s="803" t="s">
        <v>11997</v>
      </c>
      <c r="E5626" s="803">
        <v>160</v>
      </c>
      <c r="F5626" s="850">
        <v>83.205299999999994</v>
      </c>
      <c r="G5626" s="202" t="str">
        <f t="shared" si="87"/>
        <v/>
      </c>
    </row>
    <row r="5627" spans="1:7" s="172" customFormat="1" ht="15" customHeight="1" x14ac:dyDescent="0.25">
      <c r="A5627" s="803" t="s">
        <v>4869</v>
      </c>
      <c r="B5627" s="803" t="s">
        <v>11776</v>
      </c>
      <c r="C5627" s="803" t="s">
        <v>11776</v>
      </c>
      <c r="D5627" s="803" t="s">
        <v>11998</v>
      </c>
      <c r="E5627" s="803">
        <v>100</v>
      </c>
      <c r="F5627" s="850">
        <v>58.220499999999994</v>
      </c>
      <c r="G5627" s="202" t="str">
        <f t="shared" si="87"/>
        <v/>
      </c>
    </row>
    <row r="5628" spans="1:7" s="172" customFormat="1" ht="15" customHeight="1" x14ac:dyDescent="0.25">
      <c r="A5628" s="803" t="s">
        <v>11999</v>
      </c>
      <c r="B5628" s="803" t="s">
        <v>11776</v>
      </c>
      <c r="C5628" s="803" t="s">
        <v>11776</v>
      </c>
      <c r="D5628" s="803" t="s">
        <v>12000</v>
      </c>
      <c r="E5628" s="803">
        <v>250</v>
      </c>
      <c r="F5628" s="850">
        <v>156.8914</v>
      </c>
      <c r="G5628" s="202" t="str">
        <f t="shared" si="87"/>
        <v/>
      </c>
    </row>
    <row r="5629" spans="1:7" s="172" customFormat="1" ht="15" customHeight="1" x14ac:dyDescent="0.25">
      <c r="A5629" s="803" t="s">
        <v>9044</v>
      </c>
      <c r="B5629" s="803" t="s">
        <v>11776</v>
      </c>
      <c r="C5629" s="803" t="s">
        <v>11776</v>
      </c>
      <c r="D5629" s="803" t="s">
        <v>12001</v>
      </c>
      <c r="E5629" s="803">
        <v>63</v>
      </c>
      <c r="F5629" s="850">
        <v>46.288200000000003</v>
      </c>
      <c r="G5629" s="202" t="str">
        <f t="shared" si="87"/>
        <v/>
      </c>
    </row>
    <row r="5630" spans="1:7" s="172" customFormat="1" ht="15" customHeight="1" x14ac:dyDescent="0.25">
      <c r="A5630" s="803" t="s">
        <v>12002</v>
      </c>
      <c r="B5630" s="803" t="s">
        <v>11776</v>
      </c>
      <c r="C5630" s="803" t="s">
        <v>11776</v>
      </c>
      <c r="D5630" s="803" t="s">
        <v>12003</v>
      </c>
      <c r="E5630" s="803">
        <v>30</v>
      </c>
      <c r="F5630" s="850">
        <v>23.235700000000001</v>
      </c>
      <c r="G5630" s="202" t="str">
        <f t="shared" si="87"/>
        <v/>
      </c>
    </row>
    <row r="5631" spans="1:7" s="172" customFormat="1" ht="15" customHeight="1" x14ac:dyDescent="0.25">
      <c r="A5631" s="803" t="s">
        <v>12004</v>
      </c>
      <c r="B5631" s="803" t="s">
        <v>11776</v>
      </c>
      <c r="C5631" s="803" t="s">
        <v>11776</v>
      </c>
      <c r="D5631" s="803" t="s">
        <v>12005</v>
      </c>
      <c r="E5631" s="803">
        <v>30</v>
      </c>
      <c r="F5631" s="850">
        <v>20.450400000000002</v>
      </c>
      <c r="G5631" s="202" t="str">
        <f t="shared" si="87"/>
        <v/>
      </c>
    </row>
    <row r="5632" spans="1:7" s="172" customFormat="1" ht="15" customHeight="1" x14ac:dyDescent="0.25">
      <c r="A5632" s="803" t="s">
        <v>12006</v>
      </c>
      <c r="B5632" s="803" t="s">
        <v>11776</v>
      </c>
      <c r="C5632" s="803" t="s">
        <v>11776</v>
      </c>
      <c r="D5632" s="803" t="s">
        <v>12007</v>
      </c>
      <c r="E5632" s="803">
        <v>100</v>
      </c>
      <c r="F5632" s="850">
        <v>56.231000000000002</v>
      </c>
      <c r="G5632" s="202" t="str">
        <f t="shared" si="87"/>
        <v/>
      </c>
    </row>
    <row r="5633" spans="1:7" s="172" customFormat="1" ht="15" customHeight="1" x14ac:dyDescent="0.25">
      <c r="A5633" s="803" t="s">
        <v>12008</v>
      </c>
      <c r="B5633" s="803" t="s">
        <v>11776</v>
      </c>
      <c r="C5633" s="803" t="s">
        <v>11776</v>
      </c>
      <c r="D5633" s="803" t="s">
        <v>12007</v>
      </c>
      <c r="E5633" s="803">
        <v>100</v>
      </c>
      <c r="F5633" s="850">
        <v>66.1785</v>
      </c>
      <c r="G5633" s="202" t="str">
        <f t="shared" si="87"/>
        <v/>
      </c>
    </row>
    <row r="5634" spans="1:7" s="172" customFormat="1" ht="15" customHeight="1" x14ac:dyDescent="0.25">
      <c r="A5634" s="803" t="s">
        <v>17724</v>
      </c>
      <c r="B5634" s="803" t="s">
        <v>11776</v>
      </c>
      <c r="C5634" s="803" t="s">
        <v>11776</v>
      </c>
      <c r="D5634" s="803" t="s">
        <v>12009</v>
      </c>
      <c r="E5634" s="803">
        <v>100</v>
      </c>
      <c r="F5634" s="850">
        <v>66.974299999999999</v>
      </c>
      <c r="G5634" s="202" t="str">
        <f t="shared" si="87"/>
        <v/>
      </c>
    </row>
    <row r="5635" spans="1:7" s="172" customFormat="1" ht="15" customHeight="1" x14ac:dyDescent="0.25">
      <c r="A5635" s="803" t="s">
        <v>17724</v>
      </c>
      <c r="B5635" s="803" t="s">
        <v>11776</v>
      </c>
      <c r="C5635" s="803" t="s">
        <v>11776</v>
      </c>
      <c r="D5635" s="803" t="s">
        <v>12010</v>
      </c>
      <c r="E5635" s="803">
        <v>160</v>
      </c>
      <c r="F5635" s="850">
        <v>95.540199999999999</v>
      </c>
      <c r="G5635" s="202" t="str">
        <f t="shared" si="87"/>
        <v/>
      </c>
    </row>
    <row r="5636" spans="1:7" s="172" customFormat="1" ht="15" customHeight="1" x14ac:dyDescent="0.25">
      <c r="A5636" s="803" t="s">
        <v>12011</v>
      </c>
      <c r="B5636" s="803" t="s">
        <v>11776</v>
      </c>
      <c r="C5636" s="803" t="s">
        <v>11776</v>
      </c>
      <c r="D5636" s="803" t="s">
        <v>12012</v>
      </c>
      <c r="E5636" s="803">
        <v>30</v>
      </c>
      <c r="F5636" s="850">
        <v>20.450400000000002</v>
      </c>
      <c r="G5636" s="202" t="str">
        <f t="shared" si="87"/>
        <v/>
      </c>
    </row>
    <row r="5637" spans="1:7" s="172" customFormat="1" ht="15" customHeight="1" x14ac:dyDescent="0.25">
      <c r="A5637" s="803" t="s">
        <v>12013</v>
      </c>
      <c r="B5637" s="803" t="s">
        <v>11776</v>
      </c>
      <c r="C5637" s="803" t="s">
        <v>11776</v>
      </c>
      <c r="D5637" s="803" t="s">
        <v>12014</v>
      </c>
      <c r="E5637" s="803">
        <v>100</v>
      </c>
      <c r="F5637" s="850">
        <v>52.251999999999995</v>
      </c>
      <c r="G5637" s="202" t="str">
        <f t="shared" si="87"/>
        <v/>
      </c>
    </row>
    <row r="5638" spans="1:7" s="172" customFormat="1" ht="15" customHeight="1" x14ac:dyDescent="0.25">
      <c r="A5638" s="803" t="s">
        <v>12015</v>
      </c>
      <c r="B5638" s="803" t="s">
        <v>11776</v>
      </c>
      <c r="C5638" s="803" t="s">
        <v>11776</v>
      </c>
      <c r="D5638" s="803" t="s">
        <v>12016</v>
      </c>
      <c r="E5638" s="803">
        <v>400</v>
      </c>
      <c r="F5638" s="850">
        <v>334.34649999999999</v>
      </c>
      <c r="G5638" s="202" t="str">
        <f t="shared" si="87"/>
        <v/>
      </c>
    </row>
    <row r="5639" spans="1:7" s="172" customFormat="1" ht="15" customHeight="1" x14ac:dyDescent="0.25">
      <c r="A5639" s="803" t="s">
        <v>12015</v>
      </c>
      <c r="B5639" s="803" t="s">
        <v>11776</v>
      </c>
      <c r="C5639" s="803" t="s">
        <v>11776</v>
      </c>
      <c r="D5639" s="803" t="s">
        <v>12017</v>
      </c>
      <c r="E5639" s="803">
        <v>250</v>
      </c>
      <c r="F5639" s="850">
        <v>206.23099999999999</v>
      </c>
      <c r="G5639" s="202" t="str">
        <f t="shared" si="87"/>
        <v/>
      </c>
    </row>
    <row r="5640" spans="1:7" s="172" customFormat="1" ht="15" customHeight="1" x14ac:dyDescent="0.25">
      <c r="A5640" s="803" t="s">
        <v>12015</v>
      </c>
      <c r="B5640" s="803" t="s">
        <v>11776</v>
      </c>
      <c r="C5640" s="803" t="s">
        <v>11776</v>
      </c>
      <c r="D5640" s="803" t="s">
        <v>12018</v>
      </c>
      <c r="E5640" s="803">
        <v>400</v>
      </c>
      <c r="F5640" s="850">
        <v>376.12599999999998</v>
      </c>
      <c r="G5640" s="202" t="str">
        <f t="shared" si="87"/>
        <v/>
      </c>
    </row>
    <row r="5641" spans="1:7" s="172" customFormat="1" ht="15" customHeight="1" x14ac:dyDescent="0.25">
      <c r="A5641" s="803" t="s">
        <v>17725</v>
      </c>
      <c r="B5641" s="803" t="s">
        <v>11776</v>
      </c>
      <c r="C5641" s="803" t="s">
        <v>11776</v>
      </c>
      <c r="D5641" s="803" t="s">
        <v>12019</v>
      </c>
      <c r="E5641" s="803">
        <v>30</v>
      </c>
      <c r="F5641" s="850">
        <v>8.5134000000000007</v>
      </c>
      <c r="G5641" s="202" t="str">
        <f t="shared" si="87"/>
        <v/>
      </c>
    </row>
    <row r="5642" spans="1:7" s="172" customFormat="1" ht="15" customHeight="1" x14ac:dyDescent="0.25">
      <c r="A5642" s="803" t="s">
        <v>12020</v>
      </c>
      <c r="B5642" s="803" t="s">
        <v>11776</v>
      </c>
      <c r="C5642" s="803" t="s">
        <v>11776</v>
      </c>
      <c r="D5642" s="803" t="s">
        <v>12021</v>
      </c>
      <c r="E5642" s="803">
        <v>63</v>
      </c>
      <c r="F5642" s="850">
        <v>45.094499999999996</v>
      </c>
      <c r="G5642" s="202" t="str">
        <f t="shared" si="87"/>
        <v/>
      </c>
    </row>
    <row r="5643" spans="1:7" s="172" customFormat="1" ht="15" customHeight="1" x14ac:dyDescent="0.25">
      <c r="A5643" s="803" t="s">
        <v>12022</v>
      </c>
      <c r="B5643" s="803" t="s">
        <v>11776</v>
      </c>
      <c r="C5643" s="803" t="s">
        <v>11776</v>
      </c>
      <c r="D5643" s="803" t="s">
        <v>12023</v>
      </c>
      <c r="E5643" s="803">
        <v>63</v>
      </c>
      <c r="F5643" s="850">
        <v>53.450400000000002</v>
      </c>
      <c r="G5643" s="202" t="str">
        <f t="shared" si="87"/>
        <v/>
      </c>
    </row>
    <row r="5644" spans="1:7" s="172" customFormat="1" ht="15" customHeight="1" x14ac:dyDescent="0.25">
      <c r="A5644" s="803" t="s">
        <v>12022</v>
      </c>
      <c r="B5644" s="803" t="s">
        <v>11776</v>
      </c>
      <c r="C5644" s="803" t="s">
        <v>11776</v>
      </c>
      <c r="D5644" s="803" t="s">
        <v>12024</v>
      </c>
      <c r="E5644" s="803">
        <v>160</v>
      </c>
      <c r="F5644" s="850">
        <v>133.73859999999999</v>
      </c>
      <c r="G5644" s="202" t="str">
        <f t="shared" si="87"/>
        <v/>
      </c>
    </row>
    <row r="5645" spans="1:7" s="172" customFormat="1" ht="15" customHeight="1" x14ac:dyDescent="0.25">
      <c r="A5645" s="803" t="s">
        <v>12022</v>
      </c>
      <c r="B5645" s="803" t="s">
        <v>11776</v>
      </c>
      <c r="C5645" s="803" t="s">
        <v>11776</v>
      </c>
      <c r="D5645" s="803" t="s">
        <v>12025</v>
      </c>
      <c r="E5645" s="803">
        <v>160</v>
      </c>
      <c r="F5645" s="850">
        <v>144.084</v>
      </c>
      <c r="G5645" s="202" t="str">
        <f t="shared" si="87"/>
        <v/>
      </c>
    </row>
    <row r="5646" spans="1:7" s="172" customFormat="1" ht="15" customHeight="1" x14ac:dyDescent="0.25">
      <c r="A5646" s="803" t="s">
        <v>12022</v>
      </c>
      <c r="B5646" s="803" t="s">
        <v>11776</v>
      </c>
      <c r="C5646" s="803" t="s">
        <v>11776</v>
      </c>
      <c r="D5646" s="803" t="s">
        <v>12026</v>
      </c>
      <c r="E5646" s="803">
        <v>160</v>
      </c>
      <c r="F5646" s="850">
        <v>116.23099999999999</v>
      </c>
      <c r="G5646" s="202" t="str">
        <f t="shared" si="87"/>
        <v/>
      </c>
    </row>
    <row r="5647" spans="1:7" s="172" customFormat="1" ht="15" customHeight="1" x14ac:dyDescent="0.25">
      <c r="A5647" s="803" t="s">
        <v>12022</v>
      </c>
      <c r="B5647" s="803" t="s">
        <v>11776</v>
      </c>
      <c r="C5647" s="803" t="s">
        <v>11776</v>
      </c>
      <c r="D5647" s="803" t="s">
        <v>12027</v>
      </c>
      <c r="E5647" s="803">
        <v>100</v>
      </c>
      <c r="F5647" s="850">
        <v>28.378</v>
      </c>
      <c r="G5647" s="202" t="str">
        <f t="shared" si="87"/>
        <v/>
      </c>
    </row>
    <row r="5648" spans="1:7" s="172" customFormat="1" ht="15" customHeight="1" x14ac:dyDescent="0.25">
      <c r="A5648" s="803" t="s">
        <v>3231</v>
      </c>
      <c r="B5648" s="803" t="s">
        <v>11776</v>
      </c>
      <c r="C5648" s="803" t="s">
        <v>11776</v>
      </c>
      <c r="D5648" s="803" t="s">
        <v>12028</v>
      </c>
      <c r="E5648" s="803">
        <v>63</v>
      </c>
      <c r="F5648" s="850">
        <v>17.241499999999995</v>
      </c>
      <c r="G5648" s="202" t="str">
        <f t="shared" si="87"/>
        <v/>
      </c>
    </row>
    <row r="5649" spans="1:7" s="172" customFormat="1" ht="15" customHeight="1" x14ac:dyDescent="0.25">
      <c r="A5649" s="803" t="s">
        <v>5723</v>
      </c>
      <c r="B5649" s="803" t="s">
        <v>11776</v>
      </c>
      <c r="C5649" s="803" t="s">
        <v>11776</v>
      </c>
      <c r="D5649" s="803" t="s">
        <v>12029</v>
      </c>
      <c r="E5649" s="803">
        <v>100</v>
      </c>
      <c r="F5649" s="850">
        <v>72.942800000000005</v>
      </c>
      <c r="G5649" s="202" t="str">
        <f t="shared" si="87"/>
        <v/>
      </c>
    </row>
    <row r="5650" spans="1:7" s="172" customFormat="1" ht="15" customHeight="1" x14ac:dyDescent="0.25">
      <c r="A5650" s="803" t="s">
        <v>5530</v>
      </c>
      <c r="B5650" s="803" t="s">
        <v>11776</v>
      </c>
      <c r="C5650" s="803" t="s">
        <v>11776</v>
      </c>
      <c r="D5650" s="803" t="s">
        <v>12030</v>
      </c>
      <c r="E5650" s="803">
        <v>100</v>
      </c>
      <c r="F5650" s="850">
        <v>76.126000000000005</v>
      </c>
      <c r="G5650" s="202" t="str">
        <f t="shared" si="87"/>
        <v/>
      </c>
    </row>
    <row r="5651" spans="1:7" s="172" customFormat="1" ht="15" customHeight="1" x14ac:dyDescent="0.25">
      <c r="A5651" s="803" t="s">
        <v>12031</v>
      </c>
      <c r="B5651" s="803" t="s">
        <v>11776</v>
      </c>
      <c r="C5651" s="803" t="s">
        <v>11776</v>
      </c>
      <c r="D5651" s="803" t="s">
        <v>12032</v>
      </c>
      <c r="E5651" s="803">
        <v>30</v>
      </c>
      <c r="F5651" s="850">
        <v>18.062999999999999</v>
      </c>
      <c r="G5651" s="202" t="str">
        <f t="shared" si="87"/>
        <v/>
      </c>
    </row>
    <row r="5652" spans="1:7" s="172" customFormat="1" ht="15" customHeight="1" x14ac:dyDescent="0.25">
      <c r="A5652" s="803" t="s">
        <v>17718</v>
      </c>
      <c r="B5652" s="803" t="s">
        <v>11776</v>
      </c>
      <c r="C5652" s="803" t="s">
        <v>11776</v>
      </c>
      <c r="D5652" s="803" t="s">
        <v>12033</v>
      </c>
      <c r="E5652" s="803">
        <v>20</v>
      </c>
      <c r="F5652" s="850">
        <v>14.031499999999999</v>
      </c>
      <c r="G5652" s="202" t="str">
        <f t="shared" si="87"/>
        <v/>
      </c>
    </row>
    <row r="5653" spans="1:7" s="172" customFormat="1" ht="15" customHeight="1" x14ac:dyDescent="0.25">
      <c r="A5653" s="803" t="s">
        <v>7619</v>
      </c>
      <c r="B5653" s="803" t="s">
        <v>11776</v>
      </c>
      <c r="C5653" s="803" t="s">
        <v>11776</v>
      </c>
      <c r="D5653" s="803" t="s">
        <v>12034</v>
      </c>
      <c r="E5653" s="803">
        <v>30</v>
      </c>
      <c r="F5653" s="850">
        <v>18.062999999999999</v>
      </c>
      <c r="G5653" s="202" t="str">
        <f t="shared" si="87"/>
        <v/>
      </c>
    </row>
    <row r="5654" spans="1:7" s="172" customFormat="1" ht="15" customHeight="1" x14ac:dyDescent="0.25">
      <c r="A5654" s="803" t="s">
        <v>12035</v>
      </c>
      <c r="B5654" s="803" t="s">
        <v>11776</v>
      </c>
      <c r="C5654" s="803" t="s">
        <v>11776</v>
      </c>
      <c r="D5654" s="803" t="s">
        <v>12036</v>
      </c>
      <c r="E5654" s="803">
        <v>100</v>
      </c>
      <c r="F5654" s="850">
        <v>52.251999999999995</v>
      </c>
      <c r="G5654" s="202" t="str">
        <f t="shared" si="87"/>
        <v/>
      </c>
    </row>
    <row r="5655" spans="1:7" s="172" customFormat="1" ht="15" customHeight="1" x14ac:dyDescent="0.25">
      <c r="A5655" s="803" t="s">
        <v>3121</v>
      </c>
      <c r="B5655" s="803" t="s">
        <v>11776</v>
      </c>
      <c r="C5655" s="803" t="s">
        <v>11776</v>
      </c>
      <c r="D5655" s="803" t="s">
        <v>12037</v>
      </c>
      <c r="E5655" s="803">
        <v>63</v>
      </c>
      <c r="F5655" s="850">
        <v>36.340699999999998</v>
      </c>
      <c r="G5655" s="202" t="str">
        <f t="shared" si="87"/>
        <v/>
      </c>
    </row>
    <row r="5656" spans="1:7" s="172" customFormat="1" ht="15" customHeight="1" x14ac:dyDescent="0.25">
      <c r="A5656" s="803" t="s">
        <v>9149</v>
      </c>
      <c r="B5656" s="803" t="s">
        <v>11776</v>
      </c>
      <c r="C5656" s="803" t="s">
        <v>11776</v>
      </c>
      <c r="D5656" s="803" t="s">
        <v>12038</v>
      </c>
      <c r="E5656" s="803">
        <v>63</v>
      </c>
      <c r="F5656" s="850">
        <v>33.157499999999999</v>
      </c>
      <c r="G5656" s="202" t="str">
        <f t="shared" si="87"/>
        <v/>
      </c>
    </row>
    <row r="5657" spans="1:7" s="172" customFormat="1" ht="15" customHeight="1" x14ac:dyDescent="0.25">
      <c r="A5657" s="803" t="s">
        <v>12039</v>
      </c>
      <c r="B5657" s="803" t="s">
        <v>11776</v>
      </c>
      <c r="C5657" s="803" t="s">
        <v>11776</v>
      </c>
      <c r="D5657" s="803" t="s">
        <v>12038</v>
      </c>
      <c r="E5657" s="803">
        <v>63</v>
      </c>
      <c r="F5657" s="850">
        <v>31.167999999999996</v>
      </c>
      <c r="G5657" s="202" t="str">
        <f t="shared" si="87"/>
        <v/>
      </c>
    </row>
    <row r="5658" spans="1:7" s="172" customFormat="1" ht="15" customHeight="1" x14ac:dyDescent="0.25">
      <c r="A5658" s="803" t="s">
        <v>7746</v>
      </c>
      <c r="B5658" s="803" t="s">
        <v>11776</v>
      </c>
      <c r="C5658" s="803" t="s">
        <v>11776</v>
      </c>
      <c r="D5658" s="803" t="s">
        <v>12040</v>
      </c>
      <c r="E5658" s="803">
        <v>250</v>
      </c>
      <c r="F5658" s="850">
        <v>168.82839999999999</v>
      </c>
      <c r="G5658" s="202" t="str">
        <f t="shared" si="87"/>
        <v/>
      </c>
    </row>
    <row r="5659" spans="1:7" s="172" customFormat="1" ht="15" customHeight="1" x14ac:dyDescent="0.25">
      <c r="A5659" s="803" t="s">
        <v>12041</v>
      </c>
      <c r="B5659" s="803" t="s">
        <v>11776</v>
      </c>
      <c r="C5659" s="803" t="s">
        <v>11776</v>
      </c>
      <c r="D5659" s="803" t="s">
        <v>12042</v>
      </c>
      <c r="E5659" s="803">
        <v>100</v>
      </c>
      <c r="F5659" s="850">
        <v>52.251999999999995</v>
      </c>
      <c r="G5659" s="202" t="str">
        <f t="shared" si="87"/>
        <v/>
      </c>
    </row>
    <row r="5660" spans="1:7" s="172" customFormat="1" ht="15" customHeight="1" x14ac:dyDescent="0.25">
      <c r="A5660" s="803" t="s">
        <v>2689</v>
      </c>
      <c r="B5660" s="803" t="s">
        <v>11776</v>
      </c>
      <c r="C5660" s="803" t="s">
        <v>11776</v>
      </c>
      <c r="D5660" s="803" t="s">
        <v>12043</v>
      </c>
      <c r="E5660" s="803">
        <v>30</v>
      </c>
      <c r="F5660" s="850">
        <v>18.062999999999999</v>
      </c>
      <c r="G5660" s="202" t="str">
        <f t="shared" ref="G5660:G5723" si="88">IF(E5660=F5660,"не загружен","")</f>
        <v/>
      </c>
    </row>
    <row r="5661" spans="1:7" s="172" customFormat="1" ht="15" customHeight="1" x14ac:dyDescent="0.25">
      <c r="A5661" s="803" t="s">
        <v>12044</v>
      </c>
      <c r="B5661" s="803" t="s">
        <v>11776</v>
      </c>
      <c r="C5661" s="803" t="s">
        <v>11776</v>
      </c>
      <c r="D5661" s="803" t="s">
        <v>12045</v>
      </c>
      <c r="E5661" s="803">
        <v>100</v>
      </c>
      <c r="F5661" s="850">
        <v>58.618399999999994</v>
      </c>
      <c r="G5661" s="202" t="str">
        <f t="shared" si="88"/>
        <v/>
      </c>
    </row>
    <row r="5662" spans="1:7" s="172" customFormat="1" ht="15" customHeight="1" x14ac:dyDescent="0.25">
      <c r="A5662" s="803" t="s">
        <v>12046</v>
      </c>
      <c r="B5662" s="803" t="s">
        <v>11776</v>
      </c>
      <c r="C5662" s="803" t="s">
        <v>11776</v>
      </c>
      <c r="D5662" s="803" t="s">
        <v>12047</v>
      </c>
      <c r="E5662" s="803">
        <v>30</v>
      </c>
      <c r="F5662" s="850">
        <v>26.021000000000001</v>
      </c>
      <c r="G5662" s="202" t="str">
        <f t="shared" si="88"/>
        <v/>
      </c>
    </row>
    <row r="5663" spans="1:7" s="172" customFormat="1" ht="15" customHeight="1" x14ac:dyDescent="0.25">
      <c r="A5663" s="803" t="s">
        <v>8883</v>
      </c>
      <c r="B5663" s="803" t="s">
        <v>11776</v>
      </c>
      <c r="C5663" s="803" t="s">
        <v>11776</v>
      </c>
      <c r="D5663" s="803" t="s">
        <v>12048</v>
      </c>
      <c r="E5663" s="803">
        <v>63</v>
      </c>
      <c r="F5663" s="850">
        <v>41.115499999999997</v>
      </c>
      <c r="G5663" s="202" t="str">
        <f t="shared" si="88"/>
        <v/>
      </c>
    </row>
    <row r="5664" spans="1:7" s="172" customFormat="1" ht="15" customHeight="1" x14ac:dyDescent="0.25">
      <c r="A5664" s="803" t="s">
        <v>3292</v>
      </c>
      <c r="B5664" s="803" t="s">
        <v>11776</v>
      </c>
      <c r="C5664" s="803" t="s">
        <v>11776</v>
      </c>
      <c r="D5664" s="803" t="s">
        <v>12049</v>
      </c>
      <c r="E5664" s="803">
        <v>30</v>
      </c>
      <c r="F5664" s="850">
        <v>17.665100000000002</v>
      </c>
      <c r="G5664" s="202" t="str">
        <f t="shared" si="88"/>
        <v/>
      </c>
    </row>
    <row r="5665" spans="1:7" s="172" customFormat="1" ht="15" customHeight="1" x14ac:dyDescent="0.25">
      <c r="A5665" s="803" t="s">
        <v>12050</v>
      </c>
      <c r="B5665" s="803" t="s">
        <v>11776</v>
      </c>
      <c r="C5665" s="803" t="s">
        <v>11776</v>
      </c>
      <c r="D5665" s="803" t="s">
        <v>12051</v>
      </c>
      <c r="E5665" s="803">
        <v>63</v>
      </c>
      <c r="F5665" s="850">
        <v>35.146999999999998</v>
      </c>
      <c r="G5665" s="202" t="str">
        <f t="shared" si="88"/>
        <v/>
      </c>
    </row>
    <row r="5666" spans="1:7" s="172" customFormat="1" ht="15" customHeight="1" x14ac:dyDescent="0.25">
      <c r="A5666" s="803" t="s">
        <v>11784</v>
      </c>
      <c r="B5666" s="803" t="s">
        <v>11776</v>
      </c>
      <c r="C5666" s="803" t="s">
        <v>11776</v>
      </c>
      <c r="D5666" s="803" t="s">
        <v>12052</v>
      </c>
      <c r="E5666" s="803">
        <v>250</v>
      </c>
      <c r="F5666" s="850">
        <v>170.42000000000002</v>
      </c>
      <c r="G5666" s="202" t="str">
        <f t="shared" si="88"/>
        <v/>
      </c>
    </row>
    <row r="5667" spans="1:7" s="172" customFormat="1" ht="15" customHeight="1" x14ac:dyDescent="0.25">
      <c r="A5667" s="803" t="s">
        <v>11784</v>
      </c>
      <c r="B5667" s="803" t="s">
        <v>11776</v>
      </c>
      <c r="C5667" s="803" t="s">
        <v>11776</v>
      </c>
      <c r="D5667" s="803" t="s">
        <v>12053</v>
      </c>
      <c r="E5667" s="803">
        <v>100</v>
      </c>
      <c r="F5667" s="850">
        <v>55.435199999999995</v>
      </c>
      <c r="G5667" s="202" t="str">
        <f t="shared" si="88"/>
        <v/>
      </c>
    </row>
    <row r="5668" spans="1:7" s="172" customFormat="1" ht="15" customHeight="1" x14ac:dyDescent="0.25">
      <c r="A5668" s="803" t="s">
        <v>11784</v>
      </c>
      <c r="B5668" s="803" t="s">
        <v>11776</v>
      </c>
      <c r="C5668" s="803" t="s">
        <v>11776</v>
      </c>
      <c r="D5668" s="803" t="s">
        <v>12054</v>
      </c>
      <c r="E5668" s="803">
        <v>160</v>
      </c>
      <c r="F5668" s="850">
        <v>81.613699999999994</v>
      </c>
      <c r="G5668" s="202" t="str">
        <f t="shared" si="88"/>
        <v/>
      </c>
    </row>
    <row r="5669" spans="1:7" s="172" customFormat="1" ht="15" customHeight="1" x14ac:dyDescent="0.25">
      <c r="A5669" s="803" t="s">
        <v>11784</v>
      </c>
      <c r="B5669" s="803" t="s">
        <v>11776</v>
      </c>
      <c r="C5669" s="803" t="s">
        <v>11776</v>
      </c>
      <c r="D5669" s="803" t="s">
        <v>12055</v>
      </c>
      <c r="E5669" s="803">
        <v>160</v>
      </c>
      <c r="F5669" s="850">
        <v>88.378</v>
      </c>
      <c r="G5669" s="202" t="str">
        <f t="shared" si="88"/>
        <v/>
      </c>
    </row>
    <row r="5670" spans="1:7" s="172" customFormat="1" ht="15" customHeight="1" x14ac:dyDescent="0.25">
      <c r="A5670" s="803" t="s">
        <v>11784</v>
      </c>
      <c r="B5670" s="803" t="s">
        <v>11776</v>
      </c>
      <c r="C5670" s="803" t="s">
        <v>11776</v>
      </c>
      <c r="D5670" s="803" t="s">
        <v>12056</v>
      </c>
      <c r="E5670" s="803">
        <v>400</v>
      </c>
      <c r="F5670" s="850">
        <v>284.60899999999998</v>
      </c>
      <c r="G5670" s="202" t="str">
        <f t="shared" si="88"/>
        <v/>
      </c>
    </row>
    <row r="5671" spans="1:7" s="172" customFormat="1" ht="15" customHeight="1" x14ac:dyDescent="0.25">
      <c r="A5671" s="803" t="s">
        <v>12057</v>
      </c>
      <c r="B5671" s="803" t="s">
        <v>11776</v>
      </c>
      <c r="C5671" s="803" t="s">
        <v>11776</v>
      </c>
      <c r="D5671" s="803" t="s">
        <v>12058</v>
      </c>
      <c r="E5671" s="803">
        <v>100</v>
      </c>
      <c r="F5671" s="850">
        <v>59.812100000000001</v>
      </c>
      <c r="G5671" s="202" t="str">
        <f t="shared" si="88"/>
        <v/>
      </c>
    </row>
    <row r="5672" spans="1:7" s="172" customFormat="1" ht="15" customHeight="1" x14ac:dyDescent="0.25">
      <c r="A5672" s="803" t="s">
        <v>12059</v>
      </c>
      <c r="B5672" s="803" t="s">
        <v>11776</v>
      </c>
      <c r="C5672" s="803" t="s">
        <v>11776</v>
      </c>
      <c r="D5672" s="803" t="s">
        <v>12060</v>
      </c>
      <c r="E5672" s="803">
        <v>10</v>
      </c>
      <c r="F5672" s="850">
        <v>7.6126000000000005</v>
      </c>
      <c r="G5672" s="202" t="str">
        <f t="shared" si="88"/>
        <v/>
      </c>
    </row>
    <row r="5673" spans="1:7" s="172" customFormat="1" ht="15" customHeight="1" x14ac:dyDescent="0.25">
      <c r="A5673" s="803" t="s">
        <v>12061</v>
      </c>
      <c r="B5673" s="803" t="s">
        <v>11776</v>
      </c>
      <c r="C5673" s="803" t="s">
        <v>11776</v>
      </c>
      <c r="D5673" s="803" t="s">
        <v>12062</v>
      </c>
      <c r="E5673" s="803">
        <v>63</v>
      </c>
      <c r="F5673" s="850">
        <v>36.340699999999998</v>
      </c>
      <c r="G5673" s="202" t="str">
        <f t="shared" si="88"/>
        <v/>
      </c>
    </row>
    <row r="5674" spans="1:7" s="172" customFormat="1" ht="15" customHeight="1" x14ac:dyDescent="0.25">
      <c r="A5674" s="803" t="s">
        <v>6211</v>
      </c>
      <c r="B5674" s="803" t="s">
        <v>11776</v>
      </c>
      <c r="C5674" s="803" t="s">
        <v>11776</v>
      </c>
      <c r="D5674" s="803" t="s">
        <v>12063</v>
      </c>
      <c r="E5674" s="803">
        <v>30</v>
      </c>
      <c r="F5674" s="850">
        <v>20.450400000000002</v>
      </c>
      <c r="G5674" s="202" t="str">
        <f t="shared" si="88"/>
        <v/>
      </c>
    </row>
    <row r="5675" spans="1:7" s="172" customFormat="1" ht="15" customHeight="1" x14ac:dyDescent="0.25">
      <c r="A5675" s="803" t="s">
        <v>12064</v>
      </c>
      <c r="B5675" s="803" t="s">
        <v>11776</v>
      </c>
      <c r="C5675" s="803" t="s">
        <v>11776</v>
      </c>
      <c r="D5675" s="803" t="s">
        <v>12065</v>
      </c>
      <c r="E5675" s="803">
        <v>63</v>
      </c>
      <c r="F5675" s="850">
        <v>45.094499999999996</v>
      </c>
      <c r="G5675" s="202" t="str">
        <f t="shared" si="88"/>
        <v/>
      </c>
    </row>
    <row r="5676" spans="1:7" s="172" customFormat="1" ht="15" customHeight="1" x14ac:dyDescent="0.25">
      <c r="A5676" s="803" t="s">
        <v>12066</v>
      </c>
      <c r="B5676" s="803" t="s">
        <v>11776</v>
      </c>
      <c r="C5676" s="803" t="s">
        <v>11776</v>
      </c>
      <c r="D5676" s="803" t="s">
        <v>12067</v>
      </c>
      <c r="E5676" s="803">
        <v>160</v>
      </c>
      <c r="F5676" s="850">
        <v>83.205299999999994</v>
      </c>
      <c r="G5676" s="202" t="str">
        <f t="shared" si="88"/>
        <v/>
      </c>
    </row>
    <row r="5677" spans="1:7" s="172" customFormat="1" ht="15" customHeight="1" x14ac:dyDescent="0.25">
      <c r="A5677" s="803" t="s">
        <v>12066</v>
      </c>
      <c r="B5677" s="803" t="s">
        <v>11776</v>
      </c>
      <c r="C5677" s="803" t="s">
        <v>11776</v>
      </c>
      <c r="D5677" s="803" t="s">
        <v>12068</v>
      </c>
      <c r="E5677" s="803">
        <v>160</v>
      </c>
      <c r="F5677" s="850">
        <v>86.388499999999993</v>
      </c>
      <c r="G5677" s="202" t="str">
        <f t="shared" si="88"/>
        <v/>
      </c>
    </row>
    <row r="5678" spans="1:7" s="172" customFormat="1" ht="15" customHeight="1" x14ac:dyDescent="0.25">
      <c r="A5678" s="803" t="s">
        <v>12066</v>
      </c>
      <c r="B5678" s="803" t="s">
        <v>11776</v>
      </c>
      <c r="C5678" s="803" t="s">
        <v>11776</v>
      </c>
      <c r="D5678" s="803" t="s">
        <v>12069</v>
      </c>
      <c r="E5678" s="803">
        <v>250</v>
      </c>
      <c r="F5678" s="850">
        <v>166.44099999999997</v>
      </c>
      <c r="G5678" s="202" t="str">
        <f t="shared" si="88"/>
        <v/>
      </c>
    </row>
    <row r="5679" spans="1:7" s="172" customFormat="1" ht="15" customHeight="1" x14ac:dyDescent="0.25">
      <c r="A5679" s="803" t="s">
        <v>12066</v>
      </c>
      <c r="B5679" s="803" t="s">
        <v>11776</v>
      </c>
      <c r="C5679" s="803" t="s">
        <v>11776</v>
      </c>
      <c r="D5679" s="803" t="s">
        <v>12070</v>
      </c>
      <c r="E5679" s="803">
        <v>100</v>
      </c>
      <c r="F5679" s="850">
        <v>52.251999999999995</v>
      </c>
      <c r="G5679" s="202" t="str">
        <f t="shared" si="88"/>
        <v/>
      </c>
    </row>
    <row r="5680" spans="1:7" s="172" customFormat="1" ht="15" customHeight="1" x14ac:dyDescent="0.25">
      <c r="A5680" s="803" t="s">
        <v>12066</v>
      </c>
      <c r="B5680" s="803" t="s">
        <v>11776</v>
      </c>
      <c r="C5680" s="803" t="s">
        <v>11776</v>
      </c>
      <c r="D5680" s="803" t="s">
        <v>12071</v>
      </c>
      <c r="E5680" s="803">
        <v>400</v>
      </c>
      <c r="F5680" s="850">
        <v>328.37799999999999</v>
      </c>
      <c r="G5680" s="202" t="str">
        <f t="shared" si="88"/>
        <v/>
      </c>
    </row>
    <row r="5681" spans="1:7" s="172" customFormat="1" ht="15" customHeight="1" x14ac:dyDescent="0.25">
      <c r="A5681" s="803" t="s">
        <v>12072</v>
      </c>
      <c r="B5681" s="803" t="s">
        <v>11776</v>
      </c>
      <c r="C5681" s="803" t="s">
        <v>11776</v>
      </c>
      <c r="D5681" s="803" t="s">
        <v>12073</v>
      </c>
      <c r="E5681" s="803">
        <v>30</v>
      </c>
      <c r="F5681" s="850">
        <v>9.309199999999997</v>
      </c>
      <c r="G5681" s="202" t="str">
        <f t="shared" si="88"/>
        <v/>
      </c>
    </row>
    <row r="5682" spans="1:7" s="172" customFormat="1" ht="15" customHeight="1" x14ac:dyDescent="0.25">
      <c r="A5682" s="803" t="s">
        <v>12074</v>
      </c>
      <c r="B5682" s="803" t="s">
        <v>11776</v>
      </c>
      <c r="C5682" s="803" t="s">
        <v>11776</v>
      </c>
      <c r="D5682" s="803" t="s">
        <v>12075</v>
      </c>
      <c r="E5682" s="803">
        <v>30</v>
      </c>
      <c r="F5682" s="850">
        <v>6.1259999999999977</v>
      </c>
      <c r="G5682" s="202" t="str">
        <f t="shared" si="88"/>
        <v/>
      </c>
    </row>
    <row r="5683" spans="1:7" s="172" customFormat="1" ht="15" customHeight="1" x14ac:dyDescent="0.25">
      <c r="A5683" s="803" t="s">
        <v>12076</v>
      </c>
      <c r="B5683" s="803" t="s">
        <v>11776</v>
      </c>
      <c r="C5683" s="803" t="s">
        <v>11776</v>
      </c>
      <c r="D5683" s="803" t="s">
        <v>12077</v>
      </c>
      <c r="E5683" s="803">
        <v>60</v>
      </c>
      <c r="F5683" s="850">
        <v>38.513400000000004</v>
      </c>
      <c r="G5683" s="202" t="str">
        <f t="shared" si="88"/>
        <v/>
      </c>
    </row>
    <row r="5684" spans="1:7" s="172" customFormat="1" ht="15" customHeight="1" x14ac:dyDescent="0.25">
      <c r="A5684" s="803" t="s">
        <v>3130</v>
      </c>
      <c r="B5684" s="803" t="s">
        <v>11776</v>
      </c>
      <c r="C5684" s="803" t="s">
        <v>11776</v>
      </c>
      <c r="D5684" s="803" t="s">
        <v>12078</v>
      </c>
      <c r="E5684" s="803">
        <v>63</v>
      </c>
      <c r="F5684" s="850">
        <v>45.094499999999996</v>
      </c>
      <c r="G5684" s="202" t="str">
        <f t="shared" si="88"/>
        <v/>
      </c>
    </row>
    <row r="5685" spans="1:7" s="172" customFormat="1" ht="15" customHeight="1" x14ac:dyDescent="0.25">
      <c r="A5685" s="803" t="s">
        <v>2727</v>
      </c>
      <c r="B5685" s="803" t="s">
        <v>11776</v>
      </c>
      <c r="C5685" s="803" t="s">
        <v>11776</v>
      </c>
      <c r="D5685" s="803" t="s">
        <v>12079</v>
      </c>
      <c r="E5685" s="803">
        <v>40</v>
      </c>
      <c r="F5685" s="850">
        <v>28.062999999999999</v>
      </c>
      <c r="G5685" s="202" t="str">
        <f t="shared" si="88"/>
        <v/>
      </c>
    </row>
    <row r="5686" spans="1:7" s="172" customFormat="1" ht="15" customHeight="1" x14ac:dyDescent="0.25">
      <c r="A5686" s="803" t="s">
        <v>17722</v>
      </c>
      <c r="B5686" s="803" t="s">
        <v>11776</v>
      </c>
      <c r="C5686" s="803" t="s">
        <v>11776</v>
      </c>
      <c r="D5686" s="803" t="s">
        <v>12080</v>
      </c>
      <c r="E5686" s="803">
        <v>160</v>
      </c>
      <c r="F5686" s="850">
        <v>133.3407</v>
      </c>
      <c r="G5686" s="202" t="str">
        <f t="shared" si="88"/>
        <v/>
      </c>
    </row>
    <row r="5687" spans="1:7" s="172" customFormat="1" ht="15" customHeight="1" x14ac:dyDescent="0.25">
      <c r="A5687" s="803" t="s">
        <v>12081</v>
      </c>
      <c r="B5687" s="803" t="s">
        <v>11776</v>
      </c>
      <c r="C5687" s="803" t="s">
        <v>11776</v>
      </c>
      <c r="D5687" s="803" t="s">
        <v>12082</v>
      </c>
      <c r="E5687" s="803">
        <v>250</v>
      </c>
      <c r="F5687" s="850">
        <v>190.315</v>
      </c>
      <c r="G5687" s="202" t="str">
        <f t="shared" si="88"/>
        <v/>
      </c>
    </row>
    <row r="5688" spans="1:7" s="172" customFormat="1" ht="15" customHeight="1" x14ac:dyDescent="0.25">
      <c r="A5688" s="803" t="s">
        <v>9837</v>
      </c>
      <c r="B5688" s="803" t="s">
        <v>11776</v>
      </c>
      <c r="C5688" s="803" t="s">
        <v>11776</v>
      </c>
      <c r="D5688" s="803" t="s">
        <v>12083</v>
      </c>
      <c r="E5688" s="803">
        <v>30</v>
      </c>
      <c r="F5688" s="850">
        <v>8.1155000000000008</v>
      </c>
      <c r="G5688" s="202" t="str">
        <f t="shared" si="88"/>
        <v/>
      </c>
    </row>
    <row r="5689" spans="1:7" s="172" customFormat="1" ht="15" customHeight="1" x14ac:dyDescent="0.25">
      <c r="A5689" s="803" t="s">
        <v>12084</v>
      </c>
      <c r="B5689" s="803" t="s">
        <v>11776</v>
      </c>
      <c r="C5689" s="803" t="s">
        <v>11776</v>
      </c>
      <c r="D5689" s="803" t="s">
        <v>12085</v>
      </c>
      <c r="E5689" s="803">
        <v>30</v>
      </c>
      <c r="F5689" s="850">
        <v>17.267199999999999</v>
      </c>
      <c r="G5689" s="202" t="str">
        <f t="shared" si="88"/>
        <v/>
      </c>
    </row>
    <row r="5690" spans="1:7" s="172" customFormat="1" ht="15" customHeight="1" x14ac:dyDescent="0.25">
      <c r="A5690" s="803" t="s">
        <v>12086</v>
      </c>
      <c r="B5690" s="803" t="s">
        <v>11776</v>
      </c>
      <c r="C5690" s="803" t="s">
        <v>11776</v>
      </c>
      <c r="D5690" s="803" t="s">
        <v>12085</v>
      </c>
      <c r="E5690" s="803">
        <v>30</v>
      </c>
      <c r="F5690" s="850">
        <v>16.471399999999999</v>
      </c>
      <c r="G5690" s="202" t="str">
        <f t="shared" si="88"/>
        <v/>
      </c>
    </row>
    <row r="5691" spans="1:7" s="172" customFormat="1" ht="15" customHeight="1" x14ac:dyDescent="0.25">
      <c r="A5691" s="803" t="s">
        <v>12087</v>
      </c>
      <c r="B5691" s="803" t="s">
        <v>11776</v>
      </c>
      <c r="C5691" s="803" t="s">
        <v>11776</v>
      </c>
      <c r="D5691" s="803" t="s">
        <v>12088</v>
      </c>
      <c r="E5691" s="803">
        <v>30</v>
      </c>
      <c r="F5691" s="850">
        <v>20.450400000000002</v>
      </c>
      <c r="G5691" s="202" t="str">
        <f t="shared" si="88"/>
        <v/>
      </c>
    </row>
    <row r="5692" spans="1:7" s="172" customFormat="1" ht="15" customHeight="1" x14ac:dyDescent="0.25">
      <c r="A5692" s="803" t="s">
        <v>12089</v>
      </c>
      <c r="B5692" s="803" t="s">
        <v>11776</v>
      </c>
      <c r="C5692" s="803" t="s">
        <v>11776</v>
      </c>
      <c r="D5692" s="803" t="s">
        <v>12090</v>
      </c>
      <c r="E5692" s="803">
        <v>100</v>
      </c>
      <c r="F5692" s="850">
        <v>58.618399999999994</v>
      </c>
      <c r="G5692" s="202" t="str">
        <f t="shared" si="88"/>
        <v/>
      </c>
    </row>
    <row r="5693" spans="1:7" s="172" customFormat="1" ht="15" customHeight="1" x14ac:dyDescent="0.25">
      <c r="A5693" s="803" t="s">
        <v>12091</v>
      </c>
      <c r="B5693" s="803" t="s">
        <v>11776</v>
      </c>
      <c r="C5693" s="803" t="s">
        <v>11776</v>
      </c>
      <c r="D5693" s="803" t="s">
        <v>12092</v>
      </c>
      <c r="E5693" s="803">
        <v>63</v>
      </c>
      <c r="F5693" s="850">
        <v>37.534399999999998</v>
      </c>
      <c r="G5693" s="202" t="str">
        <f t="shared" si="88"/>
        <v/>
      </c>
    </row>
    <row r="5694" spans="1:7" s="172" customFormat="1" ht="15" customHeight="1" x14ac:dyDescent="0.25">
      <c r="A5694" s="803" t="s">
        <v>10020</v>
      </c>
      <c r="B5694" s="803" t="s">
        <v>11776</v>
      </c>
      <c r="C5694" s="803" t="s">
        <v>11776</v>
      </c>
      <c r="D5694" s="803" t="s">
        <v>12093</v>
      </c>
      <c r="E5694" s="803">
        <v>100</v>
      </c>
      <c r="F5694" s="850">
        <v>57.424700000000001</v>
      </c>
      <c r="G5694" s="202" t="str">
        <f t="shared" si="88"/>
        <v/>
      </c>
    </row>
    <row r="5695" spans="1:7" s="172" customFormat="1" ht="15" customHeight="1" x14ac:dyDescent="0.25">
      <c r="A5695" s="803" t="s">
        <v>10020</v>
      </c>
      <c r="B5695" s="803" t="s">
        <v>11776</v>
      </c>
      <c r="C5695" s="803" t="s">
        <v>11776</v>
      </c>
      <c r="D5695" s="803" t="s">
        <v>12094</v>
      </c>
      <c r="E5695" s="803">
        <v>160</v>
      </c>
      <c r="F5695" s="850">
        <v>138.1155</v>
      </c>
      <c r="G5695" s="202" t="str">
        <f t="shared" si="88"/>
        <v/>
      </c>
    </row>
    <row r="5696" spans="1:7" s="172" customFormat="1" ht="15" customHeight="1" x14ac:dyDescent="0.25">
      <c r="A5696" s="803" t="s">
        <v>10020</v>
      </c>
      <c r="B5696" s="803" t="s">
        <v>11776</v>
      </c>
      <c r="C5696" s="803" t="s">
        <v>11776</v>
      </c>
      <c r="D5696" s="803" t="s">
        <v>12095</v>
      </c>
      <c r="E5696" s="803">
        <v>100</v>
      </c>
      <c r="F5696" s="850">
        <v>61.403699999999994</v>
      </c>
      <c r="G5696" s="202" t="str">
        <f t="shared" si="88"/>
        <v/>
      </c>
    </row>
    <row r="5697" spans="1:7" s="172" customFormat="1" ht="15" customHeight="1" x14ac:dyDescent="0.25">
      <c r="A5697" s="803" t="s">
        <v>12066</v>
      </c>
      <c r="B5697" s="803" t="s">
        <v>11776</v>
      </c>
      <c r="C5697" s="803" t="s">
        <v>11776</v>
      </c>
      <c r="D5697" s="803" t="s">
        <v>12096</v>
      </c>
      <c r="E5697" s="803">
        <v>100</v>
      </c>
      <c r="F5697" s="850">
        <v>53.047800000000002</v>
      </c>
      <c r="G5697" s="202" t="str">
        <f t="shared" si="88"/>
        <v/>
      </c>
    </row>
    <row r="5698" spans="1:7" s="172" customFormat="1" ht="15" customHeight="1" x14ac:dyDescent="0.25">
      <c r="A5698" s="803" t="s">
        <v>20139</v>
      </c>
      <c r="B5698" s="803" t="s">
        <v>11776</v>
      </c>
      <c r="C5698" s="803" t="s">
        <v>11776</v>
      </c>
      <c r="D5698" s="803" t="s">
        <v>20140</v>
      </c>
      <c r="E5698" s="803">
        <v>100</v>
      </c>
      <c r="F5698" s="850">
        <v>53.047800000000002</v>
      </c>
      <c r="G5698" s="202" t="str">
        <f t="shared" si="88"/>
        <v/>
      </c>
    </row>
    <row r="5699" spans="1:7" s="172" customFormat="1" ht="15" customHeight="1" x14ac:dyDescent="0.25">
      <c r="A5699" s="803" t="s">
        <v>12097</v>
      </c>
      <c r="B5699" s="803" t="s">
        <v>11776</v>
      </c>
      <c r="C5699" s="803" t="s">
        <v>11776</v>
      </c>
      <c r="D5699" s="803" t="s">
        <v>12098</v>
      </c>
      <c r="E5699" s="803">
        <v>100</v>
      </c>
      <c r="F5699" s="850">
        <v>50.660400000000003</v>
      </c>
      <c r="G5699" s="202" t="str">
        <f t="shared" si="88"/>
        <v/>
      </c>
    </row>
    <row r="5700" spans="1:7" s="172" customFormat="1" ht="15" customHeight="1" x14ac:dyDescent="0.25">
      <c r="A5700" s="803" t="s">
        <v>12097</v>
      </c>
      <c r="B5700" s="803" t="s">
        <v>11776</v>
      </c>
      <c r="C5700" s="803" t="s">
        <v>11776</v>
      </c>
      <c r="D5700" s="803" t="s">
        <v>12099</v>
      </c>
      <c r="E5700" s="803">
        <v>100</v>
      </c>
      <c r="F5700" s="850">
        <v>50.660400000000003</v>
      </c>
      <c r="G5700" s="202" t="str">
        <f t="shared" si="88"/>
        <v/>
      </c>
    </row>
    <row r="5701" spans="1:7" s="172" customFormat="1" ht="15" customHeight="1" x14ac:dyDescent="0.25">
      <c r="A5701" s="803" t="s">
        <v>12097</v>
      </c>
      <c r="B5701" s="803" t="s">
        <v>11776</v>
      </c>
      <c r="C5701" s="803" t="s">
        <v>11776</v>
      </c>
      <c r="D5701" s="803" t="s">
        <v>12100</v>
      </c>
      <c r="E5701" s="803">
        <v>250</v>
      </c>
      <c r="F5701" s="850">
        <v>142.16909999999999</v>
      </c>
      <c r="G5701" s="202" t="str">
        <f t="shared" si="88"/>
        <v/>
      </c>
    </row>
    <row r="5702" spans="1:7" s="172" customFormat="1" ht="15" customHeight="1" x14ac:dyDescent="0.25">
      <c r="A5702" s="803" t="s">
        <v>12097</v>
      </c>
      <c r="B5702" s="803" t="s">
        <v>11776</v>
      </c>
      <c r="C5702" s="803" t="s">
        <v>11776</v>
      </c>
      <c r="D5702" s="803" t="s">
        <v>12101</v>
      </c>
      <c r="E5702" s="803">
        <v>250</v>
      </c>
      <c r="F5702" s="850">
        <v>211.00579999999999</v>
      </c>
      <c r="G5702" s="202" t="str">
        <f t="shared" si="88"/>
        <v/>
      </c>
    </row>
    <row r="5703" spans="1:7" s="172" customFormat="1" ht="15" customHeight="1" x14ac:dyDescent="0.25">
      <c r="A5703" s="803" t="s">
        <v>12097</v>
      </c>
      <c r="B5703" s="803" t="s">
        <v>11776</v>
      </c>
      <c r="C5703" s="803" t="s">
        <v>11776</v>
      </c>
      <c r="D5703" s="803" t="s">
        <v>12102</v>
      </c>
      <c r="E5703" s="803">
        <v>250</v>
      </c>
      <c r="F5703" s="850">
        <v>199.8646</v>
      </c>
      <c r="G5703" s="202" t="str">
        <f t="shared" si="88"/>
        <v/>
      </c>
    </row>
    <row r="5704" spans="1:7" s="172" customFormat="1" ht="15" customHeight="1" x14ac:dyDescent="0.25">
      <c r="A5704" s="803" t="s">
        <v>11857</v>
      </c>
      <c r="B5704" s="803" t="s">
        <v>11776</v>
      </c>
      <c r="C5704" s="803" t="s">
        <v>11776</v>
      </c>
      <c r="D5704" s="803" t="s">
        <v>12103</v>
      </c>
      <c r="E5704" s="803">
        <v>25</v>
      </c>
      <c r="F5704" s="850">
        <v>13.858799999999999</v>
      </c>
      <c r="G5704" s="202" t="str">
        <f t="shared" si="88"/>
        <v/>
      </c>
    </row>
    <row r="5705" spans="1:7" s="172" customFormat="1" ht="15" customHeight="1" x14ac:dyDescent="0.25">
      <c r="A5705" s="803" t="s">
        <v>12104</v>
      </c>
      <c r="B5705" s="803" t="s">
        <v>11776</v>
      </c>
      <c r="C5705" s="803" t="s">
        <v>11776</v>
      </c>
      <c r="D5705" s="803" t="s">
        <v>12105</v>
      </c>
      <c r="E5705" s="803">
        <v>63</v>
      </c>
      <c r="F5705" s="850">
        <v>41.513400000000004</v>
      </c>
      <c r="G5705" s="202" t="str">
        <f t="shared" si="88"/>
        <v/>
      </c>
    </row>
    <row r="5706" spans="1:7" s="172" customFormat="1" ht="15" customHeight="1" x14ac:dyDescent="0.25">
      <c r="A5706" s="803" t="s">
        <v>12106</v>
      </c>
      <c r="B5706" s="803" t="s">
        <v>11776</v>
      </c>
      <c r="C5706" s="803" t="s">
        <v>11776</v>
      </c>
      <c r="D5706" s="803" t="s">
        <v>12107</v>
      </c>
      <c r="E5706" s="803">
        <v>63</v>
      </c>
      <c r="F5706" s="850">
        <v>38.330200000000005</v>
      </c>
      <c r="G5706" s="202" t="str">
        <f t="shared" si="88"/>
        <v/>
      </c>
    </row>
    <row r="5707" spans="1:7" s="172" customFormat="1" ht="15" customHeight="1" x14ac:dyDescent="0.25">
      <c r="A5707" s="803" t="s">
        <v>12108</v>
      </c>
      <c r="B5707" s="803" t="s">
        <v>11776</v>
      </c>
      <c r="C5707" s="803" t="s">
        <v>11776</v>
      </c>
      <c r="D5707" s="803" t="s">
        <v>12109</v>
      </c>
      <c r="E5707" s="803">
        <v>100</v>
      </c>
      <c r="F5707" s="850">
        <v>54.639399999999995</v>
      </c>
      <c r="G5707" s="202" t="str">
        <f t="shared" si="88"/>
        <v/>
      </c>
    </row>
    <row r="5708" spans="1:7" s="172" customFormat="1" ht="15" customHeight="1" x14ac:dyDescent="0.25">
      <c r="A5708" s="803" t="s">
        <v>12110</v>
      </c>
      <c r="B5708" s="803" t="s">
        <v>11776</v>
      </c>
      <c r="C5708" s="803" t="s">
        <v>11776</v>
      </c>
      <c r="D5708" s="803" t="s">
        <v>12111</v>
      </c>
      <c r="E5708" s="803">
        <v>60</v>
      </c>
      <c r="F5708" s="850">
        <v>39.707099999999997</v>
      </c>
      <c r="G5708" s="202" t="str">
        <f t="shared" si="88"/>
        <v/>
      </c>
    </row>
    <row r="5709" spans="1:7" s="172" customFormat="1" ht="15" customHeight="1" x14ac:dyDescent="0.25">
      <c r="A5709" s="803" t="s">
        <v>12112</v>
      </c>
      <c r="B5709" s="803" t="s">
        <v>11776</v>
      </c>
      <c r="C5709" s="803" t="s">
        <v>11776</v>
      </c>
      <c r="D5709" s="803" t="s">
        <v>12113</v>
      </c>
      <c r="E5709" s="803">
        <v>160</v>
      </c>
      <c r="F5709" s="850">
        <v>85.592699999999994</v>
      </c>
      <c r="G5709" s="202" t="str">
        <f t="shared" si="88"/>
        <v/>
      </c>
    </row>
    <row r="5710" spans="1:7" s="172" customFormat="1" ht="15" customHeight="1" x14ac:dyDescent="0.25">
      <c r="A5710" s="803" t="s">
        <v>12112</v>
      </c>
      <c r="B5710" s="803" t="s">
        <v>11776</v>
      </c>
      <c r="C5710" s="803" t="s">
        <v>11776</v>
      </c>
      <c r="D5710" s="803" t="s">
        <v>12114</v>
      </c>
      <c r="E5710" s="803">
        <v>100</v>
      </c>
      <c r="F5710" s="850">
        <v>59.016300000000001</v>
      </c>
      <c r="G5710" s="202" t="str">
        <f t="shared" si="88"/>
        <v/>
      </c>
    </row>
    <row r="5711" spans="1:7" s="172" customFormat="1" ht="15" customHeight="1" x14ac:dyDescent="0.25">
      <c r="A5711" s="803" t="s">
        <v>12112</v>
      </c>
      <c r="B5711" s="803" t="s">
        <v>11776</v>
      </c>
      <c r="C5711" s="803" t="s">
        <v>11776</v>
      </c>
      <c r="D5711" s="803" t="s">
        <v>12115</v>
      </c>
      <c r="E5711" s="803">
        <v>250</v>
      </c>
      <c r="F5711" s="850">
        <v>180.36750000000001</v>
      </c>
      <c r="G5711" s="202" t="str">
        <f t="shared" si="88"/>
        <v/>
      </c>
    </row>
    <row r="5712" spans="1:7" s="172" customFormat="1" ht="15" customHeight="1" x14ac:dyDescent="0.25">
      <c r="A5712" s="803" t="s">
        <v>12124</v>
      </c>
      <c r="B5712" s="803" t="s">
        <v>11776</v>
      </c>
      <c r="C5712" s="803" t="s">
        <v>11776</v>
      </c>
      <c r="D5712" s="803" t="s">
        <v>12125</v>
      </c>
      <c r="E5712" s="803">
        <v>63</v>
      </c>
      <c r="F5712" s="850">
        <v>43.502899999999997</v>
      </c>
      <c r="G5712" s="202" t="str">
        <f t="shared" si="88"/>
        <v/>
      </c>
    </row>
    <row r="5713" spans="1:7" s="172" customFormat="1" ht="15" customHeight="1" x14ac:dyDescent="0.25">
      <c r="A5713" s="803" t="s">
        <v>12126</v>
      </c>
      <c r="B5713" s="803" t="s">
        <v>11776</v>
      </c>
      <c r="C5713" s="803" t="s">
        <v>11776</v>
      </c>
      <c r="D5713" s="803" t="s">
        <v>12127</v>
      </c>
      <c r="E5713" s="803">
        <v>160</v>
      </c>
      <c r="F5713" s="850">
        <v>106.6814</v>
      </c>
      <c r="G5713" s="202" t="str">
        <f t="shared" si="88"/>
        <v/>
      </c>
    </row>
    <row r="5714" spans="1:7" s="172" customFormat="1" ht="15" customHeight="1" x14ac:dyDescent="0.25">
      <c r="A5714" s="803" t="s">
        <v>5607</v>
      </c>
      <c r="B5714" s="803" t="s">
        <v>11776</v>
      </c>
      <c r="C5714" s="803" t="s">
        <v>11776</v>
      </c>
      <c r="D5714" s="803" t="s">
        <v>12128</v>
      </c>
      <c r="E5714" s="803">
        <v>100</v>
      </c>
      <c r="F5714" s="850">
        <v>61.005799999999994</v>
      </c>
      <c r="G5714" s="202" t="str">
        <f t="shared" si="88"/>
        <v/>
      </c>
    </row>
    <row r="5715" spans="1:7" s="172" customFormat="1" ht="15" customHeight="1" x14ac:dyDescent="0.25">
      <c r="A5715" s="803" t="s">
        <v>17726</v>
      </c>
      <c r="B5715" s="803" t="s">
        <v>11776</v>
      </c>
      <c r="C5715" s="803" t="s">
        <v>11776</v>
      </c>
      <c r="D5715" s="803" t="s">
        <v>12116</v>
      </c>
      <c r="E5715" s="803">
        <v>250</v>
      </c>
      <c r="F5715" s="850">
        <v>162.0641</v>
      </c>
      <c r="G5715" s="202" t="str">
        <f t="shared" si="88"/>
        <v/>
      </c>
    </row>
    <row r="5716" spans="1:7" s="172" customFormat="1" ht="15" customHeight="1" x14ac:dyDescent="0.25">
      <c r="A5716" s="803" t="s">
        <v>17729</v>
      </c>
      <c r="B5716" s="803" t="s">
        <v>11776</v>
      </c>
      <c r="C5716" s="803" t="s">
        <v>11776</v>
      </c>
      <c r="D5716" s="803" t="s">
        <v>12117</v>
      </c>
      <c r="E5716" s="803">
        <v>160</v>
      </c>
      <c r="F5716" s="850">
        <v>89.173799999999986</v>
      </c>
      <c r="G5716" s="202" t="str">
        <f t="shared" si="88"/>
        <v/>
      </c>
    </row>
    <row r="5717" spans="1:7" s="172" customFormat="1" ht="15" customHeight="1" x14ac:dyDescent="0.25">
      <c r="A5717" s="803" t="s">
        <v>5701</v>
      </c>
      <c r="B5717" s="803" t="s">
        <v>11776</v>
      </c>
      <c r="C5717" s="803" t="s">
        <v>11776</v>
      </c>
      <c r="D5717" s="803" t="s">
        <v>12118</v>
      </c>
      <c r="E5717" s="803">
        <v>60</v>
      </c>
      <c r="F5717" s="850">
        <v>43.288200000000003</v>
      </c>
      <c r="G5717" s="202" t="str">
        <f t="shared" si="88"/>
        <v/>
      </c>
    </row>
    <row r="5718" spans="1:7" s="172" customFormat="1" ht="15" customHeight="1" x14ac:dyDescent="0.25">
      <c r="A5718" s="803" t="s">
        <v>12119</v>
      </c>
      <c r="B5718" s="803" t="s">
        <v>11776</v>
      </c>
      <c r="C5718" s="803" t="s">
        <v>11776</v>
      </c>
      <c r="D5718" s="803" t="s">
        <v>12120</v>
      </c>
      <c r="E5718" s="803">
        <v>60</v>
      </c>
      <c r="F5718" s="850">
        <v>39.309199999999997</v>
      </c>
      <c r="G5718" s="202" t="str">
        <f t="shared" si="88"/>
        <v/>
      </c>
    </row>
    <row r="5719" spans="1:7" s="172" customFormat="1" ht="15" customHeight="1" x14ac:dyDescent="0.25">
      <c r="A5719" s="803" t="s">
        <v>17725</v>
      </c>
      <c r="B5719" s="803" t="s">
        <v>11776</v>
      </c>
      <c r="C5719" s="803" t="s">
        <v>11776</v>
      </c>
      <c r="D5719" s="803" t="s">
        <v>12121</v>
      </c>
      <c r="E5719" s="803">
        <v>30</v>
      </c>
      <c r="F5719" s="850">
        <v>21.644100000000002</v>
      </c>
      <c r="G5719" s="202" t="str">
        <f t="shared" si="88"/>
        <v/>
      </c>
    </row>
    <row r="5720" spans="1:7" s="172" customFormat="1" ht="15" customHeight="1" x14ac:dyDescent="0.25">
      <c r="A5720" s="803" t="s">
        <v>12122</v>
      </c>
      <c r="B5720" s="803" t="s">
        <v>11776</v>
      </c>
      <c r="C5720" s="803" t="s">
        <v>11776</v>
      </c>
      <c r="D5720" s="803" t="s">
        <v>12123</v>
      </c>
      <c r="E5720" s="803">
        <v>60</v>
      </c>
      <c r="F5720" s="850">
        <v>36.125999999999998</v>
      </c>
      <c r="G5720" s="202" t="str">
        <f t="shared" si="88"/>
        <v/>
      </c>
    </row>
    <row r="5721" spans="1:7" s="172" customFormat="1" ht="15" customHeight="1" x14ac:dyDescent="0.25">
      <c r="A5721" s="803" t="s">
        <v>17729</v>
      </c>
      <c r="B5721" s="803" t="s">
        <v>11776</v>
      </c>
      <c r="C5721" s="803" t="s">
        <v>11776</v>
      </c>
      <c r="D5721" s="803" t="s">
        <v>12129</v>
      </c>
      <c r="E5721" s="803">
        <v>160</v>
      </c>
      <c r="F5721" s="850">
        <v>105.0898</v>
      </c>
      <c r="G5721" s="202" t="str">
        <f t="shared" si="88"/>
        <v/>
      </c>
    </row>
    <row r="5722" spans="1:7" s="172" customFormat="1" ht="15" customHeight="1" x14ac:dyDescent="0.25">
      <c r="A5722" s="803" t="s">
        <v>17729</v>
      </c>
      <c r="B5722" s="803" t="s">
        <v>11776</v>
      </c>
      <c r="C5722" s="803" t="s">
        <v>11776</v>
      </c>
      <c r="D5722" s="803" t="s">
        <v>12130</v>
      </c>
      <c r="E5722" s="803">
        <v>250</v>
      </c>
      <c r="F5722" s="850">
        <v>179.17379999999997</v>
      </c>
      <c r="G5722" s="202" t="str">
        <f t="shared" si="88"/>
        <v/>
      </c>
    </row>
    <row r="5723" spans="1:7" s="172" customFormat="1" ht="15" customHeight="1" x14ac:dyDescent="0.25">
      <c r="A5723" s="803" t="s">
        <v>12131</v>
      </c>
      <c r="B5723" s="803" t="s">
        <v>11776</v>
      </c>
      <c r="C5723" s="803" t="s">
        <v>11776</v>
      </c>
      <c r="D5723" s="803" t="s">
        <v>12132</v>
      </c>
      <c r="E5723" s="803">
        <v>30</v>
      </c>
      <c r="F5723" s="850">
        <v>23.633600000000001</v>
      </c>
      <c r="G5723" s="202" t="str">
        <f t="shared" si="88"/>
        <v/>
      </c>
    </row>
    <row r="5724" spans="1:7" s="172" customFormat="1" ht="15" customHeight="1" x14ac:dyDescent="0.25">
      <c r="A5724" s="803" t="s">
        <v>4856</v>
      </c>
      <c r="B5724" s="803" t="s">
        <v>11776</v>
      </c>
      <c r="C5724" s="803" t="s">
        <v>11776</v>
      </c>
      <c r="D5724" s="803" t="s">
        <v>12133</v>
      </c>
      <c r="E5724" s="803">
        <v>180</v>
      </c>
      <c r="F5724" s="850">
        <v>115.5402</v>
      </c>
      <c r="G5724" s="202" t="str">
        <f t="shared" ref="G5724:G5787" si="89">IF(E5724=F5724,"не загружен","")</f>
        <v/>
      </c>
    </row>
    <row r="5725" spans="1:7" s="172" customFormat="1" ht="15" customHeight="1" x14ac:dyDescent="0.25">
      <c r="A5725" s="803" t="s">
        <v>4856</v>
      </c>
      <c r="B5725" s="803" t="s">
        <v>11776</v>
      </c>
      <c r="C5725" s="803" t="s">
        <v>11776</v>
      </c>
      <c r="D5725" s="803" t="s">
        <v>12134</v>
      </c>
      <c r="E5725" s="803">
        <v>10</v>
      </c>
      <c r="F5725" s="850">
        <v>4.0314999999999994</v>
      </c>
      <c r="G5725" s="202" t="str">
        <f t="shared" si="89"/>
        <v/>
      </c>
    </row>
    <row r="5726" spans="1:7" s="172" customFormat="1" ht="15" customHeight="1" x14ac:dyDescent="0.25">
      <c r="A5726" s="803" t="s">
        <v>3241</v>
      </c>
      <c r="B5726" s="803" t="s">
        <v>11776</v>
      </c>
      <c r="C5726" s="803" t="s">
        <v>11776</v>
      </c>
      <c r="D5726" s="803" t="s">
        <v>12135</v>
      </c>
      <c r="E5726" s="803">
        <v>30</v>
      </c>
      <c r="F5726" s="850">
        <v>20.052500000000002</v>
      </c>
      <c r="G5726" s="202" t="str">
        <f t="shared" si="89"/>
        <v/>
      </c>
    </row>
    <row r="5727" spans="1:7" s="172" customFormat="1" ht="15" customHeight="1" x14ac:dyDescent="0.25">
      <c r="A5727" s="803" t="s">
        <v>4966</v>
      </c>
      <c r="B5727" s="803" t="s">
        <v>11776</v>
      </c>
      <c r="C5727" s="803" t="s">
        <v>11776</v>
      </c>
      <c r="D5727" s="803" t="s">
        <v>12135</v>
      </c>
      <c r="E5727" s="803">
        <v>30</v>
      </c>
      <c r="F5727" s="850">
        <v>9.309199999999997</v>
      </c>
      <c r="G5727" s="202" t="str">
        <f t="shared" si="89"/>
        <v/>
      </c>
    </row>
    <row r="5728" spans="1:7" s="172" customFormat="1" ht="15" customHeight="1" x14ac:dyDescent="0.25">
      <c r="A5728" s="803" t="s">
        <v>12136</v>
      </c>
      <c r="B5728" s="803" t="s">
        <v>11776</v>
      </c>
      <c r="C5728" s="803" t="s">
        <v>11776</v>
      </c>
      <c r="D5728" s="803" t="s">
        <v>12137</v>
      </c>
      <c r="E5728" s="803">
        <v>30</v>
      </c>
      <c r="F5728" s="850">
        <v>-13.371099999999998</v>
      </c>
      <c r="G5728" s="202" t="str">
        <f t="shared" si="89"/>
        <v/>
      </c>
    </row>
    <row r="5729" spans="1:7" s="172" customFormat="1" ht="15" customHeight="1" x14ac:dyDescent="0.25">
      <c r="A5729" s="803" t="s">
        <v>12138</v>
      </c>
      <c r="B5729" s="803" t="s">
        <v>11776</v>
      </c>
      <c r="C5729" s="803" t="s">
        <v>11776</v>
      </c>
      <c r="D5729" s="803" t="s">
        <v>12139</v>
      </c>
      <c r="E5729" s="803">
        <v>30</v>
      </c>
      <c r="F5729" s="850">
        <v>6.1259999999999977</v>
      </c>
      <c r="G5729" s="202" t="str">
        <f t="shared" si="89"/>
        <v/>
      </c>
    </row>
    <row r="5730" spans="1:7" s="172" customFormat="1" ht="15" customHeight="1" x14ac:dyDescent="0.25">
      <c r="A5730" s="803" t="s">
        <v>12140</v>
      </c>
      <c r="B5730" s="803" t="s">
        <v>11776</v>
      </c>
      <c r="C5730" s="803" t="s">
        <v>11776</v>
      </c>
      <c r="D5730" s="803" t="s">
        <v>12141</v>
      </c>
      <c r="E5730" s="803">
        <v>63</v>
      </c>
      <c r="F5730" s="850">
        <v>40.319699999999997</v>
      </c>
      <c r="G5730" s="202" t="str">
        <f t="shared" si="89"/>
        <v/>
      </c>
    </row>
    <row r="5731" spans="1:7" s="172" customFormat="1" ht="15" customHeight="1" x14ac:dyDescent="0.25">
      <c r="A5731" s="803" t="s">
        <v>12142</v>
      </c>
      <c r="B5731" s="803" t="s">
        <v>11776</v>
      </c>
      <c r="C5731" s="803" t="s">
        <v>11776</v>
      </c>
      <c r="D5731" s="803" t="s">
        <v>12143</v>
      </c>
      <c r="E5731" s="803">
        <v>30</v>
      </c>
      <c r="F5731" s="850">
        <v>10.105</v>
      </c>
      <c r="G5731" s="202" t="str">
        <f t="shared" si="89"/>
        <v/>
      </c>
    </row>
    <row r="5732" spans="1:7" s="172" customFormat="1" ht="15" customHeight="1" x14ac:dyDescent="0.25">
      <c r="A5732" s="803" t="s">
        <v>11880</v>
      </c>
      <c r="B5732" s="803" t="s">
        <v>11776</v>
      </c>
      <c r="C5732" s="803" t="s">
        <v>11776</v>
      </c>
      <c r="D5732" s="803" t="s">
        <v>12144</v>
      </c>
      <c r="E5732" s="803">
        <v>30</v>
      </c>
      <c r="F5732" s="850">
        <v>18.062999999999999</v>
      </c>
      <c r="G5732" s="202" t="str">
        <f t="shared" si="89"/>
        <v/>
      </c>
    </row>
    <row r="5733" spans="1:7" s="172" customFormat="1" ht="15" customHeight="1" x14ac:dyDescent="0.25">
      <c r="A5733" s="803" t="s">
        <v>11880</v>
      </c>
      <c r="B5733" s="803" t="s">
        <v>11776</v>
      </c>
      <c r="C5733" s="803" t="s">
        <v>11776</v>
      </c>
      <c r="D5733" s="803" t="s">
        <v>12145</v>
      </c>
      <c r="E5733" s="803">
        <v>63</v>
      </c>
      <c r="F5733" s="850">
        <v>33.157499999999999</v>
      </c>
      <c r="G5733" s="202" t="str">
        <f t="shared" si="89"/>
        <v/>
      </c>
    </row>
    <row r="5734" spans="1:7" s="172" customFormat="1" ht="15" customHeight="1" x14ac:dyDescent="0.25">
      <c r="A5734" s="803" t="s">
        <v>11880</v>
      </c>
      <c r="B5734" s="803" t="s">
        <v>11776</v>
      </c>
      <c r="C5734" s="803" t="s">
        <v>11776</v>
      </c>
      <c r="D5734" s="803" t="s">
        <v>12146</v>
      </c>
      <c r="E5734" s="803">
        <v>400</v>
      </c>
      <c r="F5734" s="850">
        <v>280.63</v>
      </c>
      <c r="G5734" s="202" t="str">
        <f t="shared" si="89"/>
        <v/>
      </c>
    </row>
    <row r="5735" spans="1:7" s="172" customFormat="1" ht="15" customHeight="1" x14ac:dyDescent="0.25">
      <c r="A5735" s="803" t="s">
        <v>15546</v>
      </c>
      <c r="B5735" s="803" t="s">
        <v>19504</v>
      </c>
      <c r="C5735" s="803" t="s">
        <v>19505</v>
      </c>
      <c r="D5735" s="803" t="s">
        <v>15547</v>
      </c>
      <c r="E5735" s="803">
        <v>30</v>
      </c>
      <c r="F5735" s="850">
        <v>28</v>
      </c>
      <c r="G5735" s="202" t="str">
        <f t="shared" si="89"/>
        <v/>
      </c>
    </row>
    <row r="5736" spans="1:7" s="172" customFormat="1" ht="15" customHeight="1" x14ac:dyDescent="0.25">
      <c r="A5736" s="803" t="s">
        <v>15548</v>
      </c>
      <c r="B5736" s="803" t="s">
        <v>19504</v>
      </c>
      <c r="C5736" s="803" t="s">
        <v>19505</v>
      </c>
      <c r="D5736" s="803" t="s">
        <v>15549</v>
      </c>
      <c r="E5736" s="803">
        <v>60</v>
      </c>
      <c r="F5736" s="850">
        <v>17</v>
      </c>
      <c r="G5736" s="202" t="str">
        <f t="shared" si="89"/>
        <v/>
      </c>
    </row>
    <row r="5737" spans="1:7" s="172" customFormat="1" ht="15" customHeight="1" x14ac:dyDescent="0.25">
      <c r="A5737" s="803" t="s">
        <v>15550</v>
      </c>
      <c r="B5737" s="803" t="s">
        <v>19504</v>
      </c>
      <c r="C5737" s="803" t="s">
        <v>19505</v>
      </c>
      <c r="D5737" s="803" t="s">
        <v>15551</v>
      </c>
      <c r="E5737" s="803">
        <v>60</v>
      </c>
      <c r="F5737" s="850">
        <v>28</v>
      </c>
      <c r="G5737" s="202" t="str">
        <f t="shared" si="89"/>
        <v/>
      </c>
    </row>
    <row r="5738" spans="1:7" s="172" customFormat="1" ht="15" customHeight="1" x14ac:dyDescent="0.25">
      <c r="A5738" s="803" t="s">
        <v>15552</v>
      </c>
      <c r="B5738" s="803" t="s">
        <v>19504</v>
      </c>
      <c r="C5738" s="803" t="s">
        <v>19505</v>
      </c>
      <c r="D5738" s="803" t="s">
        <v>15553</v>
      </c>
      <c r="E5738" s="803">
        <v>63</v>
      </c>
      <c r="F5738" s="850">
        <v>15</v>
      </c>
      <c r="G5738" s="202" t="str">
        <f t="shared" si="89"/>
        <v/>
      </c>
    </row>
    <row r="5739" spans="1:7" s="172" customFormat="1" ht="15" customHeight="1" x14ac:dyDescent="0.25">
      <c r="A5739" s="803" t="s">
        <v>15554</v>
      </c>
      <c r="B5739" s="803" t="s">
        <v>19504</v>
      </c>
      <c r="C5739" s="803" t="s">
        <v>19505</v>
      </c>
      <c r="D5739" s="803" t="s">
        <v>15555</v>
      </c>
      <c r="E5739" s="803">
        <v>100</v>
      </c>
      <c r="F5739" s="850">
        <v>65</v>
      </c>
      <c r="G5739" s="202" t="str">
        <f t="shared" si="89"/>
        <v/>
      </c>
    </row>
    <row r="5740" spans="1:7" s="172" customFormat="1" ht="15" customHeight="1" x14ac:dyDescent="0.25">
      <c r="A5740" s="803" t="s">
        <v>15556</v>
      </c>
      <c r="B5740" s="803" t="s">
        <v>19504</v>
      </c>
      <c r="C5740" s="803" t="s">
        <v>19505</v>
      </c>
      <c r="D5740" s="803" t="s">
        <v>15557</v>
      </c>
      <c r="E5740" s="803">
        <v>20</v>
      </c>
      <c r="F5740" s="850">
        <v>14</v>
      </c>
      <c r="G5740" s="202" t="str">
        <f t="shared" si="89"/>
        <v/>
      </c>
    </row>
    <row r="5741" spans="1:7" s="172" customFormat="1" ht="15" customHeight="1" x14ac:dyDescent="0.25">
      <c r="A5741" s="803" t="s">
        <v>15558</v>
      </c>
      <c r="B5741" s="803" t="s">
        <v>19504</v>
      </c>
      <c r="C5741" s="803" t="s">
        <v>19505</v>
      </c>
      <c r="D5741" s="803" t="s">
        <v>15559</v>
      </c>
      <c r="E5741" s="803">
        <v>10</v>
      </c>
      <c r="F5741" s="850">
        <v>5</v>
      </c>
      <c r="G5741" s="202" t="str">
        <f t="shared" si="89"/>
        <v/>
      </c>
    </row>
    <row r="5742" spans="1:7" s="172" customFormat="1" ht="15" customHeight="1" x14ac:dyDescent="0.25">
      <c r="A5742" s="803" t="s">
        <v>15560</v>
      </c>
      <c r="B5742" s="803" t="s">
        <v>19504</v>
      </c>
      <c r="C5742" s="803" t="s">
        <v>19505</v>
      </c>
      <c r="D5742" s="803" t="s">
        <v>15561</v>
      </c>
      <c r="E5742" s="803">
        <v>40</v>
      </c>
      <c r="F5742" s="850">
        <v>24</v>
      </c>
      <c r="G5742" s="202" t="str">
        <f t="shared" si="89"/>
        <v/>
      </c>
    </row>
    <row r="5743" spans="1:7" s="172" customFormat="1" ht="15" customHeight="1" x14ac:dyDescent="0.25">
      <c r="A5743" s="803" t="s">
        <v>15046</v>
      </c>
      <c r="B5743" s="803" t="s">
        <v>19504</v>
      </c>
      <c r="C5743" s="803" t="s">
        <v>19505</v>
      </c>
      <c r="D5743" s="803" t="s">
        <v>15562</v>
      </c>
      <c r="E5743" s="803">
        <v>40</v>
      </c>
      <c r="F5743" s="850">
        <v>18</v>
      </c>
      <c r="G5743" s="202" t="str">
        <f t="shared" si="89"/>
        <v/>
      </c>
    </row>
    <row r="5744" spans="1:7" s="172" customFormat="1" ht="15" customHeight="1" x14ac:dyDescent="0.25">
      <c r="A5744" s="803" t="s">
        <v>15563</v>
      </c>
      <c r="B5744" s="803" t="s">
        <v>19504</v>
      </c>
      <c r="C5744" s="803" t="s">
        <v>19505</v>
      </c>
      <c r="D5744" s="803" t="s">
        <v>15564</v>
      </c>
      <c r="E5744" s="803">
        <v>60</v>
      </c>
      <c r="F5744" s="850">
        <v>34</v>
      </c>
      <c r="G5744" s="202" t="str">
        <f t="shared" si="89"/>
        <v/>
      </c>
    </row>
    <row r="5745" spans="1:7" s="172" customFormat="1" ht="15" customHeight="1" x14ac:dyDescent="0.25">
      <c r="A5745" s="803" t="s">
        <v>15565</v>
      </c>
      <c r="B5745" s="803" t="s">
        <v>19504</v>
      </c>
      <c r="C5745" s="803" t="s">
        <v>19505</v>
      </c>
      <c r="D5745" s="803" t="s">
        <v>15566</v>
      </c>
      <c r="E5745" s="803">
        <v>63</v>
      </c>
      <c r="F5745" s="850">
        <v>38</v>
      </c>
      <c r="G5745" s="202" t="str">
        <f t="shared" si="89"/>
        <v/>
      </c>
    </row>
    <row r="5746" spans="1:7" s="172" customFormat="1" ht="15" customHeight="1" x14ac:dyDescent="0.25">
      <c r="A5746" s="803" t="s">
        <v>15567</v>
      </c>
      <c r="B5746" s="803" t="s">
        <v>19504</v>
      </c>
      <c r="C5746" s="803" t="s">
        <v>19505</v>
      </c>
      <c r="D5746" s="803" t="s">
        <v>15568</v>
      </c>
      <c r="E5746" s="803">
        <v>160</v>
      </c>
      <c r="F5746" s="850">
        <v>69</v>
      </c>
      <c r="G5746" s="202" t="str">
        <f t="shared" si="89"/>
        <v/>
      </c>
    </row>
    <row r="5747" spans="1:7" s="172" customFormat="1" ht="15" customHeight="1" x14ac:dyDescent="0.25">
      <c r="A5747" s="803" t="s">
        <v>15569</v>
      </c>
      <c r="B5747" s="803" t="s">
        <v>19504</v>
      </c>
      <c r="C5747" s="803" t="s">
        <v>19505</v>
      </c>
      <c r="D5747" s="803" t="s">
        <v>15570</v>
      </c>
      <c r="E5747" s="803">
        <v>63</v>
      </c>
      <c r="F5747" s="850">
        <v>43</v>
      </c>
      <c r="G5747" s="202" t="str">
        <f t="shared" si="89"/>
        <v/>
      </c>
    </row>
    <row r="5748" spans="1:7" s="172" customFormat="1" ht="15" customHeight="1" x14ac:dyDescent="0.25">
      <c r="A5748" s="803" t="s">
        <v>15571</v>
      </c>
      <c r="B5748" s="803" t="s">
        <v>19504</v>
      </c>
      <c r="C5748" s="803" t="s">
        <v>19505</v>
      </c>
      <c r="D5748" s="803" t="s">
        <v>15572</v>
      </c>
      <c r="E5748" s="803">
        <v>250</v>
      </c>
      <c r="F5748" s="850">
        <v>57</v>
      </c>
      <c r="G5748" s="202" t="str">
        <f t="shared" si="89"/>
        <v/>
      </c>
    </row>
    <row r="5749" spans="1:7" s="172" customFormat="1" ht="15" customHeight="1" x14ac:dyDescent="0.25">
      <c r="A5749" s="803" t="s">
        <v>15571</v>
      </c>
      <c r="B5749" s="803" t="s">
        <v>19504</v>
      </c>
      <c r="C5749" s="803" t="s">
        <v>19505</v>
      </c>
      <c r="D5749" s="803" t="s">
        <v>15573</v>
      </c>
      <c r="E5749" s="803">
        <v>250</v>
      </c>
      <c r="F5749" s="850">
        <v>4</v>
      </c>
      <c r="G5749" s="202" t="str">
        <f t="shared" si="89"/>
        <v/>
      </c>
    </row>
    <row r="5750" spans="1:7" s="172" customFormat="1" ht="15" customHeight="1" x14ac:dyDescent="0.25">
      <c r="A5750" s="803" t="s">
        <v>15571</v>
      </c>
      <c r="B5750" s="803" t="s">
        <v>19504</v>
      </c>
      <c r="C5750" s="803" t="s">
        <v>19505</v>
      </c>
      <c r="D5750" s="803" t="s">
        <v>15574</v>
      </c>
      <c r="E5750" s="803">
        <v>160</v>
      </c>
      <c r="F5750" s="850">
        <v>65</v>
      </c>
      <c r="G5750" s="202" t="str">
        <f t="shared" si="89"/>
        <v/>
      </c>
    </row>
    <row r="5751" spans="1:7" s="172" customFormat="1" ht="15" customHeight="1" x14ac:dyDescent="0.25">
      <c r="A5751" s="803" t="s">
        <v>15575</v>
      </c>
      <c r="B5751" s="803" t="s">
        <v>19504</v>
      </c>
      <c r="C5751" s="803" t="s">
        <v>19505</v>
      </c>
      <c r="D5751" s="803" t="s">
        <v>15576</v>
      </c>
      <c r="E5751" s="803">
        <v>100</v>
      </c>
      <c r="F5751" s="850">
        <v>29</v>
      </c>
      <c r="G5751" s="202" t="str">
        <f t="shared" si="89"/>
        <v/>
      </c>
    </row>
    <row r="5752" spans="1:7" s="172" customFormat="1" ht="15" customHeight="1" x14ac:dyDescent="0.25">
      <c r="A5752" s="803" t="s">
        <v>15577</v>
      </c>
      <c r="B5752" s="803" t="s">
        <v>19504</v>
      </c>
      <c r="C5752" s="803" t="s">
        <v>19505</v>
      </c>
      <c r="D5752" s="803" t="s">
        <v>15578</v>
      </c>
      <c r="E5752" s="803">
        <v>30</v>
      </c>
      <c r="F5752" s="850">
        <v>14</v>
      </c>
      <c r="G5752" s="202" t="str">
        <f t="shared" si="89"/>
        <v/>
      </c>
    </row>
    <row r="5753" spans="1:7" s="172" customFormat="1" ht="15" customHeight="1" x14ac:dyDescent="0.25">
      <c r="A5753" s="803" t="s">
        <v>15579</v>
      </c>
      <c r="B5753" s="803" t="s">
        <v>19504</v>
      </c>
      <c r="C5753" s="803" t="s">
        <v>19505</v>
      </c>
      <c r="D5753" s="803" t="s">
        <v>15580</v>
      </c>
      <c r="E5753" s="803">
        <v>60</v>
      </c>
      <c r="F5753" s="850">
        <v>33</v>
      </c>
      <c r="G5753" s="202" t="str">
        <f t="shared" si="89"/>
        <v/>
      </c>
    </row>
    <row r="5754" spans="1:7" s="172" customFormat="1" ht="15" customHeight="1" x14ac:dyDescent="0.25">
      <c r="A5754" s="803" t="s">
        <v>15581</v>
      </c>
      <c r="B5754" s="803" t="s">
        <v>19504</v>
      </c>
      <c r="C5754" s="803" t="s">
        <v>19505</v>
      </c>
      <c r="D5754" s="803" t="s">
        <v>15582</v>
      </c>
      <c r="E5754" s="803">
        <v>20</v>
      </c>
      <c r="F5754" s="850">
        <v>18</v>
      </c>
      <c r="G5754" s="202" t="str">
        <f t="shared" si="89"/>
        <v/>
      </c>
    </row>
    <row r="5755" spans="1:7" s="172" customFormat="1" ht="15" customHeight="1" x14ac:dyDescent="0.25">
      <c r="A5755" s="803" t="s">
        <v>15583</v>
      </c>
      <c r="B5755" s="803" t="s">
        <v>19504</v>
      </c>
      <c r="C5755" s="803" t="s">
        <v>19505</v>
      </c>
      <c r="D5755" s="803" t="s">
        <v>15584</v>
      </c>
      <c r="E5755" s="803">
        <v>160</v>
      </c>
      <c r="F5755" s="850">
        <v>25</v>
      </c>
      <c r="G5755" s="202" t="str">
        <f t="shared" si="89"/>
        <v/>
      </c>
    </row>
    <row r="5756" spans="1:7" s="172" customFormat="1" ht="15" customHeight="1" x14ac:dyDescent="0.25">
      <c r="A5756" s="803" t="s">
        <v>15585</v>
      </c>
      <c r="B5756" s="803" t="s">
        <v>19504</v>
      </c>
      <c r="C5756" s="803" t="s">
        <v>19505</v>
      </c>
      <c r="D5756" s="803" t="s">
        <v>15586</v>
      </c>
      <c r="E5756" s="803">
        <v>30</v>
      </c>
      <c r="F5756" s="850">
        <v>11</v>
      </c>
      <c r="G5756" s="202" t="str">
        <f t="shared" si="89"/>
        <v/>
      </c>
    </row>
    <row r="5757" spans="1:7" s="172" customFormat="1" ht="15" customHeight="1" x14ac:dyDescent="0.25">
      <c r="A5757" s="803" t="s">
        <v>15587</v>
      </c>
      <c r="B5757" s="803" t="s">
        <v>19504</v>
      </c>
      <c r="C5757" s="803" t="s">
        <v>19505</v>
      </c>
      <c r="D5757" s="803" t="s">
        <v>15588</v>
      </c>
      <c r="E5757" s="803">
        <v>20</v>
      </c>
      <c r="F5757" s="850">
        <v>5</v>
      </c>
      <c r="G5757" s="202" t="str">
        <f t="shared" si="89"/>
        <v/>
      </c>
    </row>
    <row r="5758" spans="1:7" s="172" customFormat="1" ht="15" customHeight="1" x14ac:dyDescent="0.25">
      <c r="A5758" s="803" t="s">
        <v>15589</v>
      </c>
      <c r="B5758" s="803" t="s">
        <v>19504</v>
      </c>
      <c r="C5758" s="803" t="s">
        <v>19505</v>
      </c>
      <c r="D5758" s="803" t="s">
        <v>15590</v>
      </c>
      <c r="E5758" s="803">
        <v>100</v>
      </c>
      <c r="F5758" s="850">
        <v>33</v>
      </c>
      <c r="G5758" s="202" t="str">
        <f t="shared" si="89"/>
        <v/>
      </c>
    </row>
    <row r="5759" spans="1:7" s="172" customFormat="1" ht="15" customHeight="1" x14ac:dyDescent="0.25">
      <c r="A5759" s="803" t="s">
        <v>15591</v>
      </c>
      <c r="B5759" s="803" t="s">
        <v>19504</v>
      </c>
      <c r="C5759" s="803" t="s">
        <v>19505</v>
      </c>
      <c r="D5759" s="803" t="s">
        <v>15592</v>
      </c>
      <c r="E5759" s="803">
        <v>160</v>
      </c>
      <c r="F5759" s="850">
        <v>29</v>
      </c>
      <c r="G5759" s="202" t="str">
        <f t="shared" si="89"/>
        <v/>
      </c>
    </row>
    <row r="5760" spans="1:7" s="172" customFormat="1" ht="15" customHeight="1" x14ac:dyDescent="0.25">
      <c r="A5760" s="803" t="s">
        <v>15591</v>
      </c>
      <c r="B5760" s="803" t="s">
        <v>19504</v>
      </c>
      <c r="C5760" s="803" t="s">
        <v>19505</v>
      </c>
      <c r="D5760" s="803" t="s">
        <v>15593</v>
      </c>
      <c r="E5760" s="803">
        <v>160</v>
      </c>
      <c r="F5760" s="850">
        <v>22</v>
      </c>
      <c r="G5760" s="202" t="str">
        <f t="shared" si="89"/>
        <v/>
      </c>
    </row>
    <row r="5761" spans="1:7" s="172" customFormat="1" ht="15" customHeight="1" x14ac:dyDescent="0.25">
      <c r="A5761" s="803" t="s">
        <v>15579</v>
      </c>
      <c r="B5761" s="803" t="s">
        <v>19504</v>
      </c>
      <c r="C5761" s="803" t="s">
        <v>19505</v>
      </c>
      <c r="D5761" s="803" t="s">
        <v>15594</v>
      </c>
      <c r="E5761" s="803">
        <v>250</v>
      </c>
      <c r="F5761" s="850">
        <v>4</v>
      </c>
      <c r="G5761" s="202" t="str">
        <f t="shared" si="89"/>
        <v/>
      </c>
    </row>
    <row r="5762" spans="1:7" s="172" customFormat="1" ht="15" customHeight="1" x14ac:dyDescent="0.25">
      <c r="A5762" s="803" t="s">
        <v>15595</v>
      </c>
      <c r="B5762" s="803" t="s">
        <v>19504</v>
      </c>
      <c r="C5762" s="803" t="s">
        <v>19505</v>
      </c>
      <c r="D5762" s="803" t="s">
        <v>15596</v>
      </c>
      <c r="E5762" s="803">
        <v>160</v>
      </c>
      <c r="F5762" s="850">
        <v>23</v>
      </c>
      <c r="G5762" s="202" t="str">
        <f t="shared" si="89"/>
        <v/>
      </c>
    </row>
    <row r="5763" spans="1:7" s="172" customFormat="1" ht="15" customHeight="1" x14ac:dyDescent="0.25">
      <c r="A5763" s="803" t="s">
        <v>15597</v>
      </c>
      <c r="B5763" s="803" t="s">
        <v>19504</v>
      </c>
      <c r="C5763" s="803" t="s">
        <v>19505</v>
      </c>
      <c r="D5763" s="803" t="s">
        <v>15598</v>
      </c>
      <c r="E5763" s="803">
        <v>400</v>
      </c>
      <c r="F5763" s="850">
        <v>74</v>
      </c>
      <c r="G5763" s="202" t="str">
        <f t="shared" si="89"/>
        <v/>
      </c>
    </row>
    <row r="5764" spans="1:7" s="172" customFormat="1" ht="15" customHeight="1" x14ac:dyDescent="0.25">
      <c r="A5764" s="803" t="s">
        <v>15599</v>
      </c>
      <c r="B5764" s="803" t="s">
        <v>19504</v>
      </c>
      <c r="C5764" s="803" t="s">
        <v>19505</v>
      </c>
      <c r="D5764" s="803" t="s">
        <v>15600</v>
      </c>
      <c r="E5764" s="803">
        <v>60</v>
      </c>
      <c r="F5764" s="850">
        <v>16</v>
      </c>
      <c r="G5764" s="202" t="str">
        <f t="shared" si="89"/>
        <v/>
      </c>
    </row>
    <row r="5765" spans="1:7" s="172" customFormat="1" ht="15" customHeight="1" x14ac:dyDescent="0.25">
      <c r="A5765" s="803" t="s">
        <v>15601</v>
      </c>
      <c r="B5765" s="803" t="s">
        <v>19504</v>
      </c>
      <c r="C5765" s="803" t="s">
        <v>19505</v>
      </c>
      <c r="D5765" s="803" t="s">
        <v>15602</v>
      </c>
      <c r="E5765" s="803">
        <v>10</v>
      </c>
      <c r="F5765" s="850">
        <v>9</v>
      </c>
      <c r="G5765" s="202" t="str">
        <f t="shared" si="89"/>
        <v/>
      </c>
    </row>
    <row r="5766" spans="1:7" s="172" customFormat="1" ht="15" customHeight="1" x14ac:dyDescent="0.25">
      <c r="A5766" s="803" t="s">
        <v>15603</v>
      </c>
      <c r="B5766" s="803" t="s">
        <v>19504</v>
      </c>
      <c r="C5766" s="803" t="s">
        <v>19505</v>
      </c>
      <c r="D5766" s="803" t="s">
        <v>15604</v>
      </c>
      <c r="E5766" s="803">
        <v>60</v>
      </c>
      <c r="F5766" s="850">
        <v>21</v>
      </c>
      <c r="G5766" s="202" t="str">
        <f t="shared" si="89"/>
        <v/>
      </c>
    </row>
    <row r="5767" spans="1:7" s="172" customFormat="1" ht="15" customHeight="1" x14ac:dyDescent="0.25">
      <c r="A5767" s="803" t="s">
        <v>15605</v>
      </c>
      <c r="B5767" s="803" t="s">
        <v>19504</v>
      </c>
      <c r="C5767" s="803" t="s">
        <v>19505</v>
      </c>
      <c r="D5767" s="803" t="s">
        <v>15606</v>
      </c>
      <c r="E5767" s="803">
        <v>30</v>
      </c>
      <c r="F5767" s="850">
        <v>4</v>
      </c>
      <c r="G5767" s="202" t="str">
        <f t="shared" si="89"/>
        <v/>
      </c>
    </row>
    <row r="5768" spans="1:7" s="172" customFormat="1" ht="15" customHeight="1" x14ac:dyDescent="0.25">
      <c r="A5768" s="803" t="s">
        <v>15607</v>
      </c>
      <c r="B5768" s="803" t="s">
        <v>19504</v>
      </c>
      <c r="C5768" s="803" t="s">
        <v>19505</v>
      </c>
      <c r="D5768" s="803" t="s">
        <v>15608</v>
      </c>
      <c r="E5768" s="803">
        <v>160</v>
      </c>
      <c r="F5768" s="850">
        <v>20</v>
      </c>
      <c r="G5768" s="202" t="str">
        <f t="shared" si="89"/>
        <v/>
      </c>
    </row>
    <row r="5769" spans="1:7" s="172" customFormat="1" ht="15" customHeight="1" x14ac:dyDescent="0.25">
      <c r="A5769" s="803" t="s">
        <v>15609</v>
      </c>
      <c r="B5769" s="803" t="s">
        <v>19504</v>
      </c>
      <c r="C5769" s="803" t="s">
        <v>19505</v>
      </c>
      <c r="D5769" s="803" t="s">
        <v>15610</v>
      </c>
      <c r="E5769" s="803">
        <v>30</v>
      </c>
      <c r="F5769" s="850">
        <v>8</v>
      </c>
      <c r="G5769" s="202" t="str">
        <f t="shared" si="89"/>
        <v/>
      </c>
    </row>
    <row r="5770" spans="1:7" s="172" customFormat="1" ht="15" customHeight="1" x14ac:dyDescent="0.25">
      <c r="A5770" s="803" t="s">
        <v>15611</v>
      </c>
      <c r="B5770" s="803" t="s">
        <v>19504</v>
      </c>
      <c r="C5770" s="803" t="s">
        <v>19505</v>
      </c>
      <c r="D5770" s="803" t="s">
        <v>15612</v>
      </c>
      <c r="E5770" s="803">
        <v>160</v>
      </c>
      <c r="F5770" s="850">
        <v>5</v>
      </c>
      <c r="G5770" s="202" t="str">
        <f t="shared" si="89"/>
        <v/>
      </c>
    </row>
    <row r="5771" spans="1:7" s="172" customFormat="1" ht="15" customHeight="1" x14ac:dyDescent="0.25">
      <c r="A5771" s="803" t="s">
        <v>15611</v>
      </c>
      <c r="B5771" s="803" t="s">
        <v>19504</v>
      </c>
      <c r="C5771" s="803" t="s">
        <v>19505</v>
      </c>
      <c r="D5771" s="803" t="s">
        <v>15613</v>
      </c>
      <c r="E5771" s="803">
        <v>160</v>
      </c>
      <c r="F5771" s="850">
        <v>55</v>
      </c>
      <c r="G5771" s="202" t="str">
        <f t="shared" si="89"/>
        <v/>
      </c>
    </row>
    <row r="5772" spans="1:7" s="172" customFormat="1" ht="15" customHeight="1" x14ac:dyDescent="0.25">
      <c r="A5772" s="803" t="s">
        <v>15611</v>
      </c>
      <c r="B5772" s="803" t="s">
        <v>19504</v>
      </c>
      <c r="C5772" s="803" t="s">
        <v>19505</v>
      </c>
      <c r="D5772" s="803" t="s">
        <v>15614</v>
      </c>
      <c r="E5772" s="803">
        <v>400</v>
      </c>
      <c r="F5772" s="850">
        <v>1</v>
      </c>
      <c r="G5772" s="202" t="str">
        <f t="shared" si="89"/>
        <v/>
      </c>
    </row>
    <row r="5773" spans="1:7" s="172" customFormat="1" ht="15" customHeight="1" x14ac:dyDescent="0.25">
      <c r="A5773" s="803" t="s">
        <v>15615</v>
      </c>
      <c r="B5773" s="803" t="s">
        <v>19504</v>
      </c>
      <c r="C5773" s="803" t="s">
        <v>19505</v>
      </c>
      <c r="D5773" s="803" t="s">
        <v>15616</v>
      </c>
      <c r="E5773" s="803">
        <v>20</v>
      </c>
      <c r="F5773" s="850">
        <v>1</v>
      </c>
      <c r="G5773" s="202" t="str">
        <f t="shared" si="89"/>
        <v/>
      </c>
    </row>
    <row r="5774" spans="1:7" s="172" customFormat="1" ht="15" customHeight="1" x14ac:dyDescent="0.25">
      <c r="A5774" s="803" t="s">
        <v>15617</v>
      </c>
      <c r="B5774" s="803" t="s">
        <v>19504</v>
      </c>
      <c r="C5774" s="803" t="s">
        <v>19505</v>
      </c>
      <c r="D5774" s="803" t="s">
        <v>15618</v>
      </c>
      <c r="E5774" s="803">
        <v>160</v>
      </c>
      <c r="F5774" s="850">
        <v>34</v>
      </c>
      <c r="G5774" s="202" t="str">
        <f t="shared" si="89"/>
        <v/>
      </c>
    </row>
    <row r="5775" spans="1:7" s="172" customFormat="1" ht="15" customHeight="1" x14ac:dyDescent="0.25">
      <c r="A5775" s="803" t="s">
        <v>15617</v>
      </c>
      <c r="B5775" s="803" t="s">
        <v>19504</v>
      </c>
      <c r="C5775" s="803" t="s">
        <v>19505</v>
      </c>
      <c r="D5775" s="803" t="s">
        <v>15619</v>
      </c>
      <c r="E5775" s="803">
        <v>63</v>
      </c>
      <c r="F5775" s="850">
        <v>38</v>
      </c>
      <c r="G5775" s="202" t="str">
        <f t="shared" si="89"/>
        <v/>
      </c>
    </row>
    <row r="5776" spans="1:7" s="172" customFormat="1" ht="15" customHeight="1" x14ac:dyDescent="0.25">
      <c r="A5776" s="803" t="s">
        <v>15617</v>
      </c>
      <c r="B5776" s="803" t="s">
        <v>19504</v>
      </c>
      <c r="C5776" s="803" t="s">
        <v>19505</v>
      </c>
      <c r="D5776" s="803" t="s">
        <v>15620</v>
      </c>
      <c r="E5776" s="803">
        <v>400</v>
      </c>
      <c r="F5776" s="850">
        <v>16</v>
      </c>
      <c r="G5776" s="202" t="str">
        <f t="shared" si="89"/>
        <v/>
      </c>
    </row>
    <row r="5777" spans="1:7" s="172" customFormat="1" ht="15" customHeight="1" x14ac:dyDescent="0.25">
      <c r="A5777" s="803" t="s">
        <v>15621</v>
      </c>
      <c r="B5777" s="803" t="s">
        <v>19504</v>
      </c>
      <c r="C5777" s="803" t="s">
        <v>19505</v>
      </c>
      <c r="D5777" s="803" t="s">
        <v>15622</v>
      </c>
      <c r="E5777" s="803">
        <v>400</v>
      </c>
      <c r="F5777" s="850">
        <v>27</v>
      </c>
      <c r="G5777" s="202" t="str">
        <f t="shared" si="89"/>
        <v/>
      </c>
    </row>
    <row r="5778" spans="1:7" s="172" customFormat="1" ht="15" customHeight="1" x14ac:dyDescent="0.25">
      <c r="A5778" s="803" t="s">
        <v>15621</v>
      </c>
      <c r="B5778" s="803" t="s">
        <v>19504</v>
      </c>
      <c r="C5778" s="803" t="s">
        <v>19505</v>
      </c>
      <c r="D5778" s="803" t="s">
        <v>15623</v>
      </c>
      <c r="E5778" s="803">
        <v>160</v>
      </c>
      <c r="F5778" s="850">
        <v>5</v>
      </c>
      <c r="G5778" s="202" t="str">
        <f t="shared" si="89"/>
        <v/>
      </c>
    </row>
    <row r="5779" spans="1:7" s="172" customFormat="1" ht="15" customHeight="1" x14ac:dyDescent="0.25">
      <c r="A5779" s="803" t="s">
        <v>15621</v>
      </c>
      <c r="B5779" s="803" t="s">
        <v>19504</v>
      </c>
      <c r="C5779" s="803" t="s">
        <v>19505</v>
      </c>
      <c r="D5779" s="803" t="s">
        <v>15624</v>
      </c>
      <c r="E5779" s="803">
        <v>63</v>
      </c>
      <c r="F5779" s="850">
        <v>9</v>
      </c>
      <c r="G5779" s="202" t="str">
        <f t="shared" si="89"/>
        <v/>
      </c>
    </row>
    <row r="5780" spans="1:7" s="172" customFormat="1" ht="15" customHeight="1" x14ac:dyDescent="0.25">
      <c r="A5780" s="803" t="s">
        <v>15621</v>
      </c>
      <c r="B5780" s="803" t="s">
        <v>19504</v>
      </c>
      <c r="C5780" s="803" t="s">
        <v>19505</v>
      </c>
      <c r="D5780" s="803" t="s">
        <v>15625</v>
      </c>
      <c r="E5780" s="803">
        <v>160</v>
      </c>
      <c r="F5780" s="850">
        <v>40</v>
      </c>
      <c r="G5780" s="202" t="str">
        <f t="shared" si="89"/>
        <v/>
      </c>
    </row>
    <row r="5781" spans="1:7" s="172" customFormat="1" ht="15" customHeight="1" x14ac:dyDescent="0.25">
      <c r="A5781" s="803" t="s">
        <v>15621</v>
      </c>
      <c r="B5781" s="803" t="s">
        <v>19504</v>
      </c>
      <c r="C5781" s="803" t="s">
        <v>19505</v>
      </c>
      <c r="D5781" s="803" t="s">
        <v>15626</v>
      </c>
      <c r="E5781" s="803">
        <v>160</v>
      </c>
      <c r="F5781" s="850">
        <v>44</v>
      </c>
      <c r="G5781" s="202" t="str">
        <f t="shared" si="89"/>
        <v/>
      </c>
    </row>
    <row r="5782" spans="1:7" s="172" customFormat="1" ht="15" customHeight="1" x14ac:dyDescent="0.25">
      <c r="A5782" s="803" t="s">
        <v>15627</v>
      </c>
      <c r="B5782" s="803" t="s">
        <v>19504</v>
      </c>
      <c r="C5782" s="803" t="s">
        <v>19505</v>
      </c>
      <c r="D5782" s="803" t="s">
        <v>15628</v>
      </c>
      <c r="E5782" s="803">
        <v>100</v>
      </c>
      <c r="F5782" s="850">
        <v>15</v>
      </c>
      <c r="G5782" s="202" t="str">
        <f t="shared" si="89"/>
        <v/>
      </c>
    </row>
    <row r="5783" spans="1:7" s="172" customFormat="1" ht="15" customHeight="1" x14ac:dyDescent="0.25">
      <c r="A5783" s="803" t="s">
        <v>15621</v>
      </c>
      <c r="B5783" s="803" t="s">
        <v>19504</v>
      </c>
      <c r="C5783" s="803" t="s">
        <v>19505</v>
      </c>
      <c r="D5783" s="803" t="s">
        <v>15629</v>
      </c>
      <c r="E5783" s="803">
        <v>400</v>
      </c>
      <c r="F5783" s="850">
        <v>40</v>
      </c>
      <c r="G5783" s="202" t="str">
        <f t="shared" si="89"/>
        <v/>
      </c>
    </row>
    <row r="5784" spans="1:7" s="172" customFormat="1" ht="15" customHeight="1" x14ac:dyDescent="0.25">
      <c r="A5784" s="803" t="s">
        <v>15630</v>
      </c>
      <c r="B5784" s="803" t="s">
        <v>19504</v>
      </c>
      <c r="C5784" s="803" t="s">
        <v>19505</v>
      </c>
      <c r="D5784" s="803" t="s">
        <v>15631</v>
      </c>
      <c r="E5784" s="803">
        <v>60</v>
      </c>
      <c r="F5784" s="850">
        <v>28</v>
      </c>
      <c r="G5784" s="202" t="str">
        <f t="shared" si="89"/>
        <v/>
      </c>
    </row>
    <row r="5785" spans="1:7" s="172" customFormat="1" ht="15" customHeight="1" x14ac:dyDescent="0.25">
      <c r="A5785" s="803" t="s">
        <v>15591</v>
      </c>
      <c r="B5785" s="803" t="s">
        <v>19504</v>
      </c>
      <c r="C5785" s="803" t="s">
        <v>19505</v>
      </c>
      <c r="D5785" s="803" t="s">
        <v>15632</v>
      </c>
      <c r="E5785" s="803">
        <v>60</v>
      </c>
      <c r="F5785" s="850">
        <v>14</v>
      </c>
      <c r="G5785" s="202" t="str">
        <f t="shared" si="89"/>
        <v/>
      </c>
    </row>
    <row r="5786" spans="1:7" s="172" customFormat="1" ht="15" customHeight="1" x14ac:dyDescent="0.25">
      <c r="A5786" s="803" t="s">
        <v>15633</v>
      </c>
      <c r="B5786" s="803" t="s">
        <v>19504</v>
      </c>
      <c r="C5786" s="803" t="s">
        <v>19505</v>
      </c>
      <c r="D5786" s="803" t="s">
        <v>15634</v>
      </c>
      <c r="E5786" s="803">
        <v>100</v>
      </c>
      <c r="F5786" s="850">
        <v>81</v>
      </c>
      <c r="G5786" s="202" t="str">
        <f t="shared" si="89"/>
        <v/>
      </c>
    </row>
    <row r="5787" spans="1:7" s="172" customFormat="1" ht="15" customHeight="1" x14ac:dyDescent="0.25">
      <c r="A5787" s="803" t="s">
        <v>15539</v>
      </c>
      <c r="B5787" s="803" t="s">
        <v>19504</v>
      </c>
      <c r="C5787" s="803" t="s">
        <v>19505</v>
      </c>
      <c r="D5787" s="803" t="s">
        <v>15635</v>
      </c>
      <c r="E5787" s="803">
        <v>400</v>
      </c>
      <c r="F5787" s="850">
        <v>5</v>
      </c>
      <c r="G5787" s="202" t="str">
        <f t="shared" si="89"/>
        <v/>
      </c>
    </row>
    <row r="5788" spans="1:7" s="172" customFormat="1" ht="15" customHeight="1" x14ac:dyDescent="0.25">
      <c r="A5788" s="803" t="s">
        <v>15539</v>
      </c>
      <c r="B5788" s="803" t="s">
        <v>19504</v>
      </c>
      <c r="C5788" s="803" t="s">
        <v>19505</v>
      </c>
      <c r="D5788" s="803" t="s">
        <v>15636</v>
      </c>
      <c r="E5788" s="803">
        <v>160</v>
      </c>
      <c r="F5788" s="850">
        <v>4</v>
      </c>
      <c r="G5788" s="202" t="str">
        <f t="shared" ref="G5788:G5851" si="90">IF(E5788=F5788,"не загружен","")</f>
        <v/>
      </c>
    </row>
    <row r="5789" spans="1:7" s="172" customFormat="1" ht="15" customHeight="1" x14ac:dyDescent="0.25">
      <c r="A5789" s="803" t="s">
        <v>15539</v>
      </c>
      <c r="B5789" s="803" t="s">
        <v>19504</v>
      </c>
      <c r="C5789" s="803" t="s">
        <v>19505</v>
      </c>
      <c r="D5789" s="803" t="s">
        <v>15637</v>
      </c>
      <c r="E5789" s="803">
        <v>160</v>
      </c>
      <c r="F5789" s="850">
        <v>54</v>
      </c>
      <c r="G5789" s="202" t="str">
        <f t="shared" si="90"/>
        <v/>
      </c>
    </row>
    <row r="5790" spans="1:7" s="172" customFormat="1" ht="15" customHeight="1" x14ac:dyDescent="0.25">
      <c r="A5790" s="803" t="s">
        <v>15539</v>
      </c>
      <c r="B5790" s="803" t="s">
        <v>19504</v>
      </c>
      <c r="C5790" s="803" t="s">
        <v>19505</v>
      </c>
      <c r="D5790" s="803" t="s">
        <v>15638</v>
      </c>
      <c r="E5790" s="803">
        <v>250</v>
      </c>
      <c r="F5790" s="850">
        <v>1</v>
      </c>
      <c r="G5790" s="202" t="str">
        <f t="shared" si="90"/>
        <v/>
      </c>
    </row>
    <row r="5791" spans="1:7" s="172" customFormat="1" ht="15" customHeight="1" x14ac:dyDescent="0.25">
      <c r="A5791" s="803" t="s">
        <v>15639</v>
      </c>
      <c r="B5791" s="803" t="s">
        <v>19504</v>
      </c>
      <c r="C5791" s="803" t="s">
        <v>19505</v>
      </c>
      <c r="D5791" s="803" t="s">
        <v>15640</v>
      </c>
      <c r="E5791" s="803">
        <v>60</v>
      </c>
      <c r="F5791" s="850">
        <v>45</v>
      </c>
      <c r="G5791" s="202" t="str">
        <f t="shared" si="90"/>
        <v/>
      </c>
    </row>
    <row r="5792" spans="1:7" s="172" customFormat="1" ht="15" customHeight="1" x14ac:dyDescent="0.25">
      <c r="A5792" s="803" t="s">
        <v>15641</v>
      </c>
      <c r="B5792" s="803" t="s">
        <v>19504</v>
      </c>
      <c r="C5792" s="803" t="s">
        <v>19505</v>
      </c>
      <c r="D5792" s="803" t="s">
        <v>15642</v>
      </c>
      <c r="E5792" s="803">
        <v>40</v>
      </c>
      <c r="F5792" s="850">
        <v>37</v>
      </c>
      <c r="G5792" s="202" t="str">
        <f t="shared" si="90"/>
        <v/>
      </c>
    </row>
    <row r="5793" spans="1:7" s="172" customFormat="1" ht="15" customHeight="1" x14ac:dyDescent="0.25">
      <c r="A5793" s="803" t="s">
        <v>15643</v>
      </c>
      <c r="B5793" s="803" t="s">
        <v>19504</v>
      </c>
      <c r="C5793" s="803" t="s">
        <v>19505</v>
      </c>
      <c r="D5793" s="803" t="s">
        <v>15644</v>
      </c>
      <c r="E5793" s="803">
        <v>160</v>
      </c>
      <c r="F5793" s="850">
        <v>25</v>
      </c>
      <c r="G5793" s="202" t="str">
        <f t="shared" si="90"/>
        <v/>
      </c>
    </row>
    <row r="5794" spans="1:7" s="172" customFormat="1" ht="15" customHeight="1" x14ac:dyDescent="0.25">
      <c r="A5794" s="803" t="s">
        <v>15645</v>
      </c>
      <c r="B5794" s="803" t="s">
        <v>19504</v>
      </c>
      <c r="C5794" s="803" t="s">
        <v>19505</v>
      </c>
      <c r="D5794" s="803" t="s">
        <v>15646</v>
      </c>
      <c r="E5794" s="803">
        <v>160</v>
      </c>
      <c r="F5794" s="850">
        <v>25</v>
      </c>
      <c r="G5794" s="202" t="str">
        <f t="shared" si="90"/>
        <v/>
      </c>
    </row>
    <row r="5795" spans="1:7" s="172" customFormat="1" ht="15" customHeight="1" x14ac:dyDescent="0.25">
      <c r="A5795" s="803" t="s">
        <v>15647</v>
      </c>
      <c r="B5795" s="803" t="s">
        <v>19504</v>
      </c>
      <c r="C5795" s="803" t="s">
        <v>19505</v>
      </c>
      <c r="D5795" s="803" t="s">
        <v>15648</v>
      </c>
      <c r="E5795" s="803">
        <v>160</v>
      </c>
      <c r="F5795" s="850">
        <v>11</v>
      </c>
      <c r="G5795" s="202" t="str">
        <f t="shared" si="90"/>
        <v/>
      </c>
    </row>
    <row r="5796" spans="1:7" s="172" customFormat="1" ht="15" customHeight="1" x14ac:dyDescent="0.25">
      <c r="A5796" s="803" t="s">
        <v>15647</v>
      </c>
      <c r="B5796" s="803" t="s">
        <v>19504</v>
      </c>
      <c r="C5796" s="803" t="s">
        <v>19505</v>
      </c>
      <c r="D5796" s="803" t="s">
        <v>15649</v>
      </c>
      <c r="E5796" s="803">
        <v>100</v>
      </c>
      <c r="F5796" s="850">
        <v>35</v>
      </c>
      <c r="G5796" s="202" t="str">
        <f t="shared" si="90"/>
        <v/>
      </c>
    </row>
    <row r="5797" spans="1:7" s="172" customFormat="1" ht="15" customHeight="1" x14ac:dyDescent="0.25">
      <c r="A5797" s="803" t="s">
        <v>15650</v>
      </c>
      <c r="B5797" s="803" t="s">
        <v>19504</v>
      </c>
      <c r="C5797" s="803" t="s">
        <v>19505</v>
      </c>
      <c r="D5797" s="803" t="s">
        <v>15651</v>
      </c>
      <c r="E5797" s="803">
        <v>100</v>
      </c>
      <c r="F5797" s="850">
        <v>41</v>
      </c>
      <c r="G5797" s="202" t="str">
        <f t="shared" si="90"/>
        <v/>
      </c>
    </row>
    <row r="5798" spans="1:7" s="172" customFormat="1" ht="15" customHeight="1" x14ac:dyDescent="0.25">
      <c r="A5798" s="803" t="s">
        <v>15650</v>
      </c>
      <c r="B5798" s="803" t="s">
        <v>19504</v>
      </c>
      <c r="C5798" s="803" t="s">
        <v>19505</v>
      </c>
      <c r="D5798" s="803" t="s">
        <v>15652</v>
      </c>
      <c r="E5798" s="803">
        <v>63</v>
      </c>
      <c r="F5798" s="850">
        <v>40</v>
      </c>
      <c r="G5798" s="202" t="str">
        <f t="shared" si="90"/>
        <v/>
      </c>
    </row>
    <row r="5799" spans="1:7" s="172" customFormat="1" ht="15" customHeight="1" x14ac:dyDescent="0.25">
      <c r="A5799" s="803" t="s">
        <v>15650</v>
      </c>
      <c r="B5799" s="803" t="s">
        <v>19504</v>
      </c>
      <c r="C5799" s="803" t="s">
        <v>19505</v>
      </c>
      <c r="D5799" s="803" t="s">
        <v>15653</v>
      </c>
      <c r="E5799" s="803">
        <v>250</v>
      </c>
      <c r="F5799" s="850">
        <v>15</v>
      </c>
      <c r="G5799" s="202" t="str">
        <f t="shared" si="90"/>
        <v/>
      </c>
    </row>
    <row r="5800" spans="1:7" s="172" customFormat="1" ht="15" customHeight="1" x14ac:dyDescent="0.25">
      <c r="A5800" s="803" t="s">
        <v>15654</v>
      </c>
      <c r="B5800" s="803" t="s">
        <v>19504</v>
      </c>
      <c r="C5800" s="803" t="s">
        <v>19505</v>
      </c>
      <c r="D5800" s="803" t="s">
        <v>15655</v>
      </c>
      <c r="E5800" s="803">
        <v>100</v>
      </c>
      <c r="F5800" s="850">
        <v>27</v>
      </c>
      <c r="G5800" s="202" t="str">
        <f t="shared" si="90"/>
        <v/>
      </c>
    </row>
    <row r="5801" spans="1:7" s="172" customFormat="1" ht="15" customHeight="1" x14ac:dyDescent="0.25">
      <c r="A5801" s="803" t="s">
        <v>15656</v>
      </c>
      <c r="B5801" s="803" t="s">
        <v>19504</v>
      </c>
      <c r="C5801" s="803" t="s">
        <v>19505</v>
      </c>
      <c r="D5801" s="803" t="s">
        <v>15657</v>
      </c>
      <c r="E5801" s="803">
        <v>63</v>
      </c>
      <c r="F5801" s="850">
        <v>23</v>
      </c>
      <c r="G5801" s="202" t="str">
        <f t="shared" si="90"/>
        <v/>
      </c>
    </row>
    <row r="5802" spans="1:7" s="172" customFormat="1" ht="15" customHeight="1" x14ac:dyDescent="0.25">
      <c r="A5802" s="803" t="s">
        <v>15658</v>
      </c>
      <c r="B5802" s="803" t="s">
        <v>19504</v>
      </c>
      <c r="C5802" s="803" t="s">
        <v>19505</v>
      </c>
      <c r="D5802" s="803" t="s">
        <v>15659</v>
      </c>
      <c r="E5802" s="803">
        <v>160</v>
      </c>
      <c r="F5802" s="850">
        <v>15</v>
      </c>
      <c r="G5802" s="202" t="str">
        <f t="shared" si="90"/>
        <v/>
      </c>
    </row>
    <row r="5803" spans="1:7" s="172" customFormat="1" ht="15" customHeight="1" x14ac:dyDescent="0.25">
      <c r="A5803" s="803" t="s">
        <v>15658</v>
      </c>
      <c r="B5803" s="803" t="s">
        <v>19504</v>
      </c>
      <c r="C5803" s="803" t="s">
        <v>19505</v>
      </c>
      <c r="D5803" s="803" t="s">
        <v>15660</v>
      </c>
      <c r="E5803" s="803">
        <v>100</v>
      </c>
      <c r="F5803" s="850">
        <v>12</v>
      </c>
      <c r="G5803" s="202" t="str">
        <f t="shared" si="90"/>
        <v/>
      </c>
    </row>
    <row r="5804" spans="1:7" s="172" customFormat="1" ht="15" customHeight="1" x14ac:dyDescent="0.25">
      <c r="A5804" s="803" t="s">
        <v>15661</v>
      </c>
      <c r="B5804" s="803" t="s">
        <v>19504</v>
      </c>
      <c r="C5804" s="803" t="s">
        <v>19505</v>
      </c>
      <c r="D5804" s="803" t="s">
        <v>15662</v>
      </c>
      <c r="E5804" s="803">
        <v>100</v>
      </c>
      <c r="F5804" s="850">
        <v>37</v>
      </c>
      <c r="G5804" s="202" t="str">
        <f t="shared" si="90"/>
        <v/>
      </c>
    </row>
    <row r="5805" spans="1:7" s="172" customFormat="1" ht="15" customHeight="1" x14ac:dyDescent="0.25">
      <c r="A5805" s="803" t="s">
        <v>15663</v>
      </c>
      <c r="B5805" s="803" t="s">
        <v>19504</v>
      </c>
      <c r="C5805" s="803" t="s">
        <v>19505</v>
      </c>
      <c r="D5805" s="803" t="s">
        <v>15664</v>
      </c>
      <c r="E5805" s="803">
        <v>30</v>
      </c>
      <c r="F5805" s="850">
        <v>15</v>
      </c>
      <c r="G5805" s="202" t="str">
        <f t="shared" si="90"/>
        <v/>
      </c>
    </row>
    <row r="5806" spans="1:7" s="172" customFormat="1" ht="15" customHeight="1" x14ac:dyDescent="0.25">
      <c r="A5806" s="803" t="s">
        <v>15665</v>
      </c>
      <c r="B5806" s="803" t="s">
        <v>19504</v>
      </c>
      <c r="C5806" s="803" t="s">
        <v>19505</v>
      </c>
      <c r="D5806" s="803" t="s">
        <v>15666</v>
      </c>
      <c r="E5806" s="803">
        <v>100</v>
      </c>
      <c r="F5806" s="850">
        <v>62</v>
      </c>
      <c r="G5806" s="202" t="str">
        <f t="shared" si="90"/>
        <v/>
      </c>
    </row>
    <row r="5807" spans="1:7" s="172" customFormat="1" ht="15" customHeight="1" x14ac:dyDescent="0.25">
      <c r="A5807" s="803" t="s">
        <v>15667</v>
      </c>
      <c r="B5807" s="803" t="s">
        <v>19504</v>
      </c>
      <c r="C5807" s="803" t="s">
        <v>19505</v>
      </c>
      <c r="D5807" s="803" t="s">
        <v>15668</v>
      </c>
      <c r="E5807" s="803">
        <v>100</v>
      </c>
      <c r="F5807" s="850">
        <v>54</v>
      </c>
      <c r="G5807" s="202" t="str">
        <f t="shared" si="90"/>
        <v/>
      </c>
    </row>
    <row r="5808" spans="1:7" s="172" customFormat="1" ht="15" customHeight="1" x14ac:dyDescent="0.25">
      <c r="A5808" s="803" t="s">
        <v>15667</v>
      </c>
      <c r="B5808" s="803" t="s">
        <v>19504</v>
      </c>
      <c r="C5808" s="803" t="s">
        <v>19505</v>
      </c>
      <c r="D5808" s="803" t="s">
        <v>15669</v>
      </c>
      <c r="E5808" s="803">
        <v>100</v>
      </c>
      <c r="F5808" s="850">
        <v>13</v>
      </c>
      <c r="G5808" s="202" t="str">
        <f t="shared" si="90"/>
        <v/>
      </c>
    </row>
    <row r="5809" spans="1:7" s="172" customFormat="1" ht="15" customHeight="1" x14ac:dyDescent="0.25">
      <c r="A5809" s="803" t="s">
        <v>15667</v>
      </c>
      <c r="B5809" s="803" t="s">
        <v>19504</v>
      </c>
      <c r="C5809" s="803" t="s">
        <v>19505</v>
      </c>
      <c r="D5809" s="803" t="s">
        <v>15670</v>
      </c>
      <c r="E5809" s="803">
        <v>250</v>
      </c>
      <c r="F5809" s="850">
        <v>15</v>
      </c>
      <c r="G5809" s="202" t="str">
        <f t="shared" si="90"/>
        <v/>
      </c>
    </row>
    <row r="5810" spans="1:7" s="172" customFormat="1" ht="15" customHeight="1" x14ac:dyDescent="0.25">
      <c r="A5810" s="803" t="s">
        <v>15667</v>
      </c>
      <c r="B5810" s="803" t="s">
        <v>19504</v>
      </c>
      <c r="C5810" s="803" t="s">
        <v>19505</v>
      </c>
      <c r="D5810" s="803" t="s">
        <v>15671</v>
      </c>
      <c r="E5810" s="803">
        <v>400</v>
      </c>
      <c r="F5810" s="850">
        <v>11</v>
      </c>
      <c r="G5810" s="202" t="str">
        <f t="shared" si="90"/>
        <v/>
      </c>
    </row>
    <row r="5811" spans="1:7" s="172" customFormat="1" ht="15" customHeight="1" x14ac:dyDescent="0.25">
      <c r="A5811" s="803" t="s">
        <v>15667</v>
      </c>
      <c r="B5811" s="803" t="s">
        <v>19504</v>
      </c>
      <c r="C5811" s="803" t="s">
        <v>19505</v>
      </c>
      <c r="D5811" s="803" t="s">
        <v>15672</v>
      </c>
      <c r="E5811" s="803">
        <v>100</v>
      </c>
      <c r="F5811" s="850">
        <v>35</v>
      </c>
      <c r="G5811" s="202" t="str">
        <f t="shared" si="90"/>
        <v/>
      </c>
    </row>
    <row r="5812" spans="1:7" s="172" customFormat="1" ht="15" customHeight="1" x14ac:dyDescent="0.25">
      <c r="A5812" s="803" t="s">
        <v>15667</v>
      </c>
      <c r="B5812" s="803" t="s">
        <v>19504</v>
      </c>
      <c r="C5812" s="803" t="s">
        <v>19505</v>
      </c>
      <c r="D5812" s="803" t="s">
        <v>15673</v>
      </c>
      <c r="E5812" s="803">
        <v>250</v>
      </c>
      <c r="F5812" s="850">
        <v>50</v>
      </c>
      <c r="G5812" s="202" t="str">
        <f t="shared" si="90"/>
        <v/>
      </c>
    </row>
    <row r="5813" spans="1:7" s="172" customFormat="1" ht="15" customHeight="1" x14ac:dyDescent="0.25">
      <c r="A5813" s="803" t="s">
        <v>15674</v>
      </c>
      <c r="B5813" s="803" t="s">
        <v>19504</v>
      </c>
      <c r="C5813" s="803" t="s">
        <v>19505</v>
      </c>
      <c r="D5813" s="803" t="s">
        <v>15675</v>
      </c>
      <c r="E5813" s="803">
        <v>100</v>
      </c>
      <c r="F5813" s="850">
        <v>32</v>
      </c>
      <c r="G5813" s="202" t="str">
        <f t="shared" si="90"/>
        <v/>
      </c>
    </row>
    <row r="5814" spans="1:7" s="172" customFormat="1" ht="15" customHeight="1" x14ac:dyDescent="0.25">
      <c r="A5814" s="803" t="s">
        <v>15676</v>
      </c>
      <c r="B5814" s="803" t="s">
        <v>19504</v>
      </c>
      <c r="C5814" s="803" t="s">
        <v>19505</v>
      </c>
      <c r="D5814" s="803" t="s">
        <v>15677</v>
      </c>
      <c r="E5814" s="803">
        <v>100</v>
      </c>
      <c r="F5814" s="850">
        <v>45</v>
      </c>
      <c r="G5814" s="202" t="str">
        <f t="shared" si="90"/>
        <v/>
      </c>
    </row>
    <row r="5815" spans="1:7" s="172" customFormat="1" ht="15" customHeight="1" x14ac:dyDescent="0.25">
      <c r="A5815" s="803" t="s">
        <v>15678</v>
      </c>
      <c r="B5815" s="803" t="s">
        <v>19504</v>
      </c>
      <c r="C5815" s="803" t="s">
        <v>19505</v>
      </c>
      <c r="D5815" s="803" t="s">
        <v>15679</v>
      </c>
      <c r="E5815" s="803">
        <v>100</v>
      </c>
      <c r="F5815" s="850">
        <v>35</v>
      </c>
      <c r="G5815" s="202" t="str">
        <f t="shared" si="90"/>
        <v/>
      </c>
    </row>
    <row r="5816" spans="1:7" s="172" customFormat="1" ht="15" customHeight="1" x14ac:dyDescent="0.25">
      <c r="A5816" s="803" t="s">
        <v>15680</v>
      </c>
      <c r="B5816" s="803" t="s">
        <v>19504</v>
      </c>
      <c r="C5816" s="803" t="s">
        <v>19505</v>
      </c>
      <c r="D5816" s="803" t="s">
        <v>15681</v>
      </c>
      <c r="E5816" s="803">
        <v>60</v>
      </c>
      <c r="F5816" s="850">
        <v>10</v>
      </c>
      <c r="G5816" s="202" t="str">
        <f t="shared" si="90"/>
        <v/>
      </c>
    </row>
    <row r="5817" spans="1:7" s="172" customFormat="1" ht="15" customHeight="1" x14ac:dyDescent="0.25">
      <c r="A5817" s="803" t="s">
        <v>15682</v>
      </c>
      <c r="B5817" s="803" t="s">
        <v>19504</v>
      </c>
      <c r="C5817" s="803" t="s">
        <v>19505</v>
      </c>
      <c r="D5817" s="803" t="s">
        <v>15683</v>
      </c>
      <c r="E5817" s="803">
        <v>250</v>
      </c>
      <c r="F5817" s="850">
        <v>36</v>
      </c>
      <c r="G5817" s="202" t="str">
        <f t="shared" si="90"/>
        <v/>
      </c>
    </row>
    <row r="5818" spans="1:7" s="172" customFormat="1" ht="15" customHeight="1" x14ac:dyDescent="0.25">
      <c r="A5818" s="803" t="s">
        <v>15682</v>
      </c>
      <c r="B5818" s="803" t="s">
        <v>19504</v>
      </c>
      <c r="C5818" s="803" t="s">
        <v>19505</v>
      </c>
      <c r="D5818" s="803" t="s">
        <v>15684</v>
      </c>
      <c r="E5818" s="803">
        <v>250</v>
      </c>
      <c r="F5818" s="850">
        <v>27</v>
      </c>
      <c r="G5818" s="202" t="str">
        <f t="shared" si="90"/>
        <v/>
      </c>
    </row>
    <row r="5819" spans="1:7" s="172" customFormat="1" ht="15" customHeight="1" x14ac:dyDescent="0.25">
      <c r="A5819" s="803" t="s">
        <v>15682</v>
      </c>
      <c r="B5819" s="803" t="s">
        <v>19504</v>
      </c>
      <c r="C5819" s="803" t="s">
        <v>19505</v>
      </c>
      <c r="D5819" s="803" t="s">
        <v>15685</v>
      </c>
      <c r="E5819" s="803">
        <v>160</v>
      </c>
      <c r="F5819" s="850">
        <v>10</v>
      </c>
      <c r="G5819" s="202" t="str">
        <f t="shared" si="90"/>
        <v/>
      </c>
    </row>
    <row r="5820" spans="1:7" s="172" customFormat="1" ht="15" customHeight="1" x14ac:dyDescent="0.25">
      <c r="A5820" s="803" t="s">
        <v>15682</v>
      </c>
      <c r="B5820" s="803" t="s">
        <v>19504</v>
      </c>
      <c r="C5820" s="803" t="s">
        <v>19505</v>
      </c>
      <c r="D5820" s="803" t="s">
        <v>15686</v>
      </c>
      <c r="E5820" s="803">
        <v>160</v>
      </c>
      <c r="F5820" s="850">
        <v>35</v>
      </c>
      <c r="G5820" s="202" t="str">
        <f t="shared" si="90"/>
        <v/>
      </c>
    </row>
    <row r="5821" spans="1:7" s="172" customFormat="1" ht="15" customHeight="1" x14ac:dyDescent="0.25">
      <c r="A5821" s="803" t="s">
        <v>15682</v>
      </c>
      <c r="B5821" s="803" t="s">
        <v>19504</v>
      </c>
      <c r="C5821" s="803" t="s">
        <v>19505</v>
      </c>
      <c r="D5821" s="803" t="s">
        <v>15687</v>
      </c>
      <c r="E5821" s="803">
        <v>160</v>
      </c>
      <c r="F5821" s="850">
        <v>94</v>
      </c>
      <c r="G5821" s="202" t="str">
        <f t="shared" si="90"/>
        <v/>
      </c>
    </row>
    <row r="5822" spans="1:7" s="172" customFormat="1" ht="15" customHeight="1" x14ac:dyDescent="0.25">
      <c r="A5822" s="803" t="s">
        <v>15682</v>
      </c>
      <c r="B5822" s="803" t="s">
        <v>19504</v>
      </c>
      <c r="C5822" s="803" t="s">
        <v>19505</v>
      </c>
      <c r="D5822" s="803" t="s">
        <v>15688</v>
      </c>
      <c r="E5822" s="803" t="s">
        <v>18229</v>
      </c>
      <c r="F5822" s="850">
        <v>35</v>
      </c>
      <c r="G5822" s="202" t="str">
        <f t="shared" si="90"/>
        <v/>
      </c>
    </row>
    <row r="5823" spans="1:7" s="172" customFormat="1" ht="15" customHeight="1" x14ac:dyDescent="0.25">
      <c r="A5823" s="803" t="s">
        <v>15689</v>
      </c>
      <c r="B5823" s="803" t="s">
        <v>19504</v>
      </c>
      <c r="C5823" s="803" t="s">
        <v>19505</v>
      </c>
      <c r="D5823" s="803" t="s">
        <v>15690</v>
      </c>
      <c r="E5823" s="803">
        <v>100</v>
      </c>
      <c r="F5823" s="850">
        <v>88</v>
      </c>
      <c r="G5823" s="202" t="str">
        <f t="shared" si="90"/>
        <v/>
      </c>
    </row>
    <row r="5824" spans="1:7" s="172" customFormat="1" ht="15" customHeight="1" x14ac:dyDescent="0.25">
      <c r="A5824" s="803" t="s">
        <v>15691</v>
      </c>
      <c r="B5824" s="803" t="s">
        <v>19504</v>
      </c>
      <c r="C5824" s="803" t="s">
        <v>19505</v>
      </c>
      <c r="D5824" s="803" t="s">
        <v>15692</v>
      </c>
      <c r="E5824" s="803">
        <v>160</v>
      </c>
      <c r="F5824" s="850">
        <v>117</v>
      </c>
      <c r="G5824" s="202" t="str">
        <f t="shared" si="90"/>
        <v/>
      </c>
    </row>
    <row r="5825" spans="1:7" s="172" customFormat="1" ht="15" customHeight="1" x14ac:dyDescent="0.25">
      <c r="A5825" s="803" t="s">
        <v>15693</v>
      </c>
      <c r="B5825" s="803" t="s">
        <v>19504</v>
      </c>
      <c r="C5825" s="803" t="s">
        <v>19505</v>
      </c>
      <c r="D5825" s="803" t="s">
        <v>15694</v>
      </c>
      <c r="E5825" s="803">
        <v>30</v>
      </c>
      <c r="F5825" s="850">
        <v>17</v>
      </c>
      <c r="G5825" s="202" t="str">
        <f t="shared" si="90"/>
        <v/>
      </c>
    </row>
    <row r="5826" spans="1:7" s="172" customFormat="1" ht="15" customHeight="1" x14ac:dyDescent="0.25">
      <c r="A5826" s="803" t="s">
        <v>15695</v>
      </c>
      <c r="B5826" s="803" t="s">
        <v>19504</v>
      </c>
      <c r="C5826" s="803" t="s">
        <v>19505</v>
      </c>
      <c r="D5826" s="803" t="s">
        <v>15696</v>
      </c>
      <c r="E5826" s="803">
        <v>60</v>
      </c>
      <c r="F5826" s="850">
        <v>30</v>
      </c>
      <c r="G5826" s="202" t="str">
        <f t="shared" si="90"/>
        <v/>
      </c>
    </row>
    <row r="5827" spans="1:7" s="172" customFormat="1" ht="15" customHeight="1" x14ac:dyDescent="0.25">
      <c r="A5827" s="803" t="s">
        <v>15697</v>
      </c>
      <c r="B5827" s="803" t="s">
        <v>19504</v>
      </c>
      <c r="C5827" s="803" t="s">
        <v>19505</v>
      </c>
      <c r="D5827" s="803" t="s">
        <v>15698</v>
      </c>
      <c r="E5827" s="803">
        <v>160</v>
      </c>
      <c r="F5827" s="850">
        <v>21</v>
      </c>
      <c r="G5827" s="202" t="str">
        <f t="shared" si="90"/>
        <v/>
      </c>
    </row>
    <row r="5828" spans="1:7" s="172" customFormat="1" ht="15" customHeight="1" x14ac:dyDescent="0.25">
      <c r="A5828" s="803" t="s">
        <v>15691</v>
      </c>
      <c r="B5828" s="803" t="s">
        <v>19504</v>
      </c>
      <c r="C5828" s="803" t="s">
        <v>19505</v>
      </c>
      <c r="D5828" s="803" t="s">
        <v>15699</v>
      </c>
      <c r="E5828" s="803">
        <v>250</v>
      </c>
      <c r="F5828" s="850">
        <v>2</v>
      </c>
      <c r="G5828" s="202" t="str">
        <f t="shared" si="90"/>
        <v/>
      </c>
    </row>
    <row r="5829" spans="1:7" s="172" customFormat="1" ht="15" customHeight="1" x14ac:dyDescent="0.25">
      <c r="A5829" s="803" t="s">
        <v>15695</v>
      </c>
      <c r="B5829" s="803" t="s">
        <v>19504</v>
      </c>
      <c r="C5829" s="803" t="s">
        <v>19505</v>
      </c>
      <c r="D5829" s="803" t="s">
        <v>15700</v>
      </c>
      <c r="E5829" s="803">
        <v>160</v>
      </c>
      <c r="F5829" s="850">
        <v>5</v>
      </c>
      <c r="G5829" s="202" t="str">
        <f t="shared" si="90"/>
        <v/>
      </c>
    </row>
    <row r="5830" spans="1:7" s="172" customFormat="1" ht="15" customHeight="1" x14ac:dyDescent="0.25">
      <c r="A5830" s="803" t="s">
        <v>15691</v>
      </c>
      <c r="B5830" s="803" t="s">
        <v>19504</v>
      </c>
      <c r="C5830" s="803" t="s">
        <v>19505</v>
      </c>
      <c r="D5830" s="803" t="s">
        <v>15701</v>
      </c>
      <c r="E5830" s="803">
        <v>250</v>
      </c>
      <c r="F5830" s="850">
        <v>27</v>
      </c>
      <c r="G5830" s="202" t="str">
        <f t="shared" si="90"/>
        <v/>
      </c>
    </row>
    <row r="5831" spans="1:7" s="172" customFormat="1" ht="15" customHeight="1" x14ac:dyDescent="0.25">
      <c r="A5831" s="803" t="s">
        <v>15702</v>
      </c>
      <c r="B5831" s="803" t="s">
        <v>19504</v>
      </c>
      <c r="C5831" s="803" t="s">
        <v>19505</v>
      </c>
      <c r="D5831" s="803" t="s">
        <v>15703</v>
      </c>
      <c r="E5831" s="803">
        <v>100</v>
      </c>
      <c r="F5831" s="850">
        <v>33</v>
      </c>
      <c r="G5831" s="202" t="str">
        <f t="shared" si="90"/>
        <v/>
      </c>
    </row>
    <row r="5832" spans="1:7" s="172" customFormat="1" ht="15" customHeight="1" x14ac:dyDescent="0.25">
      <c r="A5832" s="803" t="s">
        <v>15704</v>
      </c>
      <c r="B5832" s="803" t="s">
        <v>19504</v>
      </c>
      <c r="C5832" s="803" t="s">
        <v>19505</v>
      </c>
      <c r="D5832" s="803" t="s">
        <v>15705</v>
      </c>
      <c r="E5832" s="803">
        <v>60</v>
      </c>
      <c r="F5832" s="850">
        <v>11</v>
      </c>
      <c r="G5832" s="202" t="str">
        <f t="shared" si="90"/>
        <v/>
      </c>
    </row>
    <row r="5833" spans="1:7" s="172" customFormat="1" ht="15" customHeight="1" x14ac:dyDescent="0.25">
      <c r="A5833" s="803" t="s">
        <v>15706</v>
      </c>
      <c r="B5833" s="803" t="s">
        <v>19504</v>
      </c>
      <c r="C5833" s="803" t="s">
        <v>19505</v>
      </c>
      <c r="D5833" s="803" t="s">
        <v>15707</v>
      </c>
      <c r="E5833" s="803">
        <v>30</v>
      </c>
      <c r="F5833" s="850">
        <v>16</v>
      </c>
      <c r="G5833" s="202" t="str">
        <f t="shared" si="90"/>
        <v/>
      </c>
    </row>
    <row r="5834" spans="1:7" s="172" customFormat="1" ht="15" customHeight="1" x14ac:dyDescent="0.25">
      <c r="A5834" s="803" t="s">
        <v>15708</v>
      </c>
      <c r="B5834" s="803" t="s">
        <v>19504</v>
      </c>
      <c r="C5834" s="803" t="s">
        <v>19505</v>
      </c>
      <c r="D5834" s="803" t="s">
        <v>15709</v>
      </c>
      <c r="E5834" s="803">
        <v>10</v>
      </c>
      <c r="F5834" s="850">
        <v>3</v>
      </c>
      <c r="G5834" s="202" t="str">
        <f t="shared" si="90"/>
        <v/>
      </c>
    </row>
    <row r="5835" spans="1:7" s="172" customFormat="1" ht="15" customHeight="1" x14ac:dyDescent="0.25">
      <c r="A5835" s="803" t="s">
        <v>15710</v>
      </c>
      <c r="B5835" s="803" t="s">
        <v>19504</v>
      </c>
      <c r="C5835" s="803" t="s">
        <v>19505</v>
      </c>
      <c r="D5835" s="803" t="s">
        <v>15711</v>
      </c>
      <c r="E5835" s="803">
        <v>60</v>
      </c>
      <c r="F5835" s="850">
        <v>12</v>
      </c>
      <c r="G5835" s="202" t="str">
        <f t="shared" si="90"/>
        <v/>
      </c>
    </row>
    <row r="5836" spans="1:7" s="172" customFormat="1" ht="15" customHeight="1" x14ac:dyDescent="0.25">
      <c r="A5836" s="803" t="s">
        <v>15712</v>
      </c>
      <c r="B5836" s="803" t="s">
        <v>19504</v>
      </c>
      <c r="C5836" s="803" t="s">
        <v>19505</v>
      </c>
      <c r="D5836" s="803" t="s">
        <v>15713</v>
      </c>
      <c r="E5836" s="803">
        <v>100</v>
      </c>
      <c r="F5836" s="850">
        <v>13</v>
      </c>
      <c r="G5836" s="202" t="str">
        <f t="shared" si="90"/>
        <v/>
      </c>
    </row>
    <row r="5837" spans="1:7" s="172" customFormat="1" ht="15" customHeight="1" x14ac:dyDescent="0.25">
      <c r="A5837" s="803" t="s">
        <v>15712</v>
      </c>
      <c r="B5837" s="803" t="s">
        <v>19504</v>
      </c>
      <c r="C5837" s="803" t="s">
        <v>19505</v>
      </c>
      <c r="D5837" s="803" t="s">
        <v>15714</v>
      </c>
      <c r="E5837" s="803">
        <v>63</v>
      </c>
      <c r="F5837" s="850">
        <v>29</v>
      </c>
      <c r="G5837" s="202" t="str">
        <f t="shared" si="90"/>
        <v/>
      </c>
    </row>
    <row r="5838" spans="1:7" s="172" customFormat="1" ht="15" customHeight="1" x14ac:dyDescent="0.25">
      <c r="A5838" s="803" t="s">
        <v>15715</v>
      </c>
      <c r="B5838" s="803" t="s">
        <v>19504</v>
      </c>
      <c r="C5838" s="803" t="s">
        <v>19505</v>
      </c>
      <c r="D5838" s="803" t="s">
        <v>15716</v>
      </c>
      <c r="E5838" s="803">
        <v>160</v>
      </c>
      <c r="F5838" s="850">
        <v>52</v>
      </c>
      <c r="G5838" s="202" t="str">
        <f t="shared" si="90"/>
        <v/>
      </c>
    </row>
    <row r="5839" spans="1:7" s="172" customFormat="1" ht="15" customHeight="1" x14ac:dyDescent="0.25">
      <c r="A5839" s="803" t="s">
        <v>15712</v>
      </c>
      <c r="B5839" s="803" t="s">
        <v>19504</v>
      </c>
      <c r="C5839" s="803" t="s">
        <v>19505</v>
      </c>
      <c r="D5839" s="803" t="s">
        <v>15717</v>
      </c>
      <c r="E5839" s="803">
        <v>63</v>
      </c>
      <c r="F5839" s="850">
        <v>28</v>
      </c>
      <c r="G5839" s="202" t="str">
        <f t="shared" si="90"/>
        <v/>
      </c>
    </row>
    <row r="5840" spans="1:7" s="172" customFormat="1" ht="15" customHeight="1" x14ac:dyDescent="0.25">
      <c r="A5840" s="803" t="s">
        <v>15712</v>
      </c>
      <c r="B5840" s="803" t="s">
        <v>19504</v>
      </c>
      <c r="C5840" s="803" t="s">
        <v>19505</v>
      </c>
      <c r="D5840" s="803" t="s">
        <v>15718</v>
      </c>
      <c r="E5840" s="803">
        <v>160</v>
      </c>
      <c r="F5840" s="850">
        <v>52</v>
      </c>
      <c r="G5840" s="202" t="str">
        <f t="shared" si="90"/>
        <v/>
      </c>
    </row>
    <row r="5841" spans="1:7" s="172" customFormat="1" ht="15" customHeight="1" x14ac:dyDescent="0.25">
      <c r="A5841" s="803" t="s">
        <v>15712</v>
      </c>
      <c r="B5841" s="803" t="s">
        <v>19504</v>
      </c>
      <c r="C5841" s="803" t="s">
        <v>19505</v>
      </c>
      <c r="D5841" s="803" t="s">
        <v>15719</v>
      </c>
      <c r="E5841" s="803">
        <v>160</v>
      </c>
      <c r="F5841" s="850">
        <v>71</v>
      </c>
      <c r="G5841" s="202" t="str">
        <f t="shared" si="90"/>
        <v/>
      </c>
    </row>
    <row r="5842" spans="1:7" s="172" customFormat="1" ht="15" customHeight="1" x14ac:dyDescent="0.25">
      <c r="A5842" s="803" t="s">
        <v>15712</v>
      </c>
      <c r="B5842" s="803" t="s">
        <v>19504</v>
      </c>
      <c r="C5842" s="803" t="s">
        <v>19505</v>
      </c>
      <c r="D5842" s="803" t="s">
        <v>15720</v>
      </c>
      <c r="E5842" s="803">
        <v>160</v>
      </c>
      <c r="F5842" s="850">
        <v>3</v>
      </c>
      <c r="G5842" s="202" t="str">
        <f t="shared" si="90"/>
        <v/>
      </c>
    </row>
    <row r="5843" spans="1:7" s="172" customFormat="1" ht="15" customHeight="1" x14ac:dyDescent="0.25">
      <c r="A5843" s="803" t="s">
        <v>15721</v>
      </c>
      <c r="B5843" s="803" t="s">
        <v>19504</v>
      </c>
      <c r="C5843" s="803" t="s">
        <v>19505</v>
      </c>
      <c r="D5843" s="803" t="s">
        <v>15722</v>
      </c>
      <c r="E5843" s="803">
        <v>160</v>
      </c>
      <c r="F5843" s="850">
        <v>35</v>
      </c>
      <c r="G5843" s="202" t="str">
        <f t="shared" si="90"/>
        <v/>
      </c>
    </row>
    <row r="5844" spans="1:7" s="172" customFormat="1" ht="15" customHeight="1" x14ac:dyDescent="0.25">
      <c r="A5844" s="803" t="s">
        <v>15723</v>
      </c>
      <c r="B5844" s="803" t="s">
        <v>19504</v>
      </c>
      <c r="C5844" s="803" t="s">
        <v>19505</v>
      </c>
      <c r="D5844" s="803" t="s">
        <v>15724</v>
      </c>
      <c r="E5844" s="803">
        <v>100</v>
      </c>
      <c r="F5844" s="850">
        <v>41</v>
      </c>
      <c r="G5844" s="202" t="str">
        <f t="shared" si="90"/>
        <v/>
      </c>
    </row>
    <row r="5845" spans="1:7" s="172" customFormat="1" ht="15" customHeight="1" x14ac:dyDescent="0.25">
      <c r="A5845" s="803" t="s">
        <v>15725</v>
      </c>
      <c r="B5845" s="803" t="s">
        <v>19504</v>
      </c>
      <c r="C5845" s="803" t="s">
        <v>19505</v>
      </c>
      <c r="D5845" s="803" t="s">
        <v>15726</v>
      </c>
      <c r="E5845" s="803">
        <v>160</v>
      </c>
      <c r="F5845" s="850">
        <v>67</v>
      </c>
      <c r="G5845" s="202" t="str">
        <f t="shared" si="90"/>
        <v/>
      </c>
    </row>
    <row r="5846" spans="1:7" s="172" customFormat="1" ht="15" customHeight="1" x14ac:dyDescent="0.25">
      <c r="A5846" s="803" t="s">
        <v>15725</v>
      </c>
      <c r="B5846" s="803" t="s">
        <v>19504</v>
      </c>
      <c r="C5846" s="803" t="s">
        <v>19505</v>
      </c>
      <c r="D5846" s="803" t="s">
        <v>15727</v>
      </c>
      <c r="E5846" s="803">
        <v>160</v>
      </c>
      <c r="F5846" s="850">
        <v>4</v>
      </c>
      <c r="G5846" s="202" t="str">
        <f t="shared" si="90"/>
        <v/>
      </c>
    </row>
    <row r="5847" spans="1:7" s="172" customFormat="1" ht="15" customHeight="1" x14ac:dyDescent="0.25">
      <c r="A5847" s="803" t="s">
        <v>15728</v>
      </c>
      <c r="B5847" s="803" t="s">
        <v>19504</v>
      </c>
      <c r="C5847" s="803" t="s">
        <v>19505</v>
      </c>
      <c r="D5847" s="803" t="s">
        <v>15729</v>
      </c>
      <c r="E5847" s="803">
        <v>160</v>
      </c>
      <c r="F5847" s="850">
        <v>17</v>
      </c>
      <c r="G5847" s="202" t="str">
        <f t="shared" si="90"/>
        <v/>
      </c>
    </row>
    <row r="5848" spans="1:7" s="172" customFormat="1" ht="15" customHeight="1" x14ac:dyDescent="0.25">
      <c r="A5848" s="803" t="s">
        <v>15730</v>
      </c>
      <c r="B5848" s="803" t="s">
        <v>19504</v>
      </c>
      <c r="C5848" s="803" t="s">
        <v>19505</v>
      </c>
      <c r="D5848" s="803" t="s">
        <v>15731</v>
      </c>
      <c r="E5848" s="803">
        <v>63</v>
      </c>
      <c r="F5848" s="850">
        <v>16</v>
      </c>
      <c r="G5848" s="202" t="str">
        <f t="shared" si="90"/>
        <v/>
      </c>
    </row>
    <row r="5849" spans="1:7" s="172" customFormat="1" ht="15" customHeight="1" x14ac:dyDescent="0.25">
      <c r="A5849" s="803" t="s">
        <v>15732</v>
      </c>
      <c r="B5849" s="803" t="s">
        <v>19504</v>
      </c>
      <c r="C5849" s="803" t="s">
        <v>19505</v>
      </c>
      <c r="D5849" s="803" t="s">
        <v>15733</v>
      </c>
      <c r="E5849" s="803">
        <v>160</v>
      </c>
      <c r="F5849" s="850">
        <v>38</v>
      </c>
      <c r="G5849" s="202" t="str">
        <f t="shared" si="90"/>
        <v/>
      </c>
    </row>
    <row r="5850" spans="1:7" s="172" customFormat="1" ht="15" customHeight="1" x14ac:dyDescent="0.25">
      <c r="A5850" s="803" t="s">
        <v>15732</v>
      </c>
      <c r="B5850" s="803" t="s">
        <v>19504</v>
      </c>
      <c r="C5850" s="803" t="s">
        <v>19505</v>
      </c>
      <c r="D5850" s="803" t="s">
        <v>15734</v>
      </c>
      <c r="E5850" s="803">
        <v>100</v>
      </c>
      <c r="F5850" s="850">
        <v>15</v>
      </c>
      <c r="G5850" s="202" t="str">
        <f t="shared" si="90"/>
        <v/>
      </c>
    </row>
    <row r="5851" spans="1:7" s="172" customFormat="1" ht="15" customHeight="1" x14ac:dyDescent="0.25">
      <c r="A5851" s="803" t="s">
        <v>15735</v>
      </c>
      <c r="B5851" s="803" t="s">
        <v>19504</v>
      </c>
      <c r="C5851" s="803" t="s">
        <v>19505</v>
      </c>
      <c r="D5851" s="803" t="s">
        <v>15736</v>
      </c>
      <c r="E5851" s="803">
        <v>100</v>
      </c>
      <c r="F5851" s="850">
        <v>20</v>
      </c>
      <c r="G5851" s="202" t="str">
        <f t="shared" si="90"/>
        <v/>
      </c>
    </row>
    <row r="5852" spans="1:7" s="172" customFormat="1" ht="15" customHeight="1" x14ac:dyDescent="0.25">
      <c r="A5852" s="803" t="s">
        <v>15737</v>
      </c>
      <c r="B5852" s="803" t="s">
        <v>19504</v>
      </c>
      <c r="C5852" s="803" t="s">
        <v>19505</v>
      </c>
      <c r="D5852" s="803" t="s">
        <v>15738</v>
      </c>
      <c r="E5852" s="803">
        <v>30</v>
      </c>
      <c r="F5852" s="850">
        <v>14</v>
      </c>
      <c r="G5852" s="202" t="str">
        <f t="shared" ref="G5852:G5915" si="91">IF(E5852=F5852,"не загружен","")</f>
        <v/>
      </c>
    </row>
    <row r="5853" spans="1:7" s="172" customFormat="1" ht="15" customHeight="1" x14ac:dyDescent="0.25">
      <c r="A5853" s="803" t="s">
        <v>15739</v>
      </c>
      <c r="B5853" s="803" t="s">
        <v>19504</v>
      </c>
      <c r="C5853" s="803" t="s">
        <v>19505</v>
      </c>
      <c r="D5853" s="803" t="s">
        <v>15740</v>
      </c>
      <c r="E5853" s="803">
        <v>20</v>
      </c>
      <c r="F5853" s="850">
        <v>7</v>
      </c>
      <c r="G5853" s="202" t="str">
        <f t="shared" si="91"/>
        <v/>
      </c>
    </row>
    <row r="5854" spans="1:7" s="172" customFormat="1" ht="15" customHeight="1" x14ac:dyDescent="0.25">
      <c r="A5854" s="803" t="s">
        <v>15741</v>
      </c>
      <c r="B5854" s="803" t="s">
        <v>19504</v>
      </c>
      <c r="C5854" s="803" t="s">
        <v>19505</v>
      </c>
      <c r="D5854" s="803" t="s">
        <v>15742</v>
      </c>
      <c r="E5854" s="803">
        <v>160</v>
      </c>
      <c r="F5854" s="850">
        <v>20</v>
      </c>
      <c r="G5854" s="202" t="str">
        <f t="shared" si="91"/>
        <v/>
      </c>
    </row>
    <row r="5855" spans="1:7" s="172" customFormat="1" ht="15" customHeight="1" x14ac:dyDescent="0.25">
      <c r="A5855" s="803" t="s">
        <v>15743</v>
      </c>
      <c r="B5855" s="803" t="s">
        <v>19504</v>
      </c>
      <c r="C5855" s="803" t="s">
        <v>19505</v>
      </c>
      <c r="D5855" s="803" t="s">
        <v>15744</v>
      </c>
      <c r="E5855" s="803">
        <v>25</v>
      </c>
      <c r="F5855" s="850">
        <v>5</v>
      </c>
      <c r="G5855" s="202" t="str">
        <f t="shared" si="91"/>
        <v/>
      </c>
    </row>
    <row r="5856" spans="1:7" s="172" customFormat="1" ht="15" customHeight="1" x14ac:dyDescent="0.25">
      <c r="A5856" s="803" t="s">
        <v>15745</v>
      </c>
      <c r="B5856" s="803" t="s">
        <v>19504</v>
      </c>
      <c r="C5856" s="803" t="s">
        <v>19505</v>
      </c>
      <c r="D5856" s="803" t="s">
        <v>15746</v>
      </c>
      <c r="E5856" s="803">
        <v>60</v>
      </c>
      <c r="F5856" s="850">
        <v>19</v>
      </c>
      <c r="G5856" s="202" t="str">
        <f t="shared" si="91"/>
        <v/>
      </c>
    </row>
    <row r="5857" spans="1:7" s="172" customFormat="1" ht="15" customHeight="1" x14ac:dyDescent="0.25">
      <c r="A5857" s="803" t="s">
        <v>15747</v>
      </c>
      <c r="B5857" s="803" t="s">
        <v>19504</v>
      </c>
      <c r="C5857" s="803" t="s">
        <v>19505</v>
      </c>
      <c r="D5857" s="803" t="s">
        <v>15748</v>
      </c>
      <c r="E5857" s="803">
        <v>400</v>
      </c>
      <c r="F5857" s="850">
        <v>11</v>
      </c>
      <c r="G5857" s="202" t="str">
        <f t="shared" si="91"/>
        <v/>
      </c>
    </row>
    <row r="5858" spans="1:7" s="172" customFormat="1" ht="15" customHeight="1" x14ac:dyDescent="0.25">
      <c r="A5858" s="803" t="s">
        <v>15749</v>
      </c>
      <c r="B5858" s="803" t="s">
        <v>19504</v>
      </c>
      <c r="C5858" s="803" t="s">
        <v>19505</v>
      </c>
      <c r="D5858" s="803" t="s">
        <v>15750</v>
      </c>
      <c r="E5858" s="803">
        <v>160</v>
      </c>
      <c r="F5858" s="850">
        <v>21</v>
      </c>
      <c r="G5858" s="202" t="str">
        <f t="shared" si="91"/>
        <v/>
      </c>
    </row>
    <row r="5859" spans="1:7" s="172" customFormat="1" ht="15" customHeight="1" x14ac:dyDescent="0.25">
      <c r="A5859" s="803" t="s">
        <v>15751</v>
      </c>
      <c r="B5859" s="803" t="s">
        <v>19504</v>
      </c>
      <c r="C5859" s="803" t="s">
        <v>19505</v>
      </c>
      <c r="D5859" s="803" t="s">
        <v>15752</v>
      </c>
      <c r="E5859" s="803">
        <v>160</v>
      </c>
      <c r="F5859" s="850">
        <v>85</v>
      </c>
      <c r="G5859" s="202" t="str">
        <f t="shared" si="91"/>
        <v/>
      </c>
    </row>
    <row r="5860" spans="1:7" s="172" customFormat="1" ht="15" customHeight="1" x14ac:dyDescent="0.25">
      <c r="A5860" s="803" t="s">
        <v>15751</v>
      </c>
      <c r="B5860" s="803" t="s">
        <v>19504</v>
      </c>
      <c r="C5860" s="803" t="s">
        <v>19505</v>
      </c>
      <c r="D5860" s="803" t="s">
        <v>15753</v>
      </c>
      <c r="E5860" s="803">
        <v>160</v>
      </c>
      <c r="F5860" s="850">
        <v>66</v>
      </c>
      <c r="G5860" s="202" t="str">
        <f t="shared" si="91"/>
        <v/>
      </c>
    </row>
    <row r="5861" spans="1:7" s="172" customFormat="1" ht="15" customHeight="1" x14ac:dyDescent="0.25">
      <c r="A5861" s="803" t="s">
        <v>15751</v>
      </c>
      <c r="B5861" s="803" t="s">
        <v>19504</v>
      </c>
      <c r="C5861" s="803" t="s">
        <v>19505</v>
      </c>
      <c r="D5861" s="803" t="s">
        <v>15754</v>
      </c>
      <c r="E5861" s="803">
        <v>160</v>
      </c>
      <c r="F5861" s="850">
        <v>62</v>
      </c>
      <c r="G5861" s="202" t="str">
        <f t="shared" si="91"/>
        <v/>
      </c>
    </row>
    <row r="5862" spans="1:7" s="172" customFormat="1" ht="15" customHeight="1" x14ac:dyDescent="0.25">
      <c r="A5862" s="803" t="s">
        <v>15755</v>
      </c>
      <c r="B5862" s="803" t="s">
        <v>19504</v>
      </c>
      <c r="C5862" s="803" t="s">
        <v>19505</v>
      </c>
      <c r="D5862" s="803" t="s">
        <v>15756</v>
      </c>
      <c r="E5862" s="803">
        <v>100</v>
      </c>
      <c r="F5862" s="850">
        <v>47</v>
      </c>
      <c r="G5862" s="202" t="str">
        <f t="shared" si="91"/>
        <v/>
      </c>
    </row>
    <row r="5863" spans="1:7" s="172" customFormat="1" ht="15" customHeight="1" x14ac:dyDescent="0.25">
      <c r="A5863" s="803" t="s">
        <v>15661</v>
      </c>
      <c r="B5863" s="803" t="s">
        <v>19504</v>
      </c>
      <c r="C5863" s="803" t="s">
        <v>19505</v>
      </c>
      <c r="D5863" s="803" t="s">
        <v>15757</v>
      </c>
      <c r="E5863" s="803">
        <v>30</v>
      </c>
      <c r="F5863" s="850">
        <v>8</v>
      </c>
      <c r="G5863" s="202" t="str">
        <f t="shared" si="91"/>
        <v/>
      </c>
    </row>
    <row r="5864" spans="1:7" s="172" customFormat="1" ht="15" customHeight="1" x14ac:dyDescent="0.25">
      <c r="A5864" s="803" t="s">
        <v>15758</v>
      </c>
      <c r="B5864" s="803" t="s">
        <v>19504</v>
      </c>
      <c r="C5864" s="803" t="s">
        <v>19505</v>
      </c>
      <c r="D5864" s="803" t="s">
        <v>15759</v>
      </c>
      <c r="E5864" s="803">
        <v>60</v>
      </c>
      <c r="F5864" s="850"/>
      <c r="G5864" s="202" t="str">
        <f t="shared" si="91"/>
        <v/>
      </c>
    </row>
    <row r="5865" spans="1:7" s="172" customFormat="1" ht="15" customHeight="1" x14ac:dyDescent="0.25">
      <c r="A5865" s="803" t="s">
        <v>15741</v>
      </c>
      <c r="B5865" s="803" t="s">
        <v>19504</v>
      </c>
      <c r="C5865" s="803" t="s">
        <v>19505</v>
      </c>
      <c r="D5865" s="803" t="s">
        <v>15760</v>
      </c>
      <c r="E5865" s="803">
        <v>60</v>
      </c>
      <c r="F5865" s="850">
        <v>27</v>
      </c>
      <c r="G5865" s="202" t="str">
        <f t="shared" si="91"/>
        <v/>
      </c>
    </row>
    <row r="5866" spans="1:7" s="172" customFormat="1" ht="15" customHeight="1" x14ac:dyDescent="0.25">
      <c r="A5866" s="803" t="s">
        <v>15761</v>
      </c>
      <c r="B5866" s="803" t="s">
        <v>19504</v>
      </c>
      <c r="C5866" s="803" t="s">
        <v>19505</v>
      </c>
      <c r="D5866" s="803" t="s">
        <v>15762</v>
      </c>
      <c r="E5866" s="803">
        <v>30</v>
      </c>
      <c r="F5866" s="850">
        <v>28</v>
      </c>
      <c r="G5866" s="202" t="str">
        <f t="shared" si="91"/>
        <v/>
      </c>
    </row>
    <row r="5867" spans="1:7" s="172" customFormat="1" ht="15" customHeight="1" x14ac:dyDescent="0.25">
      <c r="A5867" s="803" t="s">
        <v>15763</v>
      </c>
      <c r="B5867" s="803" t="s">
        <v>19504</v>
      </c>
      <c r="C5867" s="803" t="s">
        <v>19505</v>
      </c>
      <c r="D5867" s="803" t="s">
        <v>15764</v>
      </c>
      <c r="E5867" s="803">
        <v>100</v>
      </c>
      <c r="F5867" s="850">
        <v>36</v>
      </c>
      <c r="G5867" s="202" t="str">
        <f t="shared" si="91"/>
        <v/>
      </c>
    </row>
    <row r="5868" spans="1:7" s="172" customFormat="1" ht="15" customHeight="1" x14ac:dyDescent="0.25">
      <c r="A5868" s="803" t="s">
        <v>15758</v>
      </c>
      <c r="B5868" s="803" t="s">
        <v>19504</v>
      </c>
      <c r="C5868" s="803" t="s">
        <v>19505</v>
      </c>
      <c r="D5868" s="803" t="s">
        <v>15765</v>
      </c>
      <c r="E5868" s="803">
        <v>250</v>
      </c>
      <c r="F5868" s="850">
        <v>18</v>
      </c>
      <c r="G5868" s="202" t="str">
        <f t="shared" si="91"/>
        <v/>
      </c>
    </row>
    <row r="5869" spans="1:7" s="172" customFormat="1" ht="15" customHeight="1" x14ac:dyDescent="0.25">
      <c r="A5869" s="803" t="s">
        <v>15758</v>
      </c>
      <c r="B5869" s="803" t="s">
        <v>19504</v>
      </c>
      <c r="C5869" s="803" t="s">
        <v>19505</v>
      </c>
      <c r="D5869" s="803" t="s">
        <v>15766</v>
      </c>
      <c r="E5869" s="803">
        <v>250</v>
      </c>
      <c r="F5869" s="850">
        <v>14</v>
      </c>
      <c r="G5869" s="202" t="str">
        <f t="shared" si="91"/>
        <v/>
      </c>
    </row>
    <row r="5870" spans="1:7" s="172" customFormat="1" ht="15" customHeight="1" x14ac:dyDescent="0.25">
      <c r="A5870" s="803" t="s">
        <v>15758</v>
      </c>
      <c r="B5870" s="803" t="s">
        <v>19504</v>
      </c>
      <c r="C5870" s="803" t="s">
        <v>19505</v>
      </c>
      <c r="D5870" s="803" t="s">
        <v>15767</v>
      </c>
      <c r="E5870" s="803">
        <v>400</v>
      </c>
      <c r="F5870" s="850">
        <v>17</v>
      </c>
      <c r="G5870" s="202" t="str">
        <f t="shared" si="91"/>
        <v/>
      </c>
    </row>
    <row r="5871" spans="1:7" s="172" customFormat="1" ht="15" customHeight="1" x14ac:dyDescent="0.25">
      <c r="A5871" s="803" t="s">
        <v>15768</v>
      </c>
      <c r="B5871" s="803" t="s">
        <v>19504</v>
      </c>
      <c r="C5871" s="803" t="s">
        <v>19505</v>
      </c>
      <c r="D5871" s="803" t="s">
        <v>15769</v>
      </c>
      <c r="E5871" s="803">
        <v>100</v>
      </c>
      <c r="F5871" s="850">
        <v>55</v>
      </c>
      <c r="G5871" s="202" t="str">
        <f t="shared" si="91"/>
        <v/>
      </c>
    </row>
    <row r="5872" spans="1:7" s="172" customFormat="1" ht="15" customHeight="1" x14ac:dyDescent="0.25">
      <c r="A5872" s="803" t="s">
        <v>15770</v>
      </c>
      <c r="B5872" s="803" t="s">
        <v>19504</v>
      </c>
      <c r="C5872" s="803" t="s">
        <v>19505</v>
      </c>
      <c r="D5872" s="803" t="s">
        <v>15771</v>
      </c>
      <c r="E5872" s="803">
        <v>30</v>
      </c>
      <c r="F5872" s="850">
        <v>8</v>
      </c>
      <c r="G5872" s="202" t="str">
        <f t="shared" si="91"/>
        <v/>
      </c>
    </row>
    <row r="5873" spans="1:7" s="172" customFormat="1" ht="15" customHeight="1" x14ac:dyDescent="0.25">
      <c r="A5873" s="803" t="s">
        <v>15772</v>
      </c>
      <c r="B5873" s="803" t="s">
        <v>19504</v>
      </c>
      <c r="C5873" s="803" t="s">
        <v>19505</v>
      </c>
      <c r="D5873" s="803" t="s">
        <v>15773</v>
      </c>
      <c r="E5873" s="803">
        <v>60</v>
      </c>
      <c r="F5873" s="850">
        <v>1</v>
      </c>
      <c r="G5873" s="202" t="str">
        <f t="shared" si="91"/>
        <v/>
      </c>
    </row>
    <row r="5874" spans="1:7" s="172" customFormat="1" ht="15" customHeight="1" x14ac:dyDescent="0.25">
      <c r="A5874" s="803" t="s">
        <v>15774</v>
      </c>
      <c r="B5874" s="803" t="s">
        <v>19504</v>
      </c>
      <c r="C5874" s="803" t="s">
        <v>19505</v>
      </c>
      <c r="D5874" s="803" t="s">
        <v>15775</v>
      </c>
      <c r="E5874" s="803">
        <v>65</v>
      </c>
      <c r="F5874" s="850">
        <v>20</v>
      </c>
      <c r="G5874" s="202" t="str">
        <f t="shared" si="91"/>
        <v/>
      </c>
    </row>
    <row r="5875" spans="1:7" s="172" customFormat="1" ht="15" customHeight="1" x14ac:dyDescent="0.25">
      <c r="A5875" s="803" t="s">
        <v>15776</v>
      </c>
      <c r="B5875" s="803" t="s">
        <v>19504</v>
      </c>
      <c r="C5875" s="803" t="s">
        <v>19505</v>
      </c>
      <c r="D5875" s="803" t="s">
        <v>15777</v>
      </c>
      <c r="E5875" s="803">
        <v>30</v>
      </c>
      <c r="F5875" s="850">
        <v>14</v>
      </c>
      <c r="G5875" s="202" t="str">
        <f t="shared" si="91"/>
        <v/>
      </c>
    </row>
    <row r="5876" spans="1:7" s="172" customFormat="1" ht="15" customHeight="1" x14ac:dyDescent="0.25">
      <c r="A5876" s="803" t="s">
        <v>15778</v>
      </c>
      <c r="B5876" s="803" t="s">
        <v>19504</v>
      </c>
      <c r="C5876" s="803" t="s">
        <v>19505</v>
      </c>
      <c r="D5876" s="803" t="s">
        <v>15779</v>
      </c>
      <c r="E5876" s="803">
        <v>250</v>
      </c>
      <c r="F5876" s="850">
        <v>42</v>
      </c>
      <c r="G5876" s="202" t="str">
        <f t="shared" si="91"/>
        <v/>
      </c>
    </row>
    <row r="5877" spans="1:7" s="172" customFormat="1" ht="15" customHeight="1" x14ac:dyDescent="0.25">
      <c r="A5877" s="803" t="s">
        <v>15778</v>
      </c>
      <c r="B5877" s="803" t="s">
        <v>19504</v>
      </c>
      <c r="C5877" s="803" t="s">
        <v>19505</v>
      </c>
      <c r="D5877" s="803" t="s">
        <v>15780</v>
      </c>
      <c r="E5877" s="803">
        <v>160</v>
      </c>
      <c r="F5877" s="850">
        <v>30</v>
      </c>
      <c r="G5877" s="202" t="str">
        <f t="shared" si="91"/>
        <v/>
      </c>
    </row>
    <row r="5878" spans="1:7" s="172" customFormat="1" ht="15" customHeight="1" x14ac:dyDescent="0.25">
      <c r="A5878" s="803" t="s">
        <v>15539</v>
      </c>
      <c r="B5878" s="803" t="s">
        <v>19504</v>
      </c>
      <c r="C5878" s="803" t="s">
        <v>19505</v>
      </c>
      <c r="D5878" s="803" t="s">
        <v>15781</v>
      </c>
      <c r="E5878" s="803">
        <v>160</v>
      </c>
      <c r="F5878" s="850">
        <v>14</v>
      </c>
      <c r="G5878" s="202" t="str">
        <f t="shared" si="91"/>
        <v/>
      </c>
    </row>
    <row r="5879" spans="1:7" s="172" customFormat="1" ht="15" customHeight="1" x14ac:dyDescent="0.25">
      <c r="A5879" s="803" t="s">
        <v>15782</v>
      </c>
      <c r="B5879" s="803" t="s">
        <v>19504</v>
      </c>
      <c r="C5879" s="803" t="s">
        <v>19505</v>
      </c>
      <c r="D5879" s="803" t="s">
        <v>15783</v>
      </c>
      <c r="E5879" s="803">
        <v>30</v>
      </c>
      <c r="F5879" s="850">
        <v>25</v>
      </c>
      <c r="G5879" s="202" t="str">
        <f t="shared" si="91"/>
        <v/>
      </c>
    </row>
    <row r="5880" spans="1:7" s="172" customFormat="1" ht="15" customHeight="1" x14ac:dyDescent="0.25">
      <c r="A5880" s="803" t="s">
        <v>15778</v>
      </c>
      <c r="B5880" s="803" t="s">
        <v>19504</v>
      </c>
      <c r="C5880" s="803" t="s">
        <v>19505</v>
      </c>
      <c r="D5880" s="803" t="s">
        <v>15784</v>
      </c>
      <c r="E5880" s="803">
        <v>400</v>
      </c>
      <c r="F5880" s="850">
        <v>39</v>
      </c>
      <c r="G5880" s="202" t="str">
        <f t="shared" si="91"/>
        <v/>
      </c>
    </row>
    <row r="5881" spans="1:7" s="172" customFormat="1" ht="15" customHeight="1" x14ac:dyDescent="0.25">
      <c r="A5881" s="803" t="s">
        <v>15778</v>
      </c>
      <c r="B5881" s="803" t="s">
        <v>19504</v>
      </c>
      <c r="C5881" s="803" t="s">
        <v>19505</v>
      </c>
      <c r="D5881" s="803" t="s">
        <v>15785</v>
      </c>
      <c r="E5881" s="803">
        <v>160</v>
      </c>
      <c r="F5881" s="850">
        <v>20</v>
      </c>
      <c r="G5881" s="202" t="str">
        <f t="shared" si="91"/>
        <v/>
      </c>
    </row>
    <row r="5882" spans="1:7" s="172" customFormat="1" ht="15" customHeight="1" x14ac:dyDescent="0.25">
      <c r="A5882" s="803" t="s">
        <v>15786</v>
      </c>
      <c r="B5882" s="803" t="s">
        <v>19504</v>
      </c>
      <c r="C5882" s="803" t="s">
        <v>19505</v>
      </c>
      <c r="D5882" s="803" t="s">
        <v>15787</v>
      </c>
      <c r="E5882" s="803">
        <v>63</v>
      </c>
      <c r="F5882" s="850">
        <v>7</v>
      </c>
      <c r="G5882" s="202" t="str">
        <f t="shared" si="91"/>
        <v/>
      </c>
    </row>
    <row r="5883" spans="1:7" s="172" customFormat="1" ht="15" customHeight="1" x14ac:dyDescent="0.25">
      <c r="A5883" s="803" t="s">
        <v>15788</v>
      </c>
      <c r="B5883" s="803" t="s">
        <v>19504</v>
      </c>
      <c r="C5883" s="803" t="s">
        <v>19505</v>
      </c>
      <c r="D5883" s="803" t="s">
        <v>15789</v>
      </c>
      <c r="E5883" s="803">
        <v>250</v>
      </c>
      <c r="F5883" s="850">
        <v>1</v>
      </c>
      <c r="G5883" s="202" t="str">
        <f t="shared" si="91"/>
        <v/>
      </c>
    </row>
    <row r="5884" spans="1:7" s="172" customFormat="1" ht="15" customHeight="1" x14ac:dyDescent="0.25">
      <c r="A5884" s="803" t="s">
        <v>15788</v>
      </c>
      <c r="B5884" s="803" t="s">
        <v>19504</v>
      </c>
      <c r="C5884" s="803" t="s">
        <v>19505</v>
      </c>
      <c r="D5884" s="803" t="s">
        <v>15790</v>
      </c>
      <c r="E5884" s="803">
        <v>160</v>
      </c>
      <c r="F5884" s="850">
        <v>11</v>
      </c>
      <c r="G5884" s="202" t="str">
        <f t="shared" si="91"/>
        <v/>
      </c>
    </row>
    <row r="5885" spans="1:7" s="172" customFormat="1" ht="15" customHeight="1" x14ac:dyDescent="0.25">
      <c r="A5885" s="803" t="s">
        <v>15791</v>
      </c>
      <c r="B5885" s="803" t="s">
        <v>19504</v>
      </c>
      <c r="C5885" s="803" t="s">
        <v>19505</v>
      </c>
      <c r="D5885" s="803" t="s">
        <v>15792</v>
      </c>
      <c r="E5885" s="803">
        <v>63</v>
      </c>
      <c r="F5885" s="850">
        <v>49</v>
      </c>
      <c r="G5885" s="202" t="str">
        <f t="shared" si="91"/>
        <v/>
      </c>
    </row>
    <row r="5886" spans="1:7" s="172" customFormat="1" ht="15" customHeight="1" x14ac:dyDescent="0.25">
      <c r="A5886" s="803" t="s">
        <v>15793</v>
      </c>
      <c r="B5886" s="803" t="s">
        <v>19504</v>
      </c>
      <c r="C5886" s="803" t="s">
        <v>19505</v>
      </c>
      <c r="D5886" s="803" t="s">
        <v>15794</v>
      </c>
      <c r="E5886" s="803">
        <v>25</v>
      </c>
      <c r="F5886" s="850">
        <v>4</v>
      </c>
      <c r="G5886" s="202" t="str">
        <f t="shared" si="91"/>
        <v/>
      </c>
    </row>
    <row r="5887" spans="1:7" s="172" customFormat="1" ht="15" customHeight="1" x14ac:dyDescent="0.25">
      <c r="A5887" s="803" t="s">
        <v>15795</v>
      </c>
      <c r="B5887" s="803" t="s">
        <v>19504</v>
      </c>
      <c r="C5887" s="803" t="s">
        <v>19505</v>
      </c>
      <c r="D5887" s="803" t="s">
        <v>15796</v>
      </c>
      <c r="E5887" s="803">
        <v>60</v>
      </c>
      <c r="F5887" s="850">
        <v>26</v>
      </c>
      <c r="G5887" s="202" t="str">
        <f t="shared" si="91"/>
        <v/>
      </c>
    </row>
    <row r="5888" spans="1:7" s="172" customFormat="1" ht="15" customHeight="1" x14ac:dyDescent="0.25">
      <c r="A5888" s="803" t="s">
        <v>15797</v>
      </c>
      <c r="B5888" s="803" t="s">
        <v>19504</v>
      </c>
      <c r="C5888" s="803" t="s">
        <v>19505</v>
      </c>
      <c r="D5888" s="803" t="s">
        <v>15798</v>
      </c>
      <c r="E5888" s="803">
        <v>60</v>
      </c>
      <c r="F5888" s="850">
        <v>16</v>
      </c>
      <c r="G5888" s="202" t="str">
        <f t="shared" si="91"/>
        <v/>
      </c>
    </row>
    <row r="5889" spans="1:7" s="172" customFormat="1" ht="15" customHeight="1" x14ac:dyDescent="0.25">
      <c r="A5889" s="803" t="s">
        <v>15799</v>
      </c>
      <c r="B5889" s="803" t="s">
        <v>19504</v>
      </c>
      <c r="C5889" s="803" t="s">
        <v>19505</v>
      </c>
      <c r="D5889" s="803" t="s">
        <v>15800</v>
      </c>
      <c r="E5889" s="803">
        <v>63</v>
      </c>
      <c r="F5889" s="850">
        <v>11</v>
      </c>
      <c r="G5889" s="202" t="str">
        <f t="shared" si="91"/>
        <v/>
      </c>
    </row>
    <row r="5890" spans="1:7" s="172" customFormat="1" ht="15" customHeight="1" x14ac:dyDescent="0.25">
      <c r="A5890" s="803" t="s">
        <v>15801</v>
      </c>
      <c r="B5890" s="803" t="s">
        <v>19504</v>
      </c>
      <c r="C5890" s="803" t="s">
        <v>19505</v>
      </c>
      <c r="D5890" s="803" t="s">
        <v>15802</v>
      </c>
      <c r="E5890" s="803">
        <v>60</v>
      </c>
      <c r="F5890" s="850">
        <v>16</v>
      </c>
      <c r="G5890" s="202" t="str">
        <f t="shared" si="91"/>
        <v/>
      </c>
    </row>
    <row r="5891" spans="1:7" s="172" customFormat="1" ht="15" customHeight="1" x14ac:dyDescent="0.25">
      <c r="A5891" s="803" t="s">
        <v>15801</v>
      </c>
      <c r="B5891" s="803" t="s">
        <v>19504</v>
      </c>
      <c r="C5891" s="803" t="s">
        <v>19505</v>
      </c>
      <c r="D5891" s="803" t="s">
        <v>18230</v>
      </c>
      <c r="E5891" s="803">
        <v>63</v>
      </c>
      <c r="F5891" s="850">
        <v>52</v>
      </c>
      <c r="G5891" s="202" t="str">
        <f t="shared" si="91"/>
        <v/>
      </c>
    </row>
    <row r="5892" spans="1:7" s="172" customFormat="1" ht="15" customHeight="1" x14ac:dyDescent="0.25">
      <c r="A5892" s="803" t="s">
        <v>15801</v>
      </c>
      <c r="B5892" s="803" t="s">
        <v>19504</v>
      </c>
      <c r="C5892" s="803" t="s">
        <v>19505</v>
      </c>
      <c r="D5892" s="803" t="s">
        <v>18231</v>
      </c>
      <c r="E5892" s="803">
        <v>63</v>
      </c>
      <c r="F5892" s="850">
        <v>54</v>
      </c>
      <c r="G5892" s="202" t="str">
        <f t="shared" si="91"/>
        <v/>
      </c>
    </row>
    <row r="5893" spans="1:7" s="172" customFormat="1" ht="15" customHeight="1" x14ac:dyDescent="0.25">
      <c r="A5893" s="803" t="s">
        <v>15801</v>
      </c>
      <c r="B5893" s="803" t="s">
        <v>19504</v>
      </c>
      <c r="C5893" s="803" t="s">
        <v>19505</v>
      </c>
      <c r="D5893" s="803" t="s">
        <v>18232</v>
      </c>
      <c r="E5893" s="803">
        <v>40</v>
      </c>
      <c r="F5893" s="850">
        <v>32</v>
      </c>
      <c r="G5893" s="202" t="str">
        <f t="shared" si="91"/>
        <v/>
      </c>
    </row>
    <row r="5894" spans="1:7" s="172" customFormat="1" ht="15" customHeight="1" x14ac:dyDescent="0.25">
      <c r="A5894" s="803" t="s">
        <v>15801</v>
      </c>
      <c r="B5894" s="803" t="s">
        <v>19504</v>
      </c>
      <c r="C5894" s="803" t="s">
        <v>19505</v>
      </c>
      <c r="D5894" s="803" t="s">
        <v>18233</v>
      </c>
      <c r="E5894" s="803">
        <v>63</v>
      </c>
      <c r="F5894" s="850">
        <v>46</v>
      </c>
      <c r="G5894" s="202" t="str">
        <f t="shared" si="91"/>
        <v/>
      </c>
    </row>
    <row r="5895" spans="1:7" s="172" customFormat="1" ht="15" customHeight="1" x14ac:dyDescent="0.25">
      <c r="A5895" s="803" t="s">
        <v>15801</v>
      </c>
      <c r="B5895" s="803" t="s">
        <v>19504</v>
      </c>
      <c r="C5895" s="803" t="s">
        <v>19505</v>
      </c>
      <c r="D5895" s="803" t="s">
        <v>18234</v>
      </c>
      <c r="E5895" s="803">
        <v>100</v>
      </c>
      <c r="F5895" s="850">
        <v>86</v>
      </c>
      <c r="G5895" s="202" t="str">
        <f t="shared" si="91"/>
        <v/>
      </c>
    </row>
    <row r="5896" spans="1:7" s="172" customFormat="1" ht="15" customHeight="1" x14ac:dyDescent="0.25">
      <c r="A5896" s="803" t="s">
        <v>15801</v>
      </c>
      <c r="B5896" s="803" t="s">
        <v>19504</v>
      </c>
      <c r="C5896" s="803" t="s">
        <v>19505</v>
      </c>
      <c r="D5896" s="803" t="s">
        <v>18235</v>
      </c>
      <c r="E5896" s="803">
        <v>63</v>
      </c>
      <c r="F5896" s="850">
        <v>48</v>
      </c>
      <c r="G5896" s="202" t="str">
        <f t="shared" si="91"/>
        <v/>
      </c>
    </row>
    <row r="5897" spans="1:7" s="172" customFormat="1" ht="15" customHeight="1" x14ac:dyDescent="0.25">
      <c r="A5897" s="803" t="s">
        <v>15801</v>
      </c>
      <c r="B5897" s="803" t="s">
        <v>19504</v>
      </c>
      <c r="C5897" s="803" t="s">
        <v>19505</v>
      </c>
      <c r="D5897" s="803" t="s">
        <v>18236</v>
      </c>
      <c r="E5897" s="803">
        <v>40</v>
      </c>
      <c r="F5897" s="850">
        <v>35</v>
      </c>
      <c r="G5897" s="202" t="str">
        <f t="shared" si="91"/>
        <v/>
      </c>
    </row>
    <row r="5898" spans="1:7" s="172" customFormat="1" ht="15" customHeight="1" x14ac:dyDescent="0.25">
      <c r="A5898" s="803" t="s">
        <v>15801</v>
      </c>
      <c r="B5898" s="803" t="s">
        <v>19504</v>
      </c>
      <c r="C5898" s="803" t="s">
        <v>19505</v>
      </c>
      <c r="D5898" s="803" t="s">
        <v>18237</v>
      </c>
      <c r="E5898" s="803">
        <v>100</v>
      </c>
      <c r="F5898" s="850">
        <v>78</v>
      </c>
      <c r="G5898" s="202" t="str">
        <f t="shared" si="91"/>
        <v/>
      </c>
    </row>
    <row r="5899" spans="1:7" s="172" customFormat="1" ht="15" customHeight="1" x14ac:dyDescent="0.25">
      <c r="A5899" s="803" t="s">
        <v>15803</v>
      </c>
      <c r="B5899" s="803" t="s">
        <v>19504</v>
      </c>
      <c r="C5899" s="803" t="s">
        <v>19505</v>
      </c>
      <c r="D5899" s="803" t="s">
        <v>15804</v>
      </c>
      <c r="E5899" s="803">
        <v>100</v>
      </c>
      <c r="F5899" s="850">
        <v>50</v>
      </c>
      <c r="G5899" s="202" t="str">
        <f t="shared" si="91"/>
        <v/>
      </c>
    </row>
    <row r="5900" spans="1:7" s="172" customFormat="1" ht="15" customHeight="1" x14ac:dyDescent="0.25">
      <c r="A5900" s="803" t="s">
        <v>15732</v>
      </c>
      <c r="B5900" s="803" t="s">
        <v>19504</v>
      </c>
      <c r="C5900" s="803" t="s">
        <v>19505</v>
      </c>
      <c r="D5900" s="803" t="s">
        <v>15805</v>
      </c>
      <c r="E5900" s="803">
        <v>10</v>
      </c>
      <c r="F5900" s="850">
        <v>4</v>
      </c>
      <c r="G5900" s="202" t="str">
        <f t="shared" si="91"/>
        <v/>
      </c>
    </row>
    <row r="5901" spans="1:7" s="172" customFormat="1" ht="15" customHeight="1" x14ac:dyDescent="0.25">
      <c r="A5901" s="803" t="s">
        <v>15806</v>
      </c>
      <c r="B5901" s="803" t="s">
        <v>19504</v>
      </c>
      <c r="C5901" s="803" t="s">
        <v>19505</v>
      </c>
      <c r="D5901" s="803" t="s">
        <v>15807</v>
      </c>
      <c r="E5901" s="803">
        <v>100</v>
      </c>
      <c r="F5901" s="850">
        <v>32</v>
      </c>
      <c r="G5901" s="202" t="str">
        <f t="shared" si="91"/>
        <v/>
      </c>
    </row>
    <row r="5902" spans="1:7" s="172" customFormat="1" ht="15" customHeight="1" x14ac:dyDescent="0.25">
      <c r="A5902" s="803" t="s">
        <v>15808</v>
      </c>
      <c r="B5902" s="803" t="s">
        <v>19504</v>
      </c>
      <c r="C5902" s="803" t="s">
        <v>19505</v>
      </c>
      <c r="D5902" s="803" t="s">
        <v>15809</v>
      </c>
      <c r="E5902" s="803">
        <v>10</v>
      </c>
      <c r="F5902" s="850">
        <v>9</v>
      </c>
      <c r="G5902" s="202" t="str">
        <f t="shared" si="91"/>
        <v/>
      </c>
    </row>
    <row r="5903" spans="1:7" s="172" customFormat="1" ht="15" customHeight="1" x14ac:dyDescent="0.25">
      <c r="A5903" s="803" t="s">
        <v>15810</v>
      </c>
      <c r="B5903" s="803" t="s">
        <v>19504</v>
      </c>
      <c r="C5903" s="803" t="s">
        <v>19505</v>
      </c>
      <c r="D5903" s="803" t="s">
        <v>15811</v>
      </c>
      <c r="E5903" s="803">
        <v>250</v>
      </c>
      <c r="F5903" s="850">
        <v>62</v>
      </c>
      <c r="G5903" s="202" t="str">
        <f t="shared" si="91"/>
        <v/>
      </c>
    </row>
    <row r="5904" spans="1:7" s="172" customFormat="1" ht="15" customHeight="1" x14ac:dyDescent="0.25">
      <c r="A5904" s="803" t="s">
        <v>15812</v>
      </c>
      <c r="B5904" s="803" t="s">
        <v>19504</v>
      </c>
      <c r="C5904" s="803" t="s">
        <v>19505</v>
      </c>
      <c r="D5904" s="803" t="s">
        <v>15813</v>
      </c>
      <c r="E5904" s="803">
        <v>30</v>
      </c>
      <c r="F5904" s="850">
        <v>22</v>
      </c>
      <c r="G5904" s="202" t="str">
        <f t="shared" si="91"/>
        <v/>
      </c>
    </row>
    <row r="5905" spans="1:7" s="172" customFormat="1" ht="15" customHeight="1" x14ac:dyDescent="0.25">
      <c r="A5905" s="803" t="s">
        <v>15814</v>
      </c>
      <c r="B5905" s="803" t="s">
        <v>19504</v>
      </c>
      <c r="C5905" s="803" t="s">
        <v>19505</v>
      </c>
      <c r="D5905" s="803" t="s">
        <v>15815</v>
      </c>
      <c r="E5905" s="803">
        <v>63</v>
      </c>
      <c r="F5905" s="850">
        <v>27</v>
      </c>
      <c r="G5905" s="202" t="str">
        <f t="shared" si="91"/>
        <v/>
      </c>
    </row>
    <row r="5906" spans="1:7" s="172" customFormat="1" ht="15" customHeight="1" x14ac:dyDescent="0.25">
      <c r="A5906" s="803" t="s">
        <v>15816</v>
      </c>
      <c r="B5906" s="803" t="s">
        <v>19504</v>
      </c>
      <c r="C5906" s="803" t="s">
        <v>19505</v>
      </c>
      <c r="D5906" s="803" t="s">
        <v>15817</v>
      </c>
      <c r="E5906" s="803">
        <v>25</v>
      </c>
      <c r="F5906" s="850">
        <v>18</v>
      </c>
      <c r="G5906" s="202" t="str">
        <f t="shared" si="91"/>
        <v/>
      </c>
    </row>
    <row r="5907" spans="1:7" s="172" customFormat="1" ht="15" customHeight="1" x14ac:dyDescent="0.25">
      <c r="A5907" s="803" t="s">
        <v>15818</v>
      </c>
      <c r="B5907" s="803" t="s">
        <v>19504</v>
      </c>
      <c r="C5907" s="803" t="s">
        <v>19505</v>
      </c>
      <c r="D5907" s="803" t="s">
        <v>15819</v>
      </c>
      <c r="E5907" s="803">
        <v>30</v>
      </c>
      <c r="F5907" s="850">
        <v>23</v>
      </c>
      <c r="G5907" s="202" t="str">
        <f t="shared" si="91"/>
        <v/>
      </c>
    </row>
    <row r="5908" spans="1:7" s="172" customFormat="1" ht="15" customHeight="1" x14ac:dyDescent="0.25">
      <c r="A5908" s="803" t="s">
        <v>15820</v>
      </c>
      <c r="B5908" s="803" t="s">
        <v>19504</v>
      </c>
      <c r="C5908" s="803" t="s">
        <v>19505</v>
      </c>
      <c r="D5908" s="803" t="s">
        <v>15821</v>
      </c>
      <c r="E5908" s="803">
        <v>30</v>
      </c>
      <c r="F5908" s="850">
        <v>14</v>
      </c>
      <c r="G5908" s="202" t="str">
        <f t="shared" si="91"/>
        <v/>
      </c>
    </row>
    <row r="5909" spans="1:7" s="172" customFormat="1" ht="15" customHeight="1" x14ac:dyDescent="0.25">
      <c r="A5909" s="803" t="s">
        <v>15822</v>
      </c>
      <c r="B5909" s="803" t="s">
        <v>19504</v>
      </c>
      <c r="C5909" s="803" t="s">
        <v>19505</v>
      </c>
      <c r="D5909" s="803" t="s">
        <v>15823</v>
      </c>
      <c r="E5909" s="803">
        <v>400</v>
      </c>
      <c r="F5909" s="850">
        <v>5</v>
      </c>
      <c r="G5909" s="202" t="str">
        <f t="shared" si="91"/>
        <v/>
      </c>
    </row>
    <row r="5910" spans="1:7" s="172" customFormat="1" ht="15" customHeight="1" x14ac:dyDescent="0.25">
      <c r="A5910" s="803" t="s">
        <v>15822</v>
      </c>
      <c r="B5910" s="803" t="s">
        <v>19504</v>
      </c>
      <c r="C5910" s="803" t="s">
        <v>19505</v>
      </c>
      <c r="D5910" s="803" t="s">
        <v>15824</v>
      </c>
      <c r="E5910" s="803">
        <v>250</v>
      </c>
      <c r="F5910" s="850">
        <v>64</v>
      </c>
      <c r="G5910" s="202" t="str">
        <f t="shared" si="91"/>
        <v/>
      </c>
    </row>
    <row r="5911" spans="1:7" s="172" customFormat="1" ht="15" customHeight="1" x14ac:dyDescent="0.25">
      <c r="A5911" s="803" t="s">
        <v>15825</v>
      </c>
      <c r="B5911" s="803" t="s">
        <v>19504</v>
      </c>
      <c r="C5911" s="803" t="s">
        <v>19505</v>
      </c>
      <c r="D5911" s="803" t="s">
        <v>15826</v>
      </c>
      <c r="E5911" s="803">
        <v>25</v>
      </c>
      <c r="F5911" s="850">
        <v>3</v>
      </c>
      <c r="G5911" s="202" t="str">
        <f t="shared" si="91"/>
        <v/>
      </c>
    </row>
    <row r="5912" spans="1:7" s="172" customFormat="1" ht="15" customHeight="1" x14ac:dyDescent="0.25">
      <c r="A5912" s="803" t="s">
        <v>15827</v>
      </c>
      <c r="B5912" s="803" t="s">
        <v>19504</v>
      </c>
      <c r="C5912" s="803" t="s">
        <v>19505</v>
      </c>
      <c r="D5912" s="803" t="s">
        <v>15828</v>
      </c>
      <c r="E5912" s="803">
        <v>100</v>
      </c>
      <c r="F5912" s="850">
        <v>9</v>
      </c>
      <c r="G5912" s="202" t="str">
        <f t="shared" si="91"/>
        <v/>
      </c>
    </row>
    <row r="5913" spans="1:7" s="172" customFormat="1" ht="15" customHeight="1" x14ac:dyDescent="0.25">
      <c r="A5913" s="803" t="s">
        <v>15829</v>
      </c>
      <c r="B5913" s="803" t="s">
        <v>19504</v>
      </c>
      <c r="C5913" s="803" t="s">
        <v>19505</v>
      </c>
      <c r="D5913" s="803" t="s">
        <v>15830</v>
      </c>
      <c r="E5913" s="803">
        <v>30</v>
      </c>
      <c r="F5913" s="850">
        <v>10</v>
      </c>
      <c r="G5913" s="202" t="str">
        <f t="shared" si="91"/>
        <v/>
      </c>
    </row>
    <row r="5914" spans="1:7" s="172" customFormat="1" ht="15" customHeight="1" x14ac:dyDescent="0.25">
      <c r="A5914" s="803" t="s">
        <v>15810</v>
      </c>
      <c r="B5914" s="803" t="s">
        <v>19504</v>
      </c>
      <c r="C5914" s="803" t="s">
        <v>19505</v>
      </c>
      <c r="D5914" s="803" t="s">
        <v>15831</v>
      </c>
      <c r="E5914" s="803">
        <v>160</v>
      </c>
      <c r="F5914" s="850">
        <v>58</v>
      </c>
      <c r="G5914" s="202" t="str">
        <f t="shared" si="91"/>
        <v/>
      </c>
    </row>
    <row r="5915" spans="1:7" s="172" customFormat="1" ht="15" customHeight="1" x14ac:dyDescent="0.25">
      <c r="A5915" s="803" t="s">
        <v>15832</v>
      </c>
      <c r="B5915" s="803" t="s">
        <v>19504</v>
      </c>
      <c r="C5915" s="803" t="s">
        <v>19505</v>
      </c>
      <c r="D5915" s="803" t="s">
        <v>15833</v>
      </c>
      <c r="E5915" s="803">
        <v>100</v>
      </c>
      <c r="F5915" s="850">
        <v>26</v>
      </c>
      <c r="G5915" s="202" t="str">
        <f t="shared" si="91"/>
        <v/>
      </c>
    </row>
    <row r="5916" spans="1:7" s="172" customFormat="1" ht="15" customHeight="1" x14ac:dyDescent="0.25">
      <c r="A5916" s="803" t="s">
        <v>15834</v>
      </c>
      <c r="B5916" s="803" t="s">
        <v>19504</v>
      </c>
      <c r="C5916" s="803" t="s">
        <v>19505</v>
      </c>
      <c r="D5916" s="803" t="s">
        <v>15835</v>
      </c>
      <c r="E5916" s="803">
        <v>40</v>
      </c>
      <c r="F5916" s="850">
        <v>22</v>
      </c>
      <c r="G5916" s="202" t="str">
        <f t="shared" ref="G5916:G5979" si="92">IF(E5916=F5916,"не загружен","")</f>
        <v/>
      </c>
    </row>
    <row r="5917" spans="1:7" s="172" customFormat="1" ht="15" customHeight="1" x14ac:dyDescent="0.25">
      <c r="A5917" s="803" t="s">
        <v>15810</v>
      </c>
      <c r="B5917" s="803" t="s">
        <v>19504</v>
      </c>
      <c r="C5917" s="803" t="s">
        <v>19505</v>
      </c>
      <c r="D5917" s="803" t="s">
        <v>15836</v>
      </c>
      <c r="E5917" s="803">
        <v>160</v>
      </c>
      <c r="F5917" s="850">
        <v>5</v>
      </c>
      <c r="G5917" s="202" t="str">
        <f t="shared" si="92"/>
        <v/>
      </c>
    </row>
    <row r="5918" spans="1:7" s="172" customFormat="1" ht="15" customHeight="1" x14ac:dyDescent="0.25">
      <c r="A5918" s="803" t="s">
        <v>15837</v>
      </c>
      <c r="B5918" s="803" t="s">
        <v>19504</v>
      </c>
      <c r="C5918" s="803" t="s">
        <v>19505</v>
      </c>
      <c r="D5918" s="803" t="s">
        <v>15838</v>
      </c>
      <c r="E5918" s="803">
        <v>400</v>
      </c>
      <c r="F5918" s="850">
        <v>30</v>
      </c>
      <c r="G5918" s="202" t="str">
        <f t="shared" si="92"/>
        <v/>
      </c>
    </row>
    <row r="5919" spans="1:7" s="172" customFormat="1" ht="15" customHeight="1" x14ac:dyDescent="0.25">
      <c r="A5919" s="803" t="s">
        <v>15837</v>
      </c>
      <c r="B5919" s="803" t="s">
        <v>19504</v>
      </c>
      <c r="C5919" s="803" t="s">
        <v>19505</v>
      </c>
      <c r="D5919" s="803" t="s">
        <v>15839</v>
      </c>
      <c r="E5919" s="803">
        <v>250</v>
      </c>
      <c r="F5919" s="850">
        <v>34</v>
      </c>
      <c r="G5919" s="202" t="str">
        <f t="shared" si="92"/>
        <v/>
      </c>
    </row>
    <row r="5920" spans="1:7" s="172" customFormat="1" ht="15" customHeight="1" x14ac:dyDescent="0.25">
      <c r="A5920" s="803" t="s">
        <v>15837</v>
      </c>
      <c r="B5920" s="803" t="s">
        <v>19504</v>
      </c>
      <c r="C5920" s="803" t="s">
        <v>19505</v>
      </c>
      <c r="D5920" s="803" t="s">
        <v>15840</v>
      </c>
      <c r="E5920" s="803">
        <v>160</v>
      </c>
      <c r="F5920" s="850">
        <v>57</v>
      </c>
      <c r="G5920" s="202" t="str">
        <f t="shared" si="92"/>
        <v/>
      </c>
    </row>
    <row r="5921" spans="1:7" s="172" customFormat="1" ht="15" customHeight="1" x14ac:dyDescent="0.25">
      <c r="A5921" s="803" t="s">
        <v>15841</v>
      </c>
      <c r="B5921" s="803" t="s">
        <v>19504</v>
      </c>
      <c r="C5921" s="803" t="s">
        <v>19505</v>
      </c>
      <c r="D5921" s="803" t="s">
        <v>15842</v>
      </c>
      <c r="E5921" s="803">
        <v>100</v>
      </c>
      <c r="F5921" s="850"/>
      <c r="G5921" s="202" t="str">
        <f t="shared" si="92"/>
        <v/>
      </c>
    </row>
    <row r="5922" spans="1:7" s="172" customFormat="1" ht="15" customHeight="1" x14ac:dyDescent="0.25">
      <c r="A5922" s="803" t="s">
        <v>15841</v>
      </c>
      <c r="B5922" s="803" t="s">
        <v>19504</v>
      </c>
      <c r="C5922" s="803" t="s">
        <v>19505</v>
      </c>
      <c r="D5922" s="803" t="s">
        <v>15843</v>
      </c>
      <c r="E5922" s="803">
        <v>100</v>
      </c>
      <c r="F5922" s="850">
        <v>89</v>
      </c>
      <c r="G5922" s="202" t="str">
        <f t="shared" si="92"/>
        <v/>
      </c>
    </row>
    <row r="5923" spans="1:7" s="172" customFormat="1" ht="15" customHeight="1" x14ac:dyDescent="0.25">
      <c r="A5923" s="803" t="s">
        <v>15844</v>
      </c>
      <c r="B5923" s="803" t="s">
        <v>19504</v>
      </c>
      <c r="C5923" s="803" t="s">
        <v>19505</v>
      </c>
      <c r="D5923" s="803" t="s">
        <v>15845</v>
      </c>
      <c r="E5923" s="803">
        <v>100</v>
      </c>
      <c r="F5923" s="850">
        <v>45</v>
      </c>
      <c r="G5923" s="202" t="str">
        <f t="shared" si="92"/>
        <v/>
      </c>
    </row>
    <row r="5924" spans="1:7" s="172" customFormat="1" ht="15" customHeight="1" x14ac:dyDescent="0.25">
      <c r="A5924" s="803" t="s">
        <v>15846</v>
      </c>
      <c r="B5924" s="803" t="s">
        <v>19504</v>
      </c>
      <c r="C5924" s="803" t="s">
        <v>19505</v>
      </c>
      <c r="D5924" s="803" t="s">
        <v>15847</v>
      </c>
      <c r="E5924" s="803">
        <v>160</v>
      </c>
      <c r="F5924" s="850">
        <v>34</v>
      </c>
      <c r="G5924" s="202" t="str">
        <f t="shared" si="92"/>
        <v/>
      </c>
    </row>
    <row r="5925" spans="1:7" s="172" customFormat="1" ht="15" customHeight="1" x14ac:dyDescent="0.25">
      <c r="A5925" s="803" t="s">
        <v>15848</v>
      </c>
      <c r="B5925" s="803" t="s">
        <v>19504</v>
      </c>
      <c r="C5925" s="803" t="s">
        <v>19505</v>
      </c>
      <c r="D5925" s="803" t="s">
        <v>15849</v>
      </c>
      <c r="E5925" s="803">
        <v>60</v>
      </c>
      <c r="F5925" s="850"/>
      <c r="G5925" s="202" t="str">
        <f t="shared" si="92"/>
        <v/>
      </c>
    </row>
    <row r="5926" spans="1:7" s="172" customFormat="1" ht="15" customHeight="1" x14ac:dyDescent="0.25">
      <c r="A5926" s="803" t="s">
        <v>15850</v>
      </c>
      <c r="B5926" s="803" t="s">
        <v>19504</v>
      </c>
      <c r="C5926" s="803" t="s">
        <v>19505</v>
      </c>
      <c r="D5926" s="803" t="s">
        <v>15851</v>
      </c>
      <c r="E5926" s="803">
        <v>250</v>
      </c>
      <c r="F5926" s="850">
        <v>36</v>
      </c>
      <c r="G5926" s="202" t="str">
        <f t="shared" si="92"/>
        <v/>
      </c>
    </row>
    <row r="5927" spans="1:7" s="172" customFormat="1" ht="15" customHeight="1" x14ac:dyDescent="0.25">
      <c r="A5927" s="803" t="s">
        <v>15852</v>
      </c>
      <c r="B5927" s="803" t="s">
        <v>19504</v>
      </c>
      <c r="C5927" s="803" t="s">
        <v>19505</v>
      </c>
      <c r="D5927" s="803" t="s">
        <v>15853</v>
      </c>
      <c r="E5927" s="803">
        <v>63</v>
      </c>
      <c r="F5927" s="850">
        <v>60</v>
      </c>
      <c r="G5927" s="202" t="str">
        <f t="shared" si="92"/>
        <v/>
      </c>
    </row>
    <row r="5928" spans="1:7" s="172" customFormat="1" ht="15" customHeight="1" x14ac:dyDescent="0.25">
      <c r="A5928" s="803" t="s">
        <v>15854</v>
      </c>
      <c r="B5928" s="803" t="s">
        <v>19504</v>
      </c>
      <c r="C5928" s="803" t="s">
        <v>19505</v>
      </c>
      <c r="D5928" s="803" t="s">
        <v>15855</v>
      </c>
      <c r="E5928" s="803">
        <v>63</v>
      </c>
      <c r="F5928" s="850">
        <v>34</v>
      </c>
      <c r="G5928" s="202" t="str">
        <f t="shared" si="92"/>
        <v/>
      </c>
    </row>
    <row r="5929" spans="1:7" s="172" customFormat="1" ht="15" customHeight="1" x14ac:dyDescent="0.25">
      <c r="A5929" s="803" t="s">
        <v>15841</v>
      </c>
      <c r="B5929" s="803" t="s">
        <v>19504</v>
      </c>
      <c r="C5929" s="803" t="s">
        <v>19505</v>
      </c>
      <c r="D5929" s="803" t="s">
        <v>15856</v>
      </c>
      <c r="E5929" s="803">
        <v>400</v>
      </c>
      <c r="F5929" s="850">
        <v>29</v>
      </c>
      <c r="G5929" s="202" t="str">
        <f t="shared" si="92"/>
        <v/>
      </c>
    </row>
    <row r="5930" spans="1:7" s="172" customFormat="1" ht="15" customHeight="1" x14ac:dyDescent="0.25">
      <c r="A5930" s="803" t="s">
        <v>15841</v>
      </c>
      <c r="B5930" s="803" t="s">
        <v>19504</v>
      </c>
      <c r="C5930" s="803" t="s">
        <v>19505</v>
      </c>
      <c r="D5930" s="803" t="s">
        <v>15857</v>
      </c>
      <c r="E5930" s="803">
        <v>400</v>
      </c>
      <c r="F5930" s="850">
        <v>25</v>
      </c>
      <c r="G5930" s="202" t="str">
        <f t="shared" si="92"/>
        <v/>
      </c>
    </row>
    <row r="5931" spans="1:7" s="172" customFormat="1" ht="15" customHeight="1" x14ac:dyDescent="0.25">
      <c r="A5931" s="803" t="s">
        <v>15841</v>
      </c>
      <c r="B5931" s="803" t="s">
        <v>19504</v>
      </c>
      <c r="C5931" s="803" t="s">
        <v>19505</v>
      </c>
      <c r="D5931" s="803" t="s">
        <v>15858</v>
      </c>
      <c r="E5931" s="803">
        <v>250</v>
      </c>
      <c r="F5931" s="850">
        <v>33</v>
      </c>
      <c r="G5931" s="202" t="str">
        <f t="shared" si="92"/>
        <v/>
      </c>
    </row>
    <row r="5932" spans="1:7" s="172" customFormat="1" ht="15" customHeight="1" x14ac:dyDescent="0.25">
      <c r="A5932" s="803" t="s">
        <v>15859</v>
      </c>
      <c r="B5932" s="803" t="s">
        <v>19504</v>
      </c>
      <c r="C5932" s="803" t="s">
        <v>19505</v>
      </c>
      <c r="D5932" s="803" t="s">
        <v>15860</v>
      </c>
      <c r="E5932" s="803">
        <v>100</v>
      </c>
      <c r="F5932" s="850">
        <v>31</v>
      </c>
      <c r="G5932" s="202" t="str">
        <f t="shared" si="92"/>
        <v/>
      </c>
    </row>
    <row r="5933" spans="1:7" s="172" customFormat="1" ht="15" customHeight="1" x14ac:dyDescent="0.25">
      <c r="A5933" s="803" t="s">
        <v>15844</v>
      </c>
      <c r="B5933" s="803" t="s">
        <v>19504</v>
      </c>
      <c r="C5933" s="803" t="s">
        <v>19505</v>
      </c>
      <c r="D5933" s="803" t="s">
        <v>15861</v>
      </c>
      <c r="E5933" s="803">
        <v>400</v>
      </c>
      <c r="F5933" s="850">
        <v>38</v>
      </c>
      <c r="G5933" s="202" t="str">
        <f t="shared" si="92"/>
        <v/>
      </c>
    </row>
    <row r="5934" spans="1:7" s="172" customFormat="1" ht="15" customHeight="1" x14ac:dyDescent="0.25">
      <c r="A5934" s="803" t="s">
        <v>15844</v>
      </c>
      <c r="B5934" s="803" t="s">
        <v>19504</v>
      </c>
      <c r="C5934" s="803" t="s">
        <v>19505</v>
      </c>
      <c r="D5934" s="803" t="s">
        <v>15862</v>
      </c>
      <c r="E5934" s="803">
        <v>100</v>
      </c>
      <c r="F5934" s="850">
        <v>25</v>
      </c>
      <c r="G5934" s="202" t="str">
        <f t="shared" si="92"/>
        <v/>
      </c>
    </row>
    <row r="5935" spans="1:7" s="172" customFormat="1" ht="15" customHeight="1" x14ac:dyDescent="0.25">
      <c r="A5935" s="803" t="s">
        <v>15863</v>
      </c>
      <c r="B5935" s="803" t="s">
        <v>19504</v>
      </c>
      <c r="C5935" s="803" t="s">
        <v>19505</v>
      </c>
      <c r="D5935" s="803" t="s">
        <v>15864</v>
      </c>
      <c r="E5935" s="803">
        <v>400</v>
      </c>
      <c r="F5935" s="850">
        <v>43</v>
      </c>
      <c r="G5935" s="202" t="str">
        <f t="shared" si="92"/>
        <v/>
      </c>
    </row>
    <row r="5936" spans="1:7" s="172" customFormat="1" ht="15" customHeight="1" x14ac:dyDescent="0.25">
      <c r="A5936" s="803" t="s">
        <v>15863</v>
      </c>
      <c r="B5936" s="803" t="s">
        <v>19504</v>
      </c>
      <c r="C5936" s="803" t="s">
        <v>19505</v>
      </c>
      <c r="D5936" s="803" t="s">
        <v>15865</v>
      </c>
      <c r="E5936" s="803">
        <v>160</v>
      </c>
      <c r="F5936" s="850">
        <v>29</v>
      </c>
      <c r="G5936" s="202" t="str">
        <f t="shared" si="92"/>
        <v/>
      </c>
    </row>
    <row r="5937" spans="1:7" s="172" customFormat="1" ht="15" customHeight="1" x14ac:dyDescent="0.25">
      <c r="A5937" s="803" t="s">
        <v>15866</v>
      </c>
      <c r="B5937" s="803" t="s">
        <v>19504</v>
      </c>
      <c r="C5937" s="803" t="s">
        <v>19505</v>
      </c>
      <c r="D5937" s="803" t="s">
        <v>15867</v>
      </c>
      <c r="E5937" s="803">
        <v>100</v>
      </c>
      <c r="F5937" s="850">
        <v>15</v>
      </c>
      <c r="G5937" s="202" t="str">
        <f t="shared" si="92"/>
        <v/>
      </c>
    </row>
    <row r="5938" spans="1:7" s="172" customFormat="1" ht="15" customHeight="1" x14ac:dyDescent="0.25">
      <c r="A5938" s="803" t="s">
        <v>15801</v>
      </c>
      <c r="B5938" s="803" t="s">
        <v>19504</v>
      </c>
      <c r="C5938" s="803" t="s">
        <v>19505</v>
      </c>
      <c r="D5938" s="803" t="s">
        <v>15868</v>
      </c>
      <c r="E5938" s="803">
        <v>60</v>
      </c>
      <c r="F5938" s="850">
        <v>25</v>
      </c>
      <c r="G5938" s="202" t="str">
        <f t="shared" si="92"/>
        <v/>
      </c>
    </row>
    <row r="5939" spans="1:7" s="172" customFormat="1" ht="15" customHeight="1" x14ac:dyDescent="0.25">
      <c r="A5939" s="803" t="s">
        <v>15801</v>
      </c>
      <c r="B5939" s="803" t="s">
        <v>19504</v>
      </c>
      <c r="C5939" s="803" t="s">
        <v>19505</v>
      </c>
      <c r="D5939" s="803" t="s">
        <v>15869</v>
      </c>
      <c r="E5939" s="803">
        <v>160</v>
      </c>
      <c r="F5939" s="850">
        <v>102</v>
      </c>
      <c r="G5939" s="202" t="str">
        <f t="shared" si="92"/>
        <v/>
      </c>
    </row>
    <row r="5940" spans="1:7" s="172" customFormat="1" ht="15" customHeight="1" x14ac:dyDescent="0.25">
      <c r="A5940" s="803" t="s">
        <v>15870</v>
      </c>
      <c r="B5940" s="803" t="s">
        <v>19504</v>
      </c>
      <c r="C5940" s="803" t="s">
        <v>19505</v>
      </c>
      <c r="D5940" s="803" t="s">
        <v>15871</v>
      </c>
      <c r="E5940" s="803">
        <v>63</v>
      </c>
      <c r="F5940" s="850">
        <v>28</v>
      </c>
      <c r="G5940" s="202" t="str">
        <f t="shared" si="92"/>
        <v/>
      </c>
    </row>
    <row r="5941" spans="1:7" s="172" customFormat="1" ht="15" customHeight="1" x14ac:dyDescent="0.25">
      <c r="A5941" s="803" t="s">
        <v>15872</v>
      </c>
      <c r="B5941" s="803" t="s">
        <v>19504</v>
      </c>
      <c r="C5941" s="803" t="s">
        <v>19505</v>
      </c>
      <c r="D5941" s="803" t="s">
        <v>15873</v>
      </c>
      <c r="E5941" s="803">
        <v>30</v>
      </c>
      <c r="F5941" s="850">
        <v>17</v>
      </c>
      <c r="G5941" s="202" t="str">
        <f t="shared" si="92"/>
        <v/>
      </c>
    </row>
    <row r="5942" spans="1:7" s="172" customFormat="1" ht="15" customHeight="1" x14ac:dyDescent="0.25">
      <c r="A5942" s="803" t="s">
        <v>15874</v>
      </c>
      <c r="B5942" s="803" t="s">
        <v>19504</v>
      </c>
      <c r="C5942" s="803" t="s">
        <v>19505</v>
      </c>
      <c r="D5942" s="803" t="s">
        <v>15875</v>
      </c>
      <c r="E5942" s="803">
        <v>30</v>
      </c>
      <c r="F5942" s="850">
        <v>10</v>
      </c>
      <c r="G5942" s="202" t="str">
        <f t="shared" si="92"/>
        <v/>
      </c>
    </row>
    <row r="5943" spans="1:7" s="172" customFormat="1" ht="15" customHeight="1" x14ac:dyDescent="0.25">
      <c r="A5943" s="803" t="s">
        <v>15876</v>
      </c>
      <c r="B5943" s="803" t="s">
        <v>19504</v>
      </c>
      <c r="C5943" s="803" t="s">
        <v>19505</v>
      </c>
      <c r="D5943" s="803" t="s">
        <v>15877</v>
      </c>
      <c r="E5943" s="803">
        <v>30</v>
      </c>
      <c r="F5943" s="850">
        <v>22</v>
      </c>
      <c r="G5943" s="202" t="str">
        <f t="shared" si="92"/>
        <v/>
      </c>
    </row>
    <row r="5944" spans="1:7" s="172" customFormat="1" ht="15" customHeight="1" x14ac:dyDescent="0.25">
      <c r="A5944" s="803" t="s">
        <v>15878</v>
      </c>
      <c r="B5944" s="803" t="s">
        <v>19504</v>
      </c>
      <c r="C5944" s="803" t="s">
        <v>19505</v>
      </c>
      <c r="D5944" s="803" t="s">
        <v>15879</v>
      </c>
      <c r="E5944" s="803">
        <v>30</v>
      </c>
      <c r="F5944" s="850">
        <v>14</v>
      </c>
      <c r="G5944" s="202" t="str">
        <f t="shared" si="92"/>
        <v/>
      </c>
    </row>
    <row r="5945" spans="1:7" s="172" customFormat="1" ht="15" customHeight="1" x14ac:dyDescent="0.25">
      <c r="A5945" s="803" t="s">
        <v>15880</v>
      </c>
      <c r="B5945" s="803" t="s">
        <v>19504</v>
      </c>
      <c r="C5945" s="803" t="s">
        <v>19505</v>
      </c>
      <c r="D5945" s="803" t="s">
        <v>15881</v>
      </c>
      <c r="E5945" s="803">
        <v>100</v>
      </c>
      <c r="F5945" s="850">
        <v>67</v>
      </c>
      <c r="G5945" s="202" t="str">
        <f t="shared" si="92"/>
        <v/>
      </c>
    </row>
    <row r="5946" spans="1:7" s="172" customFormat="1" ht="15" customHeight="1" x14ac:dyDescent="0.25">
      <c r="A5946" s="803" t="s">
        <v>15880</v>
      </c>
      <c r="B5946" s="803" t="s">
        <v>19504</v>
      </c>
      <c r="C5946" s="803" t="s">
        <v>19505</v>
      </c>
      <c r="D5946" s="803" t="s">
        <v>15882</v>
      </c>
      <c r="E5946" s="803">
        <v>100</v>
      </c>
      <c r="F5946" s="850">
        <v>38</v>
      </c>
      <c r="G5946" s="202" t="str">
        <f t="shared" si="92"/>
        <v/>
      </c>
    </row>
    <row r="5947" spans="1:7" s="172" customFormat="1" ht="15" customHeight="1" x14ac:dyDescent="0.25">
      <c r="A5947" s="803" t="s">
        <v>15880</v>
      </c>
      <c r="B5947" s="803" t="s">
        <v>19504</v>
      </c>
      <c r="C5947" s="803" t="s">
        <v>19505</v>
      </c>
      <c r="D5947" s="803" t="s">
        <v>15883</v>
      </c>
      <c r="E5947" s="803">
        <v>100</v>
      </c>
      <c r="F5947" s="850">
        <v>33</v>
      </c>
      <c r="G5947" s="202" t="str">
        <f t="shared" si="92"/>
        <v/>
      </c>
    </row>
    <row r="5948" spans="1:7" s="172" customFormat="1" ht="15" customHeight="1" x14ac:dyDescent="0.25">
      <c r="A5948" s="803" t="s">
        <v>15880</v>
      </c>
      <c r="B5948" s="803" t="s">
        <v>19504</v>
      </c>
      <c r="C5948" s="803" t="s">
        <v>19505</v>
      </c>
      <c r="D5948" s="803" t="s">
        <v>15884</v>
      </c>
      <c r="E5948" s="803">
        <v>250</v>
      </c>
      <c r="F5948" s="850">
        <v>151</v>
      </c>
      <c r="G5948" s="202" t="str">
        <f t="shared" si="92"/>
        <v/>
      </c>
    </row>
    <row r="5949" spans="1:7" s="172" customFormat="1" ht="15" customHeight="1" x14ac:dyDescent="0.25">
      <c r="A5949" s="803" t="s">
        <v>15880</v>
      </c>
      <c r="B5949" s="803" t="s">
        <v>19504</v>
      </c>
      <c r="C5949" s="803" t="s">
        <v>19505</v>
      </c>
      <c r="D5949" s="803" t="s">
        <v>15885</v>
      </c>
      <c r="E5949" s="803">
        <v>100</v>
      </c>
      <c r="F5949" s="850">
        <v>31</v>
      </c>
      <c r="G5949" s="202" t="str">
        <f t="shared" si="92"/>
        <v/>
      </c>
    </row>
    <row r="5950" spans="1:7" s="172" customFormat="1" ht="15" customHeight="1" x14ac:dyDescent="0.25">
      <c r="A5950" s="803" t="s">
        <v>15880</v>
      </c>
      <c r="B5950" s="803" t="s">
        <v>19504</v>
      </c>
      <c r="C5950" s="803" t="s">
        <v>19505</v>
      </c>
      <c r="D5950" s="803" t="s">
        <v>15886</v>
      </c>
      <c r="E5950" s="803">
        <v>250</v>
      </c>
      <c r="F5950" s="850">
        <v>33</v>
      </c>
      <c r="G5950" s="202" t="str">
        <f t="shared" si="92"/>
        <v/>
      </c>
    </row>
    <row r="5951" spans="1:7" s="172" customFormat="1" ht="15" customHeight="1" x14ac:dyDescent="0.25">
      <c r="A5951" s="803" t="s">
        <v>15878</v>
      </c>
      <c r="B5951" s="803" t="s">
        <v>19504</v>
      </c>
      <c r="C5951" s="803" t="s">
        <v>19505</v>
      </c>
      <c r="D5951" s="803" t="s">
        <v>15887</v>
      </c>
      <c r="E5951" s="803">
        <v>250</v>
      </c>
      <c r="F5951" s="850">
        <v>250</v>
      </c>
      <c r="G5951" s="202" t="str">
        <f t="shared" si="92"/>
        <v>не загружен</v>
      </c>
    </row>
    <row r="5952" spans="1:7" s="172" customFormat="1" ht="15" customHeight="1" x14ac:dyDescent="0.25">
      <c r="A5952" s="803" t="s">
        <v>15880</v>
      </c>
      <c r="B5952" s="803" t="s">
        <v>19504</v>
      </c>
      <c r="C5952" s="803" t="s">
        <v>19505</v>
      </c>
      <c r="D5952" s="803" t="s">
        <v>19506</v>
      </c>
      <c r="E5952" s="803">
        <v>25</v>
      </c>
      <c r="F5952" s="850">
        <v>15</v>
      </c>
      <c r="G5952" s="202" t="str">
        <f t="shared" si="92"/>
        <v/>
      </c>
    </row>
    <row r="5953" spans="1:7" s="172" customFormat="1" ht="15" customHeight="1" x14ac:dyDescent="0.25">
      <c r="A5953" s="803" t="s">
        <v>15888</v>
      </c>
      <c r="B5953" s="803" t="s">
        <v>19504</v>
      </c>
      <c r="C5953" s="803" t="s">
        <v>19505</v>
      </c>
      <c r="D5953" s="803" t="s">
        <v>15889</v>
      </c>
      <c r="E5953" s="803">
        <v>250</v>
      </c>
      <c r="F5953" s="850">
        <v>15</v>
      </c>
      <c r="G5953" s="202" t="str">
        <f t="shared" si="92"/>
        <v/>
      </c>
    </row>
    <row r="5954" spans="1:7" s="172" customFormat="1" ht="15" customHeight="1" x14ac:dyDescent="0.25">
      <c r="A5954" s="803" t="s">
        <v>15888</v>
      </c>
      <c r="B5954" s="803" t="s">
        <v>19504</v>
      </c>
      <c r="C5954" s="803" t="s">
        <v>19505</v>
      </c>
      <c r="D5954" s="803" t="s">
        <v>15890</v>
      </c>
      <c r="E5954" s="803">
        <v>160</v>
      </c>
      <c r="F5954" s="850">
        <v>8</v>
      </c>
      <c r="G5954" s="202" t="str">
        <f t="shared" si="92"/>
        <v/>
      </c>
    </row>
    <row r="5955" spans="1:7" s="172" customFormat="1" ht="15" customHeight="1" x14ac:dyDescent="0.25">
      <c r="A5955" s="803" t="s">
        <v>15888</v>
      </c>
      <c r="B5955" s="803" t="s">
        <v>19504</v>
      </c>
      <c r="C5955" s="803" t="s">
        <v>19505</v>
      </c>
      <c r="D5955" s="803" t="s">
        <v>15891</v>
      </c>
      <c r="E5955" s="803">
        <v>250</v>
      </c>
      <c r="F5955" s="850">
        <v>8</v>
      </c>
      <c r="G5955" s="202" t="str">
        <f t="shared" si="92"/>
        <v/>
      </c>
    </row>
    <row r="5956" spans="1:7" s="172" customFormat="1" ht="15" customHeight="1" x14ac:dyDescent="0.25">
      <c r="A5956" s="803" t="s">
        <v>15888</v>
      </c>
      <c r="B5956" s="803" t="s">
        <v>19504</v>
      </c>
      <c r="C5956" s="803" t="s">
        <v>19505</v>
      </c>
      <c r="D5956" s="803" t="s">
        <v>15892</v>
      </c>
      <c r="E5956" s="803">
        <v>630</v>
      </c>
      <c r="F5956" s="850">
        <v>5</v>
      </c>
      <c r="G5956" s="202" t="str">
        <f t="shared" si="92"/>
        <v/>
      </c>
    </row>
    <row r="5957" spans="1:7" s="172" customFormat="1" ht="15" customHeight="1" x14ac:dyDescent="0.25">
      <c r="A5957" s="803" t="s">
        <v>15888</v>
      </c>
      <c r="B5957" s="803" t="s">
        <v>19504</v>
      </c>
      <c r="C5957" s="803" t="s">
        <v>19505</v>
      </c>
      <c r="D5957" s="803" t="s">
        <v>15893</v>
      </c>
      <c r="E5957" s="803">
        <v>400</v>
      </c>
      <c r="F5957" s="850">
        <v>10</v>
      </c>
      <c r="G5957" s="202" t="str">
        <f t="shared" si="92"/>
        <v/>
      </c>
    </row>
    <row r="5958" spans="1:7" s="172" customFormat="1" ht="15" customHeight="1" x14ac:dyDescent="0.25">
      <c r="A5958" s="803" t="s">
        <v>15888</v>
      </c>
      <c r="B5958" s="803" t="s">
        <v>19504</v>
      </c>
      <c r="C5958" s="803" t="s">
        <v>19505</v>
      </c>
      <c r="D5958" s="803" t="s">
        <v>15894</v>
      </c>
      <c r="E5958" s="803">
        <v>100</v>
      </c>
      <c r="F5958" s="850">
        <v>29</v>
      </c>
      <c r="G5958" s="202" t="str">
        <f t="shared" si="92"/>
        <v/>
      </c>
    </row>
    <row r="5959" spans="1:7" s="172" customFormat="1" ht="15" customHeight="1" x14ac:dyDescent="0.25">
      <c r="A5959" s="803" t="s">
        <v>15888</v>
      </c>
      <c r="B5959" s="803" t="s">
        <v>19504</v>
      </c>
      <c r="C5959" s="803" t="s">
        <v>19505</v>
      </c>
      <c r="D5959" s="803" t="s">
        <v>15895</v>
      </c>
      <c r="E5959" s="803">
        <v>100</v>
      </c>
      <c r="F5959" s="850">
        <v>24</v>
      </c>
      <c r="G5959" s="202" t="str">
        <f t="shared" si="92"/>
        <v/>
      </c>
    </row>
    <row r="5960" spans="1:7" s="172" customFormat="1" ht="15" customHeight="1" x14ac:dyDescent="0.25">
      <c r="A5960" s="803" t="s">
        <v>15896</v>
      </c>
      <c r="B5960" s="803" t="s">
        <v>19504</v>
      </c>
      <c r="C5960" s="803" t="s">
        <v>19505</v>
      </c>
      <c r="D5960" s="803" t="s">
        <v>15897</v>
      </c>
      <c r="E5960" s="803">
        <v>250</v>
      </c>
      <c r="F5960" s="850">
        <v>80</v>
      </c>
      <c r="G5960" s="202" t="str">
        <f t="shared" si="92"/>
        <v/>
      </c>
    </row>
    <row r="5961" spans="1:7" s="172" customFormat="1" ht="15" customHeight="1" x14ac:dyDescent="0.25">
      <c r="A5961" s="803" t="s">
        <v>15888</v>
      </c>
      <c r="B5961" s="803" t="s">
        <v>19504</v>
      </c>
      <c r="C5961" s="803" t="s">
        <v>19505</v>
      </c>
      <c r="D5961" s="803" t="s">
        <v>15898</v>
      </c>
      <c r="E5961" s="803">
        <v>250</v>
      </c>
      <c r="F5961" s="850">
        <v>61</v>
      </c>
      <c r="G5961" s="202" t="str">
        <f t="shared" si="92"/>
        <v/>
      </c>
    </row>
    <row r="5962" spans="1:7" s="172" customFormat="1" ht="15" customHeight="1" x14ac:dyDescent="0.25">
      <c r="A5962" s="803" t="s">
        <v>15899</v>
      </c>
      <c r="B5962" s="803" t="s">
        <v>19504</v>
      </c>
      <c r="C5962" s="803" t="s">
        <v>19505</v>
      </c>
      <c r="D5962" s="803" t="s">
        <v>15900</v>
      </c>
      <c r="E5962" s="803">
        <v>60</v>
      </c>
      <c r="F5962" s="850">
        <v>34</v>
      </c>
      <c r="G5962" s="202" t="str">
        <f t="shared" si="92"/>
        <v/>
      </c>
    </row>
    <row r="5963" spans="1:7" s="172" customFormat="1" ht="15" customHeight="1" x14ac:dyDescent="0.25">
      <c r="A5963" s="803" t="s">
        <v>15901</v>
      </c>
      <c r="B5963" s="803" t="s">
        <v>19504</v>
      </c>
      <c r="C5963" s="803" t="s">
        <v>19505</v>
      </c>
      <c r="D5963" s="803" t="s">
        <v>15902</v>
      </c>
      <c r="E5963" s="803">
        <v>30</v>
      </c>
      <c r="F5963" s="850">
        <v>16</v>
      </c>
      <c r="G5963" s="202" t="str">
        <f t="shared" si="92"/>
        <v/>
      </c>
    </row>
    <row r="5964" spans="1:7" s="172" customFormat="1" ht="15" customHeight="1" x14ac:dyDescent="0.25">
      <c r="A5964" s="803" t="s">
        <v>15903</v>
      </c>
      <c r="B5964" s="803" t="s">
        <v>19504</v>
      </c>
      <c r="C5964" s="803" t="s">
        <v>19505</v>
      </c>
      <c r="D5964" s="803" t="s">
        <v>15904</v>
      </c>
      <c r="E5964" s="803">
        <v>250</v>
      </c>
      <c r="F5964" s="850">
        <v>55</v>
      </c>
      <c r="G5964" s="202" t="str">
        <f t="shared" si="92"/>
        <v/>
      </c>
    </row>
    <row r="5965" spans="1:7" s="172" customFormat="1" ht="15" customHeight="1" x14ac:dyDescent="0.25">
      <c r="A5965" s="803" t="s">
        <v>15905</v>
      </c>
      <c r="B5965" s="803" t="s">
        <v>19504</v>
      </c>
      <c r="C5965" s="803" t="s">
        <v>19505</v>
      </c>
      <c r="D5965" s="803" t="s">
        <v>15906</v>
      </c>
      <c r="E5965" s="803">
        <v>160</v>
      </c>
      <c r="F5965" s="850">
        <v>34</v>
      </c>
      <c r="G5965" s="202" t="str">
        <f t="shared" si="92"/>
        <v/>
      </c>
    </row>
    <row r="5966" spans="1:7" s="172" customFormat="1" ht="15" customHeight="1" x14ac:dyDescent="0.25">
      <c r="A5966" s="803" t="s">
        <v>15907</v>
      </c>
      <c r="B5966" s="803" t="s">
        <v>19504</v>
      </c>
      <c r="C5966" s="803" t="s">
        <v>19505</v>
      </c>
      <c r="D5966" s="803" t="s">
        <v>15908</v>
      </c>
      <c r="E5966" s="803">
        <v>100</v>
      </c>
      <c r="F5966" s="850">
        <v>24</v>
      </c>
      <c r="G5966" s="202" t="str">
        <f t="shared" si="92"/>
        <v/>
      </c>
    </row>
    <row r="5967" spans="1:7" s="172" customFormat="1" ht="15" customHeight="1" x14ac:dyDescent="0.25">
      <c r="A5967" s="803" t="s">
        <v>15909</v>
      </c>
      <c r="B5967" s="803" t="s">
        <v>19504</v>
      </c>
      <c r="C5967" s="803" t="s">
        <v>19505</v>
      </c>
      <c r="D5967" s="803" t="s">
        <v>15910</v>
      </c>
      <c r="E5967" s="803">
        <v>100</v>
      </c>
      <c r="F5967" s="850">
        <v>7</v>
      </c>
      <c r="G5967" s="202" t="str">
        <f t="shared" si="92"/>
        <v/>
      </c>
    </row>
    <row r="5968" spans="1:7" s="172" customFormat="1" ht="15" customHeight="1" x14ac:dyDescent="0.25">
      <c r="A5968" s="803" t="s">
        <v>15911</v>
      </c>
      <c r="B5968" s="803" t="s">
        <v>19504</v>
      </c>
      <c r="C5968" s="803" t="s">
        <v>19505</v>
      </c>
      <c r="D5968" s="803" t="s">
        <v>15912</v>
      </c>
      <c r="E5968" s="803">
        <v>160</v>
      </c>
      <c r="F5968" s="850">
        <v>61</v>
      </c>
      <c r="G5968" s="202" t="str">
        <f t="shared" si="92"/>
        <v/>
      </c>
    </row>
    <row r="5969" spans="1:7" s="172" customFormat="1" ht="15" customHeight="1" x14ac:dyDescent="0.25">
      <c r="A5969" s="803" t="s">
        <v>15911</v>
      </c>
      <c r="B5969" s="803" t="s">
        <v>19504</v>
      </c>
      <c r="C5969" s="803" t="s">
        <v>19505</v>
      </c>
      <c r="D5969" s="803" t="s">
        <v>15913</v>
      </c>
      <c r="E5969" s="803">
        <v>400</v>
      </c>
      <c r="F5969" s="850">
        <v>5</v>
      </c>
      <c r="G5969" s="202" t="str">
        <f t="shared" si="92"/>
        <v/>
      </c>
    </row>
    <row r="5970" spans="1:7" s="172" customFormat="1" ht="15" customHeight="1" x14ac:dyDescent="0.25">
      <c r="A5970" s="803" t="s">
        <v>15914</v>
      </c>
      <c r="B5970" s="803" t="s">
        <v>19504</v>
      </c>
      <c r="C5970" s="803" t="s">
        <v>19505</v>
      </c>
      <c r="D5970" s="803" t="s">
        <v>15915</v>
      </c>
      <c r="E5970" s="803">
        <v>400</v>
      </c>
      <c r="F5970" s="850">
        <v>2</v>
      </c>
      <c r="G5970" s="202" t="str">
        <f t="shared" si="92"/>
        <v/>
      </c>
    </row>
    <row r="5971" spans="1:7" s="172" customFormat="1" ht="15" customHeight="1" x14ac:dyDescent="0.25">
      <c r="A5971" s="803" t="s">
        <v>15914</v>
      </c>
      <c r="B5971" s="803" t="s">
        <v>19504</v>
      </c>
      <c r="C5971" s="803" t="s">
        <v>19505</v>
      </c>
      <c r="D5971" s="803" t="s">
        <v>15916</v>
      </c>
      <c r="E5971" s="803">
        <v>400</v>
      </c>
      <c r="F5971" s="850">
        <v>7</v>
      </c>
      <c r="G5971" s="202" t="str">
        <f t="shared" si="92"/>
        <v/>
      </c>
    </row>
    <row r="5972" spans="1:7" s="172" customFormat="1" ht="15" customHeight="1" x14ac:dyDescent="0.25">
      <c r="A5972" s="803" t="s">
        <v>15914</v>
      </c>
      <c r="B5972" s="803" t="s">
        <v>19504</v>
      </c>
      <c r="C5972" s="803" t="s">
        <v>19505</v>
      </c>
      <c r="D5972" s="803" t="s">
        <v>15917</v>
      </c>
      <c r="E5972" s="803">
        <v>160</v>
      </c>
      <c r="F5972" s="850">
        <v>30</v>
      </c>
      <c r="G5972" s="202" t="str">
        <f t="shared" si="92"/>
        <v/>
      </c>
    </row>
    <row r="5973" spans="1:7" s="172" customFormat="1" ht="15" customHeight="1" x14ac:dyDescent="0.25">
      <c r="A5973" s="803" t="s">
        <v>15918</v>
      </c>
      <c r="B5973" s="803" t="s">
        <v>19504</v>
      </c>
      <c r="C5973" s="803" t="s">
        <v>19505</v>
      </c>
      <c r="D5973" s="803" t="s">
        <v>15919</v>
      </c>
      <c r="E5973" s="803">
        <v>100</v>
      </c>
      <c r="F5973" s="850">
        <v>11</v>
      </c>
      <c r="G5973" s="202" t="str">
        <f t="shared" si="92"/>
        <v/>
      </c>
    </row>
    <row r="5974" spans="1:7" s="172" customFormat="1" ht="15" customHeight="1" x14ac:dyDescent="0.25">
      <c r="A5974" s="803" t="s">
        <v>15914</v>
      </c>
      <c r="B5974" s="803" t="s">
        <v>19504</v>
      </c>
      <c r="C5974" s="803" t="s">
        <v>19505</v>
      </c>
      <c r="D5974" s="803" t="s">
        <v>15920</v>
      </c>
      <c r="E5974" s="803">
        <v>250</v>
      </c>
      <c r="F5974" s="850">
        <v>29</v>
      </c>
      <c r="G5974" s="202" t="str">
        <f t="shared" si="92"/>
        <v/>
      </c>
    </row>
    <row r="5975" spans="1:7" s="172" customFormat="1" ht="15" customHeight="1" x14ac:dyDescent="0.25">
      <c r="A5975" s="803" t="s">
        <v>15921</v>
      </c>
      <c r="B5975" s="803" t="s">
        <v>19504</v>
      </c>
      <c r="C5975" s="803" t="s">
        <v>19505</v>
      </c>
      <c r="D5975" s="803" t="s">
        <v>15922</v>
      </c>
      <c r="E5975" s="803">
        <v>30</v>
      </c>
      <c r="F5975" s="850">
        <v>13</v>
      </c>
      <c r="G5975" s="202" t="str">
        <f t="shared" si="92"/>
        <v/>
      </c>
    </row>
    <row r="5976" spans="1:7" s="172" customFormat="1" ht="15" customHeight="1" x14ac:dyDescent="0.25">
      <c r="A5976" s="803" t="s">
        <v>15923</v>
      </c>
      <c r="B5976" s="803" t="s">
        <v>19504</v>
      </c>
      <c r="C5976" s="803" t="s">
        <v>19505</v>
      </c>
      <c r="D5976" s="803" t="s">
        <v>15924</v>
      </c>
      <c r="E5976" s="803">
        <v>30</v>
      </c>
      <c r="F5976" s="850">
        <v>23</v>
      </c>
      <c r="G5976" s="202" t="str">
        <f t="shared" si="92"/>
        <v/>
      </c>
    </row>
    <row r="5977" spans="1:7" s="172" customFormat="1" ht="15" customHeight="1" x14ac:dyDescent="0.25">
      <c r="A5977" s="803" t="s">
        <v>15925</v>
      </c>
      <c r="B5977" s="803" t="s">
        <v>19504</v>
      </c>
      <c r="C5977" s="803" t="s">
        <v>19505</v>
      </c>
      <c r="D5977" s="803" t="s">
        <v>15926</v>
      </c>
      <c r="E5977" s="803">
        <v>100</v>
      </c>
      <c r="F5977" s="850">
        <v>3</v>
      </c>
      <c r="G5977" s="202" t="str">
        <f t="shared" si="92"/>
        <v/>
      </c>
    </row>
    <row r="5978" spans="1:7" s="172" customFormat="1" ht="15" customHeight="1" x14ac:dyDescent="0.25">
      <c r="A5978" s="803" t="s">
        <v>15927</v>
      </c>
      <c r="B5978" s="803" t="s">
        <v>19504</v>
      </c>
      <c r="C5978" s="803" t="s">
        <v>19505</v>
      </c>
      <c r="D5978" s="803" t="s">
        <v>15928</v>
      </c>
      <c r="E5978" s="803">
        <v>160</v>
      </c>
      <c r="F5978" s="850">
        <v>45</v>
      </c>
      <c r="G5978" s="202" t="str">
        <f t="shared" si="92"/>
        <v/>
      </c>
    </row>
    <row r="5979" spans="1:7" s="172" customFormat="1" ht="15" customHeight="1" x14ac:dyDescent="0.25">
      <c r="A5979" s="803" t="s">
        <v>15929</v>
      </c>
      <c r="B5979" s="803" t="s">
        <v>19504</v>
      </c>
      <c r="C5979" s="803" t="s">
        <v>19505</v>
      </c>
      <c r="D5979" s="803" t="s">
        <v>15930</v>
      </c>
      <c r="E5979" s="803">
        <v>30</v>
      </c>
      <c r="F5979" s="850">
        <v>12</v>
      </c>
      <c r="G5979" s="202" t="str">
        <f t="shared" si="92"/>
        <v/>
      </c>
    </row>
    <row r="5980" spans="1:7" s="172" customFormat="1" ht="15" customHeight="1" x14ac:dyDescent="0.25">
      <c r="A5980" s="803" t="s">
        <v>15931</v>
      </c>
      <c r="B5980" s="803" t="s">
        <v>19504</v>
      </c>
      <c r="C5980" s="803" t="s">
        <v>19505</v>
      </c>
      <c r="D5980" s="803" t="s">
        <v>15932</v>
      </c>
      <c r="E5980" s="803">
        <v>160</v>
      </c>
      <c r="F5980" s="850">
        <v>14</v>
      </c>
      <c r="G5980" s="202" t="str">
        <f t="shared" ref="G5980:G6043" si="93">IF(E5980=F5980,"не загружен","")</f>
        <v/>
      </c>
    </row>
    <row r="5981" spans="1:7" s="172" customFormat="1" ht="15" customHeight="1" x14ac:dyDescent="0.25">
      <c r="A5981" s="803" t="s">
        <v>15933</v>
      </c>
      <c r="B5981" s="803" t="s">
        <v>19504</v>
      </c>
      <c r="C5981" s="803" t="s">
        <v>19505</v>
      </c>
      <c r="D5981" s="803" t="s">
        <v>15934</v>
      </c>
      <c r="E5981" s="803">
        <v>60</v>
      </c>
      <c r="F5981" s="850">
        <v>24</v>
      </c>
      <c r="G5981" s="202" t="str">
        <f t="shared" si="93"/>
        <v/>
      </c>
    </row>
    <row r="5982" spans="1:7" s="172" customFormat="1" ht="15" customHeight="1" x14ac:dyDescent="0.25">
      <c r="A5982" s="803" t="s">
        <v>15880</v>
      </c>
      <c r="B5982" s="803" t="s">
        <v>19504</v>
      </c>
      <c r="C5982" s="803" t="s">
        <v>19505</v>
      </c>
      <c r="D5982" s="803" t="s">
        <v>15935</v>
      </c>
      <c r="E5982" s="803">
        <v>100</v>
      </c>
      <c r="F5982" s="850">
        <v>5</v>
      </c>
      <c r="G5982" s="202" t="str">
        <f t="shared" si="93"/>
        <v/>
      </c>
    </row>
    <row r="5983" spans="1:7" s="172" customFormat="1" ht="15" customHeight="1" x14ac:dyDescent="0.25">
      <c r="A5983" s="803" t="s">
        <v>15936</v>
      </c>
      <c r="B5983" s="803" t="s">
        <v>19504</v>
      </c>
      <c r="C5983" s="803" t="s">
        <v>19505</v>
      </c>
      <c r="D5983" s="803" t="s">
        <v>15937</v>
      </c>
      <c r="E5983" s="803">
        <v>160</v>
      </c>
      <c r="F5983" s="850">
        <v>23</v>
      </c>
      <c r="G5983" s="202" t="str">
        <f t="shared" si="93"/>
        <v/>
      </c>
    </row>
    <row r="5984" spans="1:7" s="172" customFormat="1" ht="15" customHeight="1" x14ac:dyDescent="0.25">
      <c r="A5984" s="803" t="s">
        <v>15938</v>
      </c>
      <c r="B5984" s="803" t="s">
        <v>19504</v>
      </c>
      <c r="C5984" s="803" t="s">
        <v>19505</v>
      </c>
      <c r="D5984" s="803" t="s">
        <v>15939</v>
      </c>
      <c r="E5984" s="803">
        <v>60</v>
      </c>
      <c r="F5984" s="850">
        <v>36</v>
      </c>
      <c r="G5984" s="202" t="str">
        <f t="shared" si="93"/>
        <v/>
      </c>
    </row>
    <row r="5985" spans="1:7" s="172" customFormat="1" ht="15" customHeight="1" x14ac:dyDescent="0.25">
      <c r="A5985" s="803" t="s">
        <v>15940</v>
      </c>
      <c r="B5985" s="803" t="s">
        <v>19504</v>
      </c>
      <c r="C5985" s="803" t="s">
        <v>19505</v>
      </c>
      <c r="D5985" s="803" t="s">
        <v>15941</v>
      </c>
      <c r="E5985" s="803">
        <v>250</v>
      </c>
      <c r="F5985" s="850">
        <v>5</v>
      </c>
      <c r="G5985" s="202" t="str">
        <f t="shared" si="93"/>
        <v/>
      </c>
    </row>
    <row r="5986" spans="1:7" s="172" customFormat="1" ht="15" customHeight="1" x14ac:dyDescent="0.25">
      <c r="A5986" s="803" t="s">
        <v>15942</v>
      </c>
      <c r="B5986" s="803" t="s">
        <v>19504</v>
      </c>
      <c r="C5986" s="803" t="s">
        <v>19505</v>
      </c>
      <c r="D5986" s="803" t="s">
        <v>15943</v>
      </c>
      <c r="E5986" s="803">
        <v>160</v>
      </c>
      <c r="F5986" s="850">
        <v>4.5999999999999996</v>
      </c>
      <c r="G5986" s="202" t="str">
        <f t="shared" si="93"/>
        <v/>
      </c>
    </row>
    <row r="5987" spans="1:7" s="172" customFormat="1" ht="15" customHeight="1" x14ac:dyDescent="0.25">
      <c r="A5987" s="803" t="s">
        <v>15942</v>
      </c>
      <c r="B5987" s="803" t="s">
        <v>19504</v>
      </c>
      <c r="C5987" s="803" t="s">
        <v>19505</v>
      </c>
      <c r="D5987" s="803" t="s">
        <v>15944</v>
      </c>
      <c r="E5987" s="803">
        <v>100</v>
      </c>
      <c r="F5987" s="850">
        <v>44</v>
      </c>
      <c r="G5987" s="202" t="str">
        <f t="shared" si="93"/>
        <v/>
      </c>
    </row>
    <row r="5988" spans="1:7" s="172" customFormat="1" ht="15" customHeight="1" x14ac:dyDescent="0.25">
      <c r="A5988" s="803" t="s">
        <v>15880</v>
      </c>
      <c r="B5988" s="803" t="s">
        <v>19504</v>
      </c>
      <c r="C5988" s="803" t="s">
        <v>19505</v>
      </c>
      <c r="D5988" s="803" t="s">
        <v>15945</v>
      </c>
      <c r="E5988" s="803">
        <v>250</v>
      </c>
      <c r="F5988" s="850">
        <v>41</v>
      </c>
      <c r="G5988" s="202" t="str">
        <f t="shared" si="93"/>
        <v/>
      </c>
    </row>
    <row r="5989" spans="1:7" s="172" customFormat="1" ht="15" customHeight="1" x14ac:dyDescent="0.25">
      <c r="A5989" s="803" t="s">
        <v>15946</v>
      </c>
      <c r="B5989" s="803" t="s">
        <v>19504</v>
      </c>
      <c r="C5989" s="803" t="s">
        <v>19505</v>
      </c>
      <c r="D5989" s="803" t="s">
        <v>15947</v>
      </c>
      <c r="E5989" s="803">
        <v>400</v>
      </c>
      <c r="F5989" s="850">
        <v>5</v>
      </c>
      <c r="G5989" s="202" t="str">
        <f t="shared" si="93"/>
        <v/>
      </c>
    </row>
    <row r="5990" spans="1:7" s="172" customFormat="1" ht="15" customHeight="1" x14ac:dyDescent="0.25">
      <c r="A5990" s="803" t="s">
        <v>15946</v>
      </c>
      <c r="B5990" s="803" t="s">
        <v>19504</v>
      </c>
      <c r="C5990" s="803" t="s">
        <v>19505</v>
      </c>
      <c r="D5990" s="803" t="s">
        <v>15948</v>
      </c>
      <c r="E5990" s="803">
        <v>250</v>
      </c>
      <c r="F5990" s="850">
        <v>22</v>
      </c>
      <c r="G5990" s="202" t="str">
        <f t="shared" si="93"/>
        <v/>
      </c>
    </row>
    <row r="5991" spans="1:7" s="172" customFormat="1" ht="15" customHeight="1" x14ac:dyDescent="0.25">
      <c r="A5991" s="803" t="s">
        <v>15946</v>
      </c>
      <c r="B5991" s="803" t="s">
        <v>19504</v>
      </c>
      <c r="C5991" s="803" t="s">
        <v>19505</v>
      </c>
      <c r="D5991" s="803" t="s">
        <v>15949</v>
      </c>
      <c r="E5991" s="803">
        <v>250</v>
      </c>
      <c r="F5991" s="850">
        <v>105</v>
      </c>
      <c r="G5991" s="202" t="str">
        <f t="shared" si="93"/>
        <v/>
      </c>
    </row>
    <row r="5992" spans="1:7" s="172" customFormat="1" ht="15" customHeight="1" x14ac:dyDescent="0.25">
      <c r="A5992" s="803" t="s">
        <v>15950</v>
      </c>
      <c r="B5992" s="803" t="s">
        <v>19504</v>
      </c>
      <c r="C5992" s="803" t="s">
        <v>19505</v>
      </c>
      <c r="D5992" s="803" t="s">
        <v>15951</v>
      </c>
      <c r="E5992" s="803">
        <v>60</v>
      </c>
      <c r="F5992" s="850">
        <v>45</v>
      </c>
      <c r="G5992" s="202" t="str">
        <f t="shared" si="93"/>
        <v/>
      </c>
    </row>
    <row r="5993" spans="1:7" s="172" customFormat="1" ht="15" customHeight="1" x14ac:dyDescent="0.25">
      <c r="A5993" s="803" t="s">
        <v>15952</v>
      </c>
      <c r="B5993" s="803" t="s">
        <v>19504</v>
      </c>
      <c r="C5993" s="803" t="s">
        <v>19505</v>
      </c>
      <c r="D5993" s="803" t="s">
        <v>15953</v>
      </c>
      <c r="E5993" s="803">
        <v>60</v>
      </c>
      <c r="F5993" s="850">
        <v>28</v>
      </c>
      <c r="G5993" s="202" t="str">
        <f t="shared" si="93"/>
        <v/>
      </c>
    </row>
    <row r="5994" spans="1:7" s="172" customFormat="1" ht="15" customHeight="1" x14ac:dyDescent="0.25">
      <c r="A5994" s="803" t="s">
        <v>15954</v>
      </c>
      <c r="B5994" s="803" t="s">
        <v>19504</v>
      </c>
      <c r="C5994" s="803" t="s">
        <v>19505</v>
      </c>
      <c r="D5994" s="803" t="s">
        <v>15955</v>
      </c>
      <c r="E5994" s="803">
        <v>60</v>
      </c>
      <c r="F5994" s="850"/>
      <c r="G5994" s="202" t="str">
        <f t="shared" si="93"/>
        <v/>
      </c>
    </row>
    <row r="5995" spans="1:7" s="172" customFormat="1" ht="15" customHeight="1" x14ac:dyDescent="0.25">
      <c r="A5995" s="803" t="s">
        <v>15956</v>
      </c>
      <c r="B5995" s="803" t="s">
        <v>19504</v>
      </c>
      <c r="C5995" s="803" t="s">
        <v>19505</v>
      </c>
      <c r="D5995" s="803" t="s">
        <v>15957</v>
      </c>
      <c r="E5995" s="803">
        <v>100</v>
      </c>
      <c r="F5995" s="850">
        <v>40</v>
      </c>
      <c r="G5995" s="202" t="str">
        <f t="shared" si="93"/>
        <v/>
      </c>
    </row>
    <row r="5996" spans="1:7" s="172" customFormat="1" ht="15" customHeight="1" x14ac:dyDescent="0.25">
      <c r="A5996" s="803" t="s">
        <v>15958</v>
      </c>
      <c r="B5996" s="803" t="s">
        <v>19504</v>
      </c>
      <c r="C5996" s="803" t="s">
        <v>19505</v>
      </c>
      <c r="D5996" s="803" t="s">
        <v>15959</v>
      </c>
      <c r="E5996" s="803">
        <v>30</v>
      </c>
      <c r="F5996" s="850">
        <v>18</v>
      </c>
      <c r="G5996" s="202" t="str">
        <f t="shared" si="93"/>
        <v/>
      </c>
    </row>
    <row r="5997" spans="1:7" s="172" customFormat="1" ht="15" customHeight="1" x14ac:dyDescent="0.25">
      <c r="A5997" s="803" t="s">
        <v>15960</v>
      </c>
      <c r="B5997" s="803" t="s">
        <v>19504</v>
      </c>
      <c r="C5997" s="803" t="s">
        <v>19505</v>
      </c>
      <c r="D5997" s="803" t="s">
        <v>15961</v>
      </c>
      <c r="E5997" s="803">
        <v>160</v>
      </c>
      <c r="F5997" s="850">
        <v>16</v>
      </c>
      <c r="G5997" s="202" t="str">
        <f t="shared" si="93"/>
        <v/>
      </c>
    </row>
    <row r="5998" spans="1:7" s="172" customFormat="1" ht="15" customHeight="1" x14ac:dyDescent="0.25">
      <c r="A5998" s="803" t="s">
        <v>15962</v>
      </c>
      <c r="B5998" s="803" t="s">
        <v>19504</v>
      </c>
      <c r="C5998" s="803" t="s">
        <v>19505</v>
      </c>
      <c r="D5998" s="803" t="s">
        <v>15963</v>
      </c>
      <c r="E5998" s="803">
        <v>60</v>
      </c>
      <c r="F5998" s="850">
        <v>33</v>
      </c>
      <c r="G5998" s="202" t="str">
        <f t="shared" si="93"/>
        <v/>
      </c>
    </row>
    <row r="5999" spans="1:7" s="172" customFormat="1" ht="15" customHeight="1" x14ac:dyDescent="0.25">
      <c r="A5999" s="803" t="s">
        <v>15964</v>
      </c>
      <c r="B5999" s="803" t="s">
        <v>19504</v>
      </c>
      <c r="C5999" s="803" t="s">
        <v>19505</v>
      </c>
      <c r="D5999" s="803" t="s">
        <v>15965</v>
      </c>
      <c r="E5999" s="803">
        <v>40</v>
      </c>
      <c r="F5999" s="850">
        <v>9</v>
      </c>
      <c r="G5999" s="202" t="str">
        <f t="shared" si="93"/>
        <v/>
      </c>
    </row>
    <row r="6000" spans="1:7" s="172" customFormat="1" ht="15" customHeight="1" x14ac:dyDescent="0.25">
      <c r="A6000" s="803" t="s">
        <v>15966</v>
      </c>
      <c r="B6000" s="803" t="s">
        <v>19504</v>
      </c>
      <c r="C6000" s="803" t="s">
        <v>19505</v>
      </c>
      <c r="D6000" s="803" t="s">
        <v>15967</v>
      </c>
      <c r="E6000" s="803">
        <v>30</v>
      </c>
      <c r="F6000" s="850">
        <v>15</v>
      </c>
      <c r="G6000" s="202" t="str">
        <f t="shared" si="93"/>
        <v/>
      </c>
    </row>
    <row r="6001" spans="1:7" s="172" customFormat="1" ht="15" customHeight="1" x14ac:dyDescent="0.25">
      <c r="A6001" s="803" t="s">
        <v>15968</v>
      </c>
      <c r="B6001" s="803" t="s">
        <v>19504</v>
      </c>
      <c r="C6001" s="803" t="s">
        <v>19505</v>
      </c>
      <c r="D6001" s="803" t="s">
        <v>15969</v>
      </c>
      <c r="E6001" s="803">
        <v>60</v>
      </c>
      <c r="F6001" s="850">
        <v>5</v>
      </c>
      <c r="G6001" s="202" t="str">
        <f t="shared" si="93"/>
        <v/>
      </c>
    </row>
    <row r="6002" spans="1:7" s="172" customFormat="1" ht="15" customHeight="1" x14ac:dyDescent="0.25">
      <c r="A6002" s="803" t="s">
        <v>15970</v>
      </c>
      <c r="B6002" s="803" t="s">
        <v>19504</v>
      </c>
      <c r="C6002" s="803" t="s">
        <v>19505</v>
      </c>
      <c r="D6002" s="803" t="s">
        <v>15971</v>
      </c>
      <c r="E6002" s="803">
        <v>60</v>
      </c>
      <c r="F6002" s="850">
        <v>4</v>
      </c>
      <c r="G6002" s="202" t="str">
        <f t="shared" si="93"/>
        <v/>
      </c>
    </row>
    <row r="6003" spans="1:7" s="172" customFormat="1" ht="15" customHeight="1" x14ac:dyDescent="0.25">
      <c r="A6003" s="803" t="s">
        <v>15972</v>
      </c>
      <c r="B6003" s="803" t="s">
        <v>19504</v>
      </c>
      <c r="C6003" s="803" t="s">
        <v>19505</v>
      </c>
      <c r="D6003" s="803" t="s">
        <v>15973</v>
      </c>
      <c r="E6003" s="803">
        <v>60</v>
      </c>
      <c r="F6003" s="850">
        <v>17</v>
      </c>
      <c r="G6003" s="202" t="str">
        <f t="shared" si="93"/>
        <v/>
      </c>
    </row>
    <row r="6004" spans="1:7" s="172" customFormat="1" ht="15" customHeight="1" x14ac:dyDescent="0.25">
      <c r="A6004" s="803" t="s">
        <v>15974</v>
      </c>
      <c r="B6004" s="803" t="s">
        <v>19504</v>
      </c>
      <c r="C6004" s="803" t="s">
        <v>19505</v>
      </c>
      <c r="D6004" s="803" t="s">
        <v>15975</v>
      </c>
      <c r="E6004" s="803">
        <v>400</v>
      </c>
      <c r="F6004" s="850">
        <v>6</v>
      </c>
      <c r="G6004" s="202" t="str">
        <f t="shared" si="93"/>
        <v/>
      </c>
    </row>
    <row r="6005" spans="1:7" s="172" customFormat="1" ht="15" customHeight="1" x14ac:dyDescent="0.25">
      <c r="A6005" s="803" t="s">
        <v>15974</v>
      </c>
      <c r="B6005" s="803" t="s">
        <v>19504</v>
      </c>
      <c r="C6005" s="803" t="s">
        <v>19505</v>
      </c>
      <c r="D6005" s="803" t="s">
        <v>15976</v>
      </c>
      <c r="E6005" s="803">
        <v>160</v>
      </c>
      <c r="F6005" s="850">
        <v>81</v>
      </c>
      <c r="G6005" s="202" t="str">
        <f t="shared" si="93"/>
        <v/>
      </c>
    </row>
    <row r="6006" spans="1:7" s="172" customFormat="1" ht="15" customHeight="1" x14ac:dyDescent="0.25">
      <c r="A6006" s="803" t="s">
        <v>15974</v>
      </c>
      <c r="B6006" s="803" t="s">
        <v>19504</v>
      </c>
      <c r="C6006" s="803" t="s">
        <v>19505</v>
      </c>
      <c r="D6006" s="803" t="s">
        <v>15977</v>
      </c>
      <c r="E6006" s="803">
        <v>160</v>
      </c>
      <c r="F6006" s="850">
        <v>28</v>
      </c>
      <c r="G6006" s="202" t="str">
        <f t="shared" si="93"/>
        <v/>
      </c>
    </row>
    <row r="6007" spans="1:7" s="172" customFormat="1" ht="15" customHeight="1" x14ac:dyDescent="0.25">
      <c r="A6007" s="803" t="s">
        <v>15974</v>
      </c>
      <c r="B6007" s="803" t="s">
        <v>19504</v>
      </c>
      <c r="C6007" s="803" t="s">
        <v>19505</v>
      </c>
      <c r="D6007" s="803" t="s">
        <v>15978</v>
      </c>
      <c r="E6007" s="803">
        <v>250</v>
      </c>
      <c r="F6007" s="850">
        <v>10</v>
      </c>
      <c r="G6007" s="202" t="str">
        <f t="shared" si="93"/>
        <v/>
      </c>
    </row>
    <row r="6008" spans="1:7" s="172" customFormat="1" ht="15" customHeight="1" x14ac:dyDescent="0.25">
      <c r="A6008" s="803" t="s">
        <v>15946</v>
      </c>
      <c r="B6008" s="803" t="s">
        <v>19504</v>
      </c>
      <c r="C6008" s="803" t="s">
        <v>19505</v>
      </c>
      <c r="D6008" s="803" t="s">
        <v>15979</v>
      </c>
      <c r="E6008" s="803">
        <v>160</v>
      </c>
      <c r="F6008" s="850">
        <v>53</v>
      </c>
      <c r="G6008" s="202" t="str">
        <f t="shared" si="93"/>
        <v/>
      </c>
    </row>
    <row r="6009" spans="1:7" s="172" customFormat="1" ht="15" customHeight="1" x14ac:dyDescent="0.25">
      <c r="A6009" s="803" t="s">
        <v>15946</v>
      </c>
      <c r="B6009" s="803" t="s">
        <v>19504</v>
      </c>
      <c r="C6009" s="803" t="s">
        <v>19505</v>
      </c>
      <c r="D6009" s="803" t="s">
        <v>15980</v>
      </c>
      <c r="E6009" s="803">
        <v>250</v>
      </c>
      <c r="F6009" s="850">
        <v>29</v>
      </c>
      <c r="G6009" s="202" t="str">
        <f t="shared" si="93"/>
        <v/>
      </c>
    </row>
    <row r="6010" spans="1:7" s="172" customFormat="1" ht="15" customHeight="1" x14ac:dyDescent="0.25">
      <c r="A6010" s="803" t="s">
        <v>15981</v>
      </c>
      <c r="B6010" s="803" t="s">
        <v>19504</v>
      </c>
      <c r="C6010" s="803" t="s">
        <v>19505</v>
      </c>
      <c r="D6010" s="803" t="s">
        <v>15982</v>
      </c>
      <c r="E6010" s="803">
        <v>160</v>
      </c>
      <c r="F6010" s="850">
        <v>13</v>
      </c>
      <c r="G6010" s="202" t="str">
        <f t="shared" si="93"/>
        <v/>
      </c>
    </row>
    <row r="6011" spans="1:7" s="172" customFormat="1" ht="15" customHeight="1" x14ac:dyDescent="0.25">
      <c r="A6011" s="803" t="s">
        <v>15983</v>
      </c>
      <c r="B6011" s="803" t="s">
        <v>19504</v>
      </c>
      <c r="C6011" s="803" t="s">
        <v>19505</v>
      </c>
      <c r="D6011" s="803" t="s">
        <v>15984</v>
      </c>
      <c r="E6011" s="803">
        <v>100</v>
      </c>
      <c r="F6011" s="850">
        <v>29</v>
      </c>
      <c r="G6011" s="202" t="str">
        <f t="shared" si="93"/>
        <v/>
      </c>
    </row>
    <row r="6012" spans="1:7" s="172" customFormat="1" ht="15" customHeight="1" x14ac:dyDescent="0.25">
      <c r="A6012" s="803" t="s">
        <v>15985</v>
      </c>
      <c r="B6012" s="803" t="s">
        <v>19504</v>
      </c>
      <c r="C6012" s="803" t="s">
        <v>19505</v>
      </c>
      <c r="D6012" s="803" t="s">
        <v>15986</v>
      </c>
      <c r="E6012" s="803">
        <v>250</v>
      </c>
      <c r="F6012" s="850">
        <v>65</v>
      </c>
      <c r="G6012" s="202" t="str">
        <f t="shared" si="93"/>
        <v/>
      </c>
    </row>
    <row r="6013" spans="1:7" s="172" customFormat="1" ht="15" customHeight="1" x14ac:dyDescent="0.25">
      <c r="A6013" s="803" t="s">
        <v>15583</v>
      </c>
      <c r="B6013" s="803" t="s">
        <v>19504</v>
      </c>
      <c r="C6013" s="803" t="s">
        <v>19505</v>
      </c>
      <c r="D6013" s="803" t="s">
        <v>15987</v>
      </c>
      <c r="E6013" s="803">
        <v>250</v>
      </c>
      <c r="F6013" s="850">
        <v>111</v>
      </c>
      <c r="G6013" s="202" t="str">
        <f t="shared" si="93"/>
        <v/>
      </c>
    </row>
    <row r="6014" spans="1:7" s="172" customFormat="1" ht="15" customHeight="1" x14ac:dyDescent="0.25">
      <c r="A6014" s="803" t="s">
        <v>15583</v>
      </c>
      <c r="B6014" s="803" t="s">
        <v>19504</v>
      </c>
      <c r="C6014" s="803" t="s">
        <v>19505</v>
      </c>
      <c r="D6014" s="803" t="s">
        <v>15988</v>
      </c>
      <c r="E6014" s="803">
        <v>400</v>
      </c>
      <c r="F6014" s="850">
        <v>33</v>
      </c>
      <c r="G6014" s="202" t="str">
        <f t="shared" si="93"/>
        <v/>
      </c>
    </row>
    <row r="6015" spans="1:7" s="172" customFormat="1" ht="15" customHeight="1" x14ac:dyDescent="0.25">
      <c r="A6015" s="803" t="s">
        <v>15583</v>
      </c>
      <c r="B6015" s="803" t="s">
        <v>19504</v>
      </c>
      <c r="C6015" s="803" t="s">
        <v>19505</v>
      </c>
      <c r="D6015" s="803" t="s">
        <v>15989</v>
      </c>
      <c r="E6015" s="803">
        <v>160</v>
      </c>
      <c r="F6015" s="850">
        <v>5</v>
      </c>
      <c r="G6015" s="202" t="str">
        <f t="shared" si="93"/>
        <v/>
      </c>
    </row>
    <row r="6016" spans="1:7" s="172" customFormat="1" ht="15" customHeight="1" x14ac:dyDescent="0.25">
      <c r="A6016" s="803" t="s">
        <v>15583</v>
      </c>
      <c r="B6016" s="803" t="s">
        <v>19504</v>
      </c>
      <c r="C6016" s="803" t="s">
        <v>19505</v>
      </c>
      <c r="D6016" s="803" t="s">
        <v>15990</v>
      </c>
      <c r="E6016" s="803">
        <v>100</v>
      </c>
      <c r="F6016" s="850">
        <v>25</v>
      </c>
      <c r="G6016" s="202" t="str">
        <f t="shared" si="93"/>
        <v/>
      </c>
    </row>
    <row r="6017" spans="1:7" s="172" customFormat="1" ht="15" customHeight="1" x14ac:dyDescent="0.25">
      <c r="A6017" s="803" t="s">
        <v>15583</v>
      </c>
      <c r="B6017" s="803" t="s">
        <v>19504</v>
      </c>
      <c r="C6017" s="803" t="s">
        <v>19505</v>
      </c>
      <c r="D6017" s="803" t="s">
        <v>15991</v>
      </c>
      <c r="E6017" s="803">
        <v>400</v>
      </c>
      <c r="F6017" s="850">
        <v>15</v>
      </c>
      <c r="G6017" s="202" t="str">
        <f t="shared" si="93"/>
        <v/>
      </c>
    </row>
    <row r="6018" spans="1:7" s="172" customFormat="1" ht="15" customHeight="1" x14ac:dyDescent="0.25">
      <c r="A6018" s="803" t="s">
        <v>15583</v>
      </c>
      <c r="B6018" s="803" t="s">
        <v>19504</v>
      </c>
      <c r="C6018" s="803" t="s">
        <v>19505</v>
      </c>
      <c r="D6018" s="803" t="s">
        <v>15992</v>
      </c>
      <c r="E6018" s="803">
        <v>400</v>
      </c>
      <c r="F6018" s="850">
        <v>16</v>
      </c>
      <c r="G6018" s="202" t="str">
        <f t="shared" si="93"/>
        <v/>
      </c>
    </row>
    <row r="6019" spans="1:7" s="172" customFormat="1" ht="15" customHeight="1" x14ac:dyDescent="0.25">
      <c r="A6019" s="803" t="s">
        <v>15993</v>
      </c>
      <c r="B6019" s="803" t="s">
        <v>19504</v>
      </c>
      <c r="C6019" s="803" t="s">
        <v>19505</v>
      </c>
      <c r="D6019" s="803" t="s">
        <v>15994</v>
      </c>
      <c r="E6019" s="803">
        <v>160</v>
      </c>
      <c r="F6019" s="850">
        <v>91</v>
      </c>
      <c r="G6019" s="202" t="str">
        <f t="shared" si="93"/>
        <v/>
      </c>
    </row>
    <row r="6020" spans="1:7" s="172" customFormat="1" ht="15" customHeight="1" x14ac:dyDescent="0.25">
      <c r="A6020" s="803" t="s">
        <v>15995</v>
      </c>
      <c r="B6020" s="803" t="s">
        <v>19504</v>
      </c>
      <c r="C6020" s="803" t="s">
        <v>19505</v>
      </c>
      <c r="D6020" s="803" t="s">
        <v>15996</v>
      </c>
      <c r="E6020" s="803">
        <v>30</v>
      </c>
      <c r="F6020" s="850">
        <v>7</v>
      </c>
      <c r="G6020" s="202" t="str">
        <f t="shared" si="93"/>
        <v/>
      </c>
    </row>
    <row r="6021" spans="1:7" s="172" customFormat="1" ht="15" customHeight="1" x14ac:dyDescent="0.25">
      <c r="A6021" s="803" t="s">
        <v>15997</v>
      </c>
      <c r="B6021" s="803" t="s">
        <v>19504</v>
      </c>
      <c r="C6021" s="803" t="s">
        <v>19505</v>
      </c>
      <c r="D6021" s="803" t="s">
        <v>15998</v>
      </c>
      <c r="E6021" s="803">
        <v>30</v>
      </c>
      <c r="F6021" s="850">
        <v>39</v>
      </c>
      <c r="G6021" s="202" t="str">
        <f t="shared" si="93"/>
        <v/>
      </c>
    </row>
    <row r="6022" spans="1:7" s="172" customFormat="1" ht="15" customHeight="1" x14ac:dyDescent="0.25">
      <c r="A6022" s="803" t="s">
        <v>15997</v>
      </c>
      <c r="B6022" s="803" t="s">
        <v>19504</v>
      </c>
      <c r="C6022" s="803" t="s">
        <v>19505</v>
      </c>
      <c r="D6022" s="803" t="s">
        <v>19185</v>
      </c>
      <c r="E6022" s="803">
        <v>63</v>
      </c>
      <c r="F6022" s="850">
        <v>6</v>
      </c>
      <c r="G6022" s="202" t="str">
        <f t="shared" si="93"/>
        <v/>
      </c>
    </row>
    <row r="6023" spans="1:7" s="172" customFormat="1" ht="15" customHeight="1" x14ac:dyDescent="0.25">
      <c r="A6023" s="803" t="s">
        <v>15999</v>
      </c>
      <c r="B6023" s="803" t="s">
        <v>19504</v>
      </c>
      <c r="C6023" s="803" t="s">
        <v>19505</v>
      </c>
      <c r="D6023" s="803" t="s">
        <v>16000</v>
      </c>
      <c r="E6023" s="803">
        <v>250</v>
      </c>
      <c r="F6023" s="850">
        <v>55</v>
      </c>
      <c r="G6023" s="202" t="str">
        <f t="shared" si="93"/>
        <v/>
      </c>
    </row>
    <row r="6024" spans="1:7" s="172" customFormat="1" ht="15" customHeight="1" x14ac:dyDescent="0.25">
      <c r="A6024" s="803" t="s">
        <v>16001</v>
      </c>
      <c r="B6024" s="803" t="s">
        <v>19504</v>
      </c>
      <c r="C6024" s="803" t="s">
        <v>19505</v>
      </c>
      <c r="D6024" s="803" t="s">
        <v>16002</v>
      </c>
      <c r="E6024" s="803">
        <v>250</v>
      </c>
      <c r="F6024" s="850">
        <v>33</v>
      </c>
      <c r="G6024" s="202" t="str">
        <f t="shared" si="93"/>
        <v/>
      </c>
    </row>
    <row r="6025" spans="1:7" s="172" customFormat="1" ht="15" customHeight="1" x14ac:dyDescent="0.25">
      <c r="A6025" s="803" t="s">
        <v>16001</v>
      </c>
      <c r="B6025" s="803" t="s">
        <v>19504</v>
      </c>
      <c r="C6025" s="803" t="s">
        <v>19505</v>
      </c>
      <c r="D6025" s="803" t="s">
        <v>16003</v>
      </c>
      <c r="E6025" s="803">
        <v>100</v>
      </c>
      <c r="F6025" s="850">
        <v>39</v>
      </c>
      <c r="G6025" s="202" t="str">
        <f t="shared" si="93"/>
        <v/>
      </c>
    </row>
    <row r="6026" spans="1:7" s="172" customFormat="1" ht="15" customHeight="1" x14ac:dyDescent="0.25">
      <c r="A6026" s="803" t="s">
        <v>16004</v>
      </c>
      <c r="B6026" s="803" t="s">
        <v>19504</v>
      </c>
      <c r="C6026" s="803" t="s">
        <v>19505</v>
      </c>
      <c r="D6026" s="803" t="s">
        <v>16005</v>
      </c>
      <c r="E6026" s="803">
        <v>60</v>
      </c>
      <c r="F6026" s="850">
        <v>25</v>
      </c>
      <c r="G6026" s="202" t="str">
        <f t="shared" si="93"/>
        <v/>
      </c>
    </row>
    <row r="6027" spans="1:7" s="172" customFormat="1" ht="15" customHeight="1" x14ac:dyDescent="0.25">
      <c r="A6027" s="803" t="s">
        <v>15993</v>
      </c>
      <c r="B6027" s="803" t="s">
        <v>19504</v>
      </c>
      <c r="C6027" s="803" t="s">
        <v>19505</v>
      </c>
      <c r="D6027" s="803" t="s">
        <v>16006</v>
      </c>
      <c r="E6027" s="803">
        <v>160</v>
      </c>
      <c r="F6027" s="850">
        <v>69</v>
      </c>
      <c r="G6027" s="202" t="str">
        <f t="shared" si="93"/>
        <v/>
      </c>
    </row>
    <row r="6028" spans="1:7" s="172" customFormat="1" ht="15" customHeight="1" x14ac:dyDescent="0.25">
      <c r="A6028" s="803" t="s">
        <v>15993</v>
      </c>
      <c r="B6028" s="803" t="s">
        <v>19504</v>
      </c>
      <c r="C6028" s="803" t="s">
        <v>19505</v>
      </c>
      <c r="D6028" s="803" t="s">
        <v>16007</v>
      </c>
      <c r="E6028" s="803">
        <v>160</v>
      </c>
      <c r="F6028" s="850">
        <v>87</v>
      </c>
      <c r="G6028" s="202" t="str">
        <f t="shared" si="93"/>
        <v/>
      </c>
    </row>
    <row r="6029" spans="1:7" s="172" customFormat="1" ht="15" customHeight="1" x14ac:dyDescent="0.25">
      <c r="A6029" s="803" t="s">
        <v>15993</v>
      </c>
      <c r="B6029" s="803" t="s">
        <v>19504</v>
      </c>
      <c r="C6029" s="803" t="s">
        <v>19505</v>
      </c>
      <c r="D6029" s="803" t="s">
        <v>16008</v>
      </c>
      <c r="E6029" s="803">
        <v>160</v>
      </c>
      <c r="F6029" s="850">
        <v>51</v>
      </c>
      <c r="G6029" s="202" t="str">
        <f t="shared" si="93"/>
        <v/>
      </c>
    </row>
    <row r="6030" spans="1:7" s="172" customFormat="1" ht="15" customHeight="1" x14ac:dyDescent="0.25">
      <c r="A6030" s="803" t="s">
        <v>15993</v>
      </c>
      <c r="B6030" s="803" t="s">
        <v>19504</v>
      </c>
      <c r="C6030" s="803" t="s">
        <v>19505</v>
      </c>
      <c r="D6030" s="803" t="s">
        <v>16009</v>
      </c>
      <c r="E6030" s="803">
        <v>160</v>
      </c>
      <c r="F6030" s="850">
        <v>49</v>
      </c>
      <c r="G6030" s="202" t="str">
        <f t="shared" si="93"/>
        <v/>
      </c>
    </row>
    <row r="6031" spans="1:7" s="172" customFormat="1" ht="15" customHeight="1" x14ac:dyDescent="0.25">
      <c r="A6031" s="803" t="s">
        <v>16010</v>
      </c>
      <c r="B6031" s="803" t="s">
        <v>19504</v>
      </c>
      <c r="C6031" s="803" t="s">
        <v>19505</v>
      </c>
      <c r="D6031" s="803" t="s">
        <v>16011</v>
      </c>
      <c r="E6031" s="803">
        <v>160</v>
      </c>
      <c r="F6031" s="850">
        <v>58</v>
      </c>
      <c r="G6031" s="202" t="str">
        <f t="shared" si="93"/>
        <v/>
      </c>
    </row>
    <row r="6032" spans="1:7" s="172" customFormat="1" ht="15" customHeight="1" x14ac:dyDescent="0.25">
      <c r="A6032" s="803" t="s">
        <v>16012</v>
      </c>
      <c r="B6032" s="803" t="s">
        <v>19504</v>
      </c>
      <c r="C6032" s="803" t="s">
        <v>19505</v>
      </c>
      <c r="D6032" s="803" t="s">
        <v>16013</v>
      </c>
      <c r="E6032" s="803">
        <v>250</v>
      </c>
      <c r="F6032" s="850">
        <v>35</v>
      </c>
      <c r="G6032" s="202" t="str">
        <f t="shared" si="93"/>
        <v/>
      </c>
    </row>
    <row r="6033" spans="1:7" s="172" customFormat="1" ht="15" customHeight="1" x14ac:dyDescent="0.25">
      <c r="A6033" s="803" t="s">
        <v>16012</v>
      </c>
      <c r="B6033" s="803" t="s">
        <v>19504</v>
      </c>
      <c r="C6033" s="803" t="s">
        <v>19505</v>
      </c>
      <c r="D6033" s="803" t="s">
        <v>16014</v>
      </c>
      <c r="E6033" s="803">
        <v>250</v>
      </c>
      <c r="F6033" s="850">
        <v>9</v>
      </c>
      <c r="G6033" s="202" t="str">
        <f t="shared" si="93"/>
        <v/>
      </c>
    </row>
    <row r="6034" spans="1:7" s="172" customFormat="1" ht="15" customHeight="1" x14ac:dyDescent="0.25">
      <c r="A6034" s="803" t="s">
        <v>16012</v>
      </c>
      <c r="B6034" s="803" t="s">
        <v>19504</v>
      </c>
      <c r="C6034" s="803" t="s">
        <v>19505</v>
      </c>
      <c r="D6034" s="803" t="s">
        <v>16015</v>
      </c>
      <c r="E6034" s="803">
        <v>400</v>
      </c>
      <c r="F6034" s="850">
        <v>9</v>
      </c>
      <c r="G6034" s="202" t="str">
        <f t="shared" si="93"/>
        <v/>
      </c>
    </row>
    <row r="6035" spans="1:7" s="172" customFormat="1" ht="15" customHeight="1" x14ac:dyDescent="0.25">
      <c r="A6035" s="803" t="s">
        <v>16012</v>
      </c>
      <c r="B6035" s="803" t="s">
        <v>19504</v>
      </c>
      <c r="C6035" s="803" t="s">
        <v>19505</v>
      </c>
      <c r="D6035" s="803" t="s">
        <v>16016</v>
      </c>
      <c r="E6035" s="803">
        <v>250</v>
      </c>
      <c r="F6035" s="850">
        <v>2</v>
      </c>
      <c r="G6035" s="202" t="str">
        <f t="shared" si="93"/>
        <v/>
      </c>
    </row>
    <row r="6036" spans="1:7" s="172" customFormat="1" ht="15" customHeight="1" x14ac:dyDescent="0.25">
      <c r="A6036" s="803" t="s">
        <v>16012</v>
      </c>
      <c r="B6036" s="803" t="s">
        <v>19504</v>
      </c>
      <c r="C6036" s="803" t="s">
        <v>19505</v>
      </c>
      <c r="D6036" s="803" t="s">
        <v>16017</v>
      </c>
      <c r="E6036" s="803">
        <v>160</v>
      </c>
      <c r="F6036" s="850">
        <v>15</v>
      </c>
      <c r="G6036" s="202" t="str">
        <f t="shared" si="93"/>
        <v/>
      </c>
    </row>
    <row r="6037" spans="1:7" s="172" customFormat="1" ht="15" customHeight="1" x14ac:dyDescent="0.25">
      <c r="A6037" s="803" t="s">
        <v>16012</v>
      </c>
      <c r="B6037" s="803" t="s">
        <v>19504</v>
      </c>
      <c r="C6037" s="803" t="s">
        <v>19505</v>
      </c>
      <c r="D6037" s="803" t="s">
        <v>16018</v>
      </c>
      <c r="E6037" s="803">
        <v>160</v>
      </c>
      <c r="F6037" s="850">
        <v>70</v>
      </c>
      <c r="G6037" s="202" t="str">
        <f t="shared" si="93"/>
        <v/>
      </c>
    </row>
    <row r="6038" spans="1:7" s="172" customFormat="1" ht="15" customHeight="1" x14ac:dyDescent="0.25">
      <c r="A6038" s="803" t="s">
        <v>16019</v>
      </c>
      <c r="B6038" s="803" t="s">
        <v>19504</v>
      </c>
      <c r="C6038" s="803" t="s">
        <v>19505</v>
      </c>
      <c r="D6038" s="803" t="s">
        <v>16020</v>
      </c>
      <c r="E6038" s="803">
        <v>160</v>
      </c>
      <c r="F6038" s="850">
        <v>48</v>
      </c>
      <c r="G6038" s="202" t="str">
        <f t="shared" si="93"/>
        <v/>
      </c>
    </row>
    <row r="6039" spans="1:7" s="172" customFormat="1" ht="15" customHeight="1" x14ac:dyDescent="0.25">
      <c r="A6039" s="803" t="s">
        <v>16021</v>
      </c>
      <c r="B6039" s="803" t="s">
        <v>19504</v>
      </c>
      <c r="C6039" s="803" t="s">
        <v>19505</v>
      </c>
      <c r="D6039" s="803" t="s">
        <v>16022</v>
      </c>
      <c r="E6039" s="803">
        <v>100</v>
      </c>
      <c r="F6039" s="850">
        <v>56</v>
      </c>
      <c r="G6039" s="202" t="str">
        <f t="shared" si="93"/>
        <v/>
      </c>
    </row>
    <row r="6040" spans="1:7" s="172" customFormat="1" ht="15" customHeight="1" x14ac:dyDescent="0.25">
      <c r="A6040" s="803" t="s">
        <v>15999</v>
      </c>
      <c r="B6040" s="803" t="s">
        <v>19504</v>
      </c>
      <c r="C6040" s="803" t="s">
        <v>19505</v>
      </c>
      <c r="D6040" s="803" t="s">
        <v>16023</v>
      </c>
      <c r="E6040" s="803">
        <v>250</v>
      </c>
      <c r="F6040" s="850">
        <v>65</v>
      </c>
      <c r="G6040" s="202" t="str">
        <f t="shared" si="93"/>
        <v/>
      </c>
    </row>
    <row r="6041" spans="1:7" s="172" customFormat="1" ht="15" customHeight="1" x14ac:dyDescent="0.25">
      <c r="A6041" s="803" t="s">
        <v>15999</v>
      </c>
      <c r="B6041" s="803" t="s">
        <v>19504</v>
      </c>
      <c r="C6041" s="803" t="s">
        <v>19505</v>
      </c>
      <c r="D6041" s="803" t="s">
        <v>16000</v>
      </c>
      <c r="E6041" s="803">
        <v>250</v>
      </c>
      <c r="F6041" s="850">
        <v>27</v>
      </c>
      <c r="G6041" s="202" t="str">
        <f t="shared" si="93"/>
        <v/>
      </c>
    </row>
    <row r="6042" spans="1:7" s="172" customFormat="1" ht="15" customHeight="1" x14ac:dyDescent="0.25">
      <c r="A6042" s="803" t="s">
        <v>16024</v>
      </c>
      <c r="B6042" s="803" t="s">
        <v>19504</v>
      </c>
      <c r="C6042" s="803" t="s">
        <v>19505</v>
      </c>
      <c r="D6042" s="803" t="s">
        <v>16025</v>
      </c>
      <c r="E6042" s="803">
        <v>40</v>
      </c>
      <c r="F6042" s="850">
        <v>10</v>
      </c>
      <c r="G6042" s="202" t="str">
        <f t="shared" si="93"/>
        <v/>
      </c>
    </row>
    <row r="6043" spans="1:7" s="172" customFormat="1" ht="15" customHeight="1" x14ac:dyDescent="0.25">
      <c r="A6043" s="803" t="s">
        <v>16026</v>
      </c>
      <c r="B6043" s="803" t="s">
        <v>19504</v>
      </c>
      <c r="C6043" s="803" t="s">
        <v>19505</v>
      </c>
      <c r="D6043" s="803" t="s">
        <v>16027</v>
      </c>
      <c r="E6043" s="803">
        <v>60</v>
      </c>
      <c r="F6043" s="850">
        <v>9</v>
      </c>
      <c r="G6043" s="202" t="str">
        <f t="shared" si="93"/>
        <v/>
      </c>
    </row>
    <row r="6044" spans="1:7" s="172" customFormat="1" ht="15" customHeight="1" x14ac:dyDescent="0.25">
      <c r="A6044" s="803" t="s">
        <v>15212</v>
      </c>
      <c r="B6044" s="803" t="s">
        <v>19504</v>
      </c>
      <c r="C6044" s="803" t="s">
        <v>19505</v>
      </c>
      <c r="D6044" s="803" t="s">
        <v>16028</v>
      </c>
      <c r="E6044" s="803">
        <v>30</v>
      </c>
      <c r="F6044" s="850">
        <v>24</v>
      </c>
      <c r="G6044" s="202" t="str">
        <f t="shared" ref="G6044:G6107" si="94">IF(E6044=F6044,"не загружен","")</f>
        <v/>
      </c>
    </row>
    <row r="6045" spans="1:7" s="172" customFormat="1" ht="15" customHeight="1" x14ac:dyDescent="0.25">
      <c r="A6045" s="803" t="s">
        <v>16029</v>
      </c>
      <c r="B6045" s="803" t="s">
        <v>19504</v>
      </c>
      <c r="C6045" s="803" t="s">
        <v>19505</v>
      </c>
      <c r="D6045" s="803" t="s">
        <v>16030</v>
      </c>
      <c r="E6045" s="803">
        <v>160</v>
      </c>
      <c r="F6045" s="850">
        <v>75</v>
      </c>
      <c r="G6045" s="202" t="str">
        <f t="shared" si="94"/>
        <v/>
      </c>
    </row>
    <row r="6046" spans="1:7" s="172" customFormat="1" ht="15" customHeight="1" x14ac:dyDescent="0.25">
      <c r="A6046" s="803" t="s">
        <v>16031</v>
      </c>
      <c r="B6046" s="803" t="s">
        <v>19504</v>
      </c>
      <c r="C6046" s="803" t="s">
        <v>19505</v>
      </c>
      <c r="D6046" s="803" t="s">
        <v>16032</v>
      </c>
      <c r="E6046" s="803">
        <v>400</v>
      </c>
      <c r="F6046" s="850">
        <v>165</v>
      </c>
      <c r="G6046" s="202" t="str">
        <f t="shared" si="94"/>
        <v/>
      </c>
    </row>
    <row r="6047" spans="1:7" s="172" customFormat="1" ht="15" customHeight="1" x14ac:dyDescent="0.25">
      <c r="A6047" s="803" t="s">
        <v>16031</v>
      </c>
      <c r="B6047" s="803" t="s">
        <v>19504</v>
      </c>
      <c r="C6047" s="803" t="s">
        <v>19505</v>
      </c>
      <c r="D6047" s="803" t="s">
        <v>16033</v>
      </c>
      <c r="E6047" s="803">
        <v>250</v>
      </c>
      <c r="F6047" s="850" t="s">
        <v>18553</v>
      </c>
      <c r="G6047" s="202" t="str">
        <f t="shared" si="94"/>
        <v/>
      </c>
    </row>
    <row r="6048" spans="1:7" s="172" customFormat="1" ht="15" customHeight="1" x14ac:dyDescent="0.25">
      <c r="A6048" s="803" t="s">
        <v>16031</v>
      </c>
      <c r="B6048" s="803" t="s">
        <v>19504</v>
      </c>
      <c r="C6048" s="803" t="s">
        <v>19505</v>
      </c>
      <c r="D6048" s="803" t="s">
        <v>16034</v>
      </c>
      <c r="E6048" s="803">
        <v>250</v>
      </c>
      <c r="F6048" s="850" t="s">
        <v>18550</v>
      </c>
      <c r="G6048" s="202" t="str">
        <f t="shared" si="94"/>
        <v/>
      </c>
    </row>
    <row r="6049" spans="1:7" s="172" customFormat="1" ht="15" customHeight="1" x14ac:dyDescent="0.25">
      <c r="A6049" s="803" t="s">
        <v>16031</v>
      </c>
      <c r="B6049" s="803" t="s">
        <v>19504</v>
      </c>
      <c r="C6049" s="803" t="s">
        <v>19505</v>
      </c>
      <c r="D6049" s="803" t="s">
        <v>16035</v>
      </c>
      <c r="E6049" s="803">
        <v>400</v>
      </c>
      <c r="F6049" s="850" t="s">
        <v>18551</v>
      </c>
      <c r="G6049" s="202" t="str">
        <f t="shared" si="94"/>
        <v/>
      </c>
    </row>
    <row r="6050" spans="1:7" s="172" customFormat="1" ht="15" customHeight="1" x14ac:dyDescent="0.25">
      <c r="A6050" s="803" t="s">
        <v>16031</v>
      </c>
      <c r="B6050" s="803" t="s">
        <v>19504</v>
      </c>
      <c r="C6050" s="803" t="s">
        <v>19505</v>
      </c>
      <c r="D6050" s="803" t="s">
        <v>16036</v>
      </c>
      <c r="E6050" s="803">
        <v>250</v>
      </c>
      <c r="F6050" s="850" t="s">
        <v>20141</v>
      </c>
      <c r="G6050" s="202" t="str">
        <f t="shared" si="94"/>
        <v/>
      </c>
    </row>
    <row r="6051" spans="1:7" s="172" customFormat="1" ht="15" customHeight="1" x14ac:dyDescent="0.25">
      <c r="A6051" s="803" t="s">
        <v>16031</v>
      </c>
      <c r="B6051" s="803" t="s">
        <v>19504</v>
      </c>
      <c r="C6051" s="803" t="s">
        <v>19505</v>
      </c>
      <c r="D6051" s="803" t="s">
        <v>16037</v>
      </c>
      <c r="E6051" s="803">
        <v>400</v>
      </c>
      <c r="F6051" s="850" t="s">
        <v>20142</v>
      </c>
      <c r="G6051" s="202" t="str">
        <f t="shared" si="94"/>
        <v/>
      </c>
    </row>
    <row r="6052" spans="1:7" s="172" customFormat="1" ht="15" customHeight="1" x14ac:dyDescent="0.25">
      <c r="A6052" s="803" t="s">
        <v>16031</v>
      </c>
      <c r="B6052" s="803" t="s">
        <v>19504</v>
      </c>
      <c r="C6052" s="803" t="s">
        <v>19505</v>
      </c>
      <c r="D6052" s="803" t="s">
        <v>18238</v>
      </c>
      <c r="E6052" s="803">
        <v>500</v>
      </c>
      <c r="F6052" s="850" t="s">
        <v>18554</v>
      </c>
      <c r="G6052" s="202" t="str">
        <f t="shared" si="94"/>
        <v/>
      </c>
    </row>
    <row r="6053" spans="1:7" s="172" customFormat="1" ht="15" customHeight="1" x14ac:dyDescent="0.25">
      <c r="A6053" s="803" t="s">
        <v>16031</v>
      </c>
      <c r="B6053" s="803" t="s">
        <v>19504</v>
      </c>
      <c r="C6053" s="803" t="s">
        <v>19505</v>
      </c>
      <c r="D6053" s="803" t="s">
        <v>16038</v>
      </c>
      <c r="E6053" s="803">
        <v>400</v>
      </c>
      <c r="F6053" s="850" t="s">
        <v>18549</v>
      </c>
      <c r="G6053" s="202" t="str">
        <f t="shared" si="94"/>
        <v/>
      </c>
    </row>
    <row r="6054" spans="1:7" s="172" customFormat="1" ht="15" customHeight="1" x14ac:dyDescent="0.25">
      <c r="A6054" s="803" t="s">
        <v>16031</v>
      </c>
      <c r="B6054" s="803" t="s">
        <v>19504</v>
      </c>
      <c r="C6054" s="803" t="s">
        <v>19505</v>
      </c>
      <c r="D6054" s="803" t="s">
        <v>16039</v>
      </c>
      <c r="E6054" s="803">
        <v>250</v>
      </c>
      <c r="F6054" s="850" t="s">
        <v>20143</v>
      </c>
      <c r="G6054" s="202" t="str">
        <f t="shared" si="94"/>
        <v/>
      </c>
    </row>
    <row r="6055" spans="1:7" s="172" customFormat="1" ht="15" customHeight="1" x14ac:dyDescent="0.25">
      <c r="A6055" s="803" t="s">
        <v>16031</v>
      </c>
      <c r="B6055" s="803" t="s">
        <v>19504</v>
      </c>
      <c r="C6055" s="803" t="s">
        <v>19505</v>
      </c>
      <c r="D6055" s="803" t="s">
        <v>19165</v>
      </c>
      <c r="E6055" s="803">
        <v>100</v>
      </c>
      <c r="F6055" s="850" t="s">
        <v>18552</v>
      </c>
      <c r="G6055" s="202" t="str">
        <f t="shared" si="94"/>
        <v/>
      </c>
    </row>
    <row r="6056" spans="1:7" s="172" customFormat="1" ht="15" customHeight="1" x14ac:dyDescent="0.25">
      <c r="A6056" s="803" t="s">
        <v>16031</v>
      </c>
      <c r="B6056" s="803" t="s">
        <v>19504</v>
      </c>
      <c r="C6056" s="803" t="s">
        <v>19505</v>
      </c>
      <c r="D6056" s="803" t="s">
        <v>18239</v>
      </c>
      <c r="E6056" s="803">
        <v>63</v>
      </c>
      <c r="F6056" s="850" t="s">
        <v>20144</v>
      </c>
      <c r="G6056" s="202" t="str">
        <f t="shared" si="94"/>
        <v/>
      </c>
    </row>
    <row r="6057" spans="1:7" s="172" customFormat="1" ht="15" customHeight="1" x14ac:dyDescent="0.25">
      <c r="A6057" s="803" t="s">
        <v>16031</v>
      </c>
      <c r="B6057" s="803" t="s">
        <v>19504</v>
      </c>
      <c r="C6057" s="803" t="s">
        <v>19505</v>
      </c>
      <c r="D6057" s="803" t="s">
        <v>19507</v>
      </c>
      <c r="E6057" s="803">
        <v>100</v>
      </c>
      <c r="F6057" s="850" t="s">
        <v>6923</v>
      </c>
      <c r="G6057" s="202" t="str">
        <f t="shared" si="94"/>
        <v/>
      </c>
    </row>
    <row r="6058" spans="1:7" s="172" customFormat="1" ht="15" customHeight="1" x14ac:dyDescent="0.25">
      <c r="A6058" s="803" t="s">
        <v>16031</v>
      </c>
      <c r="B6058" s="803" t="s">
        <v>19504</v>
      </c>
      <c r="C6058" s="803" t="s">
        <v>19505</v>
      </c>
      <c r="D6058" s="803" t="s">
        <v>18240</v>
      </c>
      <c r="E6058" s="803">
        <v>500</v>
      </c>
      <c r="F6058" s="850" t="s">
        <v>20145</v>
      </c>
      <c r="G6058" s="202" t="str">
        <f t="shared" si="94"/>
        <v/>
      </c>
    </row>
    <row r="6059" spans="1:7" s="172" customFormat="1" ht="15" customHeight="1" x14ac:dyDescent="0.25">
      <c r="A6059" s="803" t="s">
        <v>16031</v>
      </c>
      <c r="B6059" s="803" t="s">
        <v>19504</v>
      </c>
      <c r="C6059" s="803" t="s">
        <v>19505</v>
      </c>
      <c r="D6059" s="803" t="s">
        <v>16040</v>
      </c>
      <c r="E6059" s="803">
        <v>250</v>
      </c>
      <c r="F6059" s="850" t="s">
        <v>2148</v>
      </c>
      <c r="G6059" s="202" t="str">
        <f t="shared" si="94"/>
        <v/>
      </c>
    </row>
    <row r="6060" spans="1:7" s="172" customFormat="1" ht="15" customHeight="1" x14ac:dyDescent="0.25">
      <c r="A6060" s="803" t="s">
        <v>16031</v>
      </c>
      <c r="B6060" s="803" t="s">
        <v>19504</v>
      </c>
      <c r="C6060" s="803" t="s">
        <v>19505</v>
      </c>
      <c r="D6060" s="803" t="s">
        <v>16041</v>
      </c>
      <c r="E6060" s="803">
        <v>160</v>
      </c>
      <c r="F6060" s="850" t="s">
        <v>20146</v>
      </c>
      <c r="G6060" s="202" t="str">
        <f t="shared" si="94"/>
        <v/>
      </c>
    </row>
    <row r="6061" spans="1:7" s="172" customFormat="1" ht="15" customHeight="1" x14ac:dyDescent="0.25">
      <c r="A6061" s="803" t="s">
        <v>16031</v>
      </c>
      <c r="B6061" s="803" t="s">
        <v>19504</v>
      </c>
      <c r="C6061" s="803" t="s">
        <v>19505</v>
      </c>
      <c r="D6061" s="803" t="s">
        <v>16042</v>
      </c>
      <c r="E6061" s="803">
        <v>250</v>
      </c>
      <c r="F6061" s="850">
        <v>162</v>
      </c>
      <c r="G6061" s="202" t="str">
        <f t="shared" si="94"/>
        <v/>
      </c>
    </row>
    <row r="6062" spans="1:7" s="172" customFormat="1" ht="15" customHeight="1" x14ac:dyDescent="0.25">
      <c r="A6062" s="803" t="s">
        <v>16031</v>
      </c>
      <c r="B6062" s="803" t="s">
        <v>19504</v>
      </c>
      <c r="C6062" s="803" t="s">
        <v>19505</v>
      </c>
      <c r="D6062" s="803" t="s">
        <v>16043</v>
      </c>
      <c r="E6062" s="803">
        <v>630</v>
      </c>
      <c r="F6062" s="850">
        <v>41</v>
      </c>
      <c r="G6062" s="202" t="str">
        <f t="shared" si="94"/>
        <v/>
      </c>
    </row>
    <row r="6063" spans="1:7" s="172" customFormat="1" ht="15" customHeight="1" x14ac:dyDescent="0.25">
      <c r="A6063" s="803" t="s">
        <v>16031</v>
      </c>
      <c r="B6063" s="803" t="s">
        <v>19504</v>
      </c>
      <c r="C6063" s="803" t="s">
        <v>19505</v>
      </c>
      <c r="D6063" s="803" t="s">
        <v>16044</v>
      </c>
      <c r="E6063" s="803">
        <v>400</v>
      </c>
      <c r="F6063" s="850">
        <v>388</v>
      </c>
      <c r="G6063" s="202" t="str">
        <f t="shared" si="94"/>
        <v/>
      </c>
    </row>
    <row r="6064" spans="1:7" s="172" customFormat="1" ht="15" customHeight="1" x14ac:dyDescent="0.25">
      <c r="A6064" s="803" t="s">
        <v>16031</v>
      </c>
      <c r="B6064" s="803" t="s">
        <v>19504</v>
      </c>
      <c r="C6064" s="803" t="s">
        <v>19505</v>
      </c>
      <c r="D6064" s="803" t="s">
        <v>18241</v>
      </c>
      <c r="E6064" s="803">
        <v>500</v>
      </c>
      <c r="F6064" s="850">
        <v>111</v>
      </c>
      <c r="G6064" s="202" t="str">
        <f t="shared" si="94"/>
        <v/>
      </c>
    </row>
    <row r="6065" spans="1:7" s="172" customFormat="1" ht="15" customHeight="1" x14ac:dyDescent="0.25">
      <c r="A6065" s="803" t="s">
        <v>16031</v>
      </c>
      <c r="B6065" s="803" t="s">
        <v>19504</v>
      </c>
      <c r="C6065" s="803" t="s">
        <v>19505</v>
      </c>
      <c r="D6065" s="803" t="s">
        <v>16045</v>
      </c>
      <c r="E6065" s="803">
        <v>250</v>
      </c>
      <c r="F6065" s="850">
        <v>145</v>
      </c>
      <c r="G6065" s="202" t="str">
        <f t="shared" si="94"/>
        <v/>
      </c>
    </row>
    <row r="6066" spans="1:7" s="172" customFormat="1" ht="15" customHeight="1" x14ac:dyDescent="0.25">
      <c r="A6066" s="803" t="s">
        <v>16031</v>
      </c>
      <c r="B6066" s="803" t="s">
        <v>19504</v>
      </c>
      <c r="C6066" s="803" t="s">
        <v>19505</v>
      </c>
      <c r="D6066" s="803" t="s">
        <v>18242</v>
      </c>
      <c r="E6066" s="803">
        <v>500</v>
      </c>
      <c r="F6066" s="850">
        <v>255</v>
      </c>
      <c r="G6066" s="202" t="str">
        <f t="shared" si="94"/>
        <v/>
      </c>
    </row>
    <row r="6067" spans="1:7" s="172" customFormat="1" ht="15" customHeight="1" x14ac:dyDescent="0.25">
      <c r="A6067" s="803" t="s">
        <v>16031</v>
      </c>
      <c r="B6067" s="803" t="s">
        <v>19504</v>
      </c>
      <c r="C6067" s="803" t="s">
        <v>19505</v>
      </c>
      <c r="D6067" s="803" t="s">
        <v>18243</v>
      </c>
      <c r="E6067" s="803">
        <v>320</v>
      </c>
      <c r="F6067" s="850">
        <v>50</v>
      </c>
      <c r="G6067" s="202" t="str">
        <f t="shared" si="94"/>
        <v/>
      </c>
    </row>
    <row r="6068" spans="1:7" s="172" customFormat="1" ht="15" customHeight="1" x14ac:dyDescent="0.25">
      <c r="A6068" s="803" t="s">
        <v>16031</v>
      </c>
      <c r="B6068" s="803" t="s">
        <v>19504</v>
      </c>
      <c r="C6068" s="803" t="s">
        <v>19505</v>
      </c>
      <c r="D6068" s="803" t="s">
        <v>16046</v>
      </c>
      <c r="E6068" s="803">
        <v>400</v>
      </c>
      <c r="F6068" s="850">
        <v>156</v>
      </c>
      <c r="G6068" s="202" t="str">
        <f t="shared" si="94"/>
        <v/>
      </c>
    </row>
    <row r="6069" spans="1:7" s="172" customFormat="1" ht="15" customHeight="1" x14ac:dyDescent="0.25">
      <c r="A6069" s="803" t="s">
        <v>16031</v>
      </c>
      <c r="B6069" s="803" t="s">
        <v>19504</v>
      </c>
      <c r="C6069" s="803" t="s">
        <v>19505</v>
      </c>
      <c r="D6069" s="803" t="s">
        <v>16047</v>
      </c>
      <c r="E6069" s="803">
        <v>400</v>
      </c>
      <c r="F6069" s="850">
        <v>100</v>
      </c>
      <c r="G6069" s="202" t="str">
        <f t="shared" si="94"/>
        <v/>
      </c>
    </row>
    <row r="6070" spans="1:7" s="172" customFormat="1" ht="15" customHeight="1" x14ac:dyDescent="0.25">
      <c r="A6070" s="803" t="s">
        <v>16031</v>
      </c>
      <c r="B6070" s="803" t="s">
        <v>19504</v>
      </c>
      <c r="C6070" s="803" t="s">
        <v>19505</v>
      </c>
      <c r="D6070" s="803" t="s">
        <v>16048</v>
      </c>
      <c r="E6070" s="803">
        <v>400</v>
      </c>
      <c r="F6070" s="850">
        <v>20</v>
      </c>
      <c r="G6070" s="202" t="str">
        <f t="shared" si="94"/>
        <v/>
      </c>
    </row>
    <row r="6071" spans="1:7" s="172" customFormat="1" ht="15" customHeight="1" x14ac:dyDescent="0.25">
      <c r="A6071" s="803" t="s">
        <v>16031</v>
      </c>
      <c r="B6071" s="803" t="s">
        <v>19504</v>
      </c>
      <c r="C6071" s="803" t="s">
        <v>19505</v>
      </c>
      <c r="D6071" s="803" t="s">
        <v>16049</v>
      </c>
      <c r="E6071" s="803">
        <v>400</v>
      </c>
      <c r="F6071" s="850">
        <v>161</v>
      </c>
      <c r="G6071" s="202" t="str">
        <f t="shared" si="94"/>
        <v/>
      </c>
    </row>
    <row r="6072" spans="1:7" s="172" customFormat="1" ht="15" customHeight="1" x14ac:dyDescent="0.25">
      <c r="A6072" s="803" t="s">
        <v>16031</v>
      </c>
      <c r="B6072" s="803" t="s">
        <v>19504</v>
      </c>
      <c r="C6072" s="803" t="s">
        <v>19505</v>
      </c>
      <c r="D6072" s="803" t="s">
        <v>16050</v>
      </c>
      <c r="E6072" s="803">
        <v>250</v>
      </c>
      <c r="F6072" s="850">
        <v>125</v>
      </c>
      <c r="G6072" s="202" t="str">
        <f t="shared" si="94"/>
        <v/>
      </c>
    </row>
    <row r="6073" spans="1:7" s="172" customFormat="1" ht="15" customHeight="1" x14ac:dyDescent="0.25">
      <c r="A6073" s="803" t="s">
        <v>16031</v>
      </c>
      <c r="B6073" s="803" t="s">
        <v>19504</v>
      </c>
      <c r="C6073" s="803" t="s">
        <v>19505</v>
      </c>
      <c r="D6073" s="803" t="s">
        <v>16051</v>
      </c>
      <c r="E6073" s="803">
        <v>250</v>
      </c>
      <c r="F6073" s="850">
        <v>109</v>
      </c>
      <c r="G6073" s="202" t="str">
        <f t="shared" si="94"/>
        <v/>
      </c>
    </row>
    <row r="6074" spans="1:7" s="172" customFormat="1" ht="15" customHeight="1" x14ac:dyDescent="0.25">
      <c r="A6074" s="803" t="s">
        <v>16031</v>
      </c>
      <c r="B6074" s="803" t="s">
        <v>19504</v>
      </c>
      <c r="C6074" s="803" t="s">
        <v>19505</v>
      </c>
      <c r="D6074" s="803" t="s">
        <v>16052</v>
      </c>
      <c r="E6074" s="803">
        <v>250</v>
      </c>
      <c r="F6074" s="850">
        <v>150</v>
      </c>
      <c r="G6074" s="202" t="str">
        <f t="shared" si="94"/>
        <v/>
      </c>
    </row>
    <row r="6075" spans="1:7" s="172" customFormat="1" ht="15" customHeight="1" x14ac:dyDescent="0.25">
      <c r="A6075" s="803" t="s">
        <v>16031</v>
      </c>
      <c r="B6075" s="803" t="s">
        <v>19504</v>
      </c>
      <c r="C6075" s="803" t="s">
        <v>19505</v>
      </c>
      <c r="D6075" s="803" t="s">
        <v>16053</v>
      </c>
      <c r="E6075" s="803">
        <v>160</v>
      </c>
      <c r="F6075" s="850">
        <v>30</v>
      </c>
      <c r="G6075" s="202" t="str">
        <f t="shared" si="94"/>
        <v/>
      </c>
    </row>
    <row r="6076" spans="1:7" s="172" customFormat="1" ht="15" customHeight="1" x14ac:dyDescent="0.25">
      <c r="A6076" s="803" t="s">
        <v>16031</v>
      </c>
      <c r="B6076" s="803" t="s">
        <v>19504</v>
      </c>
      <c r="C6076" s="803" t="s">
        <v>19505</v>
      </c>
      <c r="D6076" s="803" t="s">
        <v>16054</v>
      </c>
      <c r="E6076" s="803">
        <v>250</v>
      </c>
      <c r="F6076" s="850">
        <v>101</v>
      </c>
      <c r="G6076" s="202" t="str">
        <f t="shared" si="94"/>
        <v/>
      </c>
    </row>
    <row r="6077" spans="1:7" s="172" customFormat="1" ht="15" customHeight="1" x14ac:dyDescent="0.25">
      <c r="A6077" s="803" t="s">
        <v>16031</v>
      </c>
      <c r="B6077" s="803" t="s">
        <v>19504</v>
      </c>
      <c r="C6077" s="803" t="s">
        <v>19505</v>
      </c>
      <c r="D6077" s="803" t="s">
        <v>16055</v>
      </c>
      <c r="E6077" s="803">
        <v>400</v>
      </c>
      <c r="F6077" s="850">
        <v>120</v>
      </c>
      <c r="G6077" s="202" t="str">
        <f t="shared" si="94"/>
        <v/>
      </c>
    </row>
    <row r="6078" spans="1:7" s="172" customFormat="1" ht="15" customHeight="1" x14ac:dyDescent="0.25">
      <c r="A6078" s="803" t="s">
        <v>16031</v>
      </c>
      <c r="B6078" s="803" t="s">
        <v>19504</v>
      </c>
      <c r="C6078" s="803" t="s">
        <v>19505</v>
      </c>
      <c r="D6078" s="803" t="s">
        <v>16056</v>
      </c>
      <c r="E6078" s="803">
        <v>400</v>
      </c>
      <c r="F6078" s="850">
        <v>204</v>
      </c>
      <c r="G6078" s="202" t="str">
        <f t="shared" si="94"/>
        <v/>
      </c>
    </row>
    <row r="6079" spans="1:7" s="172" customFormat="1" ht="15" customHeight="1" x14ac:dyDescent="0.25">
      <c r="A6079" s="803" t="s">
        <v>16031</v>
      </c>
      <c r="B6079" s="803" t="s">
        <v>19504</v>
      </c>
      <c r="C6079" s="803" t="s">
        <v>19505</v>
      </c>
      <c r="D6079" s="803" t="s">
        <v>16057</v>
      </c>
      <c r="E6079" s="803">
        <v>400</v>
      </c>
      <c r="F6079" s="850">
        <v>156</v>
      </c>
      <c r="G6079" s="202" t="str">
        <f t="shared" si="94"/>
        <v/>
      </c>
    </row>
    <row r="6080" spans="1:7" s="172" customFormat="1" ht="15" customHeight="1" x14ac:dyDescent="0.25">
      <c r="A6080" s="803" t="s">
        <v>16031</v>
      </c>
      <c r="B6080" s="803" t="s">
        <v>19504</v>
      </c>
      <c r="C6080" s="803" t="s">
        <v>19505</v>
      </c>
      <c r="D6080" s="803" t="s">
        <v>16058</v>
      </c>
      <c r="E6080" s="803">
        <v>200</v>
      </c>
      <c r="F6080" s="850">
        <v>48</v>
      </c>
      <c r="G6080" s="202" t="str">
        <f t="shared" si="94"/>
        <v/>
      </c>
    </row>
    <row r="6081" spans="1:7" s="172" customFormat="1" ht="15" customHeight="1" x14ac:dyDescent="0.25">
      <c r="A6081" s="803" t="s">
        <v>16031</v>
      </c>
      <c r="B6081" s="803" t="s">
        <v>19504</v>
      </c>
      <c r="C6081" s="803" t="s">
        <v>19505</v>
      </c>
      <c r="D6081" s="803" t="s">
        <v>16059</v>
      </c>
      <c r="E6081" s="803">
        <v>100</v>
      </c>
      <c r="F6081" s="850">
        <v>45</v>
      </c>
      <c r="G6081" s="202" t="str">
        <f t="shared" si="94"/>
        <v/>
      </c>
    </row>
    <row r="6082" spans="1:7" s="172" customFormat="1" ht="15" customHeight="1" x14ac:dyDescent="0.25">
      <c r="A6082" s="803" t="s">
        <v>4869</v>
      </c>
      <c r="B6082" s="803" t="s">
        <v>4870</v>
      </c>
      <c r="C6082" s="803" t="s">
        <v>4870</v>
      </c>
      <c r="D6082" s="803" t="s">
        <v>4871</v>
      </c>
      <c r="E6082" s="803">
        <v>100</v>
      </c>
      <c r="F6082" s="850">
        <v>45</v>
      </c>
      <c r="G6082" s="202" t="str">
        <f t="shared" si="94"/>
        <v/>
      </c>
    </row>
    <row r="6083" spans="1:7" s="172" customFormat="1" ht="15" customHeight="1" x14ac:dyDescent="0.25">
      <c r="A6083" s="803" t="s">
        <v>2997</v>
      </c>
      <c r="B6083" s="803" t="s">
        <v>4870</v>
      </c>
      <c r="C6083" s="803" t="s">
        <v>4870</v>
      </c>
      <c r="D6083" s="803" t="s">
        <v>4872</v>
      </c>
      <c r="E6083" s="803">
        <v>60</v>
      </c>
      <c r="F6083" s="850">
        <v>30</v>
      </c>
      <c r="G6083" s="202" t="str">
        <f t="shared" si="94"/>
        <v/>
      </c>
    </row>
    <row r="6084" spans="1:7" s="172" customFormat="1" ht="15" customHeight="1" x14ac:dyDescent="0.25">
      <c r="A6084" s="803" t="s">
        <v>2709</v>
      </c>
      <c r="B6084" s="803" t="s">
        <v>4870</v>
      </c>
      <c r="C6084" s="803" t="s">
        <v>4870</v>
      </c>
      <c r="D6084" s="803" t="s">
        <v>4873</v>
      </c>
      <c r="E6084" s="803">
        <v>60</v>
      </c>
      <c r="F6084" s="850">
        <v>36</v>
      </c>
      <c r="G6084" s="202" t="str">
        <f t="shared" si="94"/>
        <v/>
      </c>
    </row>
    <row r="6085" spans="1:7" s="172" customFormat="1" ht="15" customHeight="1" x14ac:dyDescent="0.25">
      <c r="A6085" s="803" t="s">
        <v>4874</v>
      </c>
      <c r="B6085" s="803" t="s">
        <v>4870</v>
      </c>
      <c r="C6085" s="803" t="s">
        <v>4870</v>
      </c>
      <c r="D6085" s="803" t="s">
        <v>4875</v>
      </c>
      <c r="E6085" s="803">
        <v>100</v>
      </c>
      <c r="F6085" s="850">
        <v>23</v>
      </c>
      <c r="G6085" s="202" t="str">
        <f t="shared" si="94"/>
        <v/>
      </c>
    </row>
    <row r="6086" spans="1:7" s="172" customFormat="1" ht="15" customHeight="1" x14ac:dyDescent="0.25">
      <c r="A6086" s="803" t="s">
        <v>4876</v>
      </c>
      <c r="B6086" s="803" t="s">
        <v>4870</v>
      </c>
      <c r="C6086" s="803" t="s">
        <v>4870</v>
      </c>
      <c r="D6086" s="803" t="s">
        <v>4877</v>
      </c>
      <c r="E6086" s="803">
        <v>60</v>
      </c>
      <c r="F6086" s="850">
        <v>25</v>
      </c>
      <c r="G6086" s="202" t="str">
        <f t="shared" si="94"/>
        <v/>
      </c>
    </row>
    <row r="6087" spans="1:7" s="172" customFormat="1" ht="15" customHeight="1" x14ac:dyDescent="0.25">
      <c r="A6087" s="803" t="s">
        <v>4878</v>
      </c>
      <c r="B6087" s="803" t="s">
        <v>4870</v>
      </c>
      <c r="C6087" s="803" t="s">
        <v>4870</v>
      </c>
      <c r="D6087" s="803" t="s">
        <v>4879</v>
      </c>
      <c r="E6087" s="803">
        <v>10</v>
      </c>
      <c r="F6087" s="850">
        <v>3</v>
      </c>
      <c r="G6087" s="202" t="str">
        <f t="shared" si="94"/>
        <v/>
      </c>
    </row>
    <row r="6088" spans="1:7" s="172" customFormat="1" ht="15" customHeight="1" x14ac:dyDescent="0.25">
      <c r="A6088" s="803" t="s">
        <v>4880</v>
      </c>
      <c r="B6088" s="803" t="s">
        <v>4870</v>
      </c>
      <c r="C6088" s="803" t="s">
        <v>4870</v>
      </c>
      <c r="D6088" s="803" t="s">
        <v>4881</v>
      </c>
      <c r="E6088" s="803">
        <v>30</v>
      </c>
      <c r="F6088" s="850">
        <v>8</v>
      </c>
      <c r="G6088" s="202" t="str">
        <f t="shared" si="94"/>
        <v/>
      </c>
    </row>
    <row r="6089" spans="1:7" s="172" customFormat="1" ht="15" customHeight="1" x14ac:dyDescent="0.25">
      <c r="A6089" s="803" t="s">
        <v>4882</v>
      </c>
      <c r="B6089" s="803" t="s">
        <v>4870</v>
      </c>
      <c r="C6089" s="803" t="s">
        <v>4870</v>
      </c>
      <c r="D6089" s="803" t="s">
        <v>4883</v>
      </c>
      <c r="E6089" s="803">
        <v>30</v>
      </c>
      <c r="F6089" s="850">
        <v>5</v>
      </c>
      <c r="G6089" s="202" t="str">
        <f t="shared" si="94"/>
        <v/>
      </c>
    </row>
    <row r="6090" spans="1:7" s="172" customFormat="1" ht="15" customHeight="1" x14ac:dyDescent="0.25">
      <c r="A6090" s="803" t="s">
        <v>4884</v>
      </c>
      <c r="B6090" s="803" t="s">
        <v>4870</v>
      </c>
      <c r="C6090" s="803" t="s">
        <v>4870</v>
      </c>
      <c r="D6090" s="803" t="s">
        <v>4885</v>
      </c>
      <c r="E6090" s="803">
        <v>60</v>
      </c>
      <c r="F6090" s="850">
        <v>10</v>
      </c>
      <c r="G6090" s="202" t="str">
        <f t="shared" si="94"/>
        <v/>
      </c>
    </row>
    <row r="6091" spans="1:7" s="172" customFormat="1" ht="15" customHeight="1" x14ac:dyDescent="0.25">
      <c r="A6091" s="803" t="s">
        <v>4884</v>
      </c>
      <c r="B6091" s="803" t="s">
        <v>4870</v>
      </c>
      <c r="C6091" s="803" t="s">
        <v>4870</v>
      </c>
      <c r="D6091" s="803" t="s">
        <v>4886</v>
      </c>
      <c r="E6091" s="803">
        <v>30</v>
      </c>
      <c r="F6091" s="850">
        <v>9</v>
      </c>
      <c r="G6091" s="202" t="str">
        <f t="shared" si="94"/>
        <v/>
      </c>
    </row>
    <row r="6092" spans="1:7" s="172" customFormat="1" ht="15" customHeight="1" x14ac:dyDescent="0.25">
      <c r="A6092" s="803" t="s">
        <v>4884</v>
      </c>
      <c r="B6092" s="803" t="s">
        <v>4870</v>
      </c>
      <c r="C6092" s="803" t="s">
        <v>4870</v>
      </c>
      <c r="D6092" s="803" t="s">
        <v>4887</v>
      </c>
      <c r="E6092" s="803">
        <v>100</v>
      </c>
      <c r="F6092" s="850">
        <v>42</v>
      </c>
      <c r="G6092" s="202" t="str">
        <f t="shared" si="94"/>
        <v/>
      </c>
    </row>
    <row r="6093" spans="1:7" s="172" customFormat="1" ht="15" customHeight="1" x14ac:dyDescent="0.25">
      <c r="A6093" s="803" t="s">
        <v>4888</v>
      </c>
      <c r="B6093" s="803" t="s">
        <v>4870</v>
      </c>
      <c r="C6093" s="803" t="s">
        <v>4870</v>
      </c>
      <c r="D6093" s="803" t="s">
        <v>4889</v>
      </c>
      <c r="E6093" s="803">
        <v>250</v>
      </c>
      <c r="F6093" s="850">
        <v>120</v>
      </c>
      <c r="G6093" s="202" t="str">
        <f t="shared" si="94"/>
        <v/>
      </c>
    </row>
    <row r="6094" spans="1:7" s="172" customFormat="1" ht="15" customHeight="1" x14ac:dyDescent="0.25">
      <c r="A6094" s="803" t="s">
        <v>4890</v>
      </c>
      <c r="B6094" s="803" t="s">
        <v>4870</v>
      </c>
      <c r="C6094" s="803" t="s">
        <v>4870</v>
      </c>
      <c r="D6094" s="803" t="s">
        <v>4891</v>
      </c>
      <c r="E6094" s="803">
        <v>100</v>
      </c>
      <c r="F6094" s="850">
        <v>35</v>
      </c>
      <c r="G6094" s="202" t="str">
        <f t="shared" si="94"/>
        <v/>
      </c>
    </row>
    <row r="6095" spans="1:7" s="172" customFormat="1" ht="15" customHeight="1" x14ac:dyDescent="0.25">
      <c r="A6095" s="803" t="s">
        <v>4892</v>
      </c>
      <c r="B6095" s="803" t="s">
        <v>4870</v>
      </c>
      <c r="C6095" s="803" t="s">
        <v>4870</v>
      </c>
      <c r="D6095" s="803" t="s">
        <v>4893</v>
      </c>
      <c r="E6095" s="803">
        <v>25</v>
      </c>
      <c r="F6095" s="850">
        <v>9</v>
      </c>
      <c r="G6095" s="202" t="str">
        <f t="shared" si="94"/>
        <v/>
      </c>
    </row>
    <row r="6096" spans="1:7" s="172" customFormat="1" ht="15" customHeight="1" x14ac:dyDescent="0.25">
      <c r="A6096" s="803" t="s">
        <v>4894</v>
      </c>
      <c r="B6096" s="803" t="s">
        <v>4870</v>
      </c>
      <c r="C6096" s="803" t="s">
        <v>4870</v>
      </c>
      <c r="D6096" s="803" t="s">
        <v>4895</v>
      </c>
      <c r="E6096" s="803">
        <v>60</v>
      </c>
      <c r="F6096" s="850">
        <v>10</v>
      </c>
      <c r="G6096" s="202" t="str">
        <f t="shared" si="94"/>
        <v/>
      </c>
    </row>
    <row r="6097" spans="1:7" s="172" customFormat="1" ht="15" customHeight="1" x14ac:dyDescent="0.25">
      <c r="A6097" s="803" t="s">
        <v>4896</v>
      </c>
      <c r="B6097" s="803" t="s">
        <v>4870</v>
      </c>
      <c r="C6097" s="803" t="s">
        <v>4870</v>
      </c>
      <c r="D6097" s="803" t="s">
        <v>4897</v>
      </c>
      <c r="E6097" s="803">
        <v>30</v>
      </c>
      <c r="F6097" s="850">
        <v>10</v>
      </c>
      <c r="G6097" s="202" t="str">
        <f t="shared" si="94"/>
        <v/>
      </c>
    </row>
    <row r="6098" spans="1:7" s="172" customFormat="1" ht="15" customHeight="1" x14ac:dyDescent="0.25">
      <c r="A6098" s="803" t="s">
        <v>4898</v>
      </c>
      <c r="B6098" s="803" t="s">
        <v>4870</v>
      </c>
      <c r="C6098" s="803" t="s">
        <v>4870</v>
      </c>
      <c r="D6098" s="803" t="s">
        <v>4899</v>
      </c>
      <c r="E6098" s="803">
        <v>60</v>
      </c>
      <c r="F6098" s="850">
        <v>30</v>
      </c>
      <c r="G6098" s="202" t="str">
        <f t="shared" si="94"/>
        <v/>
      </c>
    </row>
    <row r="6099" spans="1:7" s="172" customFormat="1" ht="15" customHeight="1" x14ac:dyDescent="0.25">
      <c r="A6099" s="803" t="s">
        <v>4900</v>
      </c>
      <c r="B6099" s="803" t="s">
        <v>4870</v>
      </c>
      <c r="C6099" s="803" t="s">
        <v>4870</v>
      </c>
      <c r="D6099" s="803" t="s">
        <v>4901</v>
      </c>
      <c r="E6099" s="803">
        <v>60</v>
      </c>
      <c r="F6099" s="850">
        <v>30</v>
      </c>
      <c r="G6099" s="202" t="str">
        <f t="shared" si="94"/>
        <v/>
      </c>
    </row>
    <row r="6100" spans="1:7" s="172" customFormat="1" ht="15" customHeight="1" x14ac:dyDescent="0.25">
      <c r="A6100" s="803" t="s">
        <v>3424</v>
      </c>
      <c r="B6100" s="803" t="s">
        <v>4870</v>
      </c>
      <c r="C6100" s="803" t="s">
        <v>4870</v>
      </c>
      <c r="D6100" s="803" t="s">
        <v>4902</v>
      </c>
      <c r="E6100" s="803">
        <v>60</v>
      </c>
      <c r="F6100" s="850">
        <v>30</v>
      </c>
      <c r="G6100" s="202" t="str">
        <f t="shared" si="94"/>
        <v/>
      </c>
    </row>
    <row r="6101" spans="1:7" s="172" customFormat="1" ht="15" customHeight="1" x14ac:dyDescent="0.25">
      <c r="A6101" s="803" t="s">
        <v>4903</v>
      </c>
      <c r="B6101" s="803" t="s">
        <v>4870</v>
      </c>
      <c r="C6101" s="803" t="s">
        <v>4870</v>
      </c>
      <c r="D6101" s="803" t="s">
        <v>4904</v>
      </c>
      <c r="E6101" s="803">
        <v>250</v>
      </c>
      <c r="F6101" s="850">
        <v>150</v>
      </c>
      <c r="G6101" s="202" t="str">
        <f t="shared" si="94"/>
        <v/>
      </c>
    </row>
    <row r="6102" spans="1:7" s="172" customFormat="1" ht="15" customHeight="1" x14ac:dyDescent="0.25">
      <c r="A6102" s="803" t="s">
        <v>4905</v>
      </c>
      <c r="B6102" s="803" t="s">
        <v>4870</v>
      </c>
      <c r="C6102" s="803" t="s">
        <v>4870</v>
      </c>
      <c r="D6102" s="803" t="s">
        <v>4906</v>
      </c>
      <c r="E6102" s="803">
        <v>250</v>
      </c>
      <c r="F6102" s="850">
        <v>100</v>
      </c>
      <c r="G6102" s="202" t="str">
        <f t="shared" si="94"/>
        <v/>
      </c>
    </row>
    <row r="6103" spans="1:7" s="172" customFormat="1" ht="15" customHeight="1" x14ac:dyDescent="0.25">
      <c r="A6103" s="803" t="s">
        <v>4907</v>
      </c>
      <c r="B6103" s="803" t="s">
        <v>4870</v>
      </c>
      <c r="C6103" s="803" t="s">
        <v>4870</v>
      </c>
      <c r="D6103" s="803" t="s">
        <v>4908</v>
      </c>
      <c r="E6103" s="803">
        <v>160</v>
      </c>
      <c r="F6103" s="850">
        <v>100</v>
      </c>
      <c r="G6103" s="202" t="str">
        <f t="shared" si="94"/>
        <v/>
      </c>
    </row>
    <row r="6104" spans="1:7" s="172" customFormat="1" ht="15" customHeight="1" x14ac:dyDescent="0.25">
      <c r="A6104" s="803" t="s">
        <v>4909</v>
      </c>
      <c r="B6104" s="803" t="s">
        <v>4870</v>
      </c>
      <c r="C6104" s="803" t="s">
        <v>4870</v>
      </c>
      <c r="D6104" s="803" t="s">
        <v>4910</v>
      </c>
      <c r="E6104" s="803">
        <v>160</v>
      </c>
      <c r="F6104" s="850">
        <v>50</v>
      </c>
      <c r="G6104" s="202" t="str">
        <f t="shared" si="94"/>
        <v/>
      </c>
    </row>
    <row r="6105" spans="1:7" s="172" customFormat="1" ht="15" customHeight="1" x14ac:dyDescent="0.25">
      <c r="A6105" s="803" t="s">
        <v>4911</v>
      </c>
      <c r="B6105" s="803" t="s">
        <v>4870</v>
      </c>
      <c r="C6105" s="803" t="s">
        <v>4870</v>
      </c>
      <c r="D6105" s="803" t="s">
        <v>4912</v>
      </c>
      <c r="E6105" s="803">
        <v>20</v>
      </c>
      <c r="F6105" s="850">
        <v>5</v>
      </c>
      <c r="G6105" s="202" t="str">
        <f t="shared" si="94"/>
        <v/>
      </c>
    </row>
    <row r="6106" spans="1:7" s="172" customFormat="1" ht="15" customHeight="1" x14ac:dyDescent="0.25">
      <c r="A6106" s="803" t="s">
        <v>4913</v>
      </c>
      <c r="B6106" s="803" t="s">
        <v>4870</v>
      </c>
      <c r="C6106" s="803" t="s">
        <v>4870</v>
      </c>
      <c r="D6106" s="803" t="s">
        <v>4914</v>
      </c>
      <c r="E6106" s="803">
        <v>30</v>
      </c>
      <c r="F6106" s="850">
        <v>5</v>
      </c>
      <c r="G6106" s="202" t="str">
        <f t="shared" si="94"/>
        <v/>
      </c>
    </row>
    <row r="6107" spans="1:7" s="172" customFormat="1" ht="15" customHeight="1" x14ac:dyDescent="0.25">
      <c r="A6107" s="803" t="s">
        <v>4915</v>
      </c>
      <c r="B6107" s="803" t="s">
        <v>4870</v>
      </c>
      <c r="C6107" s="803" t="s">
        <v>4870</v>
      </c>
      <c r="D6107" s="803" t="s">
        <v>4916</v>
      </c>
      <c r="E6107" s="803">
        <v>100</v>
      </c>
      <c r="F6107" s="850">
        <v>30</v>
      </c>
      <c r="G6107" s="202" t="str">
        <f t="shared" si="94"/>
        <v/>
      </c>
    </row>
    <row r="6108" spans="1:7" s="172" customFormat="1" ht="15" customHeight="1" x14ac:dyDescent="0.25">
      <c r="A6108" s="803" t="s">
        <v>4917</v>
      </c>
      <c r="B6108" s="803" t="s">
        <v>4870</v>
      </c>
      <c r="C6108" s="803" t="s">
        <v>4870</v>
      </c>
      <c r="D6108" s="803" t="s">
        <v>4918</v>
      </c>
      <c r="E6108" s="803">
        <v>100</v>
      </c>
      <c r="F6108" s="850">
        <v>10</v>
      </c>
      <c r="G6108" s="202" t="str">
        <f t="shared" ref="G6108:G6171" si="95">IF(E6108=F6108,"не загружен","")</f>
        <v/>
      </c>
    </row>
    <row r="6109" spans="1:7" s="172" customFormat="1" ht="15" customHeight="1" x14ac:dyDescent="0.25">
      <c r="A6109" s="803" t="s">
        <v>4917</v>
      </c>
      <c r="B6109" s="803" t="s">
        <v>4870</v>
      </c>
      <c r="C6109" s="803" t="s">
        <v>4870</v>
      </c>
      <c r="D6109" s="803" t="s">
        <v>4919</v>
      </c>
      <c r="E6109" s="803">
        <v>400</v>
      </c>
      <c r="F6109" s="850">
        <v>200</v>
      </c>
      <c r="G6109" s="202" t="str">
        <f t="shared" si="95"/>
        <v/>
      </c>
    </row>
    <row r="6110" spans="1:7" s="172" customFormat="1" ht="15" customHeight="1" x14ac:dyDescent="0.25">
      <c r="A6110" s="803" t="s">
        <v>4917</v>
      </c>
      <c r="B6110" s="803" t="s">
        <v>4870</v>
      </c>
      <c r="C6110" s="803" t="s">
        <v>4870</v>
      </c>
      <c r="D6110" s="803" t="s">
        <v>4920</v>
      </c>
      <c r="E6110" s="803">
        <v>160</v>
      </c>
      <c r="F6110" s="850">
        <v>80</v>
      </c>
      <c r="G6110" s="202" t="str">
        <f t="shared" si="95"/>
        <v/>
      </c>
    </row>
    <row r="6111" spans="1:7" s="172" customFormat="1" ht="15" customHeight="1" x14ac:dyDescent="0.25">
      <c r="A6111" s="803" t="s">
        <v>2585</v>
      </c>
      <c r="B6111" s="803" t="s">
        <v>4870</v>
      </c>
      <c r="C6111" s="803" t="s">
        <v>4870</v>
      </c>
      <c r="D6111" s="803" t="s">
        <v>4921</v>
      </c>
      <c r="E6111" s="803">
        <v>60</v>
      </c>
      <c r="F6111" s="850">
        <v>20</v>
      </c>
      <c r="G6111" s="202" t="str">
        <f t="shared" si="95"/>
        <v/>
      </c>
    </row>
    <row r="6112" spans="1:7" s="172" customFormat="1" ht="15" customHeight="1" x14ac:dyDescent="0.25">
      <c r="A6112" s="803" t="s">
        <v>4922</v>
      </c>
      <c r="B6112" s="803" t="s">
        <v>4870</v>
      </c>
      <c r="C6112" s="803" t="s">
        <v>4870</v>
      </c>
      <c r="D6112" s="803" t="s">
        <v>4923</v>
      </c>
      <c r="E6112" s="803">
        <v>30</v>
      </c>
      <c r="F6112" s="850">
        <v>10</v>
      </c>
      <c r="G6112" s="202" t="str">
        <f t="shared" si="95"/>
        <v/>
      </c>
    </row>
    <row r="6113" spans="1:7" s="172" customFormat="1" ht="15" customHeight="1" x14ac:dyDescent="0.25">
      <c r="A6113" s="803" t="s">
        <v>4924</v>
      </c>
      <c r="B6113" s="803" t="s">
        <v>4870</v>
      </c>
      <c r="C6113" s="803" t="s">
        <v>4870</v>
      </c>
      <c r="D6113" s="803" t="s">
        <v>4925</v>
      </c>
      <c r="E6113" s="803">
        <v>100</v>
      </c>
      <c r="F6113" s="850">
        <v>20</v>
      </c>
      <c r="G6113" s="202" t="str">
        <f t="shared" si="95"/>
        <v/>
      </c>
    </row>
    <row r="6114" spans="1:7" s="172" customFormat="1" ht="15" customHeight="1" x14ac:dyDescent="0.25">
      <c r="A6114" s="803" t="s">
        <v>4926</v>
      </c>
      <c r="B6114" s="803" t="s">
        <v>4870</v>
      </c>
      <c r="C6114" s="803" t="s">
        <v>4870</v>
      </c>
      <c r="D6114" s="803" t="s">
        <v>4927</v>
      </c>
      <c r="E6114" s="803">
        <v>25</v>
      </c>
      <c r="F6114" s="850">
        <v>5</v>
      </c>
      <c r="G6114" s="202" t="str">
        <f t="shared" si="95"/>
        <v/>
      </c>
    </row>
    <row r="6115" spans="1:7" s="172" customFormat="1" ht="15" customHeight="1" x14ac:dyDescent="0.25">
      <c r="A6115" s="803" t="s">
        <v>2557</v>
      </c>
      <c r="B6115" s="803" t="s">
        <v>4870</v>
      </c>
      <c r="C6115" s="803" t="s">
        <v>4870</v>
      </c>
      <c r="D6115" s="803" t="s">
        <v>4928</v>
      </c>
      <c r="E6115" s="803">
        <v>160</v>
      </c>
      <c r="F6115" s="850">
        <v>60</v>
      </c>
      <c r="G6115" s="202" t="str">
        <f t="shared" si="95"/>
        <v/>
      </c>
    </row>
    <row r="6116" spans="1:7" s="172" customFormat="1" ht="15" customHeight="1" x14ac:dyDescent="0.25">
      <c r="A6116" s="803" t="s">
        <v>2557</v>
      </c>
      <c r="B6116" s="803" t="s">
        <v>4870</v>
      </c>
      <c r="C6116" s="803" t="s">
        <v>4870</v>
      </c>
      <c r="D6116" s="803" t="s">
        <v>4929</v>
      </c>
      <c r="E6116" s="803">
        <v>100</v>
      </c>
      <c r="F6116" s="850">
        <v>20</v>
      </c>
      <c r="G6116" s="202" t="str">
        <f t="shared" si="95"/>
        <v/>
      </c>
    </row>
    <row r="6117" spans="1:7" s="172" customFormat="1" ht="15" customHeight="1" x14ac:dyDescent="0.25">
      <c r="A6117" s="803" t="s">
        <v>2922</v>
      </c>
      <c r="B6117" s="803" t="s">
        <v>4870</v>
      </c>
      <c r="C6117" s="803" t="s">
        <v>4870</v>
      </c>
      <c r="D6117" s="803" t="s">
        <v>4930</v>
      </c>
      <c r="E6117" s="803">
        <v>630</v>
      </c>
      <c r="F6117" s="850">
        <v>200</v>
      </c>
      <c r="G6117" s="202" t="str">
        <f t="shared" si="95"/>
        <v/>
      </c>
    </row>
    <row r="6118" spans="1:7" s="172" customFormat="1" ht="15" customHeight="1" x14ac:dyDescent="0.25">
      <c r="A6118" s="803" t="s">
        <v>2922</v>
      </c>
      <c r="B6118" s="803" t="s">
        <v>4870</v>
      </c>
      <c r="C6118" s="803" t="s">
        <v>4870</v>
      </c>
      <c r="D6118" s="803" t="s">
        <v>4931</v>
      </c>
      <c r="E6118" s="803">
        <v>160</v>
      </c>
      <c r="F6118" s="850">
        <v>30</v>
      </c>
      <c r="G6118" s="202" t="str">
        <f t="shared" si="95"/>
        <v/>
      </c>
    </row>
    <row r="6119" spans="1:7" s="172" customFormat="1" ht="15" customHeight="1" x14ac:dyDescent="0.25">
      <c r="A6119" s="803" t="s">
        <v>4932</v>
      </c>
      <c r="B6119" s="803" t="s">
        <v>4870</v>
      </c>
      <c r="C6119" s="803" t="s">
        <v>4870</v>
      </c>
      <c r="D6119" s="803" t="s">
        <v>4933</v>
      </c>
      <c r="E6119" s="803">
        <v>250</v>
      </c>
      <c r="F6119" s="850">
        <v>100</v>
      </c>
      <c r="G6119" s="202" t="str">
        <f t="shared" si="95"/>
        <v/>
      </c>
    </row>
    <row r="6120" spans="1:7" s="172" customFormat="1" ht="15" customHeight="1" x14ac:dyDescent="0.25">
      <c r="A6120" s="803" t="s">
        <v>4932</v>
      </c>
      <c r="B6120" s="803" t="s">
        <v>4870</v>
      </c>
      <c r="C6120" s="803" t="s">
        <v>4870</v>
      </c>
      <c r="D6120" s="803" t="s">
        <v>4934</v>
      </c>
      <c r="E6120" s="803">
        <v>250</v>
      </c>
      <c r="F6120" s="850">
        <v>100</v>
      </c>
      <c r="G6120" s="202" t="str">
        <f t="shared" si="95"/>
        <v/>
      </c>
    </row>
    <row r="6121" spans="1:7" s="172" customFormat="1" ht="15" customHeight="1" x14ac:dyDescent="0.25">
      <c r="A6121" s="803" t="s">
        <v>4935</v>
      </c>
      <c r="B6121" s="803" t="s">
        <v>4870</v>
      </c>
      <c r="C6121" s="803" t="s">
        <v>4870</v>
      </c>
      <c r="D6121" s="803" t="s">
        <v>4936</v>
      </c>
      <c r="E6121" s="803">
        <v>30</v>
      </c>
      <c r="F6121" s="850">
        <v>5</v>
      </c>
      <c r="G6121" s="202" t="str">
        <f t="shared" si="95"/>
        <v/>
      </c>
    </row>
    <row r="6122" spans="1:7" s="172" customFormat="1" ht="15" customHeight="1" x14ac:dyDescent="0.25">
      <c r="A6122" s="803" t="s">
        <v>4937</v>
      </c>
      <c r="B6122" s="803" t="s">
        <v>4870</v>
      </c>
      <c r="C6122" s="803" t="s">
        <v>4870</v>
      </c>
      <c r="D6122" s="803" t="s">
        <v>4938</v>
      </c>
      <c r="E6122" s="803">
        <v>30</v>
      </c>
      <c r="F6122" s="850">
        <v>5</v>
      </c>
      <c r="G6122" s="202" t="str">
        <f t="shared" si="95"/>
        <v/>
      </c>
    </row>
    <row r="6123" spans="1:7" s="172" customFormat="1" ht="15" customHeight="1" x14ac:dyDescent="0.25">
      <c r="A6123" s="803" t="s">
        <v>4939</v>
      </c>
      <c r="B6123" s="803" t="s">
        <v>4870</v>
      </c>
      <c r="C6123" s="803" t="s">
        <v>4870</v>
      </c>
      <c r="D6123" s="803" t="s">
        <v>4940</v>
      </c>
      <c r="E6123" s="803">
        <v>60</v>
      </c>
      <c r="F6123" s="850">
        <v>20</v>
      </c>
      <c r="G6123" s="202" t="str">
        <f t="shared" si="95"/>
        <v/>
      </c>
    </row>
    <row r="6124" spans="1:7" s="172" customFormat="1" ht="15" customHeight="1" x14ac:dyDescent="0.25">
      <c r="A6124" s="803" t="s">
        <v>4941</v>
      </c>
      <c r="B6124" s="803" t="s">
        <v>4870</v>
      </c>
      <c r="C6124" s="803" t="s">
        <v>4870</v>
      </c>
      <c r="D6124" s="803" t="s">
        <v>4942</v>
      </c>
      <c r="E6124" s="803">
        <v>100</v>
      </c>
      <c r="F6124" s="850">
        <v>45</v>
      </c>
      <c r="G6124" s="202" t="str">
        <f t="shared" si="95"/>
        <v/>
      </c>
    </row>
    <row r="6125" spans="1:7" s="172" customFormat="1" ht="15" customHeight="1" x14ac:dyDescent="0.25">
      <c r="A6125" s="803" t="s">
        <v>4943</v>
      </c>
      <c r="B6125" s="803" t="s">
        <v>4870</v>
      </c>
      <c r="C6125" s="803" t="s">
        <v>4870</v>
      </c>
      <c r="D6125" s="803" t="s">
        <v>4944</v>
      </c>
      <c r="E6125" s="803">
        <v>250</v>
      </c>
      <c r="F6125" s="850">
        <v>100</v>
      </c>
      <c r="G6125" s="202" t="str">
        <f t="shared" si="95"/>
        <v/>
      </c>
    </row>
    <row r="6126" spans="1:7" s="172" customFormat="1" ht="15" customHeight="1" x14ac:dyDescent="0.25">
      <c r="A6126" s="803" t="s">
        <v>4945</v>
      </c>
      <c r="B6126" s="803" t="s">
        <v>4870</v>
      </c>
      <c r="C6126" s="803" t="s">
        <v>4870</v>
      </c>
      <c r="D6126" s="803" t="s">
        <v>4946</v>
      </c>
      <c r="E6126" s="803">
        <v>100</v>
      </c>
      <c r="F6126" s="850">
        <v>20</v>
      </c>
      <c r="G6126" s="202" t="str">
        <f t="shared" si="95"/>
        <v/>
      </c>
    </row>
    <row r="6127" spans="1:7" s="172" customFormat="1" ht="15" customHeight="1" x14ac:dyDescent="0.25">
      <c r="A6127" s="803" t="s">
        <v>4945</v>
      </c>
      <c r="B6127" s="803" t="s">
        <v>4870</v>
      </c>
      <c r="C6127" s="803" t="s">
        <v>4870</v>
      </c>
      <c r="D6127" s="803" t="s">
        <v>4947</v>
      </c>
      <c r="E6127" s="803">
        <v>63</v>
      </c>
      <c r="F6127" s="850">
        <v>15</v>
      </c>
      <c r="G6127" s="202" t="str">
        <f t="shared" si="95"/>
        <v/>
      </c>
    </row>
    <row r="6128" spans="1:7" s="172" customFormat="1" ht="15" customHeight="1" x14ac:dyDescent="0.25">
      <c r="A6128" s="803" t="s">
        <v>4945</v>
      </c>
      <c r="B6128" s="803" t="s">
        <v>4870</v>
      </c>
      <c r="C6128" s="803" t="s">
        <v>4870</v>
      </c>
      <c r="D6128" s="803" t="s">
        <v>4948</v>
      </c>
      <c r="E6128" s="803">
        <v>100</v>
      </c>
      <c r="F6128" s="850">
        <v>60</v>
      </c>
      <c r="G6128" s="202" t="str">
        <f t="shared" si="95"/>
        <v/>
      </c>
    </row>
    <row r="6129" spans="1:7" s="172" customFormat="1" ht="15" customHeight="1" x14ac:dyDescent="0.25">
      <c r="A6129" s="803" t="s">
        <v>4945</v>
      </c>
      <c r="B6129" s="803" t="s">
        <v>4870</v>
      </c>
      <c r="C6129" s="803" t="s">
        <v>4870</v>
      </c>
      <c r="D6129" s="803" t="s">
        <v>4949</v>
      </c>
      <c r="E6129" s="803">
        <v>63</v>
      </c>
      <c r="F6129" s="850">
        <v>20</v>
      </c>
      <c r="G6129" s="202" t="str">
        <f t="shared" si="95"/>
        <v/>
      </c>
    </row>
    <row r="6130" spans="1:7" s="172" customFormat="1" ht="15" customHeight="1" x14ac:dyDescent="0.25">
      <c r="A6130" s="803" t="s">
        <v>4950</v>
      </c>
      <c r="B6130" s="803" t="s">
        <v>4870</v>
      </c>
      <c r="C6130" s="803" t="s">
        <v>4870</v>
      </c>
      <c r="D6130" s="803" t="s">
        <v>4951</v>
      </c>
      <c r="E6130" s="803">
        <v>100</v>
      </c>
      <c r="F6130" s="850">
        <v>40</v>
      </c>
      <c r="G6130" s="202" t="str">
        <f t="shared" si="95"/>
        <v/>
      </c>
    </row>
    <row r="6131" spans="1:7" s="172" customFormat="1" ht="15" customHeight="1" x14ac:dyDescent="0.25">
      <c r="A6131" s="803" t="s">
        <v>4952</v>
      </c>
      <c r="B6131" s="803" t="s">
        <v>4870</v>
      </c>
      <c r="C6131" s="803" t="s">
        <v>4870</v>
      </c>
      <c r="D6131" s="803" t="s">
        <v>4953</v>
      </c>
      <c r="E6131" s="803">
        <v>30</v>
      </c>
      <c r="F6131" s="850">
        <v>1</v>
      </c>
      <c r="G6131" s="202" t="str">
        <f t="shared" si="95"/>
        <v/>
      </c>
    </row>
    <row r="6132" spans="1:7" s="172" customFormat="1" ht="15" customHeight="1" x14ac:dyDescent="0.25">
      <c r="A6132" s="803" t="s">
        <v>4954</v>
      </c>
      <c r="B6132" s="803" t="s">
        <v>4870</v>
      </c>
      <c r="C6132" s="803" t="s">
        <v>4870</v>
      </c>
      <c r="D6132" s="803" t="s">
        <v>4955</v>
      </c>
      <c r="E6132" s="803">
        <v>100</v>
      </c>
      <c r="F6132" s="850">
        <v>20</v>
      </c>
      <c r="G6132" s="202" t="str">
        <f t="shared" si="95"/>
        <v/>
      </c>
    </row>
    <row r="6133" spans="1:7" s="172" customFormat="1" ht="15" customHeight="1" x14ac:dyDescent="0.25">
      <c r="A6133" s="803" t="s">
        <v>4956</v>
      </c>
      <c r="B6133" s="803" t="s">
        <v>4870</v>
      </c>
      <c r="C6133" s="803" t="s">
        <v>4870</v>
      </c>
      <c r="D6133" s="803" t="s">
        <v>4957</v>
      </c>
      <c r="E6133" s="803">
        <v>100</v>
      </c>
      <c r="F6133" s="850">
        <v>30</v>
      </c>
      <c r="G6133" s="202" t="str">
        <f t="shared" si="95"/>
        <v/>
      </c>
    </row>
    <row r="6134" spans="1:7" s="172" customFormat="1" ht="15" customHeight="1" x14ac:dyDescent="0.25">
      <c r="A6134" s="803" t="s">
        <v>4958</v>
      </c>
      <c r="B6134" s="803" t="s">
        <v>4870</v>
      </c>
      <c r="C6134" s="803" t="s">
        <v>4870</v>
      </c>
      <c r="D6134" s="803" t="s">
        <v>4959</v>
      </c>
      <c r="E6134" s="803">
        <v>25</v>
      </c>
      <c r="F6134" s="850">
        <v>5</v>
      </c>
      <c r="G6134" s="202" t="str">
        <f t="shared" si="95"/>
        <v/>
      </c>
    </row>
    <row r="6135" spans="1:7" s="172" customFormat="1" ht="15" customHeight="1" x14ac:dyDescent="0.25">
      <c r="A6135" s="803" t="s">
        <v>4882</v>
      </c>
      <c r="B6135" s="803" t="s">
        <v>4870</v>
      </c>
      <c r="C6135" s="803" t="s">
        <v>4870</v>
      </c>
      <c r="D6135" s="803" t="s">
        <v>4960</v>
      </c>
      <c r="E6135" s="803">
        <v>63</v>
      </c>
      <c r="F6135" s="850">
        <v>30</v>
      </c>
      <c r="G6135" s="202" t="str">
        <f t="shared" si="95"/>
        <v/>
      </c>
    </row>
    <row r="6136" spans="1:7" s="172" customFormat="1" ht="15" customHeight="1" x14ac:dyDescent="0.25">
      <c r="A6136" s="803" t="s">
        <v>4961</v>
      </c>
      <c r="B6136" s="803" t="s">
        <v>4870</v>
      </c>
      <c r="C6136" s="803" t="s">
        <v>4870</v>
      </c>
      <c r="D6136" s="803" t="s">
        <v>4962</v>
      </c>
      <c r="E6136" s="803">
        <v>250</v>
      </c>
      <c r="F6136" s="850">
        <v>20</v>
      </c>
      <c r="G6136" s="202" t="str">
        <f t="shared" si="95"/>
        <v/>
      </c>
    </row>
    <row r="6137" spans="1:7" s="172" customFormat="1" ht="15" customHeight="1" x14ac:dyDescent="0.25">
      <c r="A6137" s="803" t="s">
        <v>3294</v>
      </c>
      <c r="B6137" s="803" t="s">
        <v>4870</v>
      </c>
      <c r="C6137" s="803" t="s">
        <v>4870</v>
      </c>
      <c r="D6137" s="803" t="s">
        <v>4963</v>
      </c>
      <c r="E6137" s="803">
        <v>250</v>
      </c>
      <c r="F6137" s="850">
        <v>150</v>
      </c>
      <c r="G6137" s="202" t="str">
        <f t="shared" si="95"/>
        <v/>
      </c>
    </row>
    <row r="6138" spans="1:7" s="172" customFormat="1" ht="15" customHeight="1" x14ac:dyDescent="0.25">
      <c r="A6138" s="803" t="s">
        <v>4964</v>
      </c>
      <c r="B6138" s="803" t="s">
        <v>4870</v>
      </c>
      <c r="C6138" s="803" t="s">
        <v>4870</v>
      </c>
      <c r="D6138" s="803" t="s">
        <v>4965</v>
      </c>
      <c r="E6138" s="803">
        <v>60</v>
      </c>
      <c r="F6138" s="850">
        <v>20</v>
      </c>
      <c r="G6138" s="202" t="str">
        <f t="shared" si="95"/>
        <v/>
      </c>
    </row>
    <row r="6139" spans="1:7" s="172" customFormat="1" ht="15" customHeight="1" x14ac:dyDescent="0.25">
      <c r="A6139" s="803" t="s">
        <v>4966</v>
      </c>
      <c r="B6139" s="803" t="s">
        <v>4870</v>
      </c>
      <c r="C6139" s="803" t="s">
        <v>4870</v>
      </c>
      <c r="D6139" s="803" t="s">
        <v>4967</v>
      </c>
      <c r="E6139" s="803">
        <v>250</v>
      </c>
      <c r="F6139" s="850">
        <v>150</v>
      </c>
      <c r="G6139" s="202" t="str">
        <f t="shared" si="95"/>
        <v/>
      </c>
    </row>
    <row r="6140" spans="1:7" s="172" customFormat="1" ht="15" customHeight="1" x14ac:dyDescent="0.25">
      <c r="A6140" s="803" t="s">
        <v>4968</v>
      </c>
      <c r="B6140" s="803" t="s">
        <v>4870</v>
      </c>
      <c r="C6140" s="803" t="s">
        <v>4870</v>
      </c>
      <c r="D6140" s="803" t="s">
        <v>4969</v>
      </c>
      <c r="E6140" s="803">
        <v>30</v>
      </c>
      <c r="F6140" s="850">
        <v>10</v>
      </c>
      <c r="G6140" s="202" t="str">
        <f t="shared" si="95"/>
        <v/>
      </c>
    </row>
    <row r="6141" spans="1:7" s="172" customFormat="1" ht="15" customHeight="1" x14ac:dyDescent="0.25">
      <c r="A6141" s="803" t="s">
        <v>4970</v>
      </c>
      <c r="B6141" s="803" t="s">
        <v>4870</v>
      </c>
      <c r="C6141" s="803" t="s">
        <v>4870</v>
      </c>
      <c r="D6141" s="803" t="s">
        <v>4971</v>
      </c>
      <c r="E6141" s="803">
        <v>60</v>
      </c>
      <c r="F6141" s="850">
        <v>20</v>
      </c>
      <c r="G6141" s="202" t="str">
        <f t="shared" si="95"/>
        <v/>
      </c>
    </row>
    <row r="6142" spans="1:7" s="172" customFormat="1" ht="15" customHeight="1" x14ac:dyDescent="0.25">
      <c r="A6142" s="803" t="s">
        <v>4972</v>
      </c>
      <c r="B6142" s="803" t="s">
        <v>4870</v>
      </c>
      <c r="C6142" s="803" t="s">
        <v>4870</v>
      </c>
      <c r="D6142" s="803" t="s">
        <v>4973</v>
      </c>
      <c r="E6142" s="803">
        <v>250</v>
      </c>
      <c r="F6142" s="850">
        <v>100</v>
      </c>
      <c r="G6142" s="202" t="str">
        <f t="shared" si="95"/>
        <v/>
      </c>
    </row>
    <row r="6143" spans="1:7" s="172" customFormat="1" ht="15" customHeight="1" x14ac:dyDescent="0.25">
      <c r="A6143" s="803" t="s">
        <v>4972</v>
      </c>
      <c r="B6143" s="803" t="s">
        <v>4870</v>
      </c>
      <c r="C6143" s="803" t="s">
        <v>4870</v>
      </c>
      <c r="D6143" s="803" t="s">
        <v>4974</v>
      </c>
      <c r="E6143" s="803">
        <v>63</v>
      </c>
      <c r="F6143" s="850">
        <v>10</v>
      </c>
      <c r="G6143" s="202" t="str">
        <f t="shared" si="95"/>
        <v/>
      </c>
    </row>
    <row r="6144" spans="1:7" s="172" customFormat="1" ht="15" customHeight="1" x14ac:dyDescent="0.25">
      <c r="A6144" s="803" t="s">
        <v>4972</v>
      </c>
      <c r="B6144" s="803" t="s">
        <v>4870</v>
      </c>
      <c r="C6144" s="803" t="s">
        <v>4870</v>
      </c>
      <c r="D6144" s="803" t="s">
        <v>4975</v>
      </c>
      <c r="E6144" s="803">
        <v>400</v>
      </c>
      <c r="F6144" s="850">
        <v>100</v>
      </c>
      <c r="G6144" s="202" t="str">
        <f t="shared" si="95"/>
        <v/>
      </c>
    </row>
    <row r="6145" spans="1:7" s="172" customFormat="1" ht="15" customHeight="1" x14ac:dyDescent="0.25">
      <c r="A6145" s="803" t="s">
        <v>4972</v>
      </c>
      <c r="B6145" s="803" t="s">
        <v>4870</v>
      </c>
      <c r="C6145" s="803" t="s">
        <v>4870</v>
      </c>
      <c r="D6145" s="803" t="s">
        <v>4976</v>
      </c>
      <c r="E6145" s="803">
        <v>63</v>
      </c>
      <c r="F6145" s="850">
        <v>10</v>
      </c>
      <c r="G6145" s="202" t="str">
        <f t="shared" si="95"/>
        <v/>
      </c>
    </row>
    <row r="6146" spans="1:7" s="172" customFormat="1" ht="15" customHeight="1" x14ac:dyDescent="0.25">
      <c r="A6146" s="803" t="s">
        <v>4972</v>
      </c>
      <c r="B6146" s="803" t="s">
        <v>4870</v>
      </c>
      <c r="C6146" s="803" t="s">
        <v>4870</v>
      </c>
      <c r="D6146" s="803" t="s">
        <v>4977</v>
      </c>
      <c r="E6146" s="803">
        <v>400</v>
      </c>
      <c r="F6146" s="850">
        <v>350</v>
      </c>
      <c r="G6146" s="202" t="str">
        <f t="shared" si="95"/>
        <v/>
      </c>
    </row>
    <row r="6147" spans="1:7" s="172" customFormat="1" ht="15" customHeight="1" x14ac:dyDescent="0.25">
      <c r="A6147" s="803" t="s">
        <v>4978</v>
      </c>
      <c r="B6147" s="803" t="s">
        <v>4870</v>
      </c>
      <c r="C6147" s="803" t="s">
        <v>4870</v>
      </c>
      <c r="D6147" s="803" t="s">
        <v>4979</v>
      </c>
      <c r="E6147" s="803">
        <v>25</v>
      </c>
      <c r="F6147" s="850">
        <v>0</v>
      </c>
      <c r="G6147" s="202" t="str">
        <f t="shared" si="95"/>
        <v/>
      </c>
    </row>
    <row r="6148" spans="1:7" s="172" customFormat="1" ht="15" customHeight="1" x14ac:dyDescent="0.25">
      <c r="A6148" s="803" t="s">
        <v>4884</v>
      </c>
      <c r="B6148" s="803" t="s">
        <v>4870</v>
      </c>
      <c r="C6148" s="803" t="s">
        <v>4870</v>
      </c>
      <c r="D6148" s="803" t="s">
        <v>4980</v>
      </c>
      <c r="E6148" s="803">
        <v>100</v>
      </c>
      <c r="F6148" s="850">
        <v>40</v>
      </c>
      <c r="G6148" s="202" t="str">
        <f t="shared" si="95"/>
        <v/>
      </c>
    </row>
    <row r="6149" spans="1:7" s="172" customFormat="1" ht="15" customHeight="1" x14ac:dyDescent="0.25">
      <c r="A6149" s="803" t="s">
        <v>4884</v>
      </c>
      <c r="B6149" s="803" t="s">
        <v>4870</v>
      </c>
      <c r="C6149" s="803" t="s">
        <v>4870</v>
      </c>
      <c r="D6149" s="803" t="s">
        <v>4981</v>
      </c>
      <c r="E6149" s="803">
        <v>400</v>
      </c>
      <c r="F6149" s="850">
        <v>100</v>
      </c>
      <c r="G6149" s="202" t="str">
        <f t="shared" si="95"/>
        <v/>
      </c>
    </row>
    <row r="6150" spans="1:7" s="172" customFormat="1" ht="15" customHeight="1" x14ac:dyDescent="0.25">
      <c r="A6150" s="803" t="s">
        <v>4884</v>
      </c>
      <c r="B6150" s="803" t="s">
        <v>4870</v>
      </c>
      <c r="C6150" s="803" t="s">
        <v>4870</v>
      </c>
      <c r="D6150" s="803" t="s">
        <v>4982</v>
      </c>
      <c r="E6150" s="803">
        <v>100</v>
      </c>
      <c r="F6150" s="850">
        <v>25</v>
      </c>
      <c r="G6150" s="202" t="str">
        <f t="shared" si="95"/>
        <v/>
      </c>
    </row>
    <row r="6151" spans="1:7" s="172" customFormat="1" ht="15" customHeight="1" x14ac:dyDescent="0.25">
      <c r="A6151" s="803" t="s">
        <v>4943</v>
      </c>
      <c r="B6151" s="803" t="s">
        <v>4870</v>
      </c>
      <c r="C6151" s="803" t="s">
        <v>4870</v>
      </c>
      <c r="D6151" s="803" t="s">
        <v>4983</v>
      </c>
      <c r="E6151" s="803">
        <v>250</v>
      </c>
      <c r="F6151" s="850">
        <v>50</v>
      </c>
      <c r="G6151" s="202" t="str">
        <f t="shared" si="95"/>
        <v/>
      </c>
    </row>
    <row r="6152" spans="1:7" s="172" customFormat="1" ht="15" customHeight="1" x14ac:dyDescent="0.25">
      <c r="A6152" s="803" t="s">
        <v>4943</v>
      </c>
      <c r="B6152" s="803" t="s">
        <v>4870</v>
      </c>
      <c r="C6152" s="803" t="s">
        <v>4870</v>
      </c>
      <c r="D6152" s="803" t="s">
        <v>4984</v>
      </c>
      <c r="E6152" s="803" t="s">
        <v>18228</v>
      </c>
      <c r="F6152" s="850">
        <v>5</v>
      </c>
      <c r="G6152" s="202" t="str">
        <f t="shared" si="95"/>
        <v/>
      </c>
    </row>
    <row r="6153" spans="1:7" s="172" customFormat="1" ht="15" customHeight="1" x14ac:dyDescent="0.25">
      <c r="A6153" s="803" t="s">
        <v>4943</v>
      </c>
      <c r="B6153" s="803" t="s">
        <v>4870</v>
      </c>
      <c r="C6153" s="803" t="s">
        <v>4870</v>
      </c>
      <c r="D6153" s="803" t="s">
        <v>4985</v>
      </c>
      <c r="E6153" s="803">
        <v>400</v>
      </c>
      <c r="F6153" s="850">
        <v>100</v>
      </c>
      <c r="G6153" s="202" t="str">
        <f t="shared" si="95"/>
        <v/>
      </c>
    </row>
    <row r="6154" spans="1:7" s="172" customFormat="1" ht="15" customHeight="1" x14ac:dyDescent="0.25">
      <c r="A6154" s="803" t="s">
        <v>4943</v>
      </c>
      <c r="B6154" s="803" t="s">
        <v>4870</v>
      </c>
      <c r="C6154" s="803" t="s">
        <v>4870</v>
      </c>
      <c r="D6154" s="803" t="s">
        <v>4986</v>
      </c>
      <c r="E6154" s="803">
        <v>250</v>
      </c>
      <c r="F6154" s="850">
        <v>50</v>
      </c>
      <c r="G6154" s="202" t="str">
        <f t="shared" si="95"/>
        <v/>
      </c>
    </row>
    <row r="6155" spans="1:7" s="172" customFormat="1" ht="15" customHeight="1" x14ac:dyDescent="0.25">
      <c r="A6155" s="803" t="s">
        <v>4943</v>
      </c>
      <c r="B6155" s="803" t="s">
        <v>4870</v>
      </c>
      <c r="C6155" s="803" t="s">
        <v>4870</v>
      </c>
      <c r="D6155" s="803" t="s">
        <v>4987</v>
      </c>
      <c r="E6155" s="803">
        <v>100</v>
      </c>
      <c r="F6155" s="850">
        <v>10</v>
      </c>
      <c r="G6155" s="202" t="str">
        <f t="shared" si="95"/>
        <v/>
      </c>
    </row>
    <row r="6156" spans="1:7" s="172" customFormat="1" ht="15" customHeight="1" x14ac:dyDescent="0.25">
      <c r="A6156" s="803" t="s">
        <v>4943</v>
      </c>
      <c r="B6156" s="803" t="s">
        <v>4870</v>
      </c>
      <c r="C6156" s="803" t="s">
        <v>4870</v>
      </c>
      <c r="D6156" s="803" t="s">
        <v>4988</v>
      </c>
      <c r="E6156" s="803">
        <v>160</v>
      </c>
      <c r="F6156" s="850">
        <v>40</v>
      </c>
      <c r="G6156" s="202" t="str">
        <f t="shared" si="95"/>
        <v/>
      </c>
    </row>
    <row r="6157" spans="1:7" s="172" customFormat="1" ht="15" customHeight="1" x14ac:dyDescent="0.25">
      <c r="A6157" s="803" t="s">
        <v>4943</v>
      </c>
      <c r="B6157" s="803" t="s">
        <v>4870</v>
      </c>
      <c r="C6157" s="803" t="s">
        <v>4870</v>
      </c>
      <c r="D6157" s="803" t="s">
        <v>4989</v>
      </c>
      <c r="E6157" s="803">
        <v>100</v>
      </c>
      <c r="F6157" s="850">
        <v>10</v>
      </c>
      <c r="G6157" s="202" t="str">
        <f t="shared" si="95"/>
        <v/>
      </c>
    </row>
    <row r="6158" spans="1:7" s="172" customFormat="1" ht="15" customHeight="1" x14ac:dyDescent="0.25">
      <c r="A6158" s="803" t="s">
        <v>4943</v>
      </c>
      <c r="B6158" s="803" t="s">
        <v>4870</v>
      </c>
      <c r="C6158" s="803" t="s">
        <v>4870</v>
      </c>
      <c r="D6158" s="803" t="s">
        <v>4990</v>
      </c>
      <c r="E6158" s="803">
        <v>160</v>
      </c>
      <c r="F6158" s="850">
        <v>60</v>
      </c>
      <c r="G6158" s="202" t="str">
        <f t="shared" si="95"/>
        <v/>
      </c>
    </row>
    <row r="6159" spans="1:7" s="172" customFormat="1" ht="15" customHeight="1" x14ac:dyDescent="0.25">
      <c r="A6159" s="803" t="s">
        <v>4943</v>
      </c>
      <c r="B6159" s="803" t="s">
        <v>4870</v>
      </c>
      <c r="C6159" s="803" t="s">
        <v>4870</v>
      </c>
      <c r="D6159" s="803" t="s">
        <v>4991</v>
      </c>
      <c r="E6159" s="803">
        <v>160</v>
      </c>
      <c r="F6159" s="850">
        <v>50</v>
      </c>
      <c r="G6159" s="202" t="str">
        <f t="shared" si="95"/>
        <v/>
      </c>
    </row>
    <row r="6160" spans="1:7" s="172" customFormat="1" ht="15" customHeight="1" x14ac:dyDescent="0.25">
      <c r="A6160" s="803" t="s">
        <v>4943</v>
      </c>
      <c r="B6160" s="803" t="s">
        <v>4870</v>
      </c>
      <c r="C6160" s="803" t="s">
        <v>4870</v>
      </c>
      <c r="D6160" s="803" t="s">
        <v>4992</v>
      </c>
      <c r="E6160" s="803">
        <v>250</v>
      </c>
      <c r="F6160" s="850">
        <v>100</v>
      </c>
      <c r="G6160" s="202" t="str">
        <f t="shared" si="95"/>
        <v/>
      </c>
    </row>
    <row r="6161" spans="1:7" s="172" customFormat="1" ht="15" customHeight="1" x14ac:dyDescent="0.25">
      <c r="A6161" s="803" t="s">
        <v>4943</v>
      </c>
      <c r="B6161" s="803" t="s">
        <v>4870</v>
      </c>
      <c r="C6161" s="803" t="s">
        <v>4870</v>
      </c>
      <c r="D6161" s="803" t="s">
        <v>4993</v>
      </c>
      <c r="E6161" s="803">
        <v>160</v>
      </c>
      <c r="F6161" s="850">
        <v>60</v>
      </c>
      <c r="G6161" s="202" t="str">
        <f t="shared" si="95"/>
        <v/>
      </c>
    </row>
    <row r="6162" spans="1:7" s="172" customFormat="1" ht="15" customHeight="1" x14ac:dyDescent="0.25">
      <c r="A6162" s="803" t="s">
        <v>4943</v>
      </c>
      <c r="B6162" s="803" t="s">
        <v>4870</v>
      </c>
      <c r="C6162" s="803" t="s">
        <v>4870</v>
      </c>
      <c r="D6162" s="803" t="s">
        <v>4994</v>
      </c>
      <c r="E6162" s="803">
        <v>400</v>
      </c>
      <c r="F6162" s="850">
        <v>50</v>
      </c>
      <c r="G6162" s="202" t="str">
        <f t="shared" si="95"/>
        <v/>
      </c>
    </row>
    <row r="6163" spans="1:7" s="172" customFormat="1" ht="15" customHeight="1" x14ac:dyDescent="0.25">
      <c r="A6163" s="803" t="s">
        <v>4943</v>
      </c>
      <c r="B6163" s="803" t="s">
        <v>4870</v>
      </c>
      <c r="C6163" s="803" t="s">
        <v>4870</v>
      </c>
      <c r="D6163" s="803" t="s">
        <v>4995</v>
      </c>
      <c r="E6163" s="803">
        <v>100</v>
      </c>
      <c r="F6163" s="850">
        <v>20</v>
      </c>
      <c r="G6163" s="202" t="str">
        <f t="shared" si="95"/>
        <v/>
      </c>
    </row>
    <row r="6164" spans="1:7" s="172" customFormat="1" ht="15" customHeight="1" x14ac:dyDescent="0.25">
      <c r="A6164" s="803" t="s">
        <v>4996</v>
      </c>
      <c r="B6164" s="803" t="s">
        <v>4870</v>
      </c>
      <c r="C6164" s="803" t="s">
        <v>4870</v>
      </c>
      <c r="D6164" s="803" t="s">
        <v>4997</v>
      </c>
      <c r="E6164" s="803">
        <v>250</v>
      </c>
      <c r="F6164" s="850">
        <v>100</v>
      </c>
      <c r="G6164" s="202" t="str">
        <f t="shared" si="95"/>
        <v/>
      </c>
    </row>
    <row r="6165" spans="1:7" s="172" customFormat="1" ht="15" customHeight="1" x14ac:dyDescent="0.25">
      <c r="A6165" s="803" t="s">
        <v>4996</v>
      </c>
      <c r="B6165" s="803" t="s">
        <v>4870</v>
      </c>
      <c r="C6165" s="803" t="s">
        <v>4870</v>
      </c>
      <c r="D6165" s="803" t="s">
        <v>4998</v>
      </c>
      <c r="E6165" s="803">
        <v>250</v>
      </c>
      <c r="F6165" s="850">
        <v>100</v>
      </c>
      <c r="G6165" s="202" t="str">
        <f t="shared" si="95"/>
        <v/>
      </c>
    </row>
    <row r="6166" spans="1:7" s="172" customFormat="1" ht="15" customHeight="1" x14ac:dyDescent="0.25">
      <c r="A6166" s="803" t="s">
        <v>4999</v>
      </c>
      <c r="B6166" s="803" t="s">
        <v>4870</v>
      </c>
      <c r="C6166" s="803" t="s">
        <v>4870</v>
      </c>
      <c r="D6166" s="803" t="s">
        <v>5000</v>
      </c>
      <c r="E6166" s="803">
        <v>25</v>
      </c>
      <c r="F6166" s="850">
        <v>5</v>
      </c>
      <c r="G6166" s="202" t="str">
        <f t="shared" si="95"/>
        <v/>
      </c>
    </row>
    <row r="6167" spans="1:7" s="172" customFormat="1" ht="15" customHeight="1" x14ac:dyDescent="0.25">
      <c r="A6167" s="803" t="s">
        <v>4943</v>
      </c>
      <c r="B6167" s="803" t="s">
        <v>4870</v>
      </c>
      <c r="C6167" s="803" t="s">
        <v>4870</v>
      </c>
      <c r="D6167" s="803" t="s">
        <v>5001</v>
      </c>
      <c r="E6167" s="803">
        <v>400</v>
      </c>
      <c r="F6167" s="850">
        <v>250</v>
      </c>
      <c r="G6167" s="202" t="str">
        <f t="shared" si="95"/>
        <v/>
      </c>
    </row>
    <row r="6168" spans="1:7" s="172" customFormat="1" ht="15" customHeight="1" x14ac:dyDescent="0.25">
      <c r="A6168" s="803" t="s">
        <v>5002</v>
      </c>
      <c r="B6168" s="803" t="s">
        <v>4870</v>
      </c>
      <c r="C6168" s="803" t="s">
        <v>4870</v>
      </c>
      <c r="D6168" s="803" t="s">
        <v>5003</v>
      </c>
      <c r="E6168" s="803">
        <v>25</v>
      </c>
      <c r="F6168" s="850">
        <v>5</v>
      </c>
      <c r="G6168" s="202" t="str">
        <f t="shared" si="95"/>
        <v/>
      </c>
    </row>
    <row r="6169" spans="1:7" s="172" customFormat="1" ht="15" customHeight="1" x14ac:dyDescent="0.25">
      <c r="A6169" s="803" t="s">
        <v>4943</v>
      </c>
      <c r="B6169" s="803" t="s">
        <v>4870</v>
      </c>
      <c r="C6169" s="803" t="s">
        <v>4870</v>
      </c>
      <c r="D6169" s="803" t="s">
        <v>5004</v>
      </c>
      <c r="E6169" s="803">
        <v>160</v>
      </c>
      <c r="F6169" s="850">
        <v>60</v>
      </c>
      <c r="G6169" s="202" t="str">
        <f t="shared" si="95"/>
        <v/>
      </c>
    </row>
    <row r="6170" spans="1:7" s="172" customFormat="1" ht="15" customHeight="1" x14ac:dyDescent="0.25">
      <c r="A6170" s="803" t="s">
        <v>4943</v>
      </c>
      <c r="B6170" s="803" t="s">
        <v>4870</v>
      </c>
      <c r="C6170" s="803" t="s">
        <v>4870</v>
      </c>
      <c r="D6170" s="803" t="s">
        <v>5005</v>
      </c>
      <c r="E6170" s="803">
        <v>250</v>
      </c>
      <c r="F6170" s="850">
        <v>50</v>
      </c>
      <c r="G6170" s="202" t="str">
        <f t="shared" si="95"/>
        <v/>
      </c>
    </row>
    <row r="6171" spans="1:7" s="172" customFormat="1" ht="15" customHeight="1" x14ac:dyDescent="0.25">
      <c r="A6171" s="803" t="s">
        <v>4943</v>
      </c>
      <c r="B6171" s="803" t="s">
        <v>4870</v>
      </c>
      <c r="C6171" s="803" t="s">
        <v>4870</v>
      </c>
      <c r="D6171" s="803" t="s">
        <v>5006</v>
      </c>
      <c r="E6171" s="803">
        <v>100</v>
      </c>
      <c r="F6171" s="850">
        <v>3</v>
      </c>
      <c r="G6171" s="202" t="str">
        <f t="shared" si="95"/>
        <v/>
      </c>
    </row>
    <row r="6172" spans="1:7" s="172" customFormat="1" ht="15" customHeight="1" x14ac:dyDescent="0.25">
      <c r="A6172" s="803" t="s">
        <v>4943</v>
      </c>
      <c r="B6172" s="803" t="s">
        <v>4870</v>
      </c>
      <c r="C6172" s="803" t="s">
        <v>4870</v>
      </c>
      <c r="D6172" s="803" t="s">
        <v>5007</v>
      </c>
      <c r="E6172" s="803">
        <v>250</v>
      </c>
      <c r="F6172" s="850">
        <v>70</v>
      </c>
      <c r="G6172" s="202" t="str">
        <f t="shared" ref="G6172:G6236" si="96">IF(E6172=F6172,"не загружен","")</f>
        <v/>
      </c>
    </row>
    <row r="6173" spans="1:7" s="172" customFormat="1" ht="15" customHeight="1" x14ac:dyDescent="0.25">
      <c r="A6173" s="803" t="s">
        <v>4943</v>
      </c>
      <c r="B6173" s="803" t="s">
        <v>4870</v>
      </c>
      <c r="C6173" s="803" t="s">
        <v>4870</v>
      </c>
      <c r="D6173" s="803" t="s">
        <v>5008</v>
      </c>
      <c r="E6173" s="803">
        <v>160</v>
      </c>
      <c r="F6173" s="850">
        <v>60</v>
      </c>
      <c r="G6173" s="202" t="str">
        <f t="shared" si="96"/>
        <v/>
      </c>
    </row>
    <row r="6174" spans="1:7" s="172" customFormat="1" ht="15" customHeight="1" x14ac:dyDescent="0.25">
      <c r="A6174" s="803" t="s">
        <v>4943</v>
      </c>
      <c r="B6174" s="803" t="s">
        <v>4870</v>
      </c>
      <c r="C6174" s="803" t="s">
        <v>4870</v>
      </c>
      <c r="D6174" s="803" t="s">
        <v>5009</v>
      </c>
      <c r="E6174" s="803">
        <v>250</v>
      </c>
      <c r="F6174" s="850">
        <v>40</v>
      </c>
      <c r="G6174" s="202" t="str">
        <f t="shared" si="96"/>
        <v/>
      </c>
    </row>
    <row r="6175" spans="1:7" s="172" customFormat="1" ht="15" customHeight="1" x14ac:dyDescent="0.25">
      <c r="A6175" s="803" t="s">
        <v>4943</v>
      </c>
      <c r="B6175" s="803" t="s">
        <v>4870</v>
      </c>
      <c r="C6175" s="803" t="s">
        <v>4870</v>
      </c>
      <c r="D6175" s="803" t="s">
        <v>5010</v>
      </c>
      <c r="E6175" s="803">
        <v>250</v>
      </c>
      <c r="F6175" s="850">
        <v>30</v>
      </c>
      <c r="G6175" s="202" t="str">
        <f t="shared" si="96"/>
        <v/>
      </c>
    </row>
    <row r="6176" spans="1:7" s="172" customFormat="1" ht="15" customHeight="1" x14ac:dyDescent="0.25">
      <c r="A6176" s="803" t="s">
        <v>4943</v>
      </c>
      <c r="B6176" s="803" t="s">
        <v>4870</v>
      </c>
      <c r="C6176" s="803" t="s">
        <v>4870</v>
      </c>
      <c r="D6176" s="803" t="s">
        <v>5011</v>
      </c>
      <c r="E6176" s="803">
        <v>160</v>
      </c>
      <c r="F6176" s="850">
        <v>40</v>
      </c>
      <c r="G6176" s="202" t="str">
        <f t="shared" si="96"/>
        <v/>
      </c>
    </row>
    <row r="6177" spans="1:7" s="172" customFormat="1" ht="15" customHeight="1" x14ac:dyDescent="0.25">
      <c r="A6177" s="803" t="s">
        <v>4943</v>
      </c>
      <c r="B6177" s="803" t="s">
        <v>4870</v>
      </c>
      <c r="C6177" s="803" t="s">
        <v>4870</v>
      </c>
      <c r="D6177" s="803" t="s">
        <v>5012</v>
      </c>
      <c r="E6177" s="803">
        <v>160</v>
      </c>
      <c r="F6177" s="850">
        <v>60</v>
      </c>
      <c r="G6177" s="202" t="str">
        <f t="shared" si="96"/>
        <v/>
      </c>
    </row>
    <row r="6178" spans="1:7" s="172" customFormat="1" ht="15" customHeight="1" x14ac:dyDescent="0.25">
      <c r="A6178" s="803" t="s">
        <v>4943</v>
      </c>
      <c r="B6178" s="803" t="s">
        <v>4870</v>
      </c>
      <c r="C6178" s="803" t="s">
        <v>4870</v>
      </c>
      <c r="D6178" s="803" t="s">
        <v>5013</v>
      </c>
      <c r="E6178" s="803">
        <v>100</v>
      </c>
      <c r="F6178" s="850">
        <v>25</v>
      </c>
      <c r="G6178" s="202" t="str">
        <f t="shared" si="96"/>
        <v/>
      </c>
    </row>
    <row r="6179" spans="1:7" s="172" customFormat="1" ht="15" customHeight="1" x14ac:dyDescent="0.25">
      <c r="A6179" s="803" t="s">
        <v>4943</v>
      </c>
      <c r="B6179" s="803" t="s">
        <v>4870</v>
      </c>
      <c r="C6179" s="803" t="s">
        <v>4870</v>
      </c>
      <c r="D6179" s="803" t="s">
        <v>5014</v>
      </c>
      <c r="E6179" s="803">
        <v>160</v>
      </c>
      <c r="F6179" s="850">
        <v>30</v>
      </c>
      <c r="G6179" s="202" t="str">
        <f t="shared" si="96"/>
        <v/>
      </c>
    </row>
    <row r="6180" spans="1:7" s="172" customFormat="1" ht="15" customHeight="1" x14ac:dyDescent="0.25">
      <c r="A6180" s="803" t="s">
        <v>4943</v>
      </c>
      <c r="B6180" s="803" t="s">
        <v>4870</v>
      </c>
      <c r="C6180" s="803" t="s">
        <v>4870</v>
      </c>
      <c r="D6180" s="803" t="s">
        <v>5015</v>
      </c>
      <c r="E6180" s="803">
        <v>160</v>
      </c>
      <c r="F6180" s="850">
        <v>20</v>
      </c>
      <c r="G6180" s="202" t="str">
        <f t="shared" si="96"/>
        <v/>
      </c>
    </row>
    <row r="6181" spans="1:7" s="172" customFormat="1" ht="15" customHeight="1" x14ac:dyDescent="0.25">
      <c r="A6181" s="803" t="s">
        <v>4943</v>
      </c>
      <c r="B6181" s="803" t="s">
        <v>4870</v>
      </c>
      <c r="C6181" s="803" t="s">
        <v>4870</v>
      </c>
      <c r="D6181" s="803" t="s">
        <v>5016</v>
      </c>
      <c r="E6181" s="803">
        <v>160</v>
      </c>
      <c r="F6181" s="850">
        <v>60</v>
      </c>
      <c r="G6181" s="202" t="str">
        <f t="shared" si="96"/>
        <v/>
      </c>
    </row>
    <row r="6182" spans="1:7" s="172" customFormat="1" ht="15" customHeight="1" x14ac:dyDescent="0.25">
      <c r="A6182" s="803" t="s">
        <v>4943</v>
      </c>
      <c r="B6182" s="803" t="s">
        <v>4870</v>
      </c>
      <c r="C6182" s="803" t="s">
        <v>4870</v>
      </c>
      <c r="D6182" s="803" t="s">
        <v>5017</v>
      </c>
      <c r="E6182" s="803">
        <v>100</v>
      </c>
      <c r="F6182" s="850">
        <v>60</v>
      </c>
      <c r="G6182" s="202" t="str">
        <f t="shared" si="96"/>
        <v/>
      </c>
    </row>
    <row r="6183" spans="1:7" s="172" customFormat="1" ht="15" customHeight="1" x14ac:dyDescent="0.25">
      <c r="A6183" s="803" t="s">
        <v>5018</v>
      </c>
      <c r="B6183" s="803" t="s">
        <v>4870</v>
      </c>
      <c r="C6183" s="803" t="s">
        <v>4870</v>
      </c>
      <c r="D6183" s="803" t="s">
        <v>5019</v>
      </c>
      <c r="E6183" s="803">
        <v>25</v>
      </c>
      <c r="F6183" s="850">
        <v>5</v>
      </c>
      <c r="G6183" s="202" t="str">
        <f t="shared" si="96"/>
        <v/>
      </c>
    </row>
    <row r="6184" spans="1:7" s="172" customFormat="1" ht="15" customHeight="1" x14ac:dyDescent="0.25">
      <c r="A6184" s="803" t="s">
        <v>5020</v>
      </c>
      <c r="B6184" s="803" t="s">
        <v>4870</v>
      </c>
      <c r="C6184" s="803" t="s">
        <v>4870</v>
      </c>
      <c r="D6184" s="803" t="s">
        <v>5021</v>
      </c>
      <c r="E6184" s="803">
        <v>60</v>
      </c>
      <c r="F6184" s="850">
        <v>30</v>
      </c>
      <c r="G6184" s="202" t="str">
        <f t="shared" si="96"/>
        <v/>
      </c>
    </row>
    <row r="6185" spans="1:7" s="172" customFormat="1" ht="15" customHeight="1" x14ac:dyDescent="0.25">
      <c r="A6185" s="803" t="s">
        <v>5022</v>
      </c>
      <c r="B6185" s="803" t="s">
        <v>4870</v>
      </c>
      <c r="C6185" s="803" t="s">
        <v>4870</v>
      </c>
      <c r="D6185" s="803" t="s">
        <v>5023</v>
      </c>
      <c r="E6185" s="803">
        <v>100</v>
      </c>
      <c r="F6185" s="850">
        <v>20</v>
      </c>
      <c r="G6185" s="202" t="str">
        <f t="shared" si="96"/>
        <v/>
      </c>
    </row>
    <row r="6186" spans="1:7" s="172" customFormat="1" ht="15" customHeight="1" x14ac:dyDescent="0.25">
      <c r="A6186" s="803" t="s">
        <v>5022</v>
      </c>
      <c r="B6186" s="803" t="s">
        <v>4870</v>
      </c>
      <c r="C6186" s="803" t="s">
        <v>4870</v>
      </c>
      <c r="D6186" s="803" t="s">
        <v>5024</v>
      </c>
      <c r="E6186" s="803">
        <v>160</v>
      </c>
      <c r="F6186" s="850">
        <v>60</v>
      </c>
      <c r="G6186" s="202" t="str">
        <f t="shared" si="96"/>
        <v/>
      </c>
    </row>
    <row r="6187" spans="1:7" s="172" customFormat="1" ht="15" customHeight="1" x14ac:dyDescent="0.25">
      <c r="A6187" s="803" t="s">
        <v>5025</v>
      </c>
      <c r="B6187" s="803" t="s">
        <v>4870</v>
      </c>
      <c r="C6187" s="803" t="s">
        <v>4870</v>
      </c>
      <c r="D6187" s="803" t="s">
        <v>5026</v>
      </c>
      <c r="E6187" s="803">
        <v>30</v>
      </c>
      <c r="F6187" s="850">
        <v>5</v>
      </c>
      <c r="G6187" s="202" t="str">
        <f t="shared" si="96"/>
        <v/>
      </c>
    </row>
    <row r="6188" spans="1:7" s="172" customFormat="1" ht="15" customHeight="1" x14ac:dyDescent="0.25">
      <c r="A6188" s="803" t="s">
        <v>5025</v>
      </c>
      <c r="B6188" s="803" t="s">
        <v>4870</v>
      </c>
      <c r="C6188" s="803" t="s">
        <v>4870</v>
      </c>
      <c r="D6188" s="803" t="s">
        <v>5027</v>
      </c>
      <c r="E6188" s="803">
        <v>63</v>
      </c>
      <c r="F6188" s="850">
        <v>30</v>
      </c>
      <c r="G6188" s="202" t="str">
        <f t="shared" si="96"/>
        <v/>
      </c>
    </row>
    <row r="6189" spans="1:7" s="172" customFormat="1" ht="15" customHeight="1" x14ac:dyDescent="0.25">
      <c r="A6189" s="803" t="s">
        <v>5028</v>
      </c>
      <c r="B6189" s="803" t="s">
        <v>4870</v>
      </c>
      <c r="C6189" s="803" t="s">
        <v>4870</v>
      </c>
      <c r="D6189" s="803" t="s">
        <v>5029</v>
      </c>
      <c r="E6189" s="803">
        <v>10</v>
      </c>
      <c r="F6189" s="850">
        <v>2</v>
      </c>
      <c r="G6189" s="202" t="str">
        <f t="shared" si="96"/>
        <v/>
      </c>
    </row>
    <row r="6190" spans="1:7" s="172" customFormat="1" ht="15" customHeight="1" x14ac:dyDescent="0.25">
      <c r="A6190" s="803" t="s">
        <v>5030</v>
      </c>
      <c r="B6190" s="803" t="s">
        <v>4870</v>
      </c>
      <c r="C6190" s="803" t="s">
        <v>4870</v>
      </c>
      <c r="D6190" s="803" t="s">
        <v>5031</v>
      </c>
      <c r="E6190" s="803">
        <v>60</v>
      </c>
      <c r="F6190" s="850">
        <v>20</v>
      </c>
      <c r="G6190" s="202" t="str">
        <f t="shared" si="96"/>
        <v/>
      </c>
    </row>
    <row r="6191" spans="1:7" s="172" customFormat="1" ht="15" customHeight="1" x14ac:dyDescent="0.25">
      <c r="A6191" s="803" t="s">
        <v>5032</v>
      </c>
      <c r="B6191" s="803" t="s">
        <v>4870</v>
      </c>
      <c r="C6191" s="803" t="s">
        <v>4870</v>
      </c>
      <c r="D6191" s="803" t="s">
        <v>5033</v>
      </c>
      <c r="E6191" s="803">
        <v>250</v>
      </c>
      <c r="F6191" s="850">
        <v>40</v>
      </c>
      <c r="G6191" s="202" t="str">
        <f t="shared" si="96"/>
        <v/>
      </c>
    </row>
    <row r="6192" spans="1:7" s="172" customFormat="1" ht="15" customHeight="1" x14ac:dyDescent="0.25">
      <c r="A6192" s="803" t="s">
        <v>5032</v>
      </c>
      <c r="B6192" s="803" t="s">
        <v>4870</v>
      </c>
      <c r="C6192" s="803" t="s">
        <v>4870</v>
      </c>
      <c r="D6192" s="803" t="s">
        <v>5034</v>
      </c>
      <c r="E6192" s="803">
        <v>63</v>
      </c>
      <c r="F6192" s="850">
        <v>25</v>
      </c>
      <c r="G6192" s="202" t="str">
        <f t="shared" si="96"/>
        <v/>
      </c>
    </row>
    <row r="6193" spans="1:7" s="172" customFormat="1" ht="15" customHeight="1" x14ac:dyDescent="0.25">
      <c r="A6193" s="803" t="s">
        <v>5035</v>
      </c>
      <c r="B6193" s="803" t="s">
        <v>4870</v>
      </c>
      <c r="C6193" s="803" t="s">
        <v>4870</v>
      </c>
      <c r="D6193" s="803" t="s">
        <v>5036</v>
      </c>
      <c r="E6193" s="803">
        <v>60</v>
      </c>
      <c r="F6193" s="850">
        <v>20</v>
      </c>
      <c r="G6193" s="202" t="str">
        <f t="shared" si="96"/>
        <v/>
      </c>
    </row>
    <row r="6194" spans="1:7" s="172" customFormat="1" ht="15" customHeight="1" x14ac:dyDescent="0.25">
      <c r="A6194" s="803" t="s">
        <v>5037</v>
      </c>
      <c r="B6194" s="803" t="s">
        <v>4870</v>
      </c>
      <c r="C6194" s="803" t="s">
        <v>4870</v>
      </c>
      <c r="D6194" s="803" t="s">
        <v>5038</v>
      </c>
      <c r="E6194" s="803">
        <v>40</v>
      </c>
      <c r="F6194" s="850">
        <v>10</v>
      </c>
      <c r="G6194" s="202" t="str">
        <f t="shared" si="96"/>
        <v/>
      </c>
    </row>
    <row r="6195" spans="1:7" s="172" customFormat="1" ht="15" customHeight="1" x14ac:dyDescent="0.25">
      <c r="A6195" s="803" t="s">
        <v>5039</v>
      </c>
      <c r="B6195" s="803" t="s">
        <v>4870</v>
      </c>
      <c r="C6195" s="803" t="s">
        <v>4870</v>
      </c>
      <c r="D6195" s="803" t="s">
        <v>5040</v>
      </c>
      <c r="E6195" s="803">
        <v>40</v>
      </c>
      <c r="F6195" s="850">
        <v>10</v>
      </c>
      <c r="G6195" s="202" t="str">
        <f t="shared" si="96"/>
        <v/>
      </c>
    </row>
    <row r="6196" spans="1:7" s="172" customFormat="1" ht="15" customHeight="1" x14ac:dyDescent="0.25">
      <c r="A6196" s="803" t="s">
        <v>5041</v>
      </c>
      <c r="B6196" s="803" t="s">
        <v>4870</v>
      </c>
      <c r="C6196" s="803" t="s">
        <v>4870</v>
      </c>
      <c r="D6196" s="803" t="s">
        <v>5042</v>
      </c>
      <c r="E6196" s="803">
        <v>40</v>
      </c>
      <c r="F6196" s="850">
        <v>12</v>
      </c>
      <c r="G6196" s="202" t="str">
        <f t="shared" si="96"/>
        <v/>
      </c>
    </row>
    <row r="6197" spans="1:7" s="172" customFormat="1" ht="15" customHeight="1" x14ac:dyDescent="0.25">
      <c r="A6197" s="803" t="s">
        <v>5043</v>
      </c>
      <c r="B6197" s="803" t="s">
        <v>4870</v>
      </c>
      <c r="C6197" s="803" t="s">
        <v>4870</v>
      </c>
      <c r="D6197" s="803" t="s">
        <v>5044</v>
      </c>
      <c r="E6197" s="803">
        <v>30</v>
      </c>
      <c r="F6197" s="850">
        <v>9</v>
      </c>
      <c r="G6197" s="202" t="str">
        <f t="shared" si="96"/>
        <v/>
      </c>
    </row>
    <row r="6198" spans="1:7" s="172" customFormat="1" ht="15" customHeight="1" x14ac:dyDescent="0.25">
      <c r="A6198" s="803" t="s">
        <v>5045</v>
      </c>
      <c r="B6198" s="803" t="s">
        <v>4870</v>
      </c>
      <c r="C6198" s="803" t="s">
        <v>4870</v>
      </c>
      <c r="D6198" s="803" t="s">
        <v>5046</v>
      </c>
      <c r="E6198" s="803">
        <v>20</v>
      </c>
      <c r="F6198" s="850">
        <v>5</v>
      </c>
      <c r="G6198" s="202" t="str">
        <f t="shared" si="96"/>
        <v/>
      </c>
    </row>
    <row r="6199" spans="1:7" s="172" customFormat="1" ht="15" customHeight="1" x14ac:dyDescent="0.25">
      <c r="A6199" s="803" t="s">
        <v>5047</v>
      </c>
      <c r="B6199" s="803" t="s">
        <v>4870</v>
      </c>
      <c r="C6199" s="803" t="s">
        <v>4870</v>
      </c>
      <c r="D6199" s="803" t="s">
        <v>5048</v>
      </c>
      <c r="E6199" s="803">
        <v>160</v>
      </c>
      <c r="F6199" s="850">
        <v>60</v>
      </c>
      <c r="G6199" s="202" t="str">
        <f t="shared" si="96"/>
        <v/>
      </c>
    </row>
    <row r="6200" spans="1:7" s="172" customFormat="1" ht="15" customHeight="1" x14ac:dyDescent="0.25">
      <c r="A6200" s="803" t="s">
        <v>5049</v>
      </c>
      <c r="B6200" s="803" t="s">
        <v>4870</v>
      </c>
      <c r="C6200" s="803" t="s">
        <v>4870</v>
      </c>
      <c r="D6200" s="803" t="s">
        <v>5050</v>
      </c>
      <c r="E6200" s="803">
        <v>100</v>
      </c>
      <c r="F6200" s="850">
        <v>30</v>
      </c>
      <c r="G6200" s="202" t="str">
        <f t="shared" si="96"/>
        <v/>
      </c>
    </row>
    <row r="6201" spans="1:7" s="172" customFormat="1" ht="15" customHeight="1" x14ac:dyDescent="0.25">
      <c r="A6201" s="803" t="s">
        <v>5051</v>
      </c>
      <c r="B6201" s="803" t="s">
        <v>4870</v>
      </c>
      <c r="C6201" s="803" t="s">
        <v>4870</v>
      </c>
      <c r="D6201" s="803" t="s">
        <v>5052</v>
      </c>
      <c r="E6201" s="803">
        <v>30</v>
      </c>
      <c r="F6201" s="850">
        <v>5</v>
      </c>
      <c r="G6201" s="202" t="str">
        <f t="shared" si="96"/>
        <v/>
      </c>
    </row>
    <row r="6202" spans="1:7" s="172" customFormat="1" ht="15" customHeight="1" x14ac:dyDescent="0.25">
      <c r="A6202" s="803" t="s">
        <v>5053</v>
      </c>
      <c r="B6202" s="803" t="s">
        <v>4870</v>
      </c>
      <c r="C6202" s="803" t="s">
        <v>4870</v>
      </c>
      <c r="D6202" s="803" t="s">
        <v>5054</v>
      </c>
      <c r="E6202" s="803">
        <v>250</v>
      </c>
      <c r="F6202" s="850">
        <v>50</v>
      </c>
      <c r="G6202" s="202" t="str">
        <f t="shared" si="96"/>
        <v/>
      </c>
    </row>
    <row r="6203" spans="1:7" s="172" customFormat="1" ht="15" customHeight="1" x14ac:dyDescent="0.25">
      <c r="A6203" s="803" t="s">
        <v>5055</v>
      </c>
      <c r="B6203" s="803" t="s">
        <v>4870</v>
      </c>
      <c r="C6203" s="803" t="s">
        <v>4870</v>
      </c>
      <c r="D6203" s="803" t="s">
        <v>5056</v>
      </c>
      <c r="E6203" s="803">
        <v>160</v>
      </c>
      <c r="F6203" s="850">
        <v>60</v>
      </c>
      <c r="G6203" s="202" t="str">
        <f t="shared" si="96"/>
        <v/>
      </c>
    </row>
    <row r="6204" spans="1:7" s="172" customFormat="1" ht="15" customHeight="1" x14ac:dyDescent="0.25">
      <c r="A6204" s="803" t="s">
        <v>5055</v>
      </c>
      <c r="B6204" s="803" t="s">
        <v>4870</v>
      </c>
      <c r="C6204" s="803" t="s">
        <v>4870</v>
      </c>
      <c r="D6204" s="803" t="s">
        <v>5057</v>
      </c>
      <c r="E6204" s="803">
        <v>250</v>
      </c>
      <c r="F6204" s="850">
        <v>60</v>
      </c>
      <c r="G6204" s="202" t="str">
        <f t="shared" si="96"/>
        <v/>
      </c>
    </row>
    <row r="6205" spans="1:7" s="172" customFormat="1" ht="15" customHeight="1" x14ac:dyDescent="0.25">
      <c r="A6205" s="803" t="s">
        <v>5055</v>
      </c>
      <c r="B6205" s="803" t="s">
        <v>4870</v>
      </c>
      <c r="C6205" s="803" t="s">
        <v>4870</v>
      </c>
      <c r="D6205" s="803" t="s">
        <v>5058</v>
      </c>
      <c r="E6205" s="803">
        <v>160</v>
      </c>
      <c r="F6205" s="850">
        <v>60</v>
      </c>
      <c r="G6205" s="202"/>
    </row>
    <row r="6206" spans="1:7" s="172" customFormat="1" ht="15" customHeight="1" x14ac:dyDescent="0.25">
      <c r="A6206" s="803" t="s">
        <v>5055</v>
      </c>
      <c r="B6206" s="803" t="s">
        <v>4870</v>
      </c>
      <c r="C6206" s="803" t="s">
        <v>4870</v>
      </c>
      <c r="D6206" s="803" t="s">
        <v>5059</v>
      </c>
      <c r="E6206" s="803">
        <v>160</v>
      </c>
      <c r="F6206" s="850">
        <v>60</v>
      </c>
      <c r="G6206" s="202" t="str">
        <f t="shared" si="96"/>
        <v/>
      </c>
    </row>
    <row r="6207" spans="1:7" s="172" customFormat="1" ht="15" customHeight="1" x14ac:dyDescent="0.25">
      <c r="A6207" s="803" t="s">
        <v>5060</v>
      </c>
      <c r="B6207" s="803" t="s">
        <v>4870</v>
      </c>
      <c r="C6207" s="803" t="s">
        <v>4870</v>
      </c>
      <c r="D6207" s="803" t="s">
        <v>5061</v>
      </c>
      <c r="E6207" s="803">
        <v>40</v>
      </c>
      <c r="F6207" s="850">
        <v>10</v>
      </c>
      <c r="G6207" s="202" t="str">
        <f t="shared" si="96"/>
        <v/>
      </c>
    </row>
    <row r="6208" spans="1:7" s="172" customFormat="1" ht="15" customHeight="1" x14ac:dyDescent="0.25">
      <c r="A6208" s="803" t="s">
        <v>5062</v>
      </c>
      <c r="B6208" s="803" t="s">
        <v>4870</v>
      </c>
      <c r="C6208" s="803" t="s">
        <v>4870</v>
      </c>
      <c r="D6208" s="803" t="s">
        <v>5063</v>
      </c>
      <c r="E6208" s="803">
        <v>100</v>
      </c>
      <c r="F6208" s="850">
        <v>30</v>
      </c>
      <c r="G6208" s="202" t="str">
        <f t="shared" si="96"/>
        <v/>
      </c>
    </row>
    <row r="6209" spans="1:7" s="172" customFormat="1" ht="15" customHeight="1" x14ac:dyDescent="0.25">
      <c r="A6209" s="803" t="s">
        <v>5064</v>
      </c>
      <c r="B6209" s="803" t="s">
        <v>4870</v>
      </c>
      <c r="C6209" s="803" t="s">
        <v>4870</v>
      </c>
      <c r="D6209" s="803" t="s">
        <v>5065</v>
      </c>
      <c r="E6209" s="803">
        <v>100</v>
      </c>
      <c r="F6209" s="850">
        <v>20</v>
      </c>
      <c r="G6209" s="202" t="str">
        <f t="shared" si="96"/>
        <v/>
      </c>
    </row>
    <row r="6210" spans="1:7" s="172" customFormat="1" ht="15" customHeight="1" x14ac:dyDescent="0.25">
      <c r="A6210" s="803" t="s">
        <v>5064</v>
      </c>
      <c r="B6210" s="803" t="s">
        <v>4870</v>
      </c>
      <c r="C6210" s="803" t="s">
        <v>4870</v>
      </c>
      <c r="D6210" s="803" t="s">
        <v>5066</v>
      </c>
      <c r="E6210" s="803">
        <v>250</v>
      </c>
      <c r="F6210" s="850">
        <v>150</v>
      </c>
      <c r="G6210" s="202" t="str">
        <f t="shared" si="96"/>
        <v/>
      </c>
    </row>
    <row r="6211" spans="1:7" s="172" customFormat="1" ht="15" customHeight="1" x14ac:dyDescent="0.25">
      <c r="A6211" s="803" t="s">
        <v>5064</v>
      </c>
      <c r="B6211" s="803" t="s">
        <v>4870</v>
      </c>
      <c r="C6211" s="803" t="s">
        <v>4870</v>
      </c>
      <c r="D6211" s="803" t="s">
        <v>5067</v>
      </c>
      <c r="E6211" s="803">
        <v>250</v>
      </c>
      <c r="F6211" s="850">
        <v>150</v>
      </c>
      <c r="G6211" s="202" t="str">
        <f t="shared" si="96"/>
        <v/>
      </c>
    </row>
    <row r="6212" spans="1:7" s="172" customFormat="1" ht="15" customHeight="1" x14ac:dyDescent="0.25">
      <c r="A6212" s="803" t="s">
        <v>5068</v>
      </c>
      <c r="B6212" s="803" t="s">
        <v>4870</v>
      </c>
      <c r="C6212" s="803" t="s">
        <v>4870</v>
      </c>
      <c r="D6212" s="803" t="s">
        <v>5069</v>
      </c>
      <c r="E6212" s="803">
        <v>60</v>
      </c>
      <c r="F6212" s="850">
        <v>10</v>
      </c>
      <c r="G6212" s="202" t="str">
        <f t="shared" si="96"/>
        <v/>
      </c>
    </row>
    <row r="6213" spans="1:7" s="172" customFormat="1" ht="15" customHeight="1" x14ac:dyDescent="0.25">
      <c r="A6213" s="803" t="s">
        <v>5070</v>
      </c>
      <c r="B6213" s="803" t="s">
        <v>4870</v>
      </c>
      <c r="C6213" s="803" t="s">
        <v>4870</v>
      </c>
      <c r="D6213" s="803" t="s">
        <v>5071</v>
      </c>
      <c r="E6213" s="803">
        <v>30</v>
      </c>
      <c r="F6213" s="850">
        <v>10</v>
      </c>
      <c r="G6213" s="202" t="str">
        <f t="shared" si="96"/>
        <v/>
      </c>
    </row>
    <row r="6214" spans="1:7" s="172" customFormat="1" ht="15" customHeight="1" x14ac:dyDescent="0.25">
      <c r="A6214" s="803" t="s">
        <v>5072</v>
      </c>
      <c r="B6214" s="803" t="s">
        <v>4870</v>
      </c>
      <c r="C6214" s="803" t="s">
        <v>4870</v>
      </c>
      <c r="D6214" s="803" t="s">
        <v>5073</v>
      </c>
      <c r="E6214" s="803">
        <v>100</v>
      </c>
      <c r="F6214" s="850">
        <v>50</v>
      </c>
      <c r="G6214" s="202" t="str">
        <f t="shared" si="96"/>
        <v/>
      </c>
    </row>
    <row r="6215" spans="1:7" s="172" customFormat="1" ht="15" customHeight="1" x14ac:dyDescent="0.25">
      <c r="A6215" s="803" t="s">
        <v>5074</v>
      </c>
      <c r="B6215" s="803" t="s">
        <v>4870</v>
      </c>
      <c r="C6215" s="803" t="s">
        <v>4870</v>
      </c>
      <c r="D6215" s="803" t="s">
        <v>5075</v>
      </c>
      <c r="E6215" s="803">
        <v>60</v>
      </c>
      <c r="F6215" s="850">
        <v>10</v>
      </c>
      <c r="G6215" s="202" t="str">
        <f t="shared" si="96"/>
        <v/>
      </c>
    </row>
    <row r="6216" spans="1:7" s="172" customFormat="1" ht="15" customHeight="1" x14ac:dyDescent="0.25">
      <c r="A6216" s="803" t="s">
        <v>5076</v>
      </c>
      <c r="B6216" s="803" t="s">
        <v>4870</v>
      </c>
      <c r="C6216" s="803" t="s">
        <v>4870</v>
      </c>
      <c r="D6216" s="803" t="s">
        <v>5077</v>
      </c>
      <c r="E6216" s="803">
        <v>30</v>
      </c>
      <c r="F6216" s="850">
        <v>5</v>
      </c>
      <c r="G6216" s="202" t="str">
        <f t="shared" si="96"/>
        <v/>
      </c>
    </row>
    <row r="6217" spans="1:7" s="172" customFormat="1" ht="15" customHeight="1" x14ac:dyDescent="0.25">
      <c r="A6217" s="803" t="s">
        <v>5078</v>
      </c>
      <c r="B6217" s="803" t="s">
        <v>4870</v>
      </c>
      <c r="C6217" s="803" t="s">
        <v>4870</v>
      </c>
      <c r="D6217" s="803" t="s">
        <v>5079</v>
      </c>
      <c r="E6217" s="803">
        <v>20</v>
      </c>
      <c r="F6217" s="850">
        <v>5</v>
      </c>
      <c r="G6217" s="202" t="str">
        <f t="shared" si="96"/>
        <v/>
      </c>
    </row>
    <row r="6218" spans="1:7" s="172" customFormat="1" ht="15" customHeight="1" x14ac:dyDescent="0.25">
      <c r="A6218" s="803" t="s">
        <v>5080</v>
      </c>
      <c r="B6218" s="803" t="s">
        <v>4870</v>
      </c>
      <c r="C6218" s="803" t="s">
        <v>4870</v>
      </c>
      <c r="D6218" s="803" t="s">
        <v>5081</v>
      </c>
      <c r="E6218" s="803">
        <v>160</v>
      </c>
      <c r="F6218" s="850">
        <v>60</v>
      </c>
      <c r="G6218" s="202" t="str">
        <f t="shared" si="96"/>
        <v/>
      </c>
    </row>
    <row r="6219" spans="1:7" s="172" customFormat="1" ht="15" customHeight="1" x14ac:dyDescent="0.25">
      <c r="A6219" s="803" t="s">
        <v>5082</v>
      </c>
      <c r="B6219" s="803" t="s">
        <v>4870</v>
      </c>
      <c r="C6219" s="803" t="s">
        <v>4870</v>
      </c>
      <c r="D6219" s="803" t="s">
        <v>5083</v>
      </c>
      <c r="E6219" s="803">
        <v>100</v>
      </c>
      <c r="F6219" s="850">
        <v>30</v>
      </c>
      <c r="G6219" s="202" t="str">
        <f t="shared" si="96"/>
        <v/>
      </c>
    </row>
    <row r="6220" spans="1:7" s="172" customFormat="1" ht="15" customHeight="1" x14ac:dyDescent="0.25">
      <c r="A6220" s="803" t="s">
        <v>4833</v>
      </c>
      <c r="B6220" s="803" t="s">
        <v>4870</v>
      </c>
      <c r="C6220" s="803" t="s">
        <v>4870</v>
      </c>
      <c r="D6220" s="803" t="s">
        <v>5084</v>
      </c>
      <c r="E6220" s="803">
        <v>20</v>
      </c>
      <c r="F6220" s="850">
        <v>5</v>
      </c>
      <c r="G6220" s="202" t="str">
        <f t="shared" si="96"/>
        <v/>
      </c>
    </row>
    <row r="6221" spans="1:7" s="172" customFormat="1" ht="15" customHeight="1" x14ac:dyDescent="0.25">
      <c r="A6221" s="803" t="s">
        <v>5085</v>
      </c>
      <c r="B6221" s="803" t="s">
        <v>4870</v>
      </c>
      <c r="C6221" s="803" t="s">
        <v>4870</v>
      </c>
      <c r="D6221" s="803" t="s">
        <v>5086</v>
      </c>
      <c r="E6221" s="803">
        <v>30</v>
      </c>
      <c r="F6221" s="850">
        <v>5</v>
      </c>
      <c r="G6221" s="202" t="str">
        <f t="shared" si="96"/>
        <v/>
      </c>
    </row>
    <row r="6222" spans="1:7" s="172" customFormat="1" ht="15" customHeight="1" x14ac:dyDescent="0.25">
      <c r="A6222" s="803" t="s">
        <v>5087</v>
      </c>
      <c r="B6222" s="803" t="s">
        <v>4870</v>
      </c>
      <c r="C6222" s="803" t="s">
        <v>4870</v>
      </c>
      <c r="D6222" s="803" t="s">
        <v>5088</v>
      </c>
      <c r="E6222" s="803">
        <v>30</v>
      </c>
      <c r="F6222" s="850">
        <v>5</v>
      </c>
      <c r="G6222" s="202" t="str">
        <f t="shared" si="96"/>
        <v/>
      </c>
    </row>
    <row r="6223" spans="1:7" s="172" customFormat="1" ht="15" customHeight="1" x14ac:dyDescent="0.25">
      <c r="A6223" s="803" t="s">
        <v>5089</v>
      </c>
      <c r="B6223" s="803" t="s">
        <v>4870</v>
      </c>
      <c r="C6223" s="803" t="s">
        <v>4870</v>
      </c>
      <c r="D6223" s="803" t="s">
        <v>5090</v>
      </c>
      <c r="E6223" s="803">
        <v>60</v>
      </c>
      <c r="F6223" s="850">
        <v>40</v>
      </c>
      <c r="G6223" s="202" t="str">
        <f t="shared" si="96"/>
        <v/>
      </c>
    </row>
    <row r="6224" spans="1:7" s="172" customFormat="1" ht="15" customHeight="1" x14ac:dyDescent="0.25">
      <c r="A6224" s="803" t="s">
        <v>5089</v>
      </c>
      <c r="B6224" s="803" t="s">
        <v>4870</v>
      </c>
      <c r="C6224" s="803" t="s">
        <v>4870</v>
      </c>
      <c r="D6224" s="803" t="s">
        <v>5091</v>
      </c>
      <c r="E6224" s="803">
        <v>100</v>
      </c>
      <c r="F6224" s="850">
        <v>10</v>
      </c>
      <c r="G6224" s="202" t="str">
        <f t="shared" si="96"/>
        <v/>
      </c>
    </row>
    <row r="6225" spans="1:7" s="172" customFormat="1" ht="15" customHeight="1" x14ac:dyDescent="0.25">
      <c r="A6225" s="803" t="s">
        <v>5092</v>
      </c>
      <c r="B6225" s="803" t="s">
        <v>4870</v>
      </c>
      <c r="C6225" s="803" t="s">
        <v>4870</v>
      </c>
      <c r="D6225" s="803" t="s">
        <v>5093</v>
      </c>
      <c r="E6225" s="803">
        <v>250</v>
      </c>
      <c r="F6225" s="850">
        <v>100</v>
      </c>
      <c r="G6225" s="202" t="str">
        <f t="shared" si="96"/>
        <v/>
      </c>
    </row>
    <row r="6226" spans="1:7" s="172" customFormat="1" ht="15" customHeight="1" x14ac:dyDescent="0.25">
      <c r="A6226" s="803" t="s">
        <v>5092</v>
      </c>
      <c r="B6226" s="803" t="s">
        <v>4870</v>
      </c>
      <c r="C6226" s="803" t="s">
        <v>4870</v>
      </c>
      <c r="D6226" s="803" t="s">
        <v>5094</v>
      </c>
      <c r="E6226" s="803">
        <v>160</v>
      </c>
      <c r="F6226" s="850">
        <v>60</v>
      </c>
      <c r="G6226" s="202" t="str">
        <f t="shared" si="96"/>
        <v/>
      </c>
    </row>
    <row r="6227" spans="1:7" s="172" customFormat="1" ht="15" customHeight="1" x14ac:dyDescent="0.25">
      <c r="A6227" s="803" t="s">
        <v>5092</v>
      </c>
      <c r="B6227" s="803" t="s">
        <v>4870</v>
      </c>
      <c r="C6227" s="803" t="s">
        <v>4870</v>
      </c>
      <c r="D6227" s="803" t="s">
        <v>5095</v>
      </c>
      <c r="E6227" s="803">
        <v>400</v>
      </c>
      <c r="F6227" s="850">
        <v>200</v>
      </c>
      <c r="G6227" s="202" t="str">
        <f t="shared" si="96"/>
        <v/>
      </c>
    </row>
    <row r="6228" spans="1:7" s="172" customFormat="1" ht="15" customHeight="1" x14ac:dyDescent="0.25">
      <c r="A6228" s="803" t="s">
        <v>5092</v>
      </c>
      <c r="B6228" s="803" t="s">
        <v>4870</v>
      </c>
      <c r="C6228" s="803" t="s">
        <v>4870</v>
      </c>
      <c r="D6228" s="803" t="s">
        <v>5096</v>
      </c>
      <c r="E6228" s="803">
        <v>400</v>
      </c>
      <c r="F6228" s="850">
        <v>300</v>
      </c>
      <c r="G6228" s="202" t="str">
        <f t="shared" si="96"/>
        <v/>
      </c>
    </row>
    <row r="6229" spans="1:7" s="172" customFormat="1" ht="15" customHeight="1" x14ac:dyDescent="0.25">
      <c r="A6229" s="803" t="s">
        <v>2804</v>
      </c>
      <c r="B6229" s="803" t="s">
        <v>4870</v>
      </c>
      <c r="C6229" s="803" t="s">
        <v>4870</v>
      </c>
      <c r="D6229" s="803" t="s">
        <v>5097</v>
      </c>
      <c r="E6229" s="803">
        <v>30</v>
      </c>
      <c r="F6229" s="850">
        <v>20</v>
      </c>
      <c r="G6229" s="202" t="str">
        <f t="shared" si="96"/>
        <v/>
      </c>
    </row>
    <row r="6230" spans="1:7" s="172" customFormat="1" ht="15" customHeight="1" x14ac:dyDescent="0.25">
      <c r="A6230" s="803" t="s">
        <v>5098</v>
      </c>
      <c r="B6230" s="803" t="s">
        <v>4870</v>
      </c>
      <c r="C6230" s="803" t="s">
        <v>4870</v>
      </c>
      <c r="D6230" s="803" t="s">
        <v>5099</v>
      </c>
      <c r="E6230" s="803">
        <v>160</v>
      </c>
      <c r="F6230" s="850">
        <v>60</v>
      </c>
      <c r="G6230" s="202" t="str">
        <f t="shared" si="96"/>
        <v/>
      </c>
    </row>
    <row r="6231" spans="1:7" s="172" customFormat="1" ht="15" customHeight="1" x14ac:dyDescent="0.25">
      <c r="A6231" s="803" t="s">
        <v>5098</v>
      </c>
      <c r="B6231" s="803" t="s">
        <v>4870</v>
      </c>
      <c r="C6231" s="803" t="s">
        <v>4870</v>
      </c>
      <c r="D6231" s="803" t="s">
        <v>5100</v>
      </c>
      <c r="E6231" s="803">
        <v>160</v>
      </c>
      <c r="F6231" s="850">
        <v>100</v>
      </c>
      <c r="G6231" s="202" t="str">
        <f t="shared" si="96"/>
        <v/>
      </c>
    </row>
    <row r="6232" spans="1:7" s="172" customFormat="1" ht="15" customHeight="1" x14ac:dyDescent="0.25">
      <c r="A6232" s="803" t="s">
        <v>5098</v>
      </c>
      <c r="B6232" s="803" t="s">
        <v>4870</v>
      </c>
      <c r="C6232" s="803" t="s">
        <v>4870</v>
      </c>
      <c r="D6232" s="803" t="s">
        <v>5101</v>
      </c>
      <c r="E6232" s="803">
        <v>180</v>
      </c>
      <c r="F6232" s="850">
        <v>100</v>
      </c>
      <c r="G6232" s="202" t="str">
        <f t="shared" si="96"/>
        <v/>
      </c>
    </row>
    <row r="6233" spans="1:7" s="172" customFormat="1" ht="15" customHeight="1" x14ac:dyDescent="0.25">
      <c r="A6233" s="803" t="s">
        <v>5098</v>
      </c>
      <c r="B6233" s="803" t="s">
        <v>4870</v>
      </c>
      <c r="C6233" s="803" t="s">
        <v>4870</v>
      </c>
      <c r="D6233" s="803" t="s">
        <v>5102</v>
      </c>
      <c r="E6233" s="803">
        <v>160</v>
      </c>
      <c r="F6233" s="850">
        <v>60</v>
      </c>
      <c r="G6233" s="202" t="str">
        <f t="shared" si="96"/>
        <v/>
      </c>
    </row>
    <row r="6234" spans="1:7" s="172" customFormat="1" ht="15" customHeight="1" x14ac:dyDescent="0.25">
      <c r="A6234" s="803" t="s">
        <v>5098</v>
      </c>
      <c r="B6234" s="803" t="s">
        <v>4870</v>
      </c>
      <c r="C6234" s="803" t="s">
        <v>4870</v>
      </c>
      <c r="D6234" s="803" t="s">
        <v>5103</v>
      </c>
      <c r="E6234" s="803">
        <v>100</v>
      </c>
      <c r="F6234" s="850">
        <v>50</v>
      </c>
      <c r="G6234" s="202" t="str">
        <f t="shared" si="96"/>
        <v/>
      </c>
    </row>
    <row r="6235" spans="1:7" s="172" customFormat="1" ht="15" customHeight="1" x14ac:dyDescent="0.25">
      <c r="A6235" s="803" t="s">
        <v>3241</v>
      </c>
      <c r="B6235" s="803" t="s">
        <v>4870</v>
      </c>
      <c r="C6235" s="803" t="s">
        <v>4870</v>
      </c>
      <c r="D6235" s="803" t="s">
        <v>5104</v>
      </c>
      <c r="E6235" s="803">
        <v>250</v>
      </c>
      <c r="F6235" s="850">
        <v>130</v>
      </c>
      <c r="G6235" s="202" t="str">
        <f t="shared" si="96"/>
        <v/>
      </c>
    </row>
    <row r="6236" spans="1:7" s="172" customFormat="1" ht="15" customHeight="1" x14ac:dyDescent="0.25">
      <c r="A6236" s="803" t="s">
        <v>3241</v>
      </c>
      <c r="B6236" s="803" t="s">
        <v>4870</v>
      </c>
      <c r="C6236" s="803" t="s">
        <v>4870</v>
      </c>
      <c r="D6236" s="803" t="s">
        <v>5105</v>
      </c>
      <c r="E6236" s="803">
        <v>160</v>
      </c>
      <c r="F6236" s="850">
        <v>60</v>
      </c>
      <c r="G6236" s="202" t="str">
        <f t="shared" si="96"/>
        <v/>
      </c>
    </row>
    <row r="6237" spans="1:7" s="172" customFormat="1" ht="15" customHeight="1" x14ac:dyDescent="0.25">
      <c r="A6237" s="803" t="s">
        <v>5106</v>
      </c>
      <c r="B6237" s="803" t="s">
        <v>4870</v>
      </c>
      <c r="C6237" s="803" t="s">
        <v>4870</v>
      </c>
      <c r="D6237" s="803" t="s">
        <v>5107</v>
      </c>
      <c r="E6237" s="803">
        <v>63</v>
      </c>
      <c r="F6237" s="850">
        <v>40</v>
      </c>
      <c r="G6237" s="202" t="str">
        <f t="shared" ref="G6237:G6300" si="97">IF(E6237=F6237,"не загружен","")</f>
        <v/>
      </c>
    </row>
    <row r="6238" spans="1:7" s="172" customFormat="1" ht="15" customHeight="1" x14ac:dyDescent="0.25">
      <c r="A6238" s="803" t="s">
        <v>5108</v>
      </c>
      <c r="B6238" s="803" t="s">
        <v>4870</v>
      </c>
      <c r="C6238" s="803" t="s">
        <v>4870</v>
      </c>
      <c r="D6238" s="803" t="s">
        <v>5109</v>
      </c>
      <c r="E6238" s="803">
        <v>60</v>
      </c>
      <c r="F6238" s="850">
        <v>30</v>
      </c>
      <c r="G6238" s="202" t="str">
        <f t="shared" si="97"/>
        <v/>
      </c>
    </row>
    <row r="6239" spans="1:7" s="172" customFormat="1" ht="15" customHeight="1" x14ac:dyDescent="0.25">
      <c r="A6239" s="803" t="s">
        <v>2778</v>
      </c>
      <c r="B6239" s="803" t="s">
        <v>4870</v>
      </c>
      <c r="C6239" s="803" t="s">
        <v>4870</v>
      </c>
      <c r="D6239" s="803" t="s">
        <v>5110</v>
      </c>
      <c r="E6239" s="803">
        <v>30</v>
      </c>
      <c r="F6239" s="850">
        <v>10</v>
      </c>
      <c r="G6239" s="202" t="str">
        <f t="shared" si="97"/>
        <v/>
      </c>
    </row>
    <row r="6240" spans="1:7" s="172" customFormat="1" ht="15" customHeight="1" x14ac:dyDescent="0.25">
      <c r="A6240" s="803" t="s">
        <v>5111</v>
      </c>
      <c r="B6240" s="803" t="s">
        <v>4870</v>
      </c>
      <c r="C6240" s="803" t="s">
        <v>4870</v>
      </c>
      <c r="D6240" s="803" t="s">
        <v>5112</v>
      </c>
      <c r="E6240" s="803">
        <v>160</v>
      </c>
      <c r="F6240" s="850">
        <v>60</v>
      </c>
      <c r="G6240" s="202" t="str">
        <f t="shared" si="97"/>
        <v/>
      </c>
    </row>
    <row r="6241" spans="1:7" s="172" customFormat="1" ht="15" customHeight="1" x14ac:dyDescent="0.25">
      <c r="A6241" s="803" t="s">
        <v>5113</v>
      </c>
      <c r="B6241" s="803" t="s">
        <v>4870</v>
      </c>
      <c r="C6241" s="803" t="s">
        <v>4870</v>
      </c>
      <c r="D6241" s="803" t="s">
        <v>5114</v>
      </c>
      <c r="E6241" s="803">
        <v>160</v>
      </c>
      <c r="F6241" s="850">
        <v>50</v>
      </c>
      <c r="G6241" s="202" t="str">
        <f t="shared" si="97"/>
        <v/>
      </c>
    </row>
    <row r="6242" spans="1:7" s="172" customFormat="1" ht="15" customHeight="1" x14ac:dyDescent="0.25">
      <c r="A6242" s="803" t="s">
        <v>5115</v>
      </c>
      <c r="B6242" s="803" t="s">
        <v>4870</v>
      </c>
      <c r="C6242" s="803" t="s">
        <v>4870</v>
      </c>
      <c r="D6242" s="803" t="s">
        <v>5116</v>
      </c>
      <c r="E6242" s="803">
        <v>100</v>
      </c>
      <c r="F6242" s="850">
        <v>50</v>
      </c>
      <c r="G6242" s="202" t="str">
        <f t="shared" si="97"/>
        <v/>
      </c>
    </row>
    <row r="6243" spans="1:7" s="172" customFormat="1" ht="15" customHeight="1" x14ac:dyDescent="0.25">
      <c r="A6243" s="803" t="s">
        <v>5115</v>
      </c>
      <c r="B6243" s="803" t="s">
        <v>4870</v>
      </c>
      <c r="C6243" s="803" t="s">
        <v>4870</v>
      </c>
      <c r="D6243" s="803" t="s">
        <v>5117</v>
      </c>
      <c r="E6243" s="803">
        <v>250</v>
      </c>
      <c r="F6243" s="850">
        <v>100</v>
      </c>
      <c r="G6243" s="202" t="str">
        <f t="shared" si="97"/>
        <v/>
      </c>
    </row>
    <row r="6244" spans="1:7" s="172" customFormat="1" ht="15" customHeight="1" x14ac:dyDescent="0.25">
      <c r="A6244" s="803" t="s">
        <v>5118</v>
      </c>
      <c r="B6244" s="803" t="s">
        <v>4870</v>
      </c>
      <c r="C6244" s="803" t="s">
        <v>4870</v>
      </c>
      <c r="D6244" s="803" t="s">
        <v>5119</v>
      </c>
      <c r="E6244" s="803">
        <v>60</v>
      </c>
      <c r="F6244" s="850">
        <v>20</v>
      </c>
      <c r="G6244" s="202" t="str">
        <f t="shared" si="97"/>
        <v/>
      </c>
    </row>
    <row r="6245" spans="1:7" s="172" customFormat="1" ht="15" customHeight="1" x14ac:dyDescent="0.25">
      <c r="A6245" s="803" t="s">
        <v>5120</v>
      </c>
      <c r="B6245" s="803" t="s">
        <v>4870</v>
      </c>
      <c r="C6245" s="803" t="s">
        <v>4870</v>
      </c>
      <c r="D6245" s="803" t="s">
        <v>5121</v>
      </c>
      <c r="E6245" s="803">
        <v>30</v>
      </c>
      <c r="F6245" s="850">
        <v>5</v>
      </c>
      <c r="G6245" s="202" t="str">
        <f t="shared" si="97"/>
        <v/>
      </c>
    </row>
    <row r="6246" spans="1:7" s="172" customFormat="1" ht="15" customHeight="1" x14ac:dyDescent="0.25">
      <c r="A6246" s="803" t="s">
        <v>5120</v>
      </c>
      <c r="B6246" s="803" t="s">
        <v>4870</v>
      </c>
      <c r="C6246" s="803" t="s">
        <v>4870</v>
      </c>
      <c r="D6246" s="803" t="s">
        <v>5122</v>
      </c>
      <c r="E6246" s="803">
        <v>60</v>
      </c>
      <c r="F6246" s="850">
        <v>20</v>
      </c>
      <c r="G6246" s="202" t="str">
        <f t="shared" si="97"/>
        <v/>
      </c>
    </row>
    <row r="6247" spans="1:7" s="172" customFormat="1" ht="15" customHeight="1" x14ac:dyDescent="0.25">
      <c r="A6247" s="803" t="s">
        <v>5123</v>
      </c>
      <c r="B6247" s="803" t="s">
        <v>4870</v>
      </c>
      <c r="C6247" s="803" t="s">
        <v>4870</v>
      </c>
      <c r="D6247" s="803" t="s">
        <v>5124</v>
      </c>
      <c r="E6247" s="803">
        <v>160</v>
      </c>
      <c r="F6247" s="850">
        <v>60</v>
      </c>
      <c r="G6247" s="202" t="str">
        <f t="shared" si="97"/>
        <v/>
      </c>
    </row>
    <row r="6248" spans="1:7" s="172" customFormat="1" ht="15" customHeight="1" x14ac:dyDescent="0.25">
      <c r="A6248" s="803" t="s">
        <v>5123</v>
      </c>
      <c r="B6248" s="803" t="s">
        <v>4870</v>
      </c>
      <c r="C6248" s="803" t="s">
        <v>4870</v>
      </c>
      <c r="D6248" s="803" t="s">
        <v>5125</v>
      </c>
      <c r="E6248" s="803">
        <v>100</v>
      </c>
      <c r="F6248" s="850">
        <v>20</v>
      </c>
      <c r="G6248" s="202" t="str">
        <f t="shared" si="97"/>
        <v/>
      </c>
    </row>
    <row r="6249" spans="1:7" s="172" customFormat="1" ht="15" customHeight="1" x14ac:dyDescent="0.25">
      <c r="A6249" s="803" t="s">
        <v>5123</v>
      </c>
      <c r="B6249" s="803" t="s">
        <v>4870</v>
      </c>
      <c r="C6249" s="803" t="s">
        <v>4870</v>
      </c>
      <c r="D6249" s="803" t="s">
        <v>5126</v>
      </c>
      <c r="E6249" s="803">
        <v>160</v>
      </c>
      <c r="F6249" s="850">
        <v>60</v>
      </c>
      <c r="G6249" s="202" t="str">
        <f t="shared" si="97"/>
        <v/>
      </c>
    </row>
    <row r="6250" spans="1:7" s="172" customFormat="1" ht="15" customHeight="1" x14ac:dyDescent="0.25">
      <c r="A6250" s="803" t="s">
        <v>5127</v>
      </c>
      <c r="B6250" s="803" t="s">
        <v>4870</v>
      </c>
      <c r="C6250" s="803" t="s">
        <v>4870</v>
      </c>
      <c r="D6250" s="803" t="s">
        <v>5128</v>
      </c>
      <c r="E6250" s="803">
        <v>60</v>
      </c>
      <c r="F6250" s="850">
        <v>20</v>
      </c>
      <c r="G6250" s="202" t="str">
        <f t="shared" si="97"/>
        <v/>
      </c>
    </row>
    <row r="6251" spans="1:7" s="172" customFormat="1" ht="15" customHeight="1" x14ac:dyDescent="0.25">
      <c r="A6251" s="803" t="s">
        <v>5127</v>
      </c>
      <c r="B6251" s="803" t="s">
        <v>4870</v>
      </c>
      <c r="C6251" s="803" t="s">
        <v>4870</v>
      </c>
      <c r="D6251" s="803" t="s">
        <v>5129</v>
      </c>
      <c r="E6251" s="803">
        <v>60</v>
      </c>
      <c r="F6251" s="850">
        <v>20</v>
      </c>
      <c r="G6251" s="202" t="str">
        <f t="shared" si="97"/>
        <v/>
      </c>
    </row>
    <row r="6252" spans="1:7" s="172" customFormat="1" ht="15" customHeight="1" x14ac:dyDescent="0.25">
      <c r="A6252" s="803" t="s">
        <v>3109</v>
      </c>
      <c r="B6252" s="803" t="s">
        <v>4870</v>
      </c>
      <c r="C6252" s="803" t="s">
        <v>4870</v>
      </c>
      <c r="D6252" s="803" t="s">
        <v>5130</v>
      </c>
      <c r="E6252" s="803">
        <v>30</v>
      </c>
      <c r="F6252" s="850">
        <v>10</v>
      </c>
      <c r="G6252" s="202" t="str">
        <f t="shared" si="97"/>
        <v/>
      </c>
    </row>
    <row r="6253" spans="1:7" s="172" customFormat="1" ht="15" customHeight="1" x14ac:dyDescent="0.25">
      <c r="A6253" s="803" t="s">
        <v>5131</v>
      </c>
      <c r="B6253" s="803" t="s">
        <v>4870</v>
      </c>
      <c r="C6253" s="803" t="s">
        <v>4870</v>
      </c>
      <c r="D6253" s="803" t="s">
        <v>5132</v>
      </c>
      <c r="E6253" s="803">
        <v>40</v>
      </c>
      <c r="F6253" s="850">
        <v>5</v>
      </c>
      <c r="G6253" s="202" t="str">
        <f t="shared" si="97"/>
        <v/>
      </c>
    </row>
    <row r="6254" spans="1:7" s="172" customFormat="1" ht="15" customHeight="1" x14ac:dyDescent="0.25">
      <c r="A6254" s="803" t="s">
        <v>5133</v>
      </c>
      <c r="B6254" s="803" t="s">
        <v>4870</v>
      </c>
      <c r="C6254" s="803" t="s">
        <v>4870</v>
      </c>
      <c r="D6254" s="803" t="s">
        <v>5134</v>
      </c>
      <c r="E6254" s="803">
        <v>63</v>
      </c>
      <c r="F6254" s="850">
        <v>20</v>
      </c>
      <c r="G6254" s="202" t="str">
        <f t="shared" si="97"/>
        <v/>
      </c>
    </row>
    <row r="6255" spans="1:7" s="172" customFormat="1" ht="15" customHeight="1" x14ac:dyDescent="0.25">
      <c r="A6255" s="803" t="s">
        <v>5135</v>
      </c>
      <c r="B6255" s="803" t="s">
        <v>4870</v>
      </c>
      <c r="C6255" s="803" t="s">
        <v>4870</v>
      </c>
      <c r="D6255" s="803" t="s">
        <v>5136</v>
      </c>
      <c r="E6255" s="803">
        <v>100</v>
      </c>
      <c r="F6255" s="850">
        <v>30</v>
      </c>
      <c r="G6255" s="202" t="str">
        <f t="shared" si="97"/>
        <v/>
      </c>
    </row>
    <row r="6256" spans="1:7" s="172" customFormat="1" ht="15" customHeight="1" x14ac:dyDescent="0.25">
      <c r="A6256" s="803" t="s">
        <v>5137</v>
      </c>
      <c r="B6256" s="803" t="s">
        <v>4870</v>
      </c>
      <c r="C6256" s="803" t="s">
        <v>4870</v>
      </c>
      <c r="D6256" s="803" t="s">
        <v>5138</v>
      </c>
      <c r="E6256" s="803">
        <v>30</v>
      </c>
      <c r="F6256" s="850">
        <v>5</v>
      </c>
      <c r="G6256" s="202" t="str">
        <f t="shared" si="97"/>
        <v/>
      </c>
    </row>
    <row r="6257" spans="1:7" s="172" customFormat="1" ht="15" customHeight="1" x14ac:dyDescent="0.25">
      <c r="A6257" s="803" t="s">
        <v>5139</v>
      </c>
      <c r="B6257" s="803" t="s">
        <v>4870</v>
      </c>
      <c r="C6257" s="803" t="s">
        <v>4870</v>
      </c>
      <c r="D6257" s="803" t="s">
        <v>5140</v>
      </c>
      <c r="E6257" s="803">
        <v>60</v>
      </c>
      <c r="F6257" s="850">
        <v>20</v>
      </c>
      <c r="G6257" s="202" t="str">
        <f t="shared" si="97"/>
        <v/>
      </c>
    </row>
    <row r="6258" spans="1:7" s="172" customFormat="1" ht="15" customHeight="1" x14ac:dyDescent="0.25">
      <c r="A6258" s="803" t="s">
        <v>5141</v>
      </c>
      <c r="B6258" s="803" t="s">
        <v>4870</v>
      </c>
      <c r="C6258" s="803" t="s">
        <v>4870</v>
      </c>
      <c r="D6258" s="803" t="s">
        <v>5142</v>
      </c>
      <c r="E6258" s="803">
        <v>30</v>
      </c>
      <c r="F6258" s="850">
        <v>5</v>
      </c>
      <c r="G6258" s="202" t="str">
        <f t="shared" si="97"/>
        <v/>
      </c>
    </row>
    <row r="6259" spans="1:7" s="172" customFormat="1" ht="15" customHeight="1" x14ac:dyDescent="0.25">
      <c r="A6259" s="803" t="s">
        <v>5113</v>
      </c>
      <c r="B6259" s="803" t="s">
        <v>4870</v>
      </c>
      <c r="C6259" s="803" t="s">
        <v>4870</v>
      </c>
      <c r="D6259" s="803" t="s">
        <v>5143</v>
      </c>
      <c r="E6259" s="803">
        <v>160</v>
      </c>
      <c r="F6259" s="850">
        <v>50</v>
      </c>
      <c r="G6259" s="202" t="str">
        <f t="shared" si="97"/>
        <v/>
      </c>
    </row>
    <row r="6260" spans="1:7" s="172" customFormat="1" ht="15" customHeight="1" x14ac:dyDescent="0.25">
      <c r="A6260" s="803" t="s">
        <v>5113</v>
      </c>
      <c r="B6260" s="803" t="s">
        <v>4870</v>
      </c>
      <c r="C6260" s="803" t="s">
        <v>4870</v>
      </c>
      <c r="D6260" s="803" t="s">
        <v>5144</v>
      </c>
      <c r="E6260" s="803">
        <v>250</v>
      </c>
      <c r="F6260" s="850">
        <v>100</v>
      </c>
      <c r="G6260" s="202" t="str">
        <f t="shared" si="97"/>
        <v/>
      </c>
    </row>
    <row r="6261" spans="1:7" s="172" customFormat="1" ht="15" customHeight="1" x14ac:dyDescent="0.25">
      <c r="A6261" s="803" t="s">
        <v>5113</v>
      </c>
      <c r="B6261" s="803" t="s">
        <v>4870</v>
      </c>
      <c r="C6261" s="803" t="s">
        <v>4870</v>
      </c>
      <c r="D6261" s="803" t="s">
        <v>5145</v>
      </c>
      <c r="E6261" s="803">
        <v>250</v>
      </c>
      <c r="F6261" s="850">
        <v>100</v>
      </c>
      <c r="G6261" s="202" t="str">
        <f t="shared" si="97"/>
        <v/>
      </c>
    </row>
    <row r="6262" spans="1:7" s="172" customFormat="1" ht="15" customHeight="1" x14ac:dyDescent="0.25">
      <c r="A6262" s="803" t="s">
        <v>5113</v>
      </c>
      <c r="B6262" s="803" t="s">
        <v>4870</v>
      </c>
      <c r="C6262" s="803" t="s">
        <v>4870</v>
      </c>
      <c r="D6262" s="803" t="s">
        <v>5146</v>
      </c>
      <c r="E6262" s="803">
        <v>100</v>
      </c>
      <c r="F6262" s="850">
        <v>40</v>
      </c>
      <c r="G6262" s="202" t="str">
        <f t="shared" si="97"/>
        <v/>
      </c>
    </row>
    <row r="6263" spans="1:7" s="172" customFormat="1" ht="15" customHeight="1" x14ac:dyDescent="0.25">
      <c r="A6263" s="803" t="s">
        <v>3521</v>
      </c>
      <c r="B6263" s="803" t="s">
        <v>3506</v>
      </c>
      <c r="C6263" s="803" t="s">
        <v>18210</v>
      </c>
      <c r="D6263" s="803" t="s">
        <v>3522</v>
      </c>
      <c r="E6263" s="803">
        <v>100</v>
      </c>
      <c r="F6263" s="850">
        <v>25</v>
      </c>
      <c r="G6263" s="202" t="str">
        <f t="shared" si="97"/>
        <v/>
      </c>
    </row>
    <row r="6264" spans="1:7" s="172" customFormat="1" ht="15" customHeight="1" x14ac:dyDescent="0.25">
      <c r="A6264" s="803" t="s">
        <v>18211</v>
      </c>
      <c r="B6264" s="803" t="s">
        <v>3506</v>
      </c>
      <c r="C6264" s="803" t="s">
        <v>18210</v>
      </c>
      <c r="D6264" s="803" t="s">
        <v>3525</v>
      </c>
      <c r="E6264" s="803">
        <v>100</v>
      </c>
      <c r="F6264" s="850">
        <v>18</v>
      </c>
      <c r="G6264" s="202" t="str">
        <f t="shared" si="97"/>
        <v/>
      </c>
    </row>
    <row r="6265" spans="1:7" s="172" customFormat="1" ht="15" customHeight="1" x14ac:dyDescent="0.25">
      <c r="A6265" s="803" t="s">
        <v>2991</v>
      </c>
      <c r="B6265" s="803" t="s">
        <v>3506</v>
      </c>
      <c r="C6265" s="803" t="s">
        <v>18210</v>
      </c>
      <c r="D6265" s="803" t="s">
        <v>3542</v>
      </c>
      <c r="E6265" s="803">
        <v>10</v>
      </c>
      <c r="F6265" s="850">
        <v>3</v>
      </c>
      <c r="G6265" s="202" t="str">
        <f t="shared" si="97"/>
        <v/>
      </c>
    </row>
    <row r="6266" spans="1:7" s="172" customFormat="1" ht="15" customHeight="1" x14ac:dyDescent="0.25">
      <c r="A6266" s="803" t="s">
        <v>3575</v>
      </c>
      <c r="B6266" s="803" t="s">
        <v>3506</v>
      </c>
      <c r="C6266" s="803" t="s">
        <v>18210</v>
      </c>
      <c r="D6266" s="803" t="s">
        <v>3576</v>
      </c>
      <c r="E6266" s="803">
        <v>63</v>
      </c>
      <c r="F6266" s="850">
        <v>50</v>
      </c>
      <c r="G6266" s="202" t="str">
        <f t="shared" si="97"/>
        <v/>
      </c>
    </row>
    <row r="6267" spans="1:7" s="172" customFormat="1" ht="15" customHeight="1" x14ac:dyDescent="0.25">
      <c r="A6267" s="803" t="s">
        <v>3575</v>
      </c>
      <c r="B6267" s="803" t="s">
        <v>3506</v>
      </c>
      <c r="C6267" s="803" t="s">
        <v>18210</v>
      </c>
      <c r="D6267" s="803" t="s">
        <v>3577</v>
      </c>
      <c r="E6267" s="803">
        <v>40</v>
      </c>
      <c r="F6267" s="850">
        <v>22</v>
      </c>
      <c r="G6267" s="202" t="str">
        <f t="shared" si="97"/>
        <v/>
      </c>
    </row>
    <row r="6268" spans="1:7" s="172" customFormat="1" ht="15" customHeight="1" x14ac:dyDescent="0.25">
      <c r="A6268" s="803" t="s">
        <v>3661</v>
      </c>
      <c r="B6268" s="803" t="s">
        <v>3506</v>
      </c>
      <c r="C6268" s="803" t="s">
        <v>18210</v>
      </c>
      <c r="D6268" s="803" t="s">
        <v>3662</v>
      </c>
      <c r="E6268" s="803">
        <v>60</v>
      </c>
      <c r="F6268" s="850">
        <v>5</v>
      </c>
      <c r="G6268" s="202" t="str">
        <f t="shared" si="97"/>
        <v/>
      </c>
    </row>
    <row r="6269" spans="1:7" s="172" customFormat="1" ht="15" customHeight="1" x14ac:dyDescent="0.25">
      <c r="A6269" s="803" t="s">
        <v>3677</v>
      </c>
      <c r="B6269" s="803" t="s">
        <v>3506</v>
      </c>
      <c r="C6269" s="803" t="s">
        <v>18210</v>
      </c>
      <c r="D6269" s="803" t="s">
        <v>3678</v>
      </c>
      <c r="E6269" s="803">
        <v>60</v>
      </c>
      <c r="F6269" s="850">
        <v>13</v>
      </c>
      <c r="G6269" s="202" t="str">
        <f t="shared" si="97"/>
        <v/>
      </c>
    </row>
    <row r="6270" spans="1:7" s="172" customFormat="1" ht="15" customHeight="1" x14ac:dyDescent="0.25">
      <c r="A6270" s="803" t="s">
        <v>3740</v>
      </c>
      <c r="B6270" s="803" t="s">
        <v>3506</v>
      </c>
      <c r="C6270" s="803" t="s">
        <v>18210</v>
      </c>
      <c r="D6270" s="803" t="s">
        <v>3741</v>
      </c>
      <c r="E6270" s="803">
        <v>10</v>
      </c>
      <c r="F6270" s="850">
        <v>3</v>
      </c>
      <c r="G6270" s="202" t="str">
        <f t="shared" si="97"/>
        <v/>
      </c>
    </row>
    <row r="6271" spans="1:7" s="172" customFormat="1" ht="15" customHeight="1" x14ac:dyDescent="0.25">
      <c r="A6271" s="803" t="s">
        <v>3523</v>
      </c>
      <c r="B6271" s="803" t="s">
        <v>3506</v>
      </c>
      <c r="C6271" s="803" t="s">
        <v>18210</v>
      </c>
      <c r="D6271" s="803" t="s">
        <v>3524</v>
      </c>
      <c r="E6271" s="803">
        <v>60</v>
      </c>
      <c r="F6271" s="850">
        <v>9</v>
      </c>
      <c r="G6271" s="202" t="str">
        <f t="shared" si="97"/>
        <v/>
      </c>
    </row>
    <row r="6272" spans="1:7" s="172" customFormat="1" ht="15" customHeight="1" x14ac:dyDescent="0.25">
      <c r="A6272" s="803" t="s">
        <v>3131</v>
      </c>
      <c r="B6272" s="803" t="s">
        <v>3506</v>
      </c>
      <c r="C6272" s="803" t="s">
        <v>18210</v>
      </c>
      <c r="D6272" s="803" t="s">
        <v>3539</v>
      </c>
      <c r="E6272" s="803">
        <v>60</v>
      </c>
      <c r="F6272" s="850">
        <v>13</v>
      </c>
      <c r="G6272" s="202" t="str">
        <f t="shared" si="97"/>
        <v/>
      </c>
    </row>
    <row r="6273" spans="1:7" s="172" customFormat="1" ht="15" customHeight="1" x14ac:dyDescent="0.25">
      <c r="A6273" s="803" t="s">
        <v>3570</v>
      </c>
      <c r="B6273" s="803" t="s">
        <v>3506</v>
      </c>
      <c r="C6273" s="803" t="s">
        <v>18210</v>
      </c>
      <c r="D6273" s="803" t="s">
        <v>3571</v>
      </c>
      <c r="E6273" s="803">
        <v>100</v>
      </c>
      <c r="F6273" s="850">
        <v>14</v>
      </c>
      <c r="G6273" s="202" t="str">
        <f t="shared" si="97"/>
        <v/>
      </c>
    </row>
    <row r="6274" spans="1:7" s="172" customFormat="1" ht="15" customHeight="1" x14ac:dyDescent="0.25">
      <c r="A6274" s="803" t="s">
        <v>3570</v>
      </c>
      <c r="B6274" s="803" t="s">
        <v>3506</v>
      </c>
      <c r="C6274" s="803" t="s">
        <v>18210</v>
      </c>
      <c r="D6274" s="803" t="s">
        <v>3572</v>
      </c>
      <c r="E6274" s="803">
        <v>100</v>
      </c>
      <c r="F6274" s="850">
        <v>16</v>
      </c>
      <c r="G6274" s="202" t="str">
        <f t="shared" si="97"/>
        <v/>
      </c>
    </row>
    <row r="6275" spans="1:7" s="172" customFormat="1" ht="15" customHeight="1" x14ac:dyDescent="0.25">
      <c r="A6275" s="803" t="s">
        <v>3570</v>
      </c>
      <c r="B6275" s="803" t="s">
        <v>3506</v>
      </c>
      <c r="C6275" s="803" t="s">
        <v>18210</v>
      </c>
      <c r="D6275" s="803" t="s">
        <v>3573</v>
      </c>
      <c r="E6275" s="803">
        <v>100</v>
      </c>
      <c r="F6275" s="850">
        <v>54</v>
      </c>
      <c r="G6275" s="202" t="str">
        <f t="shared" si="97"/>
        <v/>
      </c>
    </row>
    <row r="6276" spans="1:7" s="172" customFormat="1" ht="15" customHeight="1" x14ac:dyDescent="0.25">
      <c r="A6276" s="803" t="s">
        <v>3614</v>
      </c>
      <c r="B6276" s="803" t="s">
        <v>3506</v>
      </c>
      <c r="C6276" s="803" t="s">
        <v>18210</v>
      </c>
      <c r="D6276" s="803" t="s">
        <v>3615</v>
      </c>
      <c r="E6276" s="803">
        <v>63</v>
      </c>
      <c r="F6276" s="850">
        <v>4</v>
      </c>
      <c r="G6276" s="202" t="str">
        <f t="shared" si="97"/>
        <v/>
      </c>
    </row>
    <row r="6277" spans="1:7" s="172" customFormat="1" ht="15" customHeight="1" x14ac:dyDescent="0.25">
      <c r="A6277" s="803" t="s">
        <v>18214</v>
      </c>
      <c r="B6277" s="803" t="s">
        <v>3506</v>
      </c>
      <c r="C6277" s="803" t="s">
        <v>18210</v>
      </c>
      <c r="D6277" s="803" t="s">
        <v>3620</v>
      </c>
      <c r="E6277" s="803">
        <v>20</v>
      </c>
      <c r="F6277" s="850">
        <v>6</v>
      </c>
      <c r="G6277" s="202" t="str">
        <f t="shared" si="97"/>
        <v/>
      </c>
    </row>
    <row r="6278" spans="1:7" s="172" customFormat="1" ht="15" customHeight="1" x14ac:dyDescent="0.25">
      <c r="A6278" s="803" t="s">
        <v>3667</v>
      </c>
      <c r="B6278" s="803" t="s">
        <v>3506</v>
      </c>
      <c r="C6278" s="803" t="s">
        <v>18210</v>
      </c>
      <c r="D6278" s="803" t="s">
        <v>3668</v>
      </c>
      <c r="E6278" s="803">
        <v>60</v>
      </c>
      <c r="F6278" s="850">
        <v>8</v>
      </c>
      <c r="G6278" s="202" t="str">
        <f t="shared" si="97"/>
        <v/>
      </c>
    </row>
    <row r="6279" spans="1:7" s="172" customFormat="1" ht="15" customHeight="1" x14ac:dyDescent="0.25">
      <c r="A6279" s="803" t="s">
        <v>3689</v>
      </c>
      <c r="B6279" s="803" t="s">
        <v>3506</v>
      </c>
      <c r="C6279" s="803" t="s">
        <v>18210</v>
      </c>
      <c r="D6279" s="803" t="s">
        <v>3690</v>
      </c>
      <c r="E6279" s="803">
        <v>100</v>
      </c>
      <c r="F6279" s="850">
        <v>3</v>
      </c>
      <c r="G6279" s="202" t="str">
        <f t="shared" si="97"/>
        <v/>
      </c>
    </row>
    <row r="6280" spans="1:7" s="172" customFormat="1" ht="15" customHeight="1" x14ac:dyDescent="0.25">
      <c r="A6280" s="803" t="s">
        <v>3570</v>
      </c>
      <c r="B6280" s="803" t="s">
        <v>3506</v>
      </c>
      <c r="C6280" s="803" t="s">
        <v>18210</v>
      </c>
      <c r="D6280" s="803" t="s">
        <v>3737</v>
      </c>
      <c r="E6280" s="803">
        <v>250</v>
      </c>
      <c r="F6280" s="850">
        <v>28</v>
      </c>
      <c r="G6280" s="202" t="str">
        <f t="shared" si="97"/>
        <v/>
      </c>
    </row>
    <row r="6281" spans="1:7" s="172" customFormat="1" ht="15" customHeight="1" x14ac:dyDescent="0.25">
      <c r="A6281" s="803" t="s">
        <v>3570</v>
      </c>
      <c r="B6281" s="803" t="s">
        <v>3506</v>
      </c>
      <c r="C6281" s="803" t="s">
        <v>18210</v>
      </c>
      <c r="D6281" s="803" t="s">
        <v>3738</v>
      </c>
      <c r="E6281" s="803">
        <v>160</v>
      </c>
      <c r="F6281" s="850">
        <v>21</v>
      </c>
      <c r="G6281" s="202" t="str">
        <f t="shared" si="97"/>
        <v/>
      </c>
    </row>
    <row r="6282" spans="1:7" s="172" customFormat="1" ht="15" customHeight="1" x14ac:dyDescent="0.25">
      <c r="A6282" s="803" t="s">
        <v>18225</v>
      </c>
      <c r="B6282" s="803" t="s">
        <v>3506</v>
      </c>
      <c r="C6282" s="803" t="s">
        <v>18210</v>
      </c>
      <c r="D6282" s="803" t="s">
        <v>3743</v>
      </c>
      <c r="E6282" s="803">
        <v>4</v>
      </c>
      <c r="F6282" s="850">
        <v>1</v>
      </c>
      <c r="G6282" s="202" t="str">
        <f t="shared" si="97"/>
        <v/>
      </c>
    </row>
    <row r="6283" spans="1:7" s="172" customFormat="1" ht="15" customHeight="1" x14ac:dyDescent="0.25">
      <c r="A6283" s="803" t="s">
        <v>3519</v>
      </c>
      <c r="B6283" s="803" t="s">
        <v>3506</v>
      </c>
      <c r="C6283" s="803" t="s">
        <v>18210</v>
      </c>
      <c r="D6283" s="803" t="s">
        <v>3520</v>
      </c>
      <c r="E6283" s="803">
        <v>40</v>
      </c>
      <c r="F6283" s="850">
        <v>7</v>
      </c>
      <c r="G6283" s="202" t="str">
        <f t="shared" si="97"/>
        <v/>
      </c>
    </row>
    <row r="6284" spans="1:7" s="172" customFormat="1" ht="15" customHeight="1" x14ac:dyDescent="0.25">
      <c r="A6284" s="803" t="s">
        <v>3530</v>
      </c>
      <c r="B6284" s="803" t="s">
        <v>3506</v>
      </c>
      <c r="C6284" s="803" t="s">
        <v>18210</v>
      </c>
      <c r="D6284" s="803" t="s">
        <v>3531</v>
      </c>
      <c r="E6284" s="803">
        <v>160</v>
      </c>
      <c r="F6284" s="850">
        <v>64</v>
      </c>
      <c r="G6284" s="202" t="str">
        <f t="shared" si="97"/>
        <v/>
      </c>
    </row>
    <row r="6285" spans="1:7" s="172" customFormat="1" ht="15" customHeight="1" x14ac:dyDescent="0.25">
      <c r="A6285" s="803" t="s">
        <v>3530</v>
      </c>
      <c r="B6285" s="803" t="s">
        <v>3506</v>
      </c>
      <c r="C6285" s="803" t="s">
        <v>18210</v>
      </c>
      <c r="D6285" s="803" t="s">
        <v>3532</v>
      </c>
      <c r="E6285" s="803">
        <v>100</v>
      </c>
      <c r="F6285" s="850">
        <v>34</v>
      </c>
      <c r="G6285" s="202" t="str">
        <f t="shared" si="97"/>
        <v/>
      </c>
    </row>
    <row r="6286" spans="1:7" s="172" customFormat="1" ht="15" customHeight="1" x14ac:dyDescent="0.25">
      <c r="A6286" s="803" t="s">
        <v>3559</v>
      </c>
      <c r="B6286" s="803" t="s">
        <v>3506</v>
      </c>
      <c r="C6286" s="803" t="s">
        <v>18210</v>
      </c>
      <c r="D6286" s="803" t="s">
        <v>3560</v>
      </c>
      <c r="E6286" s="803">
        <v>60</v>
      </c>
      <c r="F6286" s="850">
        <v>7</v>
      </c>
      <c r="G6286" s="202" t="str">
        <f t="shared" si="97"/>
        <v/>
      </c>
    </row>
    <row r="6287" spans="1:7" s="172" customFormat="1" ht="15" customHeight="1" x14ac:dyDescent="0.25">
      <c r="A6287" s="803" t="s">
        <v>3595</v>
      </c>
      <c r="B6287" s="803" t="s">
        <v>3506</v>
      </c>
      <c r="C6287" s="803" t="s">
        <v>18210</v>
      </c>
      <c r="D6287" s="803" t="s">
        <v>3596</v>
      </c>
      <c r="E6287" s="803">
        <v>30</v>
      </c>
      <c r="F6287" s="850">
        <v>5</v>
      </c>
      <c r="G6287" s="202" t="str">
        <f t="shared" si="97"/>
        <v/>
      </c>
    </row>
    <row r="6288" spans="1:7" s="172" customFormat="1" ht="15" customHeight="1" x14ac:dyDescent="0.25">
      <c r="A6288" s="803" t="s">
        <v>3603</v>
      </c>
      <c r="B6288" s="803" t="s">
        <v>3506</v>
      </c>
      <c r="C6288" s="803" t="s">
        <v>18210</v>
      </c>
      <c r="D6288" s="803" t="s">
        <v>3604</v>
      </c>
      <c r="E6288" s="803">
        <v>60</v>
      </c>
      <c r="F6288" s="850">
        <v>5</v>
      </c>
      <c r="G6288" s="202" t="str">
        <f t="shared" si="97"/>
        <v/>
      </c>
    </row>
    <row r="6289" spans="1:7" s="172" customFormat="1" ht="15" customHeight="1" x14ac:dyDescent="0.25">
      <c r="A6289" s="803" t="s">
        <v>3687</v>
      </c>
      <c r="B6289" s="803" t="s">
        <v>3506</v>
      </c>
      <c r="C6289" s="803" t="s">
        <v>18210</v>
      </c>
      <c r="D6289" s="803" t="s">
        <v>3688</v>
      </c>
      <c r="E6289" s="803">
        <v>40</v>
      </c>
      <c r="F6289" s="850">
        <v>4</v>
      </c>
      <c r="G6289" s="202" t="str">
        <f t="shared" si="97"/>
        <v/>
      </c>
    </row>
    <row r="6290" spans="1:7" s="172" customFormat="1" ht="15" customHeight="1" x14ac:dyDescent="0.25">
      <c r="A6290" s="803" t="s">
        <v>3710</v>
      </c>
      <c r="B6290" s="803" t="s">
        <v>3506</v>
      </c>
      <c r="C6290" s="803" t="s">
        <v>18210</v>
      </c>
      <c r="D6290" s="803" t="s">
        <v>3711</v>
      </c>
      <c r="E6290" s="803">
        <v>60</v>
      </c>
      <c r="F6290" s="850">
        <v>9</v>
      </c>
      <c r="G6290" s="202" t="str">
        <f t="shared" si="97"/>
        <v/>
      </c>
    </row>
    <row r="6291" spans="1:7" s="172" customFormat="1" ht="15" customHeight="1" x14ac:dyDescent="0.25">
      <c r="A6291" s="803" t="s">
        <v>3510</v>
      </c>
      <c r="B6291" s="803" t="s">
        <v>3506</v>
      </c>
      <c r="C6291" s="803" t="s">
        <v>18210</v>
      </c>
      <c r="D6291" s="803" t="s">
        <v>3647</v>
      </c>
      <c r="E6291" s="803">
        <v>160</v>
      </c>
      <c r="F6291" s="850">
        <v>15</v>
      </c>
      <c r="G6291" s="202" t="str">
        <f t="shared" si="97"/>
        <v/>
      </c>
    </row>
    <row r="6292" spans="1:7" s="172" customFormat="1" ht="15" customHeight="1" x14ac:dyDescent="0.25">
      <c r="A6292" s="803" t="s">
        <v>3669</v>
      </c>
      <c r="B6292" s="803" t="s">
        <v>3506</v>
      </c>
      <c r="C6292" s="803" t="s">
        <v>18210</v>
      </c>
      <c r="D6292" s="803" t="s">
        <v>3670</v>
      </c>
      <c r="E6292" s="803">
        <v>63</v>
      </c>
      <c r="F6292" s="850">
        <v>59</v>
      </c>
      <c r="G6292" s="202" t="str">
        <f t="shared" si="97"/>
        <v/>
      </c>
    </row>
    <row r="6293" spans="1:7" s="172" customFormat="1" ht="15" customHeight="1" x14ac:dyDescent="0.25">
      <c r="A6293" s="803" t="s">
        <v>3685</v>
      </c>
      <c r="B6293" s="803" t="s">
        <v>3506</v>
      </c>
      <c r="C6293" s="803" t="s">
        <v>18210</v>
      </c>
      <c r="D6293" s="803" t="s">
        <v>3686</v>
      </c>
      <c r="E6293" s="803">
        <v>30</v>
      </c>
      <c r="F6293" s="850">
        <v>16</v>
      </c>
      <c r="G6293" s="202" t="str">
        <f t="shared" si="97"/>
        <v/>
      </c>
    </row>
    <row r="6294" spans="1:7" s="172" customFormat="1" ht="15" customHeight="1" x14ac:dyDescent="0.25">
      <c r="A6294" s="803" t="s">
        <v>3695</v>
      </c>
      <c r="B6294" s="803" t="s">
        <v>3506</v>
      </c>
      <c r="C6294" s="803" t="s">
        <v>18210</v>
      </c>
      <c r="D6294" s="803" t="s">
        <v>3696</v>
      </c>
      <c r="E6294" s="803">
        <v>63</v>
      </c>
      <c r="F6294" s="850">
        <v>14</v>
      </c>
      <c r="G6294" s="202" t="str">
        <f t="shared" si="97"/>
        <v/>
      </c>
    </row>
    <row r="6295" spans="1:7" s="172" customFormat="1" ht="15" customHeight="1" x14ac:dyDescent="0.25">
      <c r="A6295" s="803" t="s">
        <v>3508</v>
      </c>
      <c r="B6295" s="803" t="s">
        <v>3506</v>
      </c>
      <c r="C6295" s="803" t="s">
        <v>18210</v>
      </c>
      <c r="D6295" s="803" t="s">
        <v>3509</v>
      </c>
      <c r="E6295" s="803">
        <v>250</v>
      </c>
      <c r="F6295" s="850">
        <v>60</v>
      </c>
      <c r="G6295" s="202" t="str">
        <f t="shared" si="97"/>
        <v/>
      </c>
    </row>
    <row r="6296" spans="1:7" s="172" customFormat="1" ht="15" customHeight="1" x14ac:dyDescent="0.25">
      <c r="A6296" s="803" t="s">
        <v>3510</v>
      </c>
      <c r="B6296" s="803" t="s">
        <v>3506</v>
      </c>
      <c r="C6296" s="803" t="s">
        <v>18210</v>
      </c>
      <c r="D6296" s="803" t="s">
        <v>16060</v>
      </c>
      <c r="E6296" s="803">
        <v>500</v>
      </c>
      <c r="F6296" s="850">
        <v>148</v>
      </c>
      <c r="G6296" s="202" t="str">
        <f t="shared" si="97"/>
        <v/>
      </c>
    </row>
    <row r="6297" spans="1:7" s="172" customFormat="1" ht="15" customHeight="1" x14ac:dyDescent="0.25">
      <c r="A6297" s="803" t="s">
        <v>3508</v>
      </c>
      <c r="B6297" s="803" t="s">
        <v>3506</v>
      </c>
      <c r="C6297" s="803" t="s">
        <v>18210</v>
      </c>
      <c r="D6297" s="803" t="s">
        <v>3514</v>
      </c>
      <c r="E6297" s="803">
        <v>100</v>
      </c>
      <c r="F6297" s="850">
        <v>24</v>
      </c>
      <c r="G6297" s="202" t="str">
        <f t="shared" si="97"/>
        <v/>
      </c>
    </row>
    <row r="6298" spans="1:7" s="172" customFormat="1" ht="15" customHeight="1" x14ac:dyDescent="0.25">
      <c r="A6298" s="803" t="s">
        <v>18213</v>
      </c>
      <c r="B6298" s="803" t="s">
        <v>3506</v>
      </c>
      <c r="C6298" s="803" t="s">
        <v>18210</v>
      </c>
      <c r="D6298" s="803" t="s">
        <v>3537</v>
      </c>
      <c r="E6298" s="803">
        <v>20</v>
      </c>
      <c r="F6298" s="850">
        <v>3</v>
      </c>
      <c r="G6298" s="202" t="str">
        <f t="shared" si="97"/>
        <v/>
      </c>
    </row>
    <row r="6299" spans="1:7" s="172" customFormat="1" ht="15" customHeight="1" x14ac:dyDescent="0.25">
      <c r="A6299" s="803" t="s">
        <v>3543</v>
      </c>
      <c r="B6299" s="803" t="s">
        <v>3506</v>
      </c>
      <c r="C6299" s="803" t="s">
        <v>18210</v>
      </c>
      <c r="D6299" s="803" t="s">
        <v>3544</v>
      </c>
      <c r="E6299" s="803">
        <v>60</v>
      </c>
      <c r="F6299" s="850">
        <v>5</v>
      </c>
      <c r="G6299" s="202" t="str">
        <f t="shared" si="97"/>
        <v/>
      </c>
    </row>
    <row r="6300" spans="1:7" s="172" customFormat="1" ht="15" customHeight="1" x14ac:dyDescent="0.25">
      <c r="A6300" s="803" t="s">
        <v>3568</v>
      </c>
      <c r="B6300" s="803" t="s">
        <v>3506</v>
      </c>
      <c r="C6300" s="803" t="s">
        <v>18210</v>
      </c>
      <c r="D6300" s="803" t="s">
        <v>3569</v>
      </c>
      <c r="E6300" s="803">
        <v>100</v>
      </c>
      <c r="F6300" s="850">
        <v>61</v>
      </c>
      <c r="G6300" s="202" t="str">
        <f t="shared" si="97"/>
        <v/>
      </c>
    </row>
    <row r="6301" spans="1:7" s="172" customFormat="1" ht="15" customHeight="1" x14ac:dyDescent="0.25">
      <c r="A6301" s="803" t="s">
        <v>3580</v>
      </c>
      <c r="B6301" s="803" t="s">
        <v>3506</v>
      </c>
      <c r="C6301" s="803" t="s">
        <v>18210</v>
      </c>
      <c r="D6301" s="803" t="s">
        <v>3581</v>
      </c>
      <c r="E6301" s="803">
        <v>30</v>
      </c>
      <c r="F6301" s="850">
        <v>6</v>
      </c>
      <c r="G6301" s="202" t="str">
        <f t="shared" ref="G6301:G6364" si="98">IF(E6301=F6301,"не загружен","")</f>
        <v/>
      </c>
    </row>
    <row r="6302" spans="1:7" s="172" customFormat="1" ht="15" customHeight="1" x14ac:dyDescent="0.25">
      <c r="A6302" s="803" t="s">
        <v>3585</v>
      </c>
      <c r="B6302" s="803" t="s">
        <v>3506</v>
      </c>
      <c r="C6302" s="803" t="s">
        <v>18210</v>
      </c>
      <c r="D6302" s="803" t="s">
        <v>3586</v>
      </c>
      <c r="E6302" s="803">
        <v>60</v>
      </c>
      <c r="F6302" s="850">
        <v>9</v>
      </c>
      <c r="G6302" s="202" t="str">
        <f t="shared" si="98"/>
        <v/>
      </c>
    </row>
    <row r="6303" spans="1:7" s="172" customFormat="1" ht="15" customHeight="1" x14ac:dyDescent="0.25">
      <c r="A6303" s="803" t="s">
        <v>3587</v>
      </c>
      <c r="B6303" s="803" t="s">
        <v>3506</v>
      </c>
      <c r="C6303" s="803" t="s">
        <v>18210</v>
      </c>
      <c r="D6303" s="803" t="s">
        <v>3588</v>
      </c>
      <c r="E6303" s="803">
        <v>160</v>
      </c>
      <c r="F6303" s="850">
        <v>5</v>
      </c>
      <c r="G6303" s="202" t="str">
        <f t="shared" si="98"/>
        <v/>
      </c>
    </row>
    <row r="6304" spans="1:7" s="172" customFormat="1" ht="15" customHeight="1" x14ac:dyDescent="0.25">
      <c r="A6304" s="803" t="s">
        <v>3587</v>
      </c>
      <c r="B6304" s="803" t="s">
        <v>3506</v>
      </c>
      <c r="C6304" s="803" t="s">
        <v>18210</v>
      </c>
      <c r="D6304" s="803" t="s">
        <v>3589</v>
      </c>
      <c r="E6304" s="803">
        <v>160</v>
      </c>
      <c r="F6304" s="850">
        <v>101</v>
      </c>
      <c r="G6304" s="202" t="str">
        <f t="shared" si="98"/>
        <v/>
      </c>
    </row>
    <row r="6305" spans="1:7" s="172" customFormat="1" ht="15" customHeight="1" x14ac:dyDescent="0.25">
      <c r="A6305" s="803" t="s">
        <v>3590</v>
      </c>
      <c r="B6305" s="803" t="s">
        <v>3506</v>
      </c>
      <c r="C6305" s="803" t="s">
        <v>18210</v>
      </c>
      <c r="D6305" s="803" t="s">
        <v>3591</v>
      </c>
      <c r="E6305" s="803">
        <v>60</v>
      </c>
      <c r="F6305" s="850">
        <v>41</v>
      </c>
      <c r="G6305" s="202" t="str">
        <f t="shared" si="98"/>
        <v/>
      </c>
    </row>
    <row r="6306" spans="1:7" s="172" customFormat="1" ht="15" customHeight="1" x14ac:dyDescent="0.25">
      <c r="A6306" s="803" t="s">
        <v>3618</v>
      </c>
      <c r="B6306" s="803" t="s">
        <v>3506</v>
      </c>
      <c r="C6306" s="803" t="s">
        <v>18210</v>
      </c>
      <c r="D6306" s="803" t="s">
        <v>3619</v>
      </c>
      <c r="E6306" s="803">
        <v>40</v>
      </c>
      <c r="F6306" s="850">
        <v>22</v>
      </c>
      <c r="G6306" s="202" t="str">
        <f t="shared" si="98"/>
        <v/>
      </c>
    </row>
    <row r="6307" spans="1:7" s="172" customFormat="1" ht="15" customHeight="1" x14ac:dyDescent="0.25">
      <c r="A6307" s="803" t="s">
        <v>18216</v>
      </c>
      <c r="B6307" s="803" t="s">
        <v>3506</v>
      </c>
      <c r="C6307" s="803" t="s">
        <v>18210</v>
      </c>
      <c r="D6307" s="803" t="s">
        <v>3635</v>
      </c>
      <c r="E6307" s="803">
        <v>20</v>
      </c>
      <c r="F6307" s="850">
        <v>2</v>
      </c>
      <c r="G6307" s="202" t="str">
        <f t="shared" si="98"/>
        <v/>
      </c>
    </row>
    <row r="6308" spans="1:7" s="172" customFormat="1" ht="15" customHeight="1" x14ac:dyDescent="0.25">
      <c r="A6308" s="803" t="s">
        <v>3508</v>
      </c>
      <c r="B6308" s="803" t="s">
        <v>3506</v>
      </c>
      <c r="C6308" s="803" t="s">
        <v>18210</v>
      </c>
      <c r="D6308" s="803" t="s">
        <v>3642</v>
      </c>
      <c r="E6308" s="803">
        <v>63</v>
      </c>
      <c r="F6308" s="850">
        <v>6</v>
      </c>
      <c r="G6308" s="202" t="str">
        <f t="shared" si="98"/>
        <v/>
      </c>
    </row>
    <row r="6309" spans="1:7" s="172" customFormat="1" ht="15" customHeight="1" x14ac:dyDescent="0.25">
      <c r="A6309" s="803" t="s">
        <v>3508</v>
      </c>
      <c r="B6309" s="803" t="s">
        <v>3506</v>
      </c>
      <c r="C6309" s="803" t="s">
        <v>18210</v>
      </c>
      <c r="D6309" s="803" t="s">
        <v>3643</v>
      </c>
      <c r="E6309" s="803">
        <v>100</v>
      </c>
      <c r="F6309" s="850">
        <v>3</v>
      </c>
      <c r="G6309" s="202" t="str">
        <f t="shared" si="98"/>
        <v/>
      </c>
    </row>
    <row r="6310" spans="1:7" s="172" customFormat="1" ht="15" customHeight="1" x14ac:dyDescent="0.25">
      <c r="A6310" s="803" t="s">
        <v>3510</v>
      </c>
      <c r="B6310" s="803" t="s">
        <v>3506</v>
      </c>
      <c r="C6310" s="803" t="s">
        <v>18210</v>
      </c>
      <c r="D6310" s="803" t="s">
        <v>3644</v>
      </c>
      <c r="E6310" s="803">
        <v>160</v>
      </c>
      <c r="F6310" s="850">
        <v>36</v>
      </c>
      <c r="G6310" s="202" t="str">
        <f t="shared" si="98"/>
        <v/>
      </c>
    </row>
    <row r="6311" spans="1:7" s="172" customFormat="1" ht="15" customHeight="1" x14ac:dyDescent="0.25">
      <c r="A6311" s="803" t="s">
        <v>3510</v>
      </c>
      <c r="B6311" s="803" t="s">
        <v>3506</v>
      </c>
      <c r="C6311" s="803" t="s">
        <v>18210</v>
      </c>
      <c r="D6311" s="803" t="s">
        <v>3645</v>
      </c>
      <c r="E6311" s="803">
        <v>100</v>
      </c>
      <c r="F6311" s="850">
        <v>25</v>
      </c>
      <c r="G6311" s="202" t="str">
        <f t="shared" si="98"/>
        <v/>
      </c>
    </row>
    <row r="6312" spans="1:7" s="172" customFormat="1" ht="15" customHeight="1" x14ac:dyDescent="0.25">
      <c r="A6312" s="803" t="s">
        <v>3510</v>
      </c>
      <c r="B6312" s="803" t="s">
        <v>3506</v>
      </c>
      <c r="C6312" s="803" t="s">
        <v>18210</v>
      </c>
      <c r="D6312" s="803" t="s">
        <v>3646</v>
      </c>
      <c r="E6312" s="803">
        <v>160</v>
      </c>
      <c r="F6312" s="850">
        <v>37</v>
      </c>
      <c r="G6312" s="202" t="str">
        <f t="shared" si="98"/>
        <v/>
      </c>
    </row>
    <row r="6313" spans="1:7" s="172" customFormat="1" ht="15" customHeight="1" x14ac:dyDescent="0.25">
      <c r="A6313" s="803" t="s">
        <v>3653</v>
      </c>
      <c r="B6313" s="803" t="s">
        <v>3506</v>
      </c>
      <c r="C6313" s="803" t="s">
        <v>18210</v>
      </c>
      <c r="D6313" s="803" t="s">
        <v>3654</v>
      </c>
      <c r="E6313" s="803">
        <v>60</v>
      </c>
      <c r="F6313" s="850">
        <v>14</v>
      </c>
      <c r="G6313" s="202" t="str">
        <f t="shared" si="98"/>
        <v/>
      </c>
    </row>
    <row r="6314" spans="1:7" s="172" customFormat="1" ht="15" customHeight="1" x14ac:dyDescent="0.25">
      <c r="A6314" s="803" t="s">
        <v>3683</v>
      </c>
      <c r="B6314" s="803" t="s">
        <v>3506</v>
      </c>
      <c r="C6314" s="803" t="s">
        <v>18210</v>
      </c>
      <c r="D6314" s="803" t="s">
        <v>3684</v>
      </c>
      <c r="E6314" s="803">
        <v>60</v>
      </c>
      <c r="F6314" s="850">
        <v>29</v>
      </c>
      <c r="G6314" s="202" t="str">
        <f t="shared" si="98"/>
        <v/>
      </c>
    </row>
    <row r="6315" spans="1:7" s="172" customFormat="1" ht="15" customHeight="1" x14ac:dyDescent="0.25">
      <c r="A6315" s="803" t="s">
        <v>3722</v>
      </c>
      <c r="B6315" s="803" t="s">
        <v>3506</v>
      </c>
      <c r="C6315" s="803" t="s">
        <v>18210</v>
      </c>
      <c r="D6315" s="803" t="s">
        <v>3723</v>
      </c>
      <c r="E6315" s="803">
        <v>160</v>
      </c>
      <c r="F6315" s="850">
        <v>3</v>
      </c>
      <c r="G6315" s="202" t="str">
        <f t="shared" si="98"/>
        <v/>
      </c>
    </row>
    <row r="6316" spans="1:7" s="172" customFormat="1" ht="15" customHeight="1" x14ac:dyDescent="0.25">
      <c r="A6316" s="803" t="s">
        <v>3724</v>
      </c>
      <c r="B6316" s="803" t="s">
        <v>3506</v>
      </c>
      <c r="C6316" s="803" t="s">
        <v>18210</v>
      </c>
      <c r="D6316" s="803" t="s">
        <v>3725</v>
      </c>
      <c r="E6316" s="803">
        <v>630</v>
      </c>
      <c r="F6316" s="850">
        <v>512</v>
      </c>
      <c r="G6316" s="202" t="str">
        <f t="shared" si="98"/>
        <v/>
      </c>
    </row>
    <row r="6317" spans="1:7" s="172" customFormat="1" ht="15" customHeight="1" x14ac:dyDescent="0.25">
      <c r="A6317" s="803" t="s">
        <v>18223</v>
      </c>
      <c r="B6317" s="803" t="s">
        <v>3506</v>
      </c>
      <c r="C6317" s="803" t="s">
        <v>18210</v>
      </c>
      <c r="D6317" s="803" t="s">
        <v>3729</v>
      </c>
      <c r="E6317" s="803">
        <v>160</v>
      </c>
      <c r="F6317" s="850">
        <v>18</v>
      </c>
      <c r="G6317" s="202" t="str">
        <f t="shared" si="98"/>
        <v/>
      </c>
    </row>
    <row r="6318" spans="1:7" s="172" customFormat="1" ht="15" customHeight="1" x14ac:dyDescent="0.25">
      <c r="A6318" s="803" t="s">
        <v>18223</v>
      </c>
      <c r="B6318" s="803" t="s">
        <v>3506</v>
      </c>
      <c r="C6318" s="803" t="s">
        <v>18210</v>
      </c>
      <c r="D6318" s="803" t="s">
        <v>3730</v>
      </c>
      <c r="E6318" s="803">
        <v>250</v>
      </c>
      <c r="F6318" s="850">
        <v>21</v>
      </c>
      <c r="G6318" s="202" t="str">
        <f t="shared" si="98"/>
        <v/>
      </c>
    </row>
    <row r="6319" spans="1:7" s="172" customFormat="1" ht="15" customHeight="1" x14ac:dyDescent="0.25">
      <c r="A6319" s="803" t="s">
        <v>3731</v>
      </c>
      <c r="B6319" s="803" t="s">
        <v>3506</v>
      </c>
      <c r="C6319" s="803" t="s">
        <v>18210</v>
      </c>
      <c r="D6319" s="803" t="s">
        <v>3732</v>
      </c>
      <c r="E6319" s="803">
        <v>100</v>
      </c>
      <c r="F6319" s="850">
        <v>12</v>
      </c>
      <c r="G6319" s="202" t="str">
        <f t="shared" si="98"/>
        <v/>
      </c>
    </row>
    <row r="6320" spans="1:7" s="172" customFormat="1" ht="15" customHeight="1" x14ac:dyDescent="0.25">
      <c r="A6320" s="803" t="s">
        <v>3511</v>
      </c>
      <c r="B6320" s="803" t="s">
        <v>3506</v>
      </c>
      <c r="C6320" s="803" t="s">
        <v>18210</v>
      </c>
      <c r="D6320" s="803" t="s">
        <v>3512</v>
      </c>
      <c r="E6320" s="803">
        <v>250</v>
      </c>
      <c r="F6320" s="850">
        <v>132</v>
      </c>
      <c r="G6320" s="202" t="str">
        <f t="shared" si="98"/>
        <v/>
      </c>
    </row>
    <row r="6321" spans="1:7" s="172" customFormat="1" ht="15" customHeight="1" x14ac:dyDescent="0.25">
      <c r="A6321" s="803" t="s">
        <v>3511</v>
      </c>
      <c r="B6321" s="803" t="s">
        <v>3506</v>
      </c>
      <c r="C6321" s="803" t="s">
        <v>18210</v>
      </c>
      <c r="D6321" s="803" t="s">
        <v>3513</v>
      </c>
      <c r="E6321" s="803">
        <v>500</v>
      </c>
      <c r="F6321" s="850">
        <v>48</v>
      </c>
      <c r="G6321" s="202" t="str">
        <f t="shared" si="98"/>
        <v/>
      </c>
    </row>
    <row r="6322" spans="1:7" s="172" customFormat="1" ht="15" customHeight="1" x14ac:dyDescent="0.25">
      <c r="A6322" s="803" t="s">
        <v>3515</v>
      </c>
      <c r="B6322" s="803" t="s">
        <v>3506</v>
      </c>
      <c r="C6322" s="803" t="s">
        <v>18210</v>
      </c>
      <c r="D6322" s="803" t="s">
        <v>3516</v>
      </c>
      <c r="E6322" s="803">
        <v>30</v>
      </c>
      <c r="F6322" s="850">
        <v>6</v>
      </c>
      <c r="G6322" s="202" t="str">
        <f t="shared" si="98"/>
        <v/>
      </c>
    </row>
    <row r="6323" spans="1:7" s="172" customFormat="1" ht="15" customHeight="1" x14ac:dyDescent="0.25">
      <c r="A6323" s="803" t="s">
        <v>3517</v>
      </c>
      <c r="B6323" s="803" t="s">
        <v>3506</v>
      </c>
      <c r="C6323" s="803" t="s">
        <v>18210</v>
      </c>
      <c r="D6323" s="803" t="s">
        <v>3518</v>
      </c>
      <c r="E6323" s="803">
        <v>40</v>
      </c>
      <c r="F6323" s="850">
        <v>7</v>
      </c>
      <c r="G6323" s="202" t="str">
        <f t="shared" si="98"/>
        <v/>
      </c>
    </row>
    <row r="6324" spans="1:7" s="172" customFormat="1" ht="15" customHeight="1" x14ac:dyDescent="0.25">
      <c r="A6324" s="803" t="s">
        <v>3540</v>
      </c>
      <c r="B6324" s="803" t="s">
        <v>3506</v>
      </c>
      <c r="C6324" s="803" t="s">
        <v>18210</v>
      </c>
      <c r="D6324" s="803" t="s">
        <v>3541</v>
      </c>
      <c r="E6324" s="803">
        <v>100</v>
      </c>
      <c r="F6324" s="850">
        <v>24</v>
      </c>
      <c r="G6324" s="202" t="str">
        <f t="shared" si="98"/>
        <v/>
      </c>
    </row>
    <row r="6325" spans="1:7" s="172" customFormat="1" ht="15" customHeight="1" x14ac:dyDescent="0.25">
      <c r="A6325" s="803" t="s">
        <v>3550</v>
      </c>
      <c r="B6325" s="803" t="s">
        <v>3506</v>
      </c>
      <c r="C6325" s="803" t="s">
        <v>18210</v>
      </c>
      <c r="D6325" s="803" t="s">
        <v>3551</v>
      </c>
      <c r="E6325" s="803">
        <v>60</v>
      </c>
      <c r="F6325" s="850">
        <v>2</v>
      </c>
      <c r="G6325" s="202" t="str">
        <f t="shared" si="98"/>
        <v/>
      </c>
    </row>
    <row r="6326" spans="1:7" s="172" customFormat="1" ht="15" customHeight="1" x14ac:dyDescent="0.25">
      <c r="A6326" s="803" t="s">
        <v>3554</v>
      </c>
      <c r="B6326" s="803" t="s">
        <v>3506</v>
      </c>
      <c r="C6326" s="803" t="s">
        <v>18210</v>
      </c>
      <c r="D6326" s="803" t="s">
        <v>3555</v>
      </c>
      <c r="E6326" s="803">
        <v>160</v>
      </c>
      <c r="F6326" s="850">
        <v>18</v>
      </c>
      <c r="G6326" s="202" t="str">
        <f t="shared" si="98"/>
        <v/>
      </c>
    </row>
    <row r="6327" spans="1:7" s="172" customFormat="1" ht="15" customHeight="1" x14ac:dyDescent="0.25">
      <c r="A6327" s="803" t="s">
        <v>3554</v>
      </c>
      <c r="B6327" s="803" t="s">
        <v>3506</v>
      </c>
      <c r="C6327" s="803" t="s">
        <v>18210</v>
      </c>
      <c r="D6327" s="803" t="s">
        <v>3556</v>
      </c>
      <c r="E6327" s="803">
        <v>100</v>
      </c>
      <c r="F6327" s="850">
        <v>50</v>
      </c>
      <c r="G6327" s="202" t="str">
        <f t="shared" si="98"/>
        <v/>
      </c>
    </row>
    <row r="6328" spans="1:7" s="172" customFormat="1" ht="15" customHeight="1" x14ac:dyDescent="0.25">
      <c r="A6328" s="803" t="s">
        <v>3109</v>
      </c>
      <c r="B6328" s="803" t="s">
        <v>3506</v>
      </c>
      <c r="C6328" s="803" t="s">
        <v>18210</v>
      </c>
      <c r="D6328" s="803" t="s">
        <v>3582</v>
      </c>
      <c r="E6328" s="803">
        <v>30</v>
      </c>
      <c r="F6328" s="850">
        <v>3</v>
      </c>
      <c r="G6328" s="202" t="str">
        <f t="shared" si="98"/>
        <v/>
      </c>
    </row>
    <row r="6329" spans="1:7" s="172" customFormat="1" ht="15" customHeight="1" x14ac:dyDescent="0.25">
      <c r="A6329" s="803" t="s">
        <v>3583</v>
      </c>
      <c r="B6329" s="803" t="s">
        <v>3506</v>
      </c>
      <c r="C6329" s="803" t="s">
        <v>18210</v>
      </c>
      <c r="D6329" s="803" t="s">
        <v>3584</v>
      </c>
      <c r="E6329" s="803">
        <v>30</v>
      </c>
      <c r="F6329" s="850">
        <v>6</v>
      </c>
      <c r="G6329" s="202" t="str">
        <f t="shared" si="98"/>
        <v/>
      </c>
    </row>
    <row r="6330" spans="1:7" s="172" customFormat="1" ht="15" customHeight="1" x14ac:dyDescent="0.25">
      <c r="A6330" s="803" t="s">
        <v>3609</v>
      </c>
      <c r="B6330" s="803" t="s">
        <v>3506</v>
      </c>
      <c r="C6330" s="803" t="s">
        <v>18210</v>
      </c>
      <c r="D6330" s="803" t="s">
        <v>3610</v>
      </c>
      <c r="E6330" s="803">
        <v>30</v>
      </c>
      <c r="F6330" s="850">
        <v>4</v>
      </c>
      <c r="G6330" s="202" t="str">
        <f t="shared" si="98"/>
        <v/>
      </c>
    </row>
    <row r="6331" spans="1:7" s="172" customFormat="1" ht="15" customHeight="1" x14ac:dyDescent="0.25">
      <c r="A6331" s="803" t="s">
        <v>3626</v>
      </c>
      <c r="B6331" s="803" t="s">
        <v>3506</v>
      </c>
      <c r="C6331" s="803" t="s">
        <v>18210</v>
      </c>
      <c r="D6331" s="803" t="s">
        <v>3627</v>
      </c>
      <c r="E6331" s="803">
        <v>60</v>
      </c>
      <c r="F6331" s="850">
        <v>12</v>
      </c>
      <c r="G6331" s="202" t="str">
        <f t="shared" si="98"/>
        <v/>
      </c>
    </row>
    <row r="6332" spans="1:7" s="172" customFormat="1" ht="15" customHeight="1" x14ac:dyDescent="0.25">
      <c r="A6332" s="803" t="s">
        <v>3655</v>
      </c>
      <c r="B6332" s="803" t="s">
        <v>3506</v>
      </c>
      <c r="C6332" s="803" t="s">
        <v>18210</v>
      </c>
      <c r="D6332" s="803" t="s">
        <v>3656</v>
      </c>
      <c r="E6332" s="803">
        <v>60</v>
      </c>
      <c r="F6332" s="850">
        <v>30</v>
      </c>
      <c r="G6332" s="202" t="str">
        <f t="shared" si="98"/>
        <v/>
      </c>
    </row>
    <row r="6333" spans="1:7" s="172" customFormat="1" ht="15" customHeight="1" x14ac:dyDescent="0.25">
      <c r="A6333" s="803" t="s">
        <v>3657</v>
      </c>
      <c r="B6333" s="803" t="s">
        <v>3506</v>
      </c>
      <c r="C6333" s="803" t="s">
        <v>18210</v>
      </c>
      <c r="D6333" s="803" t="s">
        <v>3658</v>
      </c>
      <c r="E6333" s="803">
        <v>25</v>
      </c>
      <c r="F6333" s="850">
        <v>12</v>
      </c>
      <c r="G6333" s="202" t="str">
        <f t="shared" si="98"/>
        <v/>
      </c>
    </row>
    <row r="6334" spans="1:7" s="172" customFormat="1" ht="15" customHeight="1" x14ac:dyDescent="0.25">
      <c r="A6334" s="803" t="s">
        <v>18219</v>
      </c>
      <c r="B6334" s="803" t="s">
        <v>3506</v>
      </c>
      <c r="C6334" s="803" t="s">
        <v>18210</v>
      </c>
      <c r="D6334" s="803" t="s">
        <v>3671</v>
      </c>
      <c r="E6334" s="803">
        <v>100</v>
      </c>
      <c r="F6334" s="850">
        <v>60</v>
      </c>
      <c r="G6334" s="202" t="str">
        <f t="shared" si="98"/>
        <v/>
      </c>
    </row>
    <row r="6335" spans="1:7" s="172" customFormat="1" ht="15" customHeight="1" x14ac:dyDescent="0.25">
      <c r="A6335" s="803" t="s">
        <v>18219</v>
      </c>
      <c r="B6335" s="803" t="s">
        <v>3506</v>
      </c>
      <c r="C6335" s="803" t="s">
        <v>18210</v>
      </c>
      <c r="D6335" s="803" t="s">
        <v>3672</v>
      </c>
      <c r="E6335" s="803">
        <v>100</v>
      </c>
      <c r="F6335" s="850">
        <v>60</v>
      </c>
      <c r="G6335" s="202" t="str">
        <f t="shared" si="98"/>
        <v/>
      </c>
    </row>
    <row r="6336" spans="1:7" s="172" customFormat="1" ht="15" customHeight="1" x14ac:dyDescent="0.25">
      <c r="A6336" s="803" t="s">
        <v>18219</v>
      </c>
      <c r="B6336" s="803" t="s">
        <v>3506</v>
      </c>
      <c r="C6336" s="803" t="s">
        <v>18210</v>
      </c>
      <c r="D6336" s="803" t="s">
        <v>3673</v>
      </c>
      <c r="E6336" s="803">
        <v>100</v>
      </c>
      <c r="F6336" s="850">
        <v>2</v>
      </c>
      <c r="G6336" s="202" t="str">
        <f t="shared" si="98"/>
        <v/>
      </c>
    </row>
    <row r="6337" spans="1:7" s="172" customFormat="1" ht="15" customHeight="1" x14ac:dyDescent="0.25">
      <c r="A6337" s="803" t="s">
        <v>18219</v>
      </c>
      <c r="B6337" s="803" t="s">
        <v>3506</v>
      </c>
      <c r="C6337" s="803" t="s">
        <v>18210</v>
      </c>
      <c r="D6337" s="803" t="s">
        <v>3674</v>
      </c>
      <c r="E6337" s="803">
        <v>160</v>
      </c>
      <c r="F6337" s="850">
        <v>6</v>
      </c>
      <c r="G6337" s="202" t="str">
        <f t="shared" si="98"/>
        <v/>
      </c>
    </row>
    <row r="6338" spans="1:7" s="172" customFormat="1" ht="15" customHeight="1" x14ac:dyDescent="0.25">
      <c r="A6338" s="803" t="s">
        <v>18219</v>
      </c>
      <c r="B6338" s="803" t="s">
        <v>3506</v>
      </c>
      <c r="C6338" s="803" t="s">
        <v>18210</v>
      </c>
      <c r="D6338" s="803" t="s">
        <v>3733</v>
      </c>
      <c r="E6338" s="803">
        <v>250</v>
      </c>
      <c r="F6338" s="850">
        <v>12</v>
      </c>
      <c r="G6338" s="202" t="str">
        <f t="shared" si="98"/>
        <v/>
      </c>
    </row>
    <row r="6339" spans="1:7" s="172" customFormat="1" ht="15" customHeight="1" x14ac:dyDescent="0.25">
      <c r="A6339" s="803" t="s">
        <v>3749</v>
      </c>
      <c r="B6339" s="803" t="s">
        <v>3506</v>
      </c>
      <c r="C6339" s="803" t="s">
        <v>18210</v>
      </c>
      <c r="D6339" s="803" t="s">
        <v>3750</v>
      </c>
      <c r="E6339" s="803">
        <v>10</v>
      </c>
      <c r="F6339" s="850">
        <v>2</v>
      </c>
      <c r="G6339" s="202" t="str">
        <f t="shared" si="98"/>
        <v/>
      </c>
    </row>
    <row r="6340" spans="1:7" s="172" customFormat="1" ht="15" customHeight="1" x14ac:dyDescent="0.25">
      <c r="A6340" s="803" t="s">
        <v>18219</v>
      </c>
      <c r="B6340" s="803" t="s">
        <v>3506</v>
      </c>
      <c r="C6340" s="803" t="s">
        <v>18210</v>
      </c>
      <c r="D6340" s="803" t="s">
        <v>3734</v>
      </c>
      <c r="E6340" s="803">
        <v>100</v>
      </c>
      <c r="F6340" s="850">
        <v>12</v>
      </c>
      <c r="G6340" s="202" t="str">
        <f t="shared" si="98"/>
        <v/>
      </c>
    </row>
    <row r="6341" spans="1:7" s="172" customFormat="1" ht="15" customHeight="1" x14ac:dyDescent="0.25">
      <c r="A6341" s="803"/>
      <c r="B6341" s="803" t="s">
        <v>3506</v>
      </c>
      <c r="C6341" s="803" t="s">
        <v>18210</v>
      </c>
      <c r="D6341" s="803" t="s">
        <v>3712</v>
      </c>
      <c r="E6341" s="803">
        <v>60</v>
      </c>
      <c r="F6341" s="850">
        <v>2</v>
      </c>
      <c r="G6341" s="202" t="str">
        <f t="shared" si="98"/>
        <v/>
      </c>
    </row>
    <row r="6342" spans="1:7" s="172" customFormat="1" ht="15" customHeight="1" x14ac:dyDescent="0.25">
      <c r="A6342" s="803"/>
      <c r="B6342" s="803" t="s">
        <v>3506</v>
      </c>
      <c r="C6342" s="803" t="s">
        <v>18210</v>
      </c>
      <c r="D6342" s="803" t="s">
        <v>18220</v>
      </c>
      <c r="E6342" s="803">
        <v>60</v>
      </c>
      <c r="F6342" s="850">
        <v>2</v>
      </c>
      <c r="G6342" s="202" t="str">
        <f t="shared" si="98"/>
        <v/>
      </c>
    </row>
    <row r="6343" spans="1:7" s="172" customFormat="1" ht="15" customHeight="1" x14ac:dyDescent="0.25">
      <c r="A6343" s="803" t="s">
        <v>18221</v>
      </c>
      <c r="B6343" s="803" t="s">
        <v>3506</v>
      </c>
      <c r="C6343" s="803" t="s">
        <v>18210</v>
      </c>
      <c r="D6343" s="803" t="s">
        <v>3713</v>
      </c>
      <c r="E6343" s="803">
        <v>160</v>
      </c>
      <c r="F6343" s="850">
        <v>0</v>
      </c>
      <c r="G6343" s="202" t="str">
        <f t="shared" si="98"/>
        <v/>
      </c>
    </row>
    <row r="6344" spans="1:7" s="172" customFormat="1" ht="15" customHeight="1" x14ac:dyDescent="0.25">
      <c r="A6344" s="803"/>
      <c r="B6344" s="803" t="s">
        <v>3506</v>
      </c>
      <c r="C6344" s="803" t="s">
        <v>18210</v>
      </c>
      <c r="D6344" s="803" t="s">
        <v>3715</v>
      </c>
      <c r="E6344" s="803">
        <v>60</v>
      </c>
      <c r="F6344" s="850">
        <v>50</v>
      </c>
      <c r="G6344" s="202" t="str">
        <f t="shared" si="98"/>
        <v/>
      </c>
    </row>
    <row r="6345" spans="1:7" s="172" customFormat="1" ht="15" customHeight="1" x14ac:dyDescent="0.25">
      <c r="A6345" s="803"/>
      <c r="B6345" s="803" t="s">
        <v>3506</v>
      </c>
      <c r="C6345" s="803" t="s">
        <v>18210</v>
      </c>
      <c r="D6345" s="803" t="s">
        <v>3735</v>
      </c>
      <c r="E6345" s="803">
        <v>100</v>
      </c>
      <c r="F6345" s="850">
        <v>12</v>
      </c>
      <c r="G6345" s="202" t="str">
        <f t="shared" si="98"/>
        <v/>
      </c>
    </row>
    <row r="6346" spans="1:7" s="172" customFormat="1" ht="15" customHeight="1" x14ac:dyDescent="0.25">
      <c r="A6346" s="803"/>
      <c r="B6346" s="803" t="s">
        <v>3506</v>
      </c>
      <c r="C6346" s="803" t="s">
        <v>18210</v>
      </c>
      <c r="D6346" s="803" t="s">
        <v>3736</v>
      </c>
      <c r="E6346" s="803">
        <v>100</v>
      </c>
      <c r="F6346" s="850">
        <v>5</v>
      </c>
      <c r="G6346" s="202" t="str">
        <f t="shared" si="98"/>
        <v/>
      </c>
    </row>
    <row r="6347" spans="1:7" s="172" customFormat="1" ht="15" customHeight="1" x14ac:dyDescent="0.25">
      <c r="A6347" s="803"/>
      <c r="B6347" s="803" t="s">
        <v>3506</v>
      </c>
      <c r="C6347" s="803" t="s">
        <v>18210</v>
      </c>
      <c r="D6347" s="803" t="s">
        <v>3739</v>
      </c>
      <c r="E6347" s="803">
        <v>320</v>
      </c>
      <c r="F6347" s="850">
        <v>24</v>
      </c>
      <c r="G6347" s="202" t="str">
        <f t="shared" si="98"/>
        <v/>
      </c>
    </row>
    <row r="6348" spans="1:7" s="172" customFormat="1" ht="15" customHeight="1" x14ac:dyDescent="0.25">
      <c r="A6348" s="803"/>
      <c r="B6348" s="803" t="s">
        <v>3506</v>
      </c>
      <c r="C6348" s="803" t="s">
        <v>18210</v>
      </c>
      <c r="D6348" s="803" t="s">
        <v>3714</v>
      </c>
      <c r="E6348" s="803">
        <v>400</v>
      </c>
      <c r="F6348" s="850">
        <v>12</v>
      </c>
      <c r="G6348" s="202" t="str">
        <f t="shared" si="98"/>
        <v/>
      </c>
    </row>
    <row r="6349" spans="1:7" s="172" customFormat="1" ht="15" customHeight="1" x14ac:dyDescent="0.25">
      <c r="A6349" s="803" t="s">
        <v>3528</v>
      </c>
      <c r="B6349" s="803" t="s">
        <v>3506</v>
      </c>
      <c r="C6349" s="803" t="s">
        <v>18210</v>
      </c>
      <c r="D6349" s="803" t="s">
        <v>3529</v>
      </c>
      <c r="E6349" s="803">
        <v>60</v>
      </c>
      <c r="F6349" s="850">
        <v>12</v>
      </c>
      <c r="G6349" s="202" t="str">
        <f t="shared" si="98"/>
        <v/>
      </c>
    </row>
    <row r="6350" spans="1:7" s="172" customFormat="1" ht="15" customHeight="1" x14ac:dyDescent="0.25">
      <c r="A6350" s="803" t="s">
        <v>18212</v>
      </c>
      <c r="B6350" s="803" t="s">
        <v>3506</v>
      </c>
      <c r="C6350" s="803" t="s">
        <v>18210</v>
      </c>
      <c r="D6350" s="803" t="s">
        <v>3536</v>
      </c>
      <c r="E6350" s="803">
        <v>100</v>
      </c>
      <c r="F6350" s="850">
        <v>0</v>
      </c>
      <c r="G6350" s="202" t="str">
        <f t="shared" si="98"/>
        <v/>
      </c>
    </row>
    <row r="6351" spans="1:7" s="172" customFormat="1" ht="15" customHeight="1" x14ac:dyDescent="0.25">
      <c r="A6351" s="803" t="s">
        <v>3552</v>
      </c>
      <c r="B6351" s="803" t="s">
        <v>3506</v>
      </c>
      <c r="C6351" s="803" t="s">
        <v>18210</v>
      </c>
      <c r="D6351" s="803" t="s">
        <v>3553</v>
      </c>
      <c r="E6351" s="803">
        <v>63</v>
      </c>
      <c r="F6351" s="850">
        <v>12</v>
      </c>
      <c r="G6351" s="202" t="str">
        <f t="shared" si="98"/>
        <v/>
      </c>
    </row>
    <row r="6352" spans="1:7" s="172" customFormat="1" ht="15" customHeight="1" x14ac:dyDescent="0.25">
      <c r="A6352" s="803" t="s">
        <v>3616</v>
      </c>
      <c r="B6352" s="803" t="s">
        <v>3506</v>
      </c>
      <c r="C6352" s="803" t="s">
        <v>18210</v>
      </c>
      <c r="D6352" s="803" t="s">
        <v>3617</v>
      </c>
      <c r="E6352" s="803">
        <v>100</v>
      </c>
      <c r="F6352" s="850">
        <v>3</v>
      </c>
      <c r="G6352" s="202" t="str">
        <f t="shared" si="98"/>
        <v/>
      </c>
    </row>
    <row r="6353" spans="1:7" s="172" customFormat="1" ht="15" customHeight="1" x14ac:dyDescent="0.25">
      <c r="A6353" s="803" t="s">
        <v>3109</v>
      </c>
      <c r="B6353" s="803" t="s">
        <v>3506</v>
      </c>
      <c r="C6353" s="803" t="s">
        <v>18210</v>
      </c>
      <c r="D6353" s="803" t="s">
        <v>3621</v>
      </c>
      <c r="E6353" s="803">
        <v>60</v>
      </c>
      <c r="F6353" s="850">
        <v>2</v>
      </c>
      <c r="G6353" s="202" t="str">
        <f t="shared" si="98"/>
        <v/>
      </c>
    </row>
    <row r="6354" spans="1:7" s="172" customFormat="1" ht="15" customHeight="1" x14ac:dyDescent="0.25">
      <c r="A6354" s="803" t="s">
        <v>3622</v>
      </c>
      <c r="B6354" s="803" t="s">
        <v>3506</v>
      </c>
      <c r="C6354" s="803" t="s">
        <v>18210</v>
      </c>
      <c r="D6354" s="803" t="s">
        <v>3623</v>
      </c>
      <c r="E6354" s="803">
        <v>100</v>
      </c>
      <c r="F6354" s="850">
        <v>2</v>
      </c>
      <c r="G6354" s="202" t="str">
        <f t="shared" si="98"/>
        <v/>
      </c>
    </row>
    <row r="6355" spans="1:7" s="172" customFormat="1" ht="15" customHeight="1" x14ac:dyDescent="0.25">
      <c r="A6355" s="803" t="s">
        <v>3636</v>
      </c>
      <c r="B6355" s="803" t="s">
        <v>3506</v>
      </c>
      <c r="C6355" s="803" t="s">
        <v>18210</v>
      </c>
      <c r="D6355" s="803" t="s">
        <v>3637</v>
      </c>
      <c r="E6355" s="803">
        <v>60</v>
      </c>
      <c r="F6355" s="850">
        <v>6</v>
      </c>
      <c r="G6355" s="202" t="str">
        <f t="shared" si="98"/>
        <v/>
      </c>
    </row>
    <row r="6356" spans="1:7" s="172" customFormat="1" ht="15" customHeight="1" x14ac:dyDescent="0.25">
      <c r="A6356" s="803" t="s">
        <v>3648</v>
      </c>
      <c r="B6356" s="803" t="s">
        <v>3506</v>
      </c>
      <c r="C6356" s="803" t="s">
        <v>18210</v>
      </c>
      <c r="D6356" s="803" t="s">
        <v>3649</v>
      </c>
      <c r="E6356" s="803">
        <v>30</v>
      </c>
      <c r="F6356" s="850">
        <v>6</v>
      </c>
      <c r="G6356" s="202" t="str">
        <f t="shared" si="98"/>
        <v/>
      </c>
    </row>
    <row r="6357" spans="1:7" s="172" customFormat="1" ht="15" customHeight="1" x14ac:dyDescent="0.25">
      <c r="A6357" s="803" t="s">
        <v>3659</v>
      </c>
      <c r="B6357" s="803" t="s">
        <v>3506</v>
      </c>
      <c r="C6357" s="803" t="s">
        <v>18210</v>
      </c>
      <c r="D6357" s="803" t="s">
        <v>3660</v>
      </c>
      <c r="E6357" s="803">
        <v>40</v>
      </c>
      <c r="F6357" s="850">
        <v>6</v>
      </c>
      <c r="G6357" s="202" t="str">
        <f t="shared" si="98"/>
        <v/>
      </c>
    </row>
    <row r="6358" spans="1:7" s="172" customFormat="1" ht="15" customHeight="1" x14ac:dyDescent="0.25">
      <c r="A6358" s="803" t="s">
        <v>3410</v>
      </c>
      <c r="B6358" s="803" t="s">
        <v>3506</v>
      </c>
      <c r="C6358" s="803" t="s">
        <v>18210</v>
      </c>
      <c r="D6358" s="803" t="s">
        <v>3676</v>
      </c>
      <c r="E6358" s="803">
        <v>25</v>
      </c>
      <c r="F6358" s="850">
        <v>3</v>
      </c>
      <c r="G6358" s="202" t="str">
        <f t="shared" si="98"/>
        <v/>
      </c>
    </row>
    <row r="6359" spans="1:7" s="172" customFormat="1" ht="15" customHeight="1" x14ac:dyDescent="0.25">
      <c r="A6359" s="803" t="s">
        <v>3701</v>
      </c>
      <c r="B6359" s="803" t="s">
        <v>3506</v>
      </c>
      <c r="C6359" s="803" t="s">
        <v>18210</v>
      </c>
      <c r="D6359" s="803" t="s">
        <v>3702</v>
      </c>
      <c r="E6359" s="803">
        <v>40</v>
      </c>
      <c r="F6359" s="850">
        <v>14</v>
      </c>
      <c r="G6359" s="202" t="str">
        <f t="shared" si="98"/>
        <v/>
      </c>
    </row>
    <row r="6360" spans="1:7" s="172" customFormat="1" ht="15" customHeight="1" x14ac:dyDescent="0.25">
      <c r="A6360" s="803" t="s">
        <v>3701</v>
      </c>
      <c r="B6360" s="803" t="s">
        <v>3506</v>
      </c>
      <c r="C6360" s="803" t="s">
        <v>18210</v>
      </c>
      <c r="D6360" s="803" t="s">
        <v>3703</v>
      </c>
      <c r="E6360" s="803">
        <v>40</v>
      </c>
      <c r="F6360" s="850">
        <v>3</v>
      </c>
      <c r="G6360" s="202" t="str">
        <f t="shared" si="98"/>
        <v/>
      </c>
    </row>
    <row r="6361" spans="1:7" s="172" customFormat="1" ht="15" customHeight="1" x14ac:dyDescent="0.25">
      <c r="A6361" s="803" t="s">
        <v>3706</v>
      </c>
      <c r="B6361" s="803" t="s">
        <v>3506</v>
      </c>
      <c r="C6361" s="803" t="s">
        <v>18210</v>
      </c>
      <c r="D6361" s="803" t="s">
        <v>3707</v>
      </c>
      <c r="E6361" s="803">
        <v>60</v>
      </c>
      <c r="F6361" s="850">
        <v>12</v>
      </c>
      <c r="G6361" s="202" t="str">
        <f t="shared" si="98"/>
        <v/>
      </c>
    </row>
    <row r="6362" spans="1:7" s="172" customFormat="1" ht="15" customHeight="1" x14ac:dyDescent="0.25">
      <c r="A6362" s="803" t="s">
        <v>3751</v>
      </c>
      <c r="B6362" s="803" t="s">
        <v>3506</v>
      </c>
      <c r="C6362" s="803" t="s">
        <v>18210</v>
      </c>
      <c r="D6362" s="803" t="s">
        <v>3752</v>
      </c>
      <c r="E6362" s="803">
        <v>10</v>
      </c>
      <c r="F6362" s="850">
        <v>2</v>
      </c>
      <c r="G6362" s="202" t="str">
        <f t="shared" si="98"/>
        <v/>
      </c>
    </row>
    <row r="6363" spans="1:7" s="172" customFormat="1" ht="15" customHeight="1" x14ac:dyDescent="0.25">
      <c r="A6363" s="803" t="s">
        <v>3533</v>
      </c>
      <c r="B6363" s="803" t="s">
        <v>3506</v>
      </c>
      <c r="C6363" s="803" t="s">
        <v>18210</v>
      </c>
      <c r="D6363" s="803" t="s">
        <v>3534</v>
      </c>
      <c r="E6363" s="803">
        <v>160</v>
      </c>
      <c r="F6363" s="850">
        <v>36</v>
      </c>
      <c r="G6363" s="202" t="str">
        <f t="shared" si="98"/>
        <v/>
      </c>
    </row>
    <row r="6364" spans="1:7" s="172" customFormat="1" ht="15" customHeight="1" x14ac:dyDescent="0.25">
      <c r="A6364" s="803" t="s">
        <v>3533</v>
      </c>
      <c r="B6364" s="803" t="s">
        <v>3506</v>
      </c>
      <c r="C6364" s="803" t="s">
        <v>18210</v>
      </c>
      <c r="D6364" s="803" t="s">
        <v>3535</v>
      </c>
      <c r="E6364" s="803">
        <v>400</v>
      </c>
      <c r="F6364" s="850">
        <v>286</v>
      </c>
      <c r="G6364" s="202" t="str">
        <f t="shared" si="98"/>
        <v/>
      </c>
    </row>
    <row r="6365" spans="1:7" s="172" customFormat="1" ht="15" customHeight="1" x14ac:dyDescent="0.25">
      <c r="A6365" s="803" t="s">
        <v>18213</v>
      </c>
      <c r="B6365" s="803" t="s">
        <v>3506</v>
      </c>
      <c r="C6365" s="803" t="s">
        <v>18210</v>
      </c>
      <c r="D6365" s="803" t="s">
        <v>3538</v>
      </c>
      <c r="E6365" s="803">
        <v>60</v>
      </c>
      <c r="F6365" s="850">
        <v>12</v>
      </c>
      <c r="G6365" s="202" t="str">
        <f t="shared" ref="G6365:G6428" si="99">IF(E6365=F6365,"не загружен","")</f>
        <v/>
      </c>
    </row>
    <row r="6366" spans="1:7" s="172" customFormat="1" ht="15" customHeight="1" x14ac:dyDescent="0.25">
      <c r="A6366" s="803" t="s">
        <v>3557</v>
      </c>
      <c r="B6366" s="803" t="s">
        <v>3506</v>
      </c>
      <c r="C6366" s="803" t="s">
        <v>18210</v>
      </c>
      <c r="D6366" s="803" t="s">
        <v>3558</v>
      </c>
      <c r="E6366" s="803">
        <v>60</v>
      </c>
      <c r="F6366" s="850">
        <v>5</v>
      </c>
      <c r="G6366" s="202" t="str">
        <f t="shared" si="99"/>
        <v/>
      </c>
    </row>
    <row r="6367" spans="1:7" s="172" customFormat="1" ht="15" customHeight="1" x14ac:dyDescent="0.25">
      <c r="A6367" s="803" t="s">
        <v>3578</v>
      </c>
      <c r="B6367" s="803" t="s">
        <v>3506</v>
      </c>
      <c r="C6367" s="803" t="s">
        <v>18210</v>
      </c>
      <c r="D6367" s="803" t="s">
        <v>3579</v>
      </c>
      <c r="E6367" s="803">
        <v>100</v>
      </c>
      <c r="F6367" s="850">
        <v>3</v>
      </c>
      <c r="G6367" s="202" t="str">
        <f t="shared" si="99"/>
        <v/>
      </c>
    </row>
    <row r="6368" spans="1:7" s="172" customFormat="1" ht="15" customHeight="1" x14ac:dyDescent="0.25">
      <c r="A6368" s="803" t="s">
        <v>3599</v>
      </c>
      <c r="B6368" s="803" t="s">
        <v>3506</v>
      </c>
      <c r="C6368" s="803" t="s">
        <v>18210</v>
      </c>
      <c r="D6368" s="803" t="s">
        <v>3600</v>
      </c>
      <c r="E6368" s="803">
        <v>60</v>
      </c>
      <c r="F6368" s="850">
        <v>7</v>
      </c>
      <c r="G6368" s="202" t="str">
        <f t="shared" si="99"/>
        <v/>
      </c>
    </row>
    <row r="6369" spans="1:7" s="172" customFormat="1" ht="15" customHeight="1" x14ac:dyDescent="0.25">
      <c r="A6369" s="803" t="s">
        <v>3611</v>
      </c>
      <c r="B6369" s="803" t="s">
        <v>3506</v>
      </c>
      <c r="C6369" s="803" t="s">
        <v>18210</v>
      </c>
      <c r="D6369" s="803" t="s">
        <v>3612</v>
      </c>
      <c r="E6369" s="803">
        <v>250</v>
      </c>
      <c r="F6369" s="850">
        <v>60</v>
      </c>
      <c r="G6369" s="202" t="str">
        <f t="shared" si="99"/>
        <v/>
      </c>
    </row>
    <row r="6370" spans="1:7" s="172" customFormat="1" ht="15" customHeight="1" x14ac:dyDescent="0.25">
      <c r="A6370" s="803" t="s">
        <v>3611</v>
      </c>
      <c r="B6370" s="803" t="s">
        <v>3506</v>
      </c>
      <c r="C6370" s="803" t="s">
        <v>18210</v>
      </c>
      <c r="D6370" s="803" t="s">
        <v>3613</v>
      </c>
      <c r="E6370" s="803">
        <v>100</v>
      </c>
      <c r="F6370" s="850">
        <v>16</v>
      </c>
      <c r="G6370" s="202" t="str">
        <f t="shared" si="99"/>
        <v/>
      </c>
    </row>
    <row r="6371" spans="1:7" s="172" customFormat="1" ht="15" customHeight="1" x14ac:dyDescent="0.25">
      <c r="A6371" s="803" t="s">
        <v>18215</v>
      </c>
      <c r="B6371" s="803" t="s">
        <v>3506</v>
      </c>
      <c r="C6371" s="803" t="s">
        <v>18210</v>
      </c>
      <c r="D6371" s="803" t="s">
        <v>3628</v>
      </c>
      <c r="E6371" s="803">
        <v>160</v>
      </c>
      <c r="F6371" s="850">
        <v>18</v>
      </c>
      <c r="G6371" s="202" t="str">
        <f t="shared" si="99"/>
        <v/>
      </c>
    </row>
    <row r="6372" spans="1:7" s="172" customFormat="1" ht="15" customHeight="1" x14ac:dyDescent="0.25">
      <c r="A6372" s="803" t="s">
        <v>3633</v>
      </c>
      <c r="B6372" s="803" t="s">
        <v>3506</v>
      </c>
      <c r="C6372" s="803" t="s">
        <v>18210</v>
      </c>
      <c r="D6372" s="803" t="s">
        <v>3634</v>
      </c>
      <c r="E6372" s="803">
        <v>160</v>
      </c>
      <c r="F6372" s="850">
        <v>3</v>
      </c>
      <c r="G6372" s="202" t="str">
        <f t="shared" si="99"/>
        <v/>
      </c>
    </row>
    <row r="6373" spans="1:7" s="172" customFormat="1" ht="15" customHeight="1" x14ac:dyDescent="0.25">
      <c r="A6373" s="803" t="s">
        <v>3640</v>
      </c>
      <c r="B6373" s="803" t="s">
        <v>3506</v>
      </c>
      <c r="C6373" s="803" t="s">
        <v>18210</v>
      </c>
      <c r="D6373" s="803" t="s">
        <v>3641</v>
      </c>
      <c r="E6373" s="803">
        <v>100</v>
      </c>
      <c r="F6373" s="850">
        <v>7</v>
      </c>
      <c r="G6373" s="202" t="str">
        <f t="shared" si="99"/>
        <v/>
      </c>
    </row>
    <row r="6374" spans="1:7" s="172" customFormat="1" ht="15" customHeight="1" x14ac:dyDescent="0.25">
      <c r="A6374" s="803" t="s">
        <v>3663</v>
      </c>
      <c r="B6374" s="803" t="s">
        <v>3506</v>
      </c>
      <c r="C6374" s="803" t="s">
        <v>18210</v>
      </c>
      <c r="D6374" s="803" t="s">
        <v>3664</v>
      </c>
      <c r="E6374" s="803">
        <v>60</v>
      </c>
      <c r="F6374" s="850">
        <v>3</v>
      </c>
      <c r="G6374" s="202" t="str">
        <f t="shared" si="99"/>
        <v/>
      </c>
    </row>
    <row r="6375" spans="1:7" s="172" customFormat="1" ht="15" customHeight="1" x14ac:dyDescent="0.25">
      <c r="A6375" s="803" t="s">
        <v>3663</v>
      </c>
      <c r="B6375" s="803" t="s">
        <v>3506</v>
      </c>
      <c r="C6375" s="803" t="s">
        <v>18210</v>
      </c>
      <c r="D6375" s="803" t="s">
        <v>3665</v>
      </c>
      <c r="E6375" s="803">
        <v>40</v>
      </c>
      <c r="F6375" s="850">
        <v>14</v>
      </c>
      <c r="G6375" s="202" t="str">
        <f t="shared" si="99"/>
        <v/>
      </c>
    </row>
    <row r="6376" spans="1:7" s="172" customFormat="1" ht="15" customHeight="1" x14ac:dyDescent="0.25">
      <c r="A6376" s="803"/>
      <c r="B6376" s="803" t="s">
        <v>3506</v>
      </c>
      <c r="C6376" s="803" t="s">
        <v>18210</v>
      </c>
      <c r="D6376" s="803" t="s">
        <v>3675</v>
      </c>
      <c r="E6376" s="803">
        <v>60</v>
      </c>
      <c r="F6376" s="850">
        <v>3</v>
      </c>
      <c r="G6376" s="202" t="str">
        <f t="shared" si="99"/>
        <v/>
      </c>
    </row>
    <row r="6377" spans="1:7" s="172" customFormat="1" ht="15" customHeight="1" x14ac:dyDescent="0.25">
      <c r="A6377" s="803" t="s">
        <v>3679</v>
      </c>
      <c r="B6377" s="803" t="s">
        <v>3506</v>
      </c>
      <c r="C6377" s="803" t="s">
        <v>18210</v>
      </c>
      <c r="D6377" s="803" t="s">
        <v>3680</v>
      </c>
      <c r="E6377" s="803">
        <v>30</v>
      </c>
      <c r="F6377" s="850">
        <v>3</v>
      </c>
      <c r="G6377" s="202" t="str">
        <f t="shared" si="99"/>
        <v/>
      </c>
    </row>
    <row r="6378" spans="1:7" s="172" customFormat="1" ht="15" customHeight="1" x14ac:dyDescent="0.25">
      <c r="A6378" s="803" t="s">
        <v>3691</v>
      </c>
      <c r="B6378" s="803" t="s">
        <v>3506</v>
      </c>
      <c r="C6378" s="803" t="s">
        <v>18210</v>
      </c>
      <c r="D6378" s="803" t="s">
        <v>3692</v>
      </c>
      <c r="E6378" s="803">
        <v>63</v>
      </c>
      <c r="F6378" s="850">
        <v>3</v>
      </c>
      <c r="G6378" s="202" t="str">
        <f t="shared" si="99"/>
        <v/>
      </c>
    </row>
    <row r="6379" spans="1:7" s="172" customFormat="1" ht="15" customHeight="1" x14ac:dyDescent="0.25">
      <c r="A6379" s="803" t="s">
        <v>3708</v>
      </c>
      <c r="B6379" s="803" t="s">
        <v>3506</v>
      </c>
      <c r="C6379" s="803" t="s">
        <v>18210</v>
      </c>
      <c r="D6379" s="803" t="s">
        <v>3709</v>
      </c>
      <c r="E6379" s="803">
        <v>100</v>
      </c>
      <c r="F6379" s="850">
        <v>14</v>
      </c>
      <c r="G6379" s="202" t="str">
        <f t="shared" si="99"/>
        <v/>
      </c>
    </row>
    <row r="6380" spans="1:7" s="172" customFormat="1" ht="15" customHeight="1" x14ac:dyDescent="0.25">
      <c r="A6380" s="803" t="s">
        <v>3557</v>
      </c>
      <c r="B6380" s="803" t="s">
        <v>3506</v>
      </c>
      <c r="C6380" s="803" t="s">
        <v>18210</v>
      </c>
      <c r="D6380" s="803" t="s">
        <v>3716</v>
      </c>
      <c r="E6380" s="803">
        <v>400</v>
      </c>
      <c r="F6380" s="850">
        <v>3</v>
      </c>
      <c r="G6380" s="202" t="str">
        <f t="shared" si="99"/>
        <v/>
      </c>
    </row>
    <row r="6381" spans="1:7" s="172" customFormat="1" ht="15" customHeight="1" x14ac:dyDescent="0.25">
      <c r="A6381" s="803" t="s">
        <v>18222</v>
      </c>
      <c r="B6381" s="803" t="s">
        <v>3506</v>
      </c>
      <c r="C6381" s="803" t="s">
        <v>18210</v>
      </c>
      <c r="D6381" s="803" t="s">
        <v>3720</v>
      </c>
      <c r="E6381" s="803">
        <v>60</v>
      </c>
      <c r="F6381" s="850">
        <v>2</v>
      </c>
      <c r="G6381" s="202" t="str">
        <f t="shared" si="99"/>
        <v/>
      </c>
    </row>
    <row r="6382" spans="1:7" s="172" customFormat="1" ht="15" customHeight="1" x14ac:dyDescent="0.25">
      <c r="A6382" s="803" t="s">
        <v>18222</v>
      </c>
      <c r="B6382" s="803" t="s">
        <v>3506</v>
      </c>
      <c r="C6382" s="803" t="s">
        <v>18210</v>
      </c>
      <c r="D6382" s="803" t="s">
        <v>3721</v>
      </c>
      <c r="E6382" s="803">
        <v>250</v>
      </c>
      <c r="F6382" s="850">
        <v>30</v>
      </c>
      <c r="G6382" s="202" t="str">
        <f t="shared" si="99"/>
        <v/>
      </c>
    </row>
    <row r="6383" spans="1:7" s="172" customFormat="1" ht="15" customHeight="1" x14ac:dyDescent="0.25">
      <c r="A6383" s="803" t="s">
        <v>3745</v>
      </c>
      <c r="B6383" s="803" t="s">
        <v>3506</v>
      </c>
      <c r="C6383" s="803" t="s">
        <v>18210</v>
      </c>
      <c r="D6383" s="803" t="s">
        <v>3746</v>
      </c>
      <c r="E6383" s="803">
        <v>10</v>
      </c>
      <c r="F6383" s="850">
        <v>2</v>
      </c>
      <c r="G6383" s="202" t="str">
        <f t="shared" si="99"/>
        <v/>
      </c>
    </row>
    <row r="6384" spans="1:7" s="172" customFormat="1" ht="15" customHeight="1" x14ac:dyDescent="0.25">
      <c r="A6384" s="803" t="s">
        <v>3605</v>
      </c>
      <c r="B6384" s="803" t="s">
        <v>3506</v>
      </c>
      <c r="C6384" s="803" t="s">
        <v>18210</v>
      </c>
      <c r="D6384" s="803" t="s">
        <v>3606</v>
      </c>
      <c r="E6384" s="803">
        <v>30</v>
      </c>
      <c r="F6384" s="850">
        <v>12</v>
      </c>
      <c r="G6384" s="202" t="str">
        <f t="shared" si="99"/>
        <v/>
      </c>
    </row>
    <row r="6385" spans="1:7" s="172" customFormat="1" ht="15" customHeight="1" x14ac:dyDescent="0.25">
      <c r="A6385" s="803" t="s">
        <v>18217</v>
      </c>
      <c r="B6385" s="803" t="s">
        <v>3506</v>
      </c>
      <c r="C6385" s="803" t="s">
        <v>18210</v>
      </c>
      <c r="D6385" s="803" t="s">
        <v>3638</v>
      </c>
      <c r="E6385" s="803">
        <v>160</v>
      </c>
      <c r="F6385" s="850">
        <v>24</v>
      </c>
      <c r="G6385" s="202" t="str">
        <f t="shared" si="99"/>
        <v/>
      </c>
    </row>
    <row r="6386" spans="1:7" s="172" customFormat="1" ht="15" customHeight="1" x14ac:dyDescent="0.25">
      <c r="A6386" s="803" t="s">
        <v>18217</v>
      </c>
      <c r="B6386" s="803" t="s">
        <v>3506</v>
      </c>
      <c r="C6386" s="803" t="s">
        <v>18210</v>
      </c>
      <c r="D6386" s="803" t="s">
        <v>3639</v>
      </c>
      <c r="E6386" s="803">
        <v>160</v>
      </c>
      <c r="F6386" s="850">
        <v>12</v>
      </c>
      <c r="G6386" s="202" t="str">
        <f t="shared" si="99"/>
        <v/>
      </c>
    </row>
    <row r="6387" spans="1:7" s="172" customFormat="1" ht="15" customHeight="1" x14ac:dyDescent="0.25">
      <c r="A6387" s="803" t="s">
        <v>3681</v>
      </c>
      <c r="B6387" s="803" t="s">
        <v>3506</v>
      </c>
      <c r="C6387" s="803" t="s">
        <v>18210</v>
      </c>
      <c r="D6387" s="803" t="s">
        <v>3682</v>
      </c>
      <c r="E6387" s="803">
        <v>63</v>
      </c>
      <c r="F6387" s="850">
        <v>24</v>
      </c>
      <c r="G6387" s="202" t="str">
        <f t="shared" si="99"/>
        <v/>
      </c>
    </row>
    <row r="6388" spans="1:7" s="172" customFormat="1" ht="15" customHeight="1" x14ac:dyDescent="0.25">
      <c r="A6388" s="803" t="s">
        <v>3693</v>
      </c>
      <c r="B6388" s="803" t="s">
        <v>3506</v>
      </c>
      <c r="C6388" s="803" t="s">
        <v>18210</v>
      </c>
      <c r="D6388" s="803" t="s">
        <v>3694</v>
      </c>
      <c r="E6388" s="803">
        <v>250</v>
      </c>
      <c r="F6388" s="850">
        <v>168</v>
      </c>
      <c r="G6388" s="202" t="str">
        <f t="shared" si="99"/>
        <v/>
      </c>
    </row>
    <row r="6389" spans="1:7" s="172" customFormat="1" ht="15" customHeight="1" x14ac:dyDescent="0.25">
      <c r="A6389" s="803" t="s">
        <v>3726</v>
      </c>
      <c r="B6389" s="803" t="s">
        <v>3506</v>
      </c>
      <c r="C6389" s="803" t="s">
        <v>18210</v>
      </c>
      <c r="D6389" s="803" t="s">
        <v>3727</v>
      </c>
      <c r="E6389" s="803">
        <v>400</v>
      </c>
      <c r="F6389" s="850">
        <v>371</v>
      </c>
      <c r="G6389" s="202" t="str">
        <f t="shared" si="99"/>
        <v/>
      </c>
    </row>
    <row r="6390" spans="1:7" s="172" customFormat="1" ht="15" customHeight="1" x14ac:dyDescent="0.25">
      <c r="A6390" s="803" t="s">
        <v>3726</v>
      </c>
      <c r="B6390" s="803" t="s">
        <v>3506</v>
      </c>
      <c r="C6390" s="803" t="s">
        <v>18210</v>
      </c>
      <c r="D6390" s="803" t="s">
        <v>3728</v>
      </c>
      <c r="E6390" s="803">
        <v>250</v>
      </c>
      <c r="F6390" s="850">
        <v>201</v>
      </c>
      <c r="G6390" s="202" t="str">
        <f t="shared" si="99"/>
        <v/>
      </c>
    </row>
    <row r="6391" spans="1:7" s="172" customFormat="1" ht="15" customHeight="1" x14ac:dyDescent="0.25">
      <c r="A6391" s="803" t="s">
        <v>3747</v>
      </c>
      <c r="B6391" s="803" t="s">
        <v>3506</v>
      </c>
      <c r="C6391" s="803" t="s">
        <v>18210</v>
      </c>
      <c r="D6391" s="803" t="s">
        <v>3748</v>
      </c>
      <c r="E6391" s="803">
        <v>10</v>
      </c>
      <c r="F6391" s="850">
        <v>1</v>
      </c>
      <c r="G6391" s="202" t="str">
        <f t="shared" si="99"/>
        <v/>
      </c>
    </row>
    <row r="6392" spans="1:7" s="172" customFormat="1" ht="15" customHeight="1" x14ac:dyDescent="0.25">
      <c r="A6392" s="803" t="s">
        <v>3561</v>
      </c>
      <c r="B6392" s="803" t="s">
        <v>3506</v>
      </c>
      <c r="C6392" s="803" t="s">
        <v>18210</v>
      </c>
      <c r="D6392" s="803" t="s">
        <v>3562</v>
      </c>
      <c r="E6392" s="803">
        <v>40</v>
      </c>
      <c r="F6392" s="850">
        <v>29</v>
      </c>
      <c r="G6392" s="202" t="str">
        <f t="shared" si="99"/>
        <v/>
      </c>
    </row>
    <row r="6393" spans="1:7" s="172" customFormat="1" ht="15" customHeight="1" x14ac:dyDescent="0.25">
      <c r="A6393" s="803" t="s">
        <v>3563</v>
      </c>
      <c r="B6393" s="803" t="s">
        <v>3506</v>
      </c>
      <c r="C6393" s="803" t="s">
        <v>18210</v>
      </c>
      <c r="D6393" s="803" t="s">
        <v>3564</v>
      </c>
      <c r="E6393" s="803">
        <v>60</v>
      </c>
      <c r="F6393" s="850">
        <v>30</v>
      </c>
      <c r="G6393" s="202" t="str">
        <f t="shared" si="99"/>
        <v/>
      </c>
    </row>
    <row r="6394" spans="1:7" s="172" customFormat="1" ht="15" customHeight="1" x14ac:dyDescent="0.25">
      <c r="A6394" s="803" t="s">
        <v>2759</v>
      </c>
      <c r="B6394" s="803" t="s">
        <v>3506</v>
      </c>
      <c r="C6394" s="803" t="s">
        <v>18210</v>
      </c>
      <c r="D6394" s="803" t="s">
        <v>3565</v>
      </c>
      <c r="E6394" s="803">
        <v>100</v>
      </c>
      <c r="F6394" s="850">
        <v>30</v>
      </c>
      <c r="G6394" s="202" t="str">
        <f t="shared" si="99"/>
        <v/>
      </c>
    </row>
    <row r="6395" spans="1:7" s="172" customFormat="1" ht="15" customHeight="1" x14ac:dyDescent="0.25">
      <c r="A6395" s="803" t="s">
        <v>3607</v>
      </c>
      <c r="B6395" s="803" t="s">
        <v>3506</v>
      </c>
      <c r="C6395" s="803" t="s">
        <v>18210</v>
      </c>
      <c r="D6395" s="803" t="s">
        <v>3608</v>
      </c>
      <c r="E6395" s="803">
        <v>100</v>
      </c>
      <c r="F6395" s="850">
        <v>24</v>
      </c>
      <c r="G6395" s="202" t="str">
        <f t="shared" si="99"/>
        <v/>
      </c>
    </row>
    <row r="6396" spans="1:7" s="172" customFormat="1" ht="15" customHeight="1" x14ac:dyDescent="0.25">
      <c r="A6396" s="803" t="s">
        <v>3624</v>
      </c>
      <c r="B6396" s="803" t="s">
        <v>3506</v>
      </c>
      <c r="C6396" s="803" t="s">
        <v>18210</v>
      </c>
      <c r="D6396" s="803" t="s">
        <v>3625</v>
      </c>
      <c r="E6396" s="803">
        <v>40</v>
      </c>
      <c r="F6396" s="850">
        <v>6</v>
      </c>
      <c r="G6396" s="202" t="str">
        <f t="shared" si="99"/>
        <v/>
      </c>
    </row>
    <row r="6397" spans="1:7" s="172" customFormat="1" ht="15" customHeight="1" x14ac:dyDescent="0.25">
      <c r="A6397" s="803" t="s">
        <v>3697</v>
      </c>
      <c r="B6397" s="803" t="s">
        <v>3506</v>
      </c>
      <c r="C6397" s="803" t="s">
        <v>18210</v>
      </c>
      <c r="D6397" s="803" t="s">
        <v>3698</v>
      </c>
      <c r="E6397" s="803">
        <v>63</v>
      </c>
      <c r="F6397" s="850">
        <v>41</v>
      </c>
      <c r="G6397" s="202" t="str">
        <f t="shared" si="99"/>
        <v/>
      </c>
    </row>
    <row r="6398" spans="1:7" s="172" customFormat="1" ht="15" customHeight="1" x14ac:dyDescent="0.25">
      <c r="A6398" s="803" t="s">
        <v>3704</v>
      </c>
      <c r="B6398" s="803" t="s">
        <v>3506</v>
      </c>
      <c r="C6398" s="803" t="s">
        <v>18210</v>
      </c>
      <c r="D6398" s="803" t="s">
        <v>3705</v>
      </c>
      <c r="E6398" s="803">
        <v>10</v>
      </c>
      <c r="F6398" s="850">
        <v>2</v>
      </c>
      <c r="G6398" s="202" t="str">
        <f t="shared" si="99"/>
        <v/>
      </c>
    </row>
    <row r="6399" spans="1:7" s="172" customFormat="1" ht="15" customHeight="1" x14ac:dyDescent="0.25">
      <c r="A6399" s="803" t="s">
        <v>18224</v>
      </c>
      <c r="B6399" s="803" t="s">
        <v>3506</v>
      </c>
      <c r="C6399" s="803" t="s">
        <v>18210</v>
      </c>
      <c r="D6399" s="803" t="s">
        <v>3742</v>
      </c>
      <c r="E6399" s="803">
        <v>10</v>
      </c>
      <c r="F6399" s="850">
        <v>2</v>
      </c>
      <c r="G6399" s="202" t="str">
        <f t="shared" si="99"/>
        <v/>
      </c>
    </row>
    <row r="6400" spans="1:7" s="172" customFormat="1" ht="15" customHeight="1" x14ac:dyDescent="0.25">
      <c r="A6400" s="803" t="s">
        <v>3505</v>
      </c>
      <c r="B6400" s="803" t="s">
        <v>3506</v>
      </c>
      <c r="C6400" s="803" t="s">
        <v>18210</v>
      </c>
      <c r="D6400" s="803" t="s">
        <v>3652</v>
      </c>
      <c r="E6400" s="803">
        <v>160</v>
      </c>
      <c r="F6400" s="850">
        <v>6</v>
      </c>
      <c r="G6400" s="202" t="str">
        <f t="shared" si="99"/>
        <v/>
      </c>
    </row>
    <row r="6401" spans="1:7" s="172" customFormat="1" ht="15" customHeight="1" x14ac:dyDescent="0.25">
      <c r="A6401" s="803" t="s">
        <v>3505</v>
      </c>
      <c r="B6401" s="803" t="s">
        <v>3506</v>
      </c>
      <c r="C6401" s="803" t="s">
        <v>18210</v>
      </c>
      <c r="D6401" s="803" t="s">
        <v>3574</v>
      </c>
      <c r="E6401" s="803">
        <v>160</v>
      </c>
      <c r="F6401" s="850">
        <v>6</v>
      </c>
      <c r="G6401" s="202" t="str">
        <f t="shared" si="99"/>
        <v/>
      </c>
    </row>
    <row r="6402" spans="1:7" s="172" customFormat="1" ht="15" customHeight="1" x14ac:dyDescent="0.25">
      <c r="A6402" s="803" t="s">
        <v>3505</v>
      </c>
      <c r="B6402" s="803" t="s">
        <v>3506</v>
      </c>
      <c r="C6402" s="803" t="s">
        <v>18210</v>
      </c>
      <c r="D6402" s="803" t="s">
        <v>3507</v>
      </c>
      <c r="E6402" s="803">
        <v>400</v>
      </c>
      <c r="F6402" s="850">
        <v>234</v>
      </c>
      <c r="G6402" s="202" t="str">
        <f t="shared" si="99"/>
        <v/>
      </c>
    </row>
    <row r="6403" spans="1:7" s="172" customFormat="1" ht="15" customHeight="1" x14ac:dyDescent="0.25">
      <c r="A6403" s="803" t="s">
        <v>3505</v>
      </c>
      <c r="B6403" s="803" t="s">
        <v>3506</v>
      </c>
      <c r="C6403" s="803" t="s">
        <v>18210</v>
      </c>
      <c r="D6403" s="803" t="s">
        <v>3592</v>
      </c>
      <c r="E6403" s="803">
        <v>160</v>
      </c>
      <c r="F6403" s="850">
        <v>48</v>
      </c>
      <c r="G6403" s="202" t="str">
        <f t="shared" si="99"/>
        <v/>
      </c>
    </row>
    <row r="6404" spans="1:7" s="172" customFormat="1" ht="15" customHeight="1" x14ac:dyDescent="0.25">
      <c r="A6404" s="803" t="s">
        <v>3505</v>
      </c>
      <c r="B6404" s="803" t="s">
        <v>3506</v>
      </c>
      <c r="C6404" s="803" t="s">
        <v>18210</v>
      </c>
      <c r="D6404" s="803" t="s">
        <v>3717</v>
      </c>
      <c r="E6404" s="803">
        <v>250</v>
      </c>
      <c r="F6404" s="850">
        <v>12</v>
      </c>
      <c r="G6404" s="202" t="str">
        <f t="shared" si="99"/>
        <v/>
      </c>
    </row>
    <row r="6405" spans="1:7" s="172" customFormat="1" ht="15" customHeight="1" x14ac:dyDescent="0.25">
      <c r="A6405" s="803" t="s">
        <v>3505</v>
      </c>
      <c r="B6405" s="803" t="s">
        <v>3506</v>
      </c>
      <c r="C6405" s="803" t="s">
        <v>18210</v>
      </c>
      <c r="D6405" s="803" t="s">
        <v>3718</v>
      </c>
      <c r="E6405" s="803">
        <v>160</v>
      </c>
      <c r="F6405" s="850">
        <v>48</v>
      </c>
      <c r="G6405" s="202" t="str">
        <f t="shared" si="99"/>
        <v/>
      </c>
    </row>
    <row r="6406" spans="1:7" s="172" customFormat="1" ht="15" customHeight="1" x14ac:dyDescent="0.25">
      <c r="A6406" s="803" t="s">
        <v>3629</v>
      </c>
      <c r="B6406" s="803" t="s">
        <v>3506</v>
      </c>
      <c r="C6406" s="803" t="s">
        <v>18210</v>
      </c>
      <c r="D6406" s="803" t="s">
        <v>3630</v>
      </c>
      <c r="E6406" s="803">
        <v>100</v>
      </c>
      <c r="F6406" s="850">
        <v>22</v>
      </c>
      <c r="G6406" s="202" t="str">
        <f t="shared" si="99"/>
        <v/>
      </c>
    </row>
    <row r="6407" spans="1:7" s="172" customFormat="1" ht="15" customHeight="1" x14ac:dyDescent="0.25">
      <c r="A6407" s="803" t="s">
        <v>3631</v>
      </c>
      <c r="B6407" s="803" t="s">
        <v>3506</v>
      </c>
      <c r="C6407" s="803" t="s">
        <v>18210</v>
      </c>
      <c r="D6407" s="803" t="s">
        <v>3632</v>
      </c>
      <c r="E6407" s="803">
        <v>60</v>
      </c>
      <c r="F6407" s="850">
        <v>2</v>
      </c>
      <c r="G6407" s="202" t="str">
        <f t="shared" si="99"/>
        <v/>
      </c>
    </row>
    <row r="6408" spans="1:7" s="172" customFormat="1" ht="15" customHeight="1" x14ac:dyDescent="0.25">
      <c r="A6408" s="803" t="s">
        <v>3699</v>
      </c>
      <c r="B6408" s="803" t="s">
        <v>3506</v>
      </c>
      <c r="C6408" s="803" t="s">
        <v>18210</v>
      </c>
      <c r="D6408" s="803" t="s">
        <v>3700</v>
      </c>
      <c r="E6408" s="803">
        <v>100</v>
      </c>
      <c r="F6408" s="850">
        <v>24</v>
      </c>
      <c r="G6408" s="202" t="str">
        <f t="shared" si="99"/>
        <v/>
      </c>
    </row>
    <row r="6409" spans="1:7" s="172" customFormat="1" ht="15" customHeight="1" x14ac:dyDescent="0.25">
      <c r="A6409" s="803" t="s">
        <v>18227</v>
      </c>
      <c r="B6409" s="803" t="s">
        <v>3506</v>
      </c>
      <c r="C6409" s="803" t="s">
        <v>18210</v>
      </c>
      <c r="D6409" s="803" t="s">
        <v>19166</v>
      </c>
      <c r="E6409" s="803">
        <v>100</v>
      </c>
      <c r="F6409" s="850">
        <v>38</v>
      </c>
      <c r="G6409" s="202" t="str">
        <f t="shared" si="99"/>
        <v/>
      </c>
    </row>
    <row r="6410" spans="1:7" s="172" customFormat="1" ht="15" customHeight="1" x14ac:dyDescent="0.25">
      <c r="A6410" s="803" t="s">
        <v>3597</v>
      </c>
      <c r="B6410" s="803" t="s">
        <v>3506</v>
      </c>
      <c r="C6410" s="803" t="s">
        <v>18210</v>
      </c>
      <c r="D6410" s="803" t="s">
        <v>3719</v>
      </c>
      <c r="E6410" s="803">
        <v>25</v>
      </c>
      <c r="F6410" s="850">
        <v>3</v>
      </c>
      <c r="G6410" s="202" t="str">
        <f t="shared" si="99"/>
        <v/>
      </c>
    </row>
    <row r="6411" spans="1:7" s="172" customFormat="1" ht="15" customHeight="1" x14ac:dyDescent="0.25">
      <c r="A6411" s="803" t="s">
        <v>3650</v>
      </c>
      <c r="B6411" s="803" t="s">
        <v>3506</v>
      </c>
      <c r="C6411" s="803" t="s">
        <v>18210</v>
      </c>
      <c r="D6411" s="803" t="s">
        <v>3651</v>
      </c>
      <c r="E6411" s="803">
        <v>160</v>
      </c>
      <c r="F6411" s="850">
        <v>54</v>
      </c>
      <c r="G6411" s="202" t="str">
        <f t="shared" si="99"/>
        <v/>
      </c>
    </row>
    <row r="6412" spans="1:7" s="172" customFormat="1" ht="15" customHeight="1" x14ac:dyDescent="0.25">
      <c r="A6412" s="803" t="s">
        <v>18218</v>
      </c>
      <c r="B6412" s="803" t="s">
        <v>3506</v>
      </c>
      <c r="C6412" s="803" t="s">
        <v>18210</v>
      </c>
      <c r="D6412" s="803" t="s">
        <v>3666</v>
      </c>
      <c r="E6412" s="803">
        <v>63</v>
      </c>
      <c r="F6412" s="850">
        <v>4</v>
      </c>
      <c r="G6412" s="202" t="str">
        <f t="shared" si="99"/>
        <v/>
      </c>
    </row>
    <row r="6413" spans="1:7" s="172" customFormat="1" ht="15" customHeight="1" x14ac:dyDescent="0.25">
      <c r="A6413" s="803" t="s">
        <v>3545</v>
      </c>
      <c r="B6413" s="803" t="s">
        <v>3506</v>
      </c>
      <c r="C6413" s="803" t="s">
        <v>18210</v>
      </c>
      <c r="D6413" s="803" t="s">
        <v>3546</v>
      </c>
      <c r="E6413" s="803">
        <v>160</v>
      </c>
      <c r="F6413" s="850">
        <v>18</v>
      </c>
      <c r="G6413" s="202" t="str">
        <f t="shared" si="99"/>
        <v/>
      </c>
    </row>
    <row r="6414" spans="1:7" s="172" customFormat="1" ht="15" customHeight="1" x14ac:dyDescent="0.25">
      <c r="A6414" s="803" t="s">
        <v>3545</v>
      </c>
      <c r="B6414" s="803" t="s">
        <v>3506</v>
      </c>
      <c r="C6414" s="803" t="s">
        <v>18210</v>
      </c>
      <c r="D6414" s="803" t="s">
        <v>3547</v>
      </c>
      <c r="E6414" s="803">
        <v>250</v>
      </c>
      <c r="F6414" s="850">
        <v>60</v>
      </c>
      <c r="G6414" s="202" t="str">
        <f t="shared" si="99"/>
        <v/>
      </c>
    </row>
    <row r="6415" spans="1:7" s="172" customFormat="1" ht="15" customHeight="1" x14ac:dyDescent="0.25">
      <c r="A6415" s="803" t="s">
        <v>3545</v>
      </c>
      <c r="B6415" s="803" t="s">
        <v>3506</v>
      </c>
      <c r="C6415" s="803" t="s">
        <v>18210</v>
      </c>
      <c r="D6415" s="803" t="s">
        <v>3548</v>
      </c>
      <c r="E6415" s="803">
        <v>250</v>
      </c>
      <c r="F6415" s="850">
        <v>57</v>
      </c>
      <c r="G6415" s="202" t="str">
        <f t="shared" si="99"/>
        <v/>
      </c>
    </row>
    <row r="6416" spans="1:7" s="172" customFormat="1" ht="15" customHeight="1" x14ac:dyDescent="0.25">
      <c r="A6416" s="803" t="s">
        <v>3545</v>
      </c>
      <c r="B6416" s="803" t="s">
        <v>3506</v>
      </c>
      <c r="C6416" s="803" t="s">
        <v>18210</v>
      </c>
      <c r="D6416" s="803" t="s">
        <v>3549</v>
      </c>
      <c r="E6416" s="803">
        <v>160</v>
      </c>
      <c r="F6416" s="850">
        <v>60</v>
      </c>
      <c r="G6416" s="202" t="str">
        <f t="shared" si="99"/>
        <v/>
      </c>
    </row>
    <row r="6417" spans="1:7" s="172" customFormat="1" ht="15" customHeight="1" x14ac:dyDescent="0.25">
      <c r="A6417" s="803" t="s">
        <v>3566</v>
      </c>
      <c r="B6417" s="803" t="s">
        <v>3506</v>
      </c>
      <c r="C6417" s="803" t="s">
        <v>18210</v>
      </c>
      <c r="D6417" s="803" t="s">
        <v>3567</v>
      </c>
      <c r="E6417" s="803">
        <v>63</v>
      </c>
      <c r="F6417" s="850">
        <v>18</v>
      </c>
      <c r="G6417" s="202" t="str">
        <f t="shared" si="99"/>
        <v/>
      </c>
    </row>
    <row r="6418" spans="1:7" s="172" customFormat="1" ht="15" customHeight="1" x14ac:dyDescent="0.25">
      <c r="A6418" s="803" t="s">
        <v>3601</v>
      </c>
      <c r="B6418" s="803" t="s">
        <v>3506</v>
      </c>
      <c r="C6418" s="803" t="s">
        <v>18210</v>
      </c>
      <c r="D6418" s="803" t="s">
        <v>3602</v>
      </c>
      <c r="E6418" s="803">
        <v>60</v>
      </c>
      <c r="F6418" s="850">
        <v>5</v>
      </c>
      <c r="G6418" s="202" t="str">
        <f t="shared" si="99"/>
        <v/>
      </c>
    </row>
    <row r="6419" spans="1:7" s="172" customFormat="1" ht="15" customHeight="1" x14ac:dyDescent="0.25">
      <c r="A6419" s="803" t="s">
        <v>18226</v>
      </c>
      <c r="B6419" s="803" t="s">
        <v>3506</v>
      </c>
      <c r="C6419" s="803" t="s">
        <v>18210</v>
      </c>
      <c r="D6419" s="803" t="s">
        <v>3744</v>
      </c>
      <c r="E6419" s="803">
        <v>10</v>
      </c>
      <c r="F6419" s="850">
        <v>2</v>
      </c>
      <c r="G6419" s="202" t="str">
        <f t="shared" si="99"/>
        <v/>
      </c>
    </row>
    <row r="6420" spans="1:7" s="172" customFormat="1" ht="15" customHeight="1" x14ac:dyDescent="0.25">
      <c r="A6420" s="803" t="s">
        <v>3593</v>
      </c>
      <c r="B6420" s="803" t="s">
        <v>3506</v>
      </c>
      <c r="C6420" s="803" t="s">
        <v>18210</v>
      </c>
      <c r="D6420" s="803" t="s">
        <v>3594</v>
      </c>
      <c r="E6420" s="803">
        <v>63</v>
      </c>
      <c r="F6420" s="850">
        <v>5</v>
      </c>
      <c r="G6420" s="202" t="str">
        <f t="shared" si="99"/>
        <v/>
      </c>
    </row>
    <row r="6421" spans="1:7" s="172" customFormat="1" ht="15" customHeight="1" x14ac:dyDescent="0.25">
      <c r="A6421" s="803" t="s">
        <v>3597</v>
      </c>
      <c r="B6421" s="803" t="s">
        <v>3506</v>
      </c>
      <c r="C6421" s="803" t="s">
        <v>18210</v>
      </c>
      <c r="D6421" s="803" t="s">
        <v>3598</v>
      </c>
      <c r="E6421" s="803">
        <v>100</v>
      </c>
      <c r="F6421" s="850">
        <v>45</v>
      </c>
      <c r="G6421" s="202" t="str">
        <f t="shared" si="99"/>
        <v/>
      </c>
    </row>
    <row r="6422" spans="1:7" s="172" customFormat="1" ht="15" customHeight="1" x14ac:dyDescent="0.25">
      <c r="A6422" s="803" t="s">
        <v>3526</v>
      </c>
      <c r="B6422" s="803" t="s">
        <v>3506</v>
      </c>
      <c r="C6422" s="803" t="s">
        <v>18210</v>
      </c>
      <c r="D6422" s="803" t="s">
        <v>3527</v>
      </c>
      <c r="E6422" s="803">
        <v>100</v>
      </c>
      <c r="F6422" s="850">
        <v>54</v>
      </c>
      <c r="G6422" s="202" t="str">
        <f t="shared" si="99"/>
        <v/>
      </c>
    </row>
    <row r="6423" spans="1:7" s="172" customFormat="1" ht="15" customHeight="1" x14ac:dyDescent="0.25">
      <c r="A6423" s="803" t="s">
        <v>3636</v>
      </c>
      <c r="B6423" s="803" t="s">
        <v>3506</v>
      </c>
      <c r="C6423" s="803" t="s">
        <v>18210</v>
      </c>
      <c r="D6423" s="803" t="s">
        <v>20147</v>
      </c>
      <c r="E6423" s="803">
        <v>100</v>
      </c>
      <c r="F6423" s="850">
        <v>64</v>
      </c>
      <c r="G6423" s="202" t="str">
        <f t="shared" si="99"/>
        <v/>
      </c>
    </row>
    <row r="6424" spans="1:7" s="172" customFormat="1" ht="15" customHeight="1" x14ac:dyDescent="0.25">
      <c r="A6424" s="803" t="s">
        <v>20148</v>
      </c>
      <c r="B6424" s="803" t="s">
        <v>3506</v>
      </c>
      <c r="C6424" s="803" t="s">
        <v>18210</v>
      </c>
      <c r="D6424" s="803" t="s">
        <v>20149</v>
      </c>
      <c r="E6424" s="803">
        <v>100</v>
      </c>
      <c r="F6424" s="850">
        <v>53</v>
      </c>
      <c r="G6424" s="202" t="str">
        <f t="shared" si="99"/>
        <v/>
      </c>
    </row>
    <row r="6425" spans="1:7" s="172" customFormat="1" ht="15" customHeight="1" x14ac:dyDescent="0.25">
      <c r="A6425" s="803" t="s">
        <v>7846</v>
      </c>
      <c r="B6425" s="803" t="s">
        <v>7915</v>
      </c>
      <c r="C6425" s="803" t="s">
        <v>7915</v>
      </c>
      <c r="D6425" s="803" t="s">
        <v>7916</v>
      </c>
      <c r="E6425" s="803">
        <v>30</v>
      </c>
      <c r="F6425" s="850">
        <v>5</v>
      </c>
      <c r="G6425" s="202" t="str">
        <f t="shared" si="99"/>
        <v/>
      </c>
    </row>
    <row r="6426" spans="1:7" s="172" customFormat="1" ht="15" customHeight="1" x14ac:dyDescent="0.25">
      <c r="A6426" s="803" t="s">
        <v>12621</v>
      </c>
      <c r="B6426" s="803" t="s">
        <v>7915</v>
      </c>
      <c r="C6426" s="803" t="s">
        <v>7915</v>
      </c>
      <c r="D6426" s="803" t="s">
        <v>7917</v>
      </c>
      <c r="E6426" s="803">
        <v>30</v>
      </c>
      <c r="F6426" s="850">
        <v>3</v>
      </c>
      <c r="G6426" s="202" t="str">
        <f t="shared" si="99"/>
        <v/>
      </c>
    </row>
    <row r="6427" spans="1:7" s="172" customFormat="1" ht="15" customHeight="1" x14ac:dyDescent="0.25">
      <c r="A6427" s="803" t="s">
        <v>12621</v>
      </c>
      <c r="B6427" s="803" t="s">
        <v>7915</v>
      </c>
      <c r="C6427" s="803" t="s">
        <v>7915</v>
      </c>
      <c r="D6427" s="803" t="s">
        <v>20150</v>
      </c>
      <c r="E6427" s="803">
        <v>60</v>
      </c>
      <c r="F6427" s="850">
        <v>45</v>
      </c>
      <c r="G6427" s="202" t="str">
        <f t="shared" si="99"/>
        <v/>
      </c>
    </row>
    <row r="6428" spans="1:7" s="172" customFormat="1" ht="15" customHeight="1" x14ac:dyDescent="0.25">
      <c r="A6428" s="803" t="s">
        <v>5768</v>
      </c>
      <c r="B6428" s="803" t="s">
        <v>7915</v>
      </c>
      <c r="C6428" s="803" t="s">
        <v>7915</v>
      </c>
      <c r="D6428" s="803" t="s">
        <v>7918</v>
      </c>
      <c r="E6428" s="803">
        <v>60</v>
      </c>
      <c r="F6428" s="850">
        <v>15</v>
      </c>
      <c r="G6428" s="202" t="str">
        <f t="shared" si="99"/>
        <v/>
      </c>
    </row>
    <row r="6429" spans="1:7" s="172" customFormat="1" ht="15" customHeight="1" x14ac:dyDescent="0.25">
      <c r="A6429" s="803" t="s">
        <v>4854</v>
      </c>
      <c r="B6429" s="803" t="s">
        <v>7915</v>
      </c>
      <c r="C6429" s="803" t="s">
        <v>7915</v>
      </c>
      <c r="D6429" s="803" t="s">
        <v>7919</v>
      </c>
      <c r="E6429" s="803">
        <v>400</v>
      </c>
      <c r="F6429" s="850">
        <v>340</v>
      </c>
      <c r="G6429" s="202" t="str">
        <f t="shared" ref="G6429:G6492" si="100">IF(E6429=F6429,"не загружен","")</f>
        <v/>
      </c>
    </row>
    <row r="6430" spans="1:7" s="172" customFormat="1" ht="15" customHeight="1" x14ac:dyDescent="0.25">
      <c r="A6430" s="803" t="s">
        <v>4854</v>
      </c>
      <c r="B6430" s="803" t="s">
        <v>7915</v>
      </c>
      <c r="C6430" s="803" t="s">
        <v>7915</v>
      </c>
      <c r="D6430" s="803" t="s">
        <v>7920</v>
      </c>
      <c r="E6430" s="803">
        <v>100</v>
      </c>
      <c r="F6430" s="850">
        <v>30</v>
      </c>
      <c r="G6430" s="202" t="str">
        <f t="shared" si="100"/>
        <v/>
      </c>
    </row>
    <row r="6431" spans="1:7" s="172" customFormat="1" ht="15" customHeight="1" x14ac:dyDescent="0.25">
      <c r="A6431" s="803" t="s">
        <v>4854</v>
      </c>
      <c r="B6431" s="803" t="s">
        <v>7915</v>
      </c>
      <c r="C6431" s="803" t="s">
        <v>7915</v>
      </c>
      <c r="D6431" s="803" t="s">
        <v>7921</v>
      </c>
      <c r="E6431" s="803">
        <v>160</v>
      </c>
      <c r="F6431" s="850">
        <v>50</v>
      </c>
      <c r="G6431" s="202" t="str">
        <f t="shared" si="100"/>
        <v/>
      </c>
    </row>
    <row r="6432" spans="1:7" s="172" customFormat="1" ht="15" customHeight="1" x14ac:dyDescent="0.25">
      <c r="A6432" s="803" t="s">
        <v>12622</v>
      </c>
      <c r="B6432" s="803" t="s">
        <v>7915</v>
      </c>
      <c r="C6432" s="803" t="s">
        <v>7915</v>
      </c>
      <c r="D6432" s="803" t="s">
        <v>7922</v>
      </c>
      <c r="E6432" s="803">
        <v>30</v>
      </c>
      <c r="F6432" s="850">
        <v>10</v>
      </c>
      <c r="G6432" s="202" t="str">
        <f t="shared" si="100"/>
        <v/>
      </c>
    </row>
    <row r="6433" spans="1:7" s="172" customFormat="1" ht="15" customHeight="1" x14ac:dyDescent="0.25">
      <c r="A6433" s="803" t="s">
        <v>12623</v>
      </c>
      <c r="B6433" s="803" t="s">
        <v>7915</v>
      </c>
      <c r="C6433" s="803" t="s">
        <v>7915</v>
      </c>
      <c r="D6433" s="803" t="s">
        <v>7923</v>
      </c>
      <c r="E6433" s="803">
        <v>160</v>
      </c>
      <c r="F6433" s="850">
        <v>30</v>
      </c>
      <c r="G6433" s="202" t="str">
        <f t="shared" si="100"/>
        <v/>
      </c>
    </row>
    <row r="6434" spans="1:7" s="172" customFormat="1" ht="15" customHeight="1" x14ac:dyDescent="0.25">
      <c r="A6434" s="803" t="s">
        <v>12624</v>
      </c>
      <c r="B6434" s="803" t="s">
        <v>7915</v>
      </c>
      <c r="C6434" s="803" t="s">
        <v>7915</v>
      </c>
      <c r="D6434" s="803" t="s">
        <v>7924</v>
      </c>
      <c r="E6434" s="803">
        <v>40</v>
      </c>
      <c r="F6434" s="850">
        <v>10</v>
      </c>
      <c r="G6434" s="202" t="str">
        <f t="shared" si="100"/>
        <v/>
      </c>
    </row>
    <row r="6435" spans="1:7" s="172" customFormat="1" ht="15" customHeight="1" x14ac:dyDescent="0.25">
      <c r="A6435" s="803" t="s">
        <v>12625</v>
      </c>
      <c r="B6435" s="803" t="s">
        <v>7915</v>
      </c>
      <c r="C6435" s="803" t="s">
        <v>7915</v>
      </c>
      <c r="D6435" s="803" t="s">
        <v>7925</v>
      </c>
      <c r="E6435" s="803">
        <v>250</v>
      </c>
      <c r="F6435" s="850">
        <v>200</v>
      </c>
      <c r="G6435" s="202" t="str">
        <f t="shared" si="100"/>
        <v/>
      </c>
    </row>
    <row r="6436" spans="1:7" s="172" customFormat="1" ht="15" customHeight="1" x14ac:dyDescent="0.25">
      <c r="A6436" s="803" t="s">
        <v>12626</v>
      </c>
      <c r="B6436" s="803" t="s">
        <v>7915</v>
      </c>
      <c r="C6436" s="803" t="s">
        <v>7915</v>
      </c>
      <c r="D6436" s="803" t="s">
        <v>7926</v>
      </c>
      <c r="E6436" s="803">
        <v>100</v>
      </c>
      <c r="F6436" s="850">
        <v>45</v>
      </c>
      <c r="G6436" s="202" t="str">
        <f t="shared" si="100"/>
        <v/>
      </c>
    </row>
    <row r="6437" spans="1:7" s="172" customFormat="1" ht="15" customHeight="1" x14ac:dyDescent="0.25">
      <c r="A6437" s="803" t="s">
        <v>12627</v>
      </c>
      <c r="B6437" s="803" t="s">
        <v>7915</v>
      </c>
      <c r="C6437" s="803" t="s">
        <v>7915</v>
      </c>
      <c r="D6437" s="803" t="s">
        <v>7927</v>
      </c>
      <c r="E6437" s="803">
        <v>60</v>
      </c>
      <c r="F6437" s="850">
        <v>50</v>
      </c>
      <c r="G6437" s="202" t="str">
        <f t="shared" si="100"/>
        <v/>
      </c>
    </row>
    <row r="6438" spans="1:7" s="172" customFormat="1" ht="15" customHeight="1" x14ac:dyDescent="0.25">
      <c r="A6438" s="803" t="s">
        <v>12628</v>
      </c>
      <c r="B6438" s="803" t="s">
        <v>7915</v>
      </c>
      <c r="C6438" s="803" t="s">
        <v>7915</v>
      </c>
      <c r="D6438" s="803" t="s">
        <v>7928</v>
      </c>
      <c r="E6438" s="803">
        <v>250</v>
      </c>
      <c r="F6438" s="850">
        <v>60</v>
      </c>
      <c r="G6438" s="202" t="str">
        <f t="shared" si="100"/>
        <v/>
      </c>
    </row>
    <row r="6439" spans="1:7" s="172" customFormat="1" ht="15" customHeight="1" x14ac:dyDescent="0.25">
      <c r="A6439" s="803" t="s">
        <v>12629</v>
      </c>
      <c r="B6439" s="803" t="s">
        <v>7915</v>
      </c>
      <c r="C6439" s="803" t="s">
        <v>7915</v>
      </c>
      <c r="D6439" s="803" t="s">
        <v>7929</v>
      </c>
      <c r="E6439" s="803">
        <v>180</v>
      </c>
      <c r="F6439" s="850">
        <v>30</v>
      </c>
      <c r="G6439" s="202" t="str">
        <f t="shared" si="100"/>
        <v/>
      </c>
    </row>
    <row r="6440" spans="1:7" s="172" customFormat="1" ht="15" customHeight="1" x14ac:dyDescent="0.25">
      <c r="A6440" s="803" t="s">
        <v>12630</v>
      </c>
      <c r="B6440" s="803" t="s">
        <v>7915</v>
      </c>
      <c r="C6440" s="803" t="s">
        <v>7915</v>
      </c>
      <c r="D6440" s="803" t="s">
        <v>7930</v>
      </c>
      <c r="E6440" s="803">
        <v>60</v>
      </c>
      <c r="F6440" s="850">
        <v>10</v>
      </c>
      <c r="G6440" s="202" t="str">
        <f t="shared" si="100"/>
        <v/>
      </c>
    </row>
    <row r="6441" spans="1:7" s="172" customFormat="1" ht="15" customHeight="1" x14ac:dyDescent="0.25">
      <c r="A6441" s="803" t="s">
        <v>12631</v>
      </c>
      <c r="B6441" s="803" t="s">
        <v>7915</v>
      </c>
      <c r="C6441" s="803" t="s">
        <v>7915</v>
      </c>
      <c r="D6441" s="803" t="s">
        <v>7931</v>
      </c>
      <c r="E6441" s="803">
        <v>25</v>
      </c>
      <c r="F6441" s="850">
        <v>10</v>
      </c>
      <c r="G6441" s="202" t="str">
        <f t="shared" si="100"/>
        <v/>
      </c>
    </row>
    <row r="6442" spans="1:7" s="172" customFormat="1" ht="15" customHeight="1" x14ac:dyDescent="0.25">
      <c r="A6442" s="803" t="s">
        <v>5637</v>
      </c>
      <c r="B6442" s="803" t="s">
        <v>7915</v>
      </c>
      <c r="C6442" s="803" t="s">
        <v>7915</v>
      </c>
      <c r="D6442" s="803" t="s">
        <v>7932</v>
      </c>
      <c r="E6442" s="803">
        <v>60</v>
      </c>
      <c r="F6442" s="850">
        <v>5</v>
      </c>
      <c r="G6442" s="202" t="str">
        <f t="shared" si="100"/>
        <v/>
      </c>
    </row>
    <row r="6443" spans="1:7" s="172" customFormat="1" ht="15" customHeight="1" x14ac:dyDescent="0.25">
      <c r="A6443" s="803" t="s">
        <v>12632</v>
      </c>
      <c r="B6443" s="803" t="s">
        <v>7915</v>
      </c>
      <c r="C6443" s="803" t="s">
        <v>7915</v>
      </c>
      <c r="D6443" s="803" t="s">
        <v>7933</v>
      </c>
      <c r="E6443" s="803">
        <v>10</v>
      </c>
      <c r="F6443" s="850">
        <v>1</v>
      </c>
      <c r="G6443" s="202" t="str">
        <f t="shared" si="100"/>
        <v/>
      </c>
    </row>
    <row r="6444" spans="1:7" s="172" customFormat="1" ht="15" customHeight="1" x14ac:dyDescent="0.25">
      <c r="A6444" s="803" t="s">
        <v>12631</v>
      </c>
      <c r="B6444" s="803" t="s">
        <v>7915</v>
      </c>
      <c r="C6444" s="803" t="s">
        <v>7915</v>
      </c>
      <c r="D6444" s="803" t="s">
        <v>7934</v>
      </c>
      <c r="E6444" s="803">
        <v>160</v>
      </c>
      <c r="F6444" s="850">
        <v>40</v>
      </c>
      <c r="G6444" s="202" t="str">
        <f t="shared" si="100"/>
        <v/>
      </c>
    </row>
    <row r="6445" spans="1:7" s="172" customFormat="1" ht="15" customHeight="1" x14ac:dyDescent="0.25">
      <c r="A6445" s="803" t="s">
        <v>12631</v>
      </c>
      <c r="B6445" s="803" t="s">
        <v>7915</v>
      </c>
      <c r="C6445" s="803" t="s">
        <v>7915</v>
      </c>
      <c r="D6445" s="803" t="s">
        <v>7935</v>
      </c>
      <c r="E6445" s="803">
        <v>60</v>
      </c>
      <c r="F6445" s="850">
        <v>60</v>
      </c>
      <c r="G6445" s="202" t="str">
        <f t="shared" si="100"/>
        <v>не загружен</v>
      </c>
    </row>
    <row r="6446" spans="1:7" s="172" customFormat="1" ht="15" customHeight="1" x14ac:dyDescent="0.25">
      <c r="A6446" s="803" t="s">
        <v>12631</v>
      </c>
      <c r="B6446" s="803" t="s">
        <v>7915</v>
      </c>
      <c r="C6446" s="803" t="s">
        <v>7915</v>
      </c>
      <c r="D6446" s="803" t="s">
        <v>7936</v>
      </c>
      <c r="E6446" s="803">
        <v>160</v>
      </c>
      <c r="F6446" s="850">
        <v>20</v>
      </c>
      <c r="G6446" s="202" t="str">
        <f t="shared" si="100"/>
        <v/>
      </c>
    </row>
    <row r="6447" spans="1:7" s="172" customFormat="1" ht="15" customHeight="1" x14ac:dyDescent="0.25">
      <c r="A6447" s="803" t="s">
        <v>12631</v>
      </c>
      <c r="B6447" s="803" t="s">
        <v>7915</v>
      </c>
      <c r="C6447" s="803" t="s">
        <v>7915</v>
      </c>
      <c r="D6447" s="803" t="s">
        <v>7937</v>
      </c>
      <c r="E6447" s="803">
        <v>400</v>
      </c>
      <c r="F6447" s="850">
        <v>120</v>
      </c>
      <c r="G6447" s="202" t="str">
        <f t="shared" si="100"/>
        <v/>
      </c>
    </row>
    <row r="6448" spans="1:7" s="172" customFormat="1" ht="15" customHeight="1" x14ac:dyDescent="0.25">
      <c r="A6448" s="803" t="s">
        <v>3583</v>
      </c>
      <c r="B6448" s="803" t="s">
        <v>7915</v>
      </c>
      <c r="C6448" s="803" t="s">
        <v>7915</v>
      </c>
      <c r="D6448" s="803" t="s">
        <v>7938</v>
      </c>
      <c r="E6448" s="803">
        <v>25</v>
      </c>
      <c r="F6448" s="850">
        <v>5</v>
      </c>
      <c r="G6448" s="202" t="str">
        <f t="shared" si="100"/>
        <v/>
      </c>
    </row>
    <row r="6449" spans="1:7" s="172" customFormat="1" ht="15" customHeight="1" x14ac:dyDescent="0.25">
      <c r="A6449" s="803" t="s">
        <v>12633</v>
      </c>
      <c r="B6449" s="803" t="s">
        <v>7915</v>
      </c>
      <c r="C6449" s="803" t="s">
        <v>7915</v>
      </c>
      <c r="D6449" s="803" t="s">
        <v>7939</v>
      </c>
      <c r="E6449" s="803">
        <v>10</v>
      </c>
      <c r="F6449" s="850">
        <v>6</v>
      </c>
      <c r="G6449" s="202" t="str">
        <f t="shared" si="100"/>
        <v/>
      </c>
    </row>
    <row r="6450" spans="1:7" s="172" customFormat="1" ht="15" customHeight="1" x14ac:dyDescent="0.25">
      <c r="A6450" s="803" t="s">
        <v>7379</v>
      </c>
      <c r="B6450" s="803" t="s">
        <v>7915</v>
      </c>
      <c r="C6450" s="803" t="s">
        <v>7915</v>
      </c>
      <c r="D6450" s="803" t="s">
        <v>7940</v>
      </c>
      <c r="E6450" s="803">
        <v>10</v>
      </c>
      <c r="F6450" s="850">
        <v>2</v>
      </c>
      <c r="G6450" s="202" t="str">
        <f t="shared" si="100"/>
        <v/>
      </c>
    </row>
    <row r="6451" spans="1:7" s="172" customFormat="1" ht="15" customHeight="1" x14ac:dyDescent="0.25">
      <c r="A6451" s="803" t="s">
        <v>6940</v>
      </c>
      <c r="B6451" s="803" t="s">
        <v>7915</v>
      </c>
      <c r="C6451" s="803" t="s">
        <v>7915</v>
      </c>
      <c r="D6451" s="803" t="s">
        <v>7941</v>
      </c>
      <c r="E6451" s="803">
        <v>160</v>
      </c>
      <c r="F6451" s="850">
        <v>20</v>
      </c>
      <c r="G6451" s="202" t="str">
        <f t="shared" si="100"/>
        <v/>
      </c>
    </row>
    <row r="6452" spans="1:7" s="172" customFormat="1" ht="15" customHeight="1" x14ac:dyDescent="0.25">
      <c r="A6452" s="803" t="s">
        <v>12634</v>
      </c>
      <c r="B6452" s="803" t="s">
        <v>7915</v>
      </c>
      <c r="C6452" s="803" t="s">
        <v>7915</v>
      </c>
      <c r="D6452" s="803" t="s">
        <v>7942</v>
      </c>
      <c r="E6452" s="803">
        <v>100</v>
      </c>
      <c r="F6452" s="850">
        <v>60</v>
      </c>
      <c r="G6452" s="202" t="str">
        <f t="shared" si="100"/>
        <v/>
      </c>
    </row>
    <row r="6453" spans="1:7" s="172" customFormat="1" ht="15" customHeight="1" x14ac:dyDescent="0.25">
      <c r="A6453" s="803" t="s">
        <v>3583</v>
      </c>
      <c r="B6453" s="803" t="s">
        <v>7915</v>
      </c>
      <c r="C6453" s="803" t="s">
        <v>7915</v>
      </c>
      <c r="D6453" s="803" t="s">
        <v>7938</v>
      </c>
      <c r="E6453" s="803">
        <v>20</v>
      </c>
      <c r="F6453" s="850">
        <v>5</v>
      </c>
      <c r="G6453" s="202" t="str">
        <f t="shared" si="100"/>
        <v/>
      </c>
    </row>
    <row r="6454" spans="1:7" s="172" customFormat="1" ht="15" customHeight="1" x14ac:dyDescent="0.25">
      <c r="A6454" s="803" t="s">
        <v>6580</v>
      </c>
      <c r="B6454" s="803" t="s">
        <v>7915</v>
      </c>
      <c r="C6454" s="803" t="s">
        <v>7915</v>
      </c>
      <c r="D6454" s="803" t="s">
        <v>7943</v>
      </c>
      <c r="E6454" s="803">
        <v>50</v>
      </c>
      <c r="F6454" s="850">
        <v>20</v>
      </c>
      <c r="G6454" s="202" t="str">
        <f t="shared" si="100"/>
        <v/>
      </c>
    </row>
    <row r="6455" spans="1:7" s="172" customFormat="1" ht="15" customHeight="1" x14ac:dyDescent="0.25">
      <c r="A6455" s="803" t="s">
        <v>12635</v>
      </c>
      <c r="B6455" s="803" t="s">
        <v>7915</v>
      </c>
      <c r="C6455" s="803" t="s">
        <v>7915</v>
      </c>
      <c r="D6455" s="803" t="s">
        <v>7944</v>
      </c>
      <c r="E6455" s="803">
        <v>60</v>
      </c>
      <c r="F6455" s="850">
        <v>20</v>
      </c>
      <c r="G6455" s="202" t="str">
        <f t="shared" si="100"/>
        <v/>
      </c>
    </row>
    <row r="6456" spans="1:7" s="172" customFormat="1" ht="15" customHeight="1" x14ac:dyDescent="0.25">
      <c r="A6456" s="803" t="s">
        <v>6252</v>
      </c>
      <c r="B6456" s="803" t="s">
        <v>7915</v>
      </c>
      <c r="C6456" s="803" t="s">
        <v>7915</v>
      </c>
      <c r="D6456" s="803" t="s">
        <v>7945</v>
      </c>
      <c r="E6456" s="803">
        <v>100</v>
      </c>
      <c r="F6456" s="850">
        <v>22</v>
      </c>
      <c r="G6456" s="202" t="str">
        <f t="shared" si="100"/>
        <v/>
      </c>
    </row>
    <row r="6457" spans="1:7" s="172" customFormat="1" ht="15" customHeight="1" x14ac:dyDescent="0.25">
      <c r="A6457" s="803" t="s">
        <v>6252</v>
      </c>
      <c r="B6457" s="803" t="s">
        <v>7915</v>
      </c>
      <c r="C6457" s="803" t="s">
        <v>7915</v>
      </c>
      <c r="D6457" s="803" t="s">
        <v>7946</v>
      </c>
      <c r="E6457" s="803">
        <v>100</v>
      </c>
      <c r="F6457" s="850">
        <v>31</v>
      </c>
      <c r="G6457" s="202" t="str">
        <f t="shared" si="100"/>
        <v/>
      </c>
    </row>
    <row r="6458" spans="1:7" s="172" customFormat="1" ht="15" customHeight="1" x14ac:dyDescent="0.25">
      <c r="A6458" s="803" t="s">
        <v>6252</v>
      </c>
      <c r="B6458" s="803" t="s">
        <v>7915</v>
      </c>
      <c r="C6458" s="803" t="s">
        <v>7915</v>
      </c>
      <c r="D6458" s="803" t="s">
        <v>7947</v>
      </c>
      <c r="E6458" s="803">
        <v>250</v>
      </c>
      <c r="F6458" s="850">
        <v>240</v>
      </c>
      <c r="G6458" s="202" t="str">
        <f t="shared" si="100"/>
        <v/>
      </c>
    </row>
    <row r="6459" spans="1:7" s="172" customFormat="1" ht="15" customHeight="1" x14ac:dyDescent="0.25">
      <c r="A6459" s="803" t="s">
        <v>12636</v>
      </c>
      <c r="B6459" s="803" t="s">
        <v>7915</v>
      </c>
      <c r="C6459" s="803" t="s">
        <v>7915</v>
      </c>
      <c r="D6459" s="803" t="s">
        <v>7948</v>
      </c>
      <c r="E6459" s="803">
        <v>60</v>
      </c>
      <c r="F6459" s="850">
        <v>58</v>
      </c>
      <c r="G6459" s="202" t="str">
        <f t="shared" si="100"/>
        <v/>
      </c>
    </row>
    <row r="6460" spans="1:7" s="172" customFormat="1" ht="15" customHeight="1" x14ac:dyDescent="0.25">
      <c r="A6460" s="803" t="s">
        <v>12637</v>
      </c>
      <c r="B6460" s="803" t="s">
        <v>7915</v>
      </c>
      <c r="C6460" s="803" t="s">
        <v>7915</v>
      </c>
      <c r="D6460" s="803" t="s">
        <v>7949</v>
      </c>
      <c r="E6460" s="803">
        <v>100</v>
      </c>
      <c r="F6460" s="850">
        <v>12</v>
      </c>
      <c r="G6460" s="202" t="str">
        <f t="shared" si="100"/>
        <v/>
      </c>
    </row>
    <row r="6461" spans="1:7" s="172" customFormat="1" ht="15" customHeight="1" x14ac:dyDescent="0.25">
      <c r="A6461" s="803" t="s">
        <v>7950</v>
      </c>
      <c r="B6461" s="803" t="s">
        <v>7915</v>
      </c>
      <c r="C6461" s="803" t="s">
        <v>7915</v>
      </c>
      <c r="D6461" s="803" t="s">
        <v>7951</v>
      </c>
      <c r="E6461" s="803">
        <v>60</v>
      </c>
      <c r="F6461" s="850">
        <v>8</v>
      </c>
      <c r="G6461" s="202" t="str">
        <f t="shared" si="100"/>
        <v/>
      </c>
    </row>
    <row r="6462" spans="1:7" s="172" customFormat="1" ht="15" customHeight="1" x14ac:dyDescent="0.25">
      <c r="A6462" s="803" t="s">
        <v>7950</v>
      </c>
      <c r="B6462" s="803" t="s">
        <v>7915</v>
      </c>
      <c r="C6462" s="803" t="s">
        <v>7915</v>
      </c>
      <c r="D6462" s="803" t="s">
        <v>7952</v>
      </c>
      <c r="E6462" s="803">
        <v>160</v>
      </c>
      <c r="F6462" s="850">
        <v>100</v>
      </c>
      <c r="G6462" s="202" t="str">
        <f t="shared" si="100"/>
        <v/>
      </c>
    </row>
    <row r="6463" spans="1:7" s="172" customFormat="1" ht="15" customHeight="1" x14ac:dyDescent="0.25">
      <c r="A6463" s="803" t="s">
        <v>7953</v>
      </c>
      <c r="B6463" s="803" t="s">
        <v>7915</v>
      </c>
      <c r="C6463" s="803" t="s">
        <v>7915</v>
      </c>
      <c r="D6463" s="803" t="s">
        <v>7954</v>
      </c>
      <c r="E6463" s="803">
        <v>250</v>
      </c>
      <c r="F6463" s="850">
        <v>230</v>
      </c>
      <c r="G6463" s="202" t="str">
        <f t="shared" si="100"/>
        <v/>
      </c>
    </row>
    <row r="6464" spans="1:7" s="172" customFormat="1" ht="15" customHeight="1" x14ac:dyDescent="0.25">
      <c r="A6464" s="803" t="s">
        <v>12638</v>
      </c>
      <c r="B6464" s="803" t="s">
        <v>7915</v>
      </c>
      <c r="C6464" s="803" t="s">
        <v>7915</v>
      </c>
      <c r="D6464" s="803" t="s">
        <v>7955</v>
      </c>
      <c r="E6464" s="803">
        <v>100</v>
      </c>
      <c r="F6464" s="850">
        <v>90</v>
      </c>
      <c r="G6464" s="202" t="str">
        <f t="shared" si="100"/>
        <v/>
      </c>
    </row>
    <row r="6465" spans="1:7" s="172" customFormat="1" ht="15" customHeight="1" x14ac:dyDescent="0.25">
      <c r="A6465" s="803" t="s">
        <v>7895</v>
      </c>
      <c r="B6465" s="803" t="s">
        <v>7915</v>
      </c>
      <c r="C6465" s="803" t="s">
        <v>7915</v>
      </c>
      <c r="D6465" s="803" t="s">
        <v>7956</v>
      </c>
      <c r="E6465" s="803">
        <v>160</v>
      </c>
      <c r="F6465" s="850">
        <v>11</v>
      </c>
      <c r="G6465" s="202" t="str">
        <f t="shared" si="100"/>
        <v/>
      </c>
    </row>
    <row r="6466" spans="1:7" s="172" customFormat="1" ht="15" customHeight="1" x14ac:dyDescent="0.25">
      <c r="A6466" s="803" t="s">
        <v>7953</v>
      </c>
      <c r="B6466" s="803" t="s">
        <v>7915</v>
      </c>
      <c r="C6466" s="803" t="s">
        <v>7915</v>
      </c>
      <c r="D6466" s="803" t="s">
        <v>7957</v>
      </c>
      <c r="E6466" s="803">
        <v>250</v>
      </c>
      <c r="F6466" s="850">
        <v>200</v>
      </c>
      <c r="G6466" s="202" t="str">
        <f t="shared" si="100"/>
        <v/>
      </c>
    </row>
    <row r="6467" spans="1:7" s="172" customFormat="1" ht="15" customHeight="1" x14ac:dyDescent="0.25">
      <c r="A6467" s="803" t="s">
        <v>7953</v>
      </c>
      <c r="B6467" s="803" t="s">
        <v>7915</v>
      </c>
      <c r="C6467" s="803" t="s">
        <v>7915</v>
      </c>
      <c r="D6467" s="803" t="s">
        <v>7958</v>
      </c>
      <c r="E6467" s="803">
        <v>250</v>
      </c>
      <c r="F6467" s="850">
        <v>30</v>
      </c>
      <c r="G6467" s="202" t="str">
        <f t="shared" si="100"/>
        <v/>
      </c>
    </row>
    <row r="6468" spans="1:7" s="172" customFormat="1" ht="15" customHeight="1" x14ac:dyDescent="0.25">
      <c r="A6468" s="803" t="s">
        <v>7953</v>
      </c>
      <c r="B6468" s="803" t="s">
        <v>7915</v>
      </c>
      <c r="C6468" s="803" t="s">
        <v>7915</v>
      </c>
      <c r="D6468" s="803" t="s">
        <v>7959</v>
      </c>
      <c r="E6468" s="803">
        <v>250</v>
      </c>
      <c r="F6468" s="850">
        <v>120</v>
      </c>
      <c r="G6468" s="202" t="str">
        <f t="shared" si="100"/>
        <v/>
      </c>
    </row>
    <row r="6469" spans="1:7" s="172" customFormat="1" ht="15" customHeight="1" x14ac:dyDescent="0.25">
      <c r="A6469" s="803" t="s">
        <v>7960</v>
      </c>
      <c r="B6469" s="803" t="s">
        <v>7915</v>
      </c>
      <c r="C6469" s="803" t="s">
        <v>7915</v>
      </c>
      <c r="D6469" s="803" t="s">
        <v>7961</v>
      </c>
      <c r="E6469" s="803">
        <v>100</v>
      </c>
      <c r="F6469" s="850">
        <v>30</v>
      </c>
      <c r="G6469" s="202" t="str">
        <f t="shared" si="100"/>
        <v/>
      </c>
    </row>
    <row r="6470" spans="1:7" s="172" customFormat="1" ht="15" customHeight="1" x14ac:dyDescent="0.25">
      <c r="A6470" s="803" t="s">
        <v>12639</v>
      </c>
      <c r="B6470" s="803" t="s">
        <v>7915</v>
      </c>
      <c r="C6470" s="803" t="s">
        <v>7915</v>
      </c>
      <c r="D6470" s="803" t="s">
        <v>7962</v>
      </c>
      <c r="E6470" s="803">
        <v>100</v>
      </c>
      <c r="F6470" s="850">
        <v>50</v>
      </c>
      <c r="G6470" s="202" t="str">
        <f t="shared" si="100"/>
        <v/>
      </c>
    </row>
    <row r="6471" spans="1:7" s="172" customFormat="1" ht="15" customHeight="1" x14ac:dyDescent="0.25">
      <c r="A6471" s="803" t="s">
        <v>7960</v>
      </c>
      <c r="B6471" s="803" t="s">
        <v>7915</v>
      </c>
      <c r="C6471" s="803" t="s">
        <v>7915</v>
      </c>
      <c r="D6471" s="803" t="s">
        <v>7963</v>
      </c>
      <c r="E6471" s="803">
        <v>160</v>
      </c>
      <c r="F6471" s="850">
        <v>110</v>
      </c>
      <c r="G6471" s="202" t="str">
        <f t="shared" si="100"/>
        <v/>
      </c>
    </row>
    <row r="6472" spans="1:7" s="172" customFormat="1" ht="15" customHeight="1" x14ac:dyDescent="0.25">
      <c r="A6472" s="803" t="s">
        <v>12640</v>
      </c>
      <c r="B6472" s="803" t="s">
        <v>7915</v>
      </c>
      <c r="C6472" s="803" t="s">
        <v>7915</v>
      </c>
      <c r="D6472" s="803" t="s">
        <v>7964</v>
      </c>
      <c r="E6472" s="803">
        <v>250</v>
      </c>
      <c r="F6472" s="850">
        <v>120</v>
      </c>
      <c r="G6472" s="202" t="str">
        <f t="shared" si="100"/>
        <v/>
      </c>
    </row>
    <row r="6473" spans="1:7" s="172" customFormat="1" ht="15" customHeight="1" x14ac:dyDescent="0.25">
      <c r="A6473" s="803" t="s">
        <v>7313</v>
      </c>
      <c r="B6473" s="803" t="s">
        <v>7915</v>
      </c>
      <c r="C6473" s="803" t="s">
        <v>7915</v>
      </c>
      <c r="D6473" s="803" t="s">
        <v>7965</v>
      </c>
      <c r="E6473" s="803">
        <v>250</v>
      </c>
      <c r="F6473" s="850">
        <v>245</v>
      </c>
      <c r="G6473" s="202" t="str">
        <f t="shared" si="100"/>
        <v/>
      </c>
    </row>
    <row r="6474" spans="1:7" s="172" customFormat="1" ht="15" customHeight="1" x14ac:dyDescent="0.25">
      <c r="A6474" s="803" t="s">
        <v>7379</v>
      </c>
      <c r="B6474" s="803" t="s">
        <v>7915</v>
      </c>
      <c r="C6474" s="803" t="s">
        <v>7915</v>
      </c>
      <c r="D6474" s="803" t="s">
        <v>7966</v>
      </c>
      <c r="E6474" s="803">
        <v>30</v>
      </c>
      <c r="F6474" s="850">
        <v>2</v>
      </c>
      <c r="G6474" s="202" t="str">
        <f t="shared" si="100"/>
        <v/>
      </c>
    </row>
    <row r="6475" spans="1:7" s="172" customFormat="1" ht="15" customHeight="1" x14ac:dyDescent="0.25">
      <c r="A6475" s="803" t="s">
        <v>12641</v>
      </c>
      <c r="B6475" s="803" t="s">
        <v>7915</v>
      </c>
      <c r="C6475" s="803" t="s">
        <v>7915</v>
      </c>
      <c r="D6475" s="803" t="s">
        <v>7967</v>
      </c>
      <c r="E6475" s="803">
        <v>160</v>
      </c>
      <c r="F6475" s="850">
        <v>7</v>
      </c>
      <c r="G6475" s="202" t="str">
        <f t="shared" si="100"/>
        <v/>
      </c>
    </row>
    <row r="6476" spans="1:7" s="172" customFormat="1" ht="15" customHeight="1" x14ac:dyDescent="0.25">
      <c r="A6476" s="803" t="s">
        <v>12642</v>
      </c>
      <c r="B6476" s="803" t="s">
        <v>7915</v>
      </c>
      <c r="C6476" s="803" t="s">
        <v>7915</v>
      </c>
      <c r="D6476" s="803" t="s">
        <v>7968</v>
      </c>
      <c r="E6476" s="803">
        <v>25</v>
      </c>
      <c r="F6476" s="850">
        <v>10</v>
      </c>
      <c r="G6476" s="202" t="str">
        <f t="shared" si="100"/>
        <v/>
      </c>
    </row>
    <row r="6477" spans="1:7" s="172" customFormat="1" ht="15" customHeight="1" x14ac:dyDescent="0.25">
      <c r="A6477" s="803" t="s">
        <v>2473</v>
      </c>
      <c r="B6477" s="803" t="s">
        <v>7915</v>
      </c>
      <c r="C6477" s="803" t="s">
        <v>7915</v>
      </c>
      <c r="D6477" s="803" t="s">
        <v>7969</v>
      </c>
      <c r="E6477" s="803">
        <v>60</v>
      </c>
      <c r="F6477" s="850">
        <v>12</v>
      </c>
      <c r="G6477" s="202" t="str">
        <f t="shared" si="100"/>
        <v/>
      </c>
    </row>
    <row r="6478" spans="1:7" s="172" customFormat="1" ht="15" customHeight="1" x14ac:dyDescent="0.25">
      <c r="A6478" s="803" t="s">
        <v>7960</v>
      </c>
      <c r="B6478" s="803" t="s">
        <v>7915</v>
      </c>
      <c r="C6478" s="803" t="s">
        <v>7915</v>
      </c>
      <c r="D6478" s="803" t="s">
        <v>7970</v>
      </c>
      <c r="E6478" s="803">
        <v>30</v>
      </c>
      <c r="F6478" s="850">
        <v>20</v>
      </c>
      <c r="G6478" s="202" t="str">
        <f t="shared" si="100"/>
        <v/>
      </c>
    </row>
    <row r="6479" spans="1:7" s="172" customFormat="1" ht="15" customHeight="1" x14ac:dyDescent="0.25">
      <c r="A6479" s="803" t="s">
        <v>3545</v>
      </c>
      <c r="B6479" s="803" t="s">
        <v>7915</v>
      </c>
      <c r="C6479" s="803" t="s">
        <v>7915</v>
      </c>
      <c r="D6479" s="803" t="s">
        <v>7971</v>
      </c>
      <c r="E6479" s="803">
        <v>25</v>
      </c>
      <c r="F6479" s="850">
        <v>4</v>
      </c>
      <c r="G6479" s="202" t="str">
        <f t="shared" si="100"/>
        <v/>
      </c>
    </row>
    <row r="6480" spans="1:7" s="172" customFormat="1" ht="15" customHeight="1" x14ac:dyDescent="0.25">
      <c r="A6480" s="803" t="s">
        <v>7600</v>
      </c>
      <c r="B6480" s="803" t="s">
        <v>7915</v>
      </c>
      <c r="C6480" s="803" t="s">
        <v>7915</v>
      </c>
      <c r="D6480" s="803" t="s">
        <v>7972</v>
      </c>
      <c r="E6480" s="803">
        <v>63</v>
      </c>
      <c r="F6480" s="850">
        <v>3</v>
      </c>
      <c r="G6480" s="202" t="str">
        <f t="shared" si="100"/>
        <v/>
      </c>
    </row>
    <row r="6481" spans="1:7" s="172" customFormat="1" ht="15" customHeight="1" x14ac:dyDescent="0.25">
      <c r="A6481" s="803" t="s">
        <v>12643</v>
      </c>
      <c r="B6481" s="803" t="s">
        <v>7915</v>
      </c>
      <c r="C6481" s="803" t="s">
        <v>7915</v>
      </c>
      <c r="D6481" s="803" t="s">
        <v>7973</v>
      </c>
      <c r="E6481" s="803">
        <v>10</v>
      </c>
      <c r="F6481" s="850">
        <v>2</v>
      </c>
      <c r="G6481" s="202" t="str">
        <f t="shared" si="100"/>
        <v/>
      </c>
    </row>
    <row r="6482" spans="1:7" s="172" customFormat="1" ht="15" customHeight="1" x14ac:dyDescent="0.25">
      <c r="A6482" s="803" t="s">
        <v>7950</v>
      </c>
      <c r="B6482" s="803" t="s">
        <v>7915</v>
      </c>
      <c r="C6482" s="803" t="s">
        <v>7915</v>
      </c>
      <c r="D6482" s="803" t="s">
        <v>7974</v>
      </c>
      <c r="E6482" s="803">
        <v>160</v>
      </c>
      <c r="F6482" s="850">
        <v>130</v>
      </c>
      <c r="G6482" s="202" t="str">
        <f t="shared" si="100"/>
        <v/>
      </c>
    </row>
    <row r="6483" spans="1:7" s="172" customFormat="1" ht="15" customHeight="1" x14ac:dyDescent="0.25">
      <c r="A6483" s="803" t="s">
        <v>7950</v>
      </c>
      <c r="B6483" s="803" t="s">
        <v>7915</v>
      </c>
      <c r="C6483" s="803" t="s">
        <v>7915</v>
      </c>
      <c r="D6483" s="803" t="s">
        <v>7975</v>
      </c>
      <c r="E6483" s="803">
        <v>100</v>
      </c>
      <c r="F6483" s="850">
        <v>30</v>
      </c>
      <c r="G6483" s="202" t="str">
        <f t="shared" si="100"/>
        <v/>
      </c>
    </row>
    <row r="6484" spans="1:7" s="172" customFormat="1" ht="15" customHeight="1" x14ac:dyDescent="0.25">
      <c r="A6484" s="803" t="s">
        <v>5723</v>
      </c>
      <c r="B6484" s="803" t="s">
        <v>7915</v>
      </c>
      <c r="C6484" s="803" t="s">
        <v>7915</v>
      </c>
      <c r="D6484" s="803" t="s">
        <v>7976</v>
      </c>
      <c r="E6484" s="803">
        <v>250</v>
      </c>
      <c r="F6484" s="850">
        <v>0</v>
      </c>
      <c r="G6484" s="202" t="str">
        <f t="shared" si="100"/>
        <v/>
      </c>
    </row>
    <row r="6485" spans="1:7" s="172" customFormat="1" ht="15" customHeight="1" x14ac:dyDescent="0.25">
      <c r="A6485" s="803" t="s">
        <v>16061</v>
      </c>
      <c r="B6485" s="803" t="s">
        <v>7915</v>
      </c>
      <c r="C6485" s="803" t="s">
        <v>7915</v>
      </c>
      <c r="D6485" s="803" t="s">
        <v>16062</v>
      </c>
      <c r="E6485" s="803">
        <v>63</v>
      </c>
      <c r="F6485" s="850">
        <v>0</v>
      </c>
      <c r="G6485" s="202" t="str">
        <f t="shared" si="100"/>
        <v/>
      </c>
    </row>
    <row r="6486" spans="1:7" s="172" customFormat="1" ht="15" customHeight="1" x14ac:dyDescent="0.25">
      <c r="A6486" s="803" t="s">
        <v>12644</v>
      </c>
      <c r="B6486" s="803" t="s">
        <v>7915</v>
      </c>
      <c r="C6486" s="803" t="s">
        <v>7915</v>
      </c>
      <c r="D6486" s="803" t="s">
        <v>7977</v>
      </c>
      <c r="E6486" s="803">
        <v>60</v>
      </c>
      <c r="F6486" s="850">
        <v>50</v>
      </c>
      <c r="G6486" s="202" t="str">
        <f t="shared" si="100"/>
        <v/>
      </c>
    </row>
    <row r="6487" spans="1:7" s="172" customFormat="1" ht="15" customHeight="1" x14ac:dyDescent="0.25">
      <c r="A6487" s="803" t="s">
        <v>7953</v>
      </c>
      <c r="B6487" s="803" t="s">
        <v>7915</v>
      </c>
      <c r="C6487" s="803" t="s">
        <v>7915</v>
      </c>
      <c r="D6487" s="803" t="s">
        <v>7978</v>
      </c>
      <c r="E6487" s="803">
        <v>160</v>
      </c>
      <c r="F6487" s="850">
        <v>20</v>
      </c>
      <c r="G6487" s="202" t="str">
        <f t="shared" si="100"/>
        <v/>
      </c>
    </row>
    <row r="6488" spans="1:7" s="172" customFormat="1" ht="15" customHeight="1" x14ac:dyDescent="0.25">
      <c r="A6488" s="803" t="s">
        <v>12645</v>
      </c>
      <c r="B6488" s="803" t="s">
        <v>7915</v>
      </c>
      <c r="C6488" s="803" t="s">
        <v>7915</v>
      </c>
      <c r="D6488" s="803" t="s">
        <v>7979</v>
      </c>
      <c r="E6488" s="803">
        <v>10</v>
      </c>
      <c r="F6488" s="850">
        <v>5</v>
      </c>
      <c r="G6488" s="202" t="str">
        <f t="shared" si="100"/>
        <v/>
      </c>
    </row>
    <row r="6489" spans="1:7" s="172" customFormat="1" ht="15" customHeight="1" x14ac:dyDescent="0.25">
      <c r="A6489" s="803" t="s">
        <v>7999</v>
      </c>
      <c r="B6489" s="803" t="s">
        <v>7915</v>
      </c>
      <c r="C6489" s="803" t="s">
        <v>7915</v>
      </c>
      <c r="D6489" s="803" t="s">
        <v>7980</v>
      </c>
      <c r="E6489" s="803">
        <v>60</v>
      </c>
      <c r="F6489" s="850">
        <v>10</v>
      </c>
      <c r="G6489" s="202" t="str">
        <f t="shared" si="100"/>
        <v/>
      </c>
    </row>
    <row r="6490" spans="1:7" s="172" customFormat="1" ht="15" customHeight="1" x14ac:dyDescent="0.25">
      <c r="A6490" s="803" t="s">
        <v>12646</v>
      </c>
      <c r="B6490" s="803" t="s">
        <v>7915</v>
      </c>
      <c r="C6490" s="803" t="s">
        <v>7915</v>
      </c>
      <c r="D6490" s="803" t="s">
        <v>7981</v>
      </c>
      <c r="E6490" s="803">
        <v>100</v>
      </c>
      <c r="F6490" s="850">
        <v>70</v>
      </c>
      <c r="G6490" s="202" t="str">
        <f t="shared" si="100"/>
        <v/>
      </c>
    </row>
    <row r="6491" spans="1:7" s="172" customFormat="1" ht="15" customHeight="1" x14ac:dyDescent="0.25">
      <c r="A6491" s="803" t="s">
        <v>2709</v>
      </c>
      <c r="B6491" s="803" t="s">
        <v>7915</v>
      </c>
      <c r="C6491" s="803" t="s">
        <v>7915</v>
      </c>
      <c r="D6491" s="803" t="s">
        <v>7982</v>
      </c>
      <c r="E6491" s="803">
        <v>250</v>
      </c>
      <c r="F6491" s="850">
        <v>30</v>
      </c>
      <c r="G6491" s="202" t="str">
        <f t="shared" si="100"/>
        <v/>
      </c>
    </row>
    <row r="6492" spans="1:7" s="172" customFormat="1" ht="15" customHeight="1" x14ac:dyDescent="0.25">
      <c r="A6492" s="803" t="s">
        <v>12647</v>
      </c>
      <c r="B6492" s="803" t="s">
        <v>7915</v>
      </c>
      <c r="C6492" s="803" t="s">
        <v>7915</v>
      </c>
      <c r="D6492" s="803" t="s">
        <v>7983</v>
      </c>
      <c r="E6492" s="803">
        <v>63</v>
      </c>
      <c r="F6492" s="850">
        <v>30</v>
      </c>
      <c r="G6492" s="202" t="str">
        <f t="shared" si="100"/>
        <v/>
      </c>
    </row>
    <row r="6493" spans="1:7" s="172" customFormat="1" ht="15" customHeight="1" x14ac:dyDescent="0.25">
      <c r="A6493" s="803" t="s">
        <v>2709</v>
      </c>
      <c r="B6493" s="803" t="s">
        <v>7915</v>
      </c>
      <c r="C6493" s="803" t="s">
        <v>7915</v>
      </c>
      <c r="D6493" s="803" t="s">
        <v>7984</v>
      </c>
      <c r="E6493" s="803">
        <v>250</v>
      </c>
      <c r="F6493" s="850">
        <v>50</v>
      </c>
      <c r="G6493" s="202" t="str">
        <f t="shared" ref="G6493:G6556" si="101">IF(E6493=F6493,"не загружен","")</f>
        <v/>
      </c>
    </row>
    <row r="6494" spans="1:7" s="172" customFormat="1" ht="15" customHeight="1" x14ac:dyDescent="0.25">
      <c r="A6494" s="803" t="s">
        <v>12648</v>
      </c>
      <c r="B6494" s="803" t="s">
        <v>7915</v>
      </c>
      <c r="C6494" s="803" t="s">
        <v>7915</v>
      </c>
      <c r="D6494" s="803" t="s">
        <v>7985</v>
      </c>
      <c r="E6494" s="803">
        <v>100</v>
      </c>
      <c r="F6494" s="850">
        <v>25</v>
      </c>
      <c r="G6494" s="202" t="str">
        <f t="shared" si="101"/>
        <v/>
      </c>
    </row>
    <row r="6495" spans="1:7" s="172" customFormat="1" ht="15" customHeight="1" x14ac:dyDescent="0.25">
      <c r="A6495" s="803" t="s">
        <v>12649</v>
      </c>
      <c r="B6495" s="803" t="s">
        <v>7915</v>
      </c>
      <c r="C6495" s="803" t="s">
        <v>7915</v>
      </c>
      <c r="D6495" s="803" t="s">
        <v>7986</v>
      </c>
      <c r="E6495" s="803">
        <v>160</v>
      </c>
      <c r="F6495" s="850">
        <v>100</v>
      </c>
      <c r="G6495" s="202" t="str">
        <f t="shared" si="101"/>
        <v/>
      </c>
    </row>
    <row r="6496" spans="1:7" s="172" customFormat="1" ht="15" customHeight="1" x14ac:dyDescent="0.25">
      <c r="A6496" s="803" t="s">
        <v>2755</v>
      </c>
      <c r="B6496" s="803" t="s">
        <v>7915</v>
      </c>
      <c r="C6496" s="803" t="s">
        <v>7915</v>
      </c>
      <c r="D6496" s="803" t="s">
        <v>7987</v>
      </c>
      <c r="E6496" s="803">
        <v>250</v>
      </c>
      <c r="F6496" s="850">
        <v>130</v>
      </c>
      <c r="G6496" s="202" t="str">
        <f t="shared" si="101"/>
        <v/>
      </c>
    </row>
    <row r="6497" spans="1:7" s="172" customFormat="1" ht="15" customHeight="1" x14ac:dyDescent="0.25">
      <c r="A6497" s="803" t="s">
        <v>12650</v>
      </c>
      <c r="B6497" s="803" t="s">
        <v>7915</v>
      </c>
      <c r="C6497" s="803" t="s">
        <v>7915</v>
      </c>
      <c r="D6497" s="803" t="s">
        <v>7988</v>
      </c>
      <c r="E6497" s="803">
        <v>250</v>
      </c>
      <c r="F6497" s="850">
        <v>200</v>
      </c>
      <c r="G6497" s="202" t="str">
        <f t="shared" si="101"/>
        <v/>
      </c>
    </row>
    <row r="6498" spans="1:7" s="172" customFormat="1" ht="15" customHeight="1" x14ac:dyDescent="0.25">
      <c r="A6498" s="803" t="s">
        <v>12651</v>
      </c>
      <c r="B6498" s="803" t="s">
        <v>7915</v>
      </c>
      <c r="C6498" s="803" t="s">
        <v>7915</v>
      </c>
      <c r="D6498" s="803" t="s">
        <v>7989</v>
      </c>
      <c r="E6498" s="803">
        <v>20</v>
      </c>
      <c r="F6498" s="850">
        <v>10</v>
      </c>
      <c r="G6498" s="202" t="str">
        <f t="shared" si="101"/>
        <v/>
      </c>
    </row>
    <row r="6499" spans="1:7" s="172" customFormat="1" ht="15" customHeight="1" x14ac:dyDescent="0.25">
      <c r="A6499" s="803" t="s">
        <v>12651</v>
      </c>
      <c r="B6499" s="803" t="s">
        <v>7915</v>
      </c>
      <c r="C6499" s="803" t="s">
        <v>7915</v>
      </c>
      <c r="D6499" s="803" t="s">
        <v>7990</v>
      </c>
      <c r="E6499" s="803">
        <v>250</v>
      </c>
      <c r="F6499" s="850">
        <v>40</v>
      </c>
      <c r="G6499" s="202" t="str">
        <f t="shared" si="101"/>
        <v/>
      </c>
    </row>
    <row r="6500" spans="1:7" s="172" customFormat="1" ht="15" customHeight="1" x14ac:dyDescent="0.25">
      <c r="A6500" s="803" t="s">
        <v>7999</v>
      </c>
      <c r="B6500" s="803" t="s">
        <v>7915</v>
      </c>
      <c r="C6500" s="803" t="s">
        <v>7915</v>
      </c>
      <c r="D6500" s="803" t="s">
        <v>7991</v>
      </c>
      <c r="E6500" s="803">
        <v>100</v>
      </c>
      <c r="F6500" s="850">
        <v>45</v>
      </c>
      <c r="G6500" s="202" t="str">
        <f t="shared" si="101"/>
        <v/>
      </c>
    </row>
    <row r="6501" spans="1:7" s="172" customFormat="1" ht="15" customHeight="1" x14ac:dyDescent="0.25">
      <c r="A6501" s="803" t="s">
        <v>2709</v>
      </c>
      <c r="B6501" s="803" t="s">
        <v>7915</v>
      </c>
      <c r="C6501" s="803" t="s">
        <v>7915</v>
      </c>
      <c r="D6501" s="803" t="s">
        <v>7992</v>
      </c>
      <c r="E6501" s="803">
        <v>400</v>
      </c>
      <c r="F6501" s="850">
        <v>210</v>
      </c>
      <c r="G6501" s="202" t="str">
        <f t="shared" si="101"/>
        <v/>
      </c>
    </row>
    <row r="6502" spans="1:7" s="172" customFormat="1" ht="15" customHeight="1" x14ac:dyDescent="0.25">
      <c r="A6502" s="803" t="s">
        <v>12652</v>
      </c>
      <c r="B6502" s="803" t="s">
        <v>7915</v>
      </c>
      <c r="C6502" s="803" t="s">
        <v>7915</v>
      </c>
      <c r="D6502" s="803" t="s">
        <v>7993</v>
      </c>
      <c r="E6502" s="803">
        <v>40</v>
      </c>
      <c r="F6502" s="850">
        <v>3</v>
      </c>
      <c r="G6502" s="202" t="str">
        <f t="shared" si="101"/>
        <v/>
      </c>
    </row>
    <row r="6503" spans="1:7" s="172" customFormat="1" ht="15" customHeight="1" x14ac:dyDescent="0.25">
      <c r="A6503" s="803" t="s">
        <v>7340</v>
      </c>
      <c r="B6503" s="803" t="s">
        <v>7915</v>
      </c>
      <c r="C6503" s="803" t="s">
        <v>7915</v>
      </c>
      <c r="D6503" s="803" t="s">
        <v>7994</v>
      </c>
      <c r="E6503" s="803">
        <v>60</v>
      </c>
      <c r="F6503" s="850">
        <v>2</v>
      </c>
      <c r="G6503" s="202" t="str">
        <f t="shared" si="101"/>
        <v/>
      </c>
    </row>
    <row r="6504" spans="1:7" s="172" customFormat="1" ht="15" customHeight="1" x14ac:dyDescent="0.25">
      <c r="A6504" s="803" t="s">
        <v>12653</v>
      </c>
      <c r="B6504" s="803" t="s">
        <v>7915</v>
      </c>
      <c r="C6504" s="803" t="s">
        <v>7915</v>
      </c>
      <c r="D6504" s="803" t="s">
        <v>7995</v>
      </c>
      <c r="E6504" s="803">
        <v>50</v>
      </c>
      <c r="F6504" s="850">
        <v>21</v>
      </c>
      <c r="G6504" s="202" t="str">
        <f t="shared" si="101"/>
        <v/>
      </c>
    </row>
    <row r="6505" spans="1:7" s="172" customFormat="1" ht="15" customHeight="1" x14ac:dyDescent="0.25">
      <c r="A6505" s="803" t="s">
        <v>12654</v>
      </c>
      <c r="B6505" s="803" t="s">
        <v>7915</v>
      </c>
      <c r="C6505" s="803" t="s">
        <v>7915</v>
      </c>
      <c r="D6505" s="803" t="s">
        <v>7996</v>
      </c>
      <c r="E6505" s="803">
        <v>10</v>
      </c>
      <c r="F6505" s="850">
        <v>4</v>
      </c>
      <c r="G6505" s="202" t="str">
        <f t="shared" si="101"/>
        <v/>
      </c>
    </row>
    <row r="6506" spans="1:7" s="172" customFormat="1" ht="15" customHeight="1" x14ac:dyDescent="0.25">
      <c r="A6506" s="803" t="s">
        <v>2778</v>
      </c>
      <c r="B6506" s="803" t="s">
        <v>7915</v>
      </c>
      <c r="C6506" s="803" t="s">
        <v>7915</v>
      </c>
      <c r="D6506" s="803" t="s">
        <v>7997</v>
      </c>
      <c r="E6506" s="803">
        <v>60</v>
      </c>
      <c r="F6506" s="850">
        <v>40</v>
      </c>
      <c r="G6506" s="202" t="str">
        <f t="shared" si="101"/>
        <v/>
      </c>
    </row>
    <row r="6507" spans="1:7" s="172" customFormat="1" ht="15" customHeight="1" x14ac:dyDescent="0.25">
      <c r="A6507" s="803" t="s">
        <v>12508</v>
      </c>
      <c r="B6507" s="803" t="s">
        <v>7915</v>
      </c>
      <c r="C6507" s="803" t="s">
        <v>7915</v>
      </c>
      <c r="D6507" s="803" t="s">
        <v>7998</v>
      </c>
      <c r="E6507" s="803">
        <v>20</v>
      </c>
      <c r="F6507" s="850">
        <v>3</v>
      </c>
      <c r="G6507" s="202" t="str">
        <f t="shared" si="101"/>
        <v/>
      </c>
    </row>
    <row r="6508" spans="1:7" s="172" customFormat="1" ht="15" customHeight="1" x14ac:dyDescent="0.25">
      <c r="A6508" s="803" t="s">
        <v>7999</v>
      </c>
      <c r="B6508" s="803" t="s">
        <v>7915</v>
      </c>
      <c r="C6508" s="803" t="s">
        <v>7915</v>
      </c>
      <c r="D6508" s="803" t="s">
        <v>8000</v>
      </c>
      <c r="E6508" s="803">
        <v>30</v>
      </c>
      <c r="F6508" s="850">
        <v>20</v>
      </c>
      <c r="G6508" s="202" t="str">
        <f t="shared" si="101"/>
        <v/>
      </c>
    </row>
    <row r="6509" spans="1:7" s="172" customFormat="1" ht="15" customHeight="1" x14ac:dyDescent="0.25">
      <c r="A6509" s="803" t="s">
        <v>12655</v>
      </c>
      <c r="B6509" s="803" t="s">
        <v>7915</v>
      </c>
      <c r="C6509" s="803" t="s">
        <v>7915</v>
      </c>
      <c r="D6509" s="803" t="s">
        <v>8001</v>
      </c>
      <c r="E6509" s="803">
        <v>10</v>
      </c>
      <c r="F6509" s="850">
        <v>4</v>
      </c>
      <c r="G6509" s="202" t="str">
        <f t="shared" si="101"/>
        <v/>
      </c>
    </row>
    <row r="6510" spans="1:7" s="172" customFormat="1" ht="15" customHeight="1" x14ac:dyDescent="0.25">
      <c r="A6510" s="803" t="s">
        <v>4124</v>
      </c>
      <c r="B6510" s="803" t="s">
        <v>7915</v>
      </c>
      <c r="C6510" s="803" t="s">
        <v>7915</v>
      </c>
      <c r="D6510" s="803" t="s">
        <v>8002</v>
      </c>
      <c r="E6510" s="803">
        <v>10</v>
      </c>
      <c r="F6510" s="850">
        <v>0</v>
      </c>
      <c r="G6510" s="202" t="str">
        <f t="shared" si="101"/>
        <v/>
      </c>
    </row>
    <row r="6511" spans="1:7" s="172" customFormat="1" ht="15" customHeight="1" x14ac:dyDescent="0.25">
      <c r="A6511" s="803" t="s">
        <v>12656</v>
      </c>
      <c r="B6511" s="803" t="s">
        <v>7915</v>
      </c>
      <c r="C6511" s="803" t="s">
        <v>7915</v>
      </c>
      <c r="D6511" s="803" t="s">
        <v>8003</v>
      </c>
      <c r="E6511" s="803">
        <v>10</v>
      </c>
      <c r="F6511" s="850">
        <v>0</v>
      </c>
      <c r="G6511" s="202" t="str">
        <f t="shared" si="101"/>
        <v/>
      </c>
    </row>
    <row r="6512" spans="1:7" s="172" customFormat="1" ht="15" customHeight="1" x14ac:dyDescent="0.25">
      <c r="A6512" s="803" t="s">
        <v>12657</v>
      </c>
      <c r="B6512" s="803" t="s">
        <v>7915</v>
      </c>
      <c r="C6512" s="803" t="s">
        <v>7915</v>
      </c>
      <c r="D6512" s="803" t="s">
        <v>8004</v>
      </c>
      <c r="E6512" s="803">
        <v>25</v>
      </c>
      <c r="F6512" s="850">
        <v>5</v>
      </c>
      <c r="G6512" s="202" t="str">
        <f t="shared" si="101"/>
        <v/>
      </c>
    </row>
    <row r="6513" spans="1:7" s="172" customFormat="1" ht="15" customHeight="1" x14ac:dyDescent="0.25">
      <c r="A6513" s="803" t="s">
        <v>12658</v>
      </c>
      <c r="B6513" s="803" t="s">
        <v>7915</v>
      </c>
      <c r="C6513" s="803" t="s">
        <v>7915</v>
      </c>
      <c r="D6513" s="803" t="s">
        <v>8005</v>
      </c>
      <c r="E6513" s="803">
        <v>100</v>
      </c>
      <c r="F6513" s="850">
        <v>20</v>
      </c>
      <c r="G6513" s="202" t="str">
        <f t="shared" si="101"/>
        <v/>
      </c>
    </row>
    <row r="6514" spans="1:7" s="172" customFormat="1" ht="15" customHeight="1" x14ac:dyDescent="0.25">
      <c r="A6514" s="803" t="s">
        <v>12659</v>
      </c>
      <c r="B6514" s="803" t="s">
        <v>7915</v>
      </c>
      <c r="C6514" s="803" t="s">
        <v>7915</v>
      </c>
      <c r="D6514" s="803" t="s">
        <v>8006</v>
      </c>
      <c r="E6514" s="803">
        <v>100</v>
      </c>
      <c r="F6514" s="850">
        <v>60</v>
      </c>
      <c r="G6514" s="202" t="str">
        <f t="shared" si="101"/>
        <v/>
      </c>
    </row>
    <row r="6515" spans="1:7" s="172" customFormat="1" ht="15" customHeight="1" x14ac:dyDescent="0.25">
      <c r="A6515" s="803" t="s">
        <v>12660</v>
      </c>
      <c r="B6515" s="803" t="s">
        <v>7915</v>
      </c>
      <c r="C6515" s="803" t="s">
        <v>7915</v>
      </c>
      <c r="D6515" s="803" t="s">
        <v>8007</v>
      </c>
      <c r="E6515" s="803">
        <v>60</v>
      </c>
      <c r="F6515" s="850">
        <v>50</v>
      </c>
      <c r="G6515" s="202" t="str">
        <f t="shared" si="101"/>
        <v/>
      </c>
    </row>
    <row r="6516" spans="1:7" s="172" customFormat="1" ht="15" customHeight="1" x14ac:dyDescent="0.25">
      <c r="A6516" s="803" t="s">
        <v>12661</v>
      </c>
      <c r="B6516" s="803" t="s">
        <v>7915</v>
      </c>
      <c r="C6516" s="803" t="s">
        <v>7915</v>
      </c>
      <c r="D6516" s="803" t="s">
        <v>8008</v>
      </c>
      <c r="E6516" s="803">
        <v>20</v>
      </c>
      <c r="F6516" s="850">
        <v>10</v>
      </c>
      <c r="G6516" s="202" t="str">
        <f t="shared" si="101"/>
        <v/>
      </c>
    </row>
    <row r="6517" spans="1:7" s="172" customFormat="1" ht="15" customHeight="1" x14ac:dyDescent="0.25">
      <c r="A6517" s="803" t="s">
        <v>12510</v>
      </c>
      <c r="B6517" s="803" t="s">
        <v>7915</v>
      </c>
      <c r="C6517" s="803" t="s">
        <v>7915</v>
      </c>
      <c r="D6517" s="803" t="s">
        <v>8009</v>
      </c>
      <c r="E6517" s="803">
        <v>250</v>
      </c>
      <c r="F6517" s="850">
        <v>150</v>
      </c>
      <c r="G6517" s="202" t="str">
        <f t="shared" si="101"/>
        <v/>
      </c>
    </row>
    <row r="6518" spans="1:7" s="172" customFormat="1" ht="15" customHeight="1" x14ac:dyDescent="0.25">
      <c r="A6518" s="803" t="s">
        <v>12662</v>
      </c>
      <c r="B6518" s="803" t="s">
        <v>7915</v>
      </c>
      <c r="C6518" s="803" t="s">
        <v>7915</v>
      </c>
      <c r="D6518" s="803" t="s">
        <v>8010</v>
      </c>
      <c r="E6518" s="803">
        <v>63</v>
      </c>
      <c r="F6518" s="850">
        <v>21</v>
      </c>
      <c r="G6518" s="202" t="str">
        <f t="shared" si="101"/>
        <v/>
      </c>
    </row>
    <row r="6519" spans="1:7" s="172" customFormat="1" ht="15" customHeight="1" x14ac:dyDescent="0.25">
      <c r="A6519" s="803" t="s">
        <v>8011</v>
      </c>
      <c r="B6519" s="803" t="s">
        <v>7915</v>
      </c>
      <c r="C6519" s="803" t="s">
        <v>7915</v>
      </c>
      <c r="D6519" s="803" t="s">
        <v>8012</v>
      </c>
      <c r="E6519" s="803">
        <v>100</v>
      </c>
      <c r="F6519" s="850">
        <v>60</v>
      </c>
      <c r="G6519" s="202" t="str">
        <f t="shared" si="101"/>
        <v/>
      </c>
    </row>
    <row r="6520" spans="1:7" s="172" customFormat="1" ht="15" customHeight="1" x14ac:dyDescent="0.25">
      <c r="A6520" s="803" t="s">
        <v>8013</v>
      </c>
      <c r="B6520" s="803" t="s">
        <v>7915</v>
      </c>
      <c r="C6520" s="803" t="s">
        <v>7915</v>
      </c>
      <c r="D6520" s="803" t="s">
        <v>8014</v>
      </c>
      <c r="E6520" s="803">
        <v>400</v>
      </c>
      <c r="F6520" s="850">
        <v>140</v>
      </c>
      <c r="G6520" s="202" t="str">
        <f t="shared" si="101"/>
        <v/>
      </c>
    </row>
    <row r="6521" spans="1:7" s="172" customFormat="1" ht="15" customHeight="1" x14ac:dyDescent="0.25">
      <c r="A6521" s="803" t="s">
        <v>8013</v>
      </c>
      <c r="B6521" s="803" t="s">
        <v>7915</v>
      </c>
      <c r="C6521" s="803" t="s">
        <v>7915</v>
      </c>
      <c r="D6521" s="803" t="s">
        <v>8015</v>
      </c>
      <c r="E6521" s="803">
        <v>250</v>
      </c>
      <c r="F6521" s="850">
        <v>90</v>
      </c>
      <c r="G6521" s="202" t="str">
        <f t="shared" si="101"/>
        <v/>
      </c>
    </row>
    <row r="6522" spans="1:7" s="172" customFormat="1" ht="15" customHeight="1" x14ac:dyDescent="0.25">
      <c r="A6522" s="803" t="s">
        <v>8013</v>
      </c>
      <c r="B6522" s="803" t="s">
        <v>7915</v>
      </c>
      <c r="C6522" s="803" t="s">
        <v>7915</v>
      </c>
      <c r="D6522" s="803" t="s">
        <v>8016</v>
      </c>
      <c r="E6522" s="803">
        <v>40</v>
      </c>
      <c r="F6522" s="850">
        <v>36</v>
      </c>
      <c r="G6522" s="202" t="str">
        <f t="shared" si="101"/>
        <v/>
      </c>
    </row>
    <row r="6523" spans="1:7" s="172" customFormat="1" ht="15" customHeight="1" x14ac:dyDescent="0.25">
      <c r="A6523" s="803" t="s">
        <v>8013</v>
      </c>
      <c r="B6523" s="803" t="s">
        <v>7915</v>
      </c>
      <c r="C6523" s="803" t="s">
        <v>7915</v>
      </c>
      <c r="D6523" s="803" t="s">
        <v>8017</v>
      </c>
      <c r="E6523" s="803">
        <v>100</v>
      </c>
      <c r="F6523" s="850">
        <v>11</v>
      </c>
      <c r="G6523" s="202" t="str">
        <f t="shared" si="101"/>
        <v/>
      </c>
    </row>
    <row r="6524" spans="1:7" s="172" customFormat="1" ht="15" customHeight="1" x14ac:dyDescent="0.25">
      <c r="A6524" s="803" t="s">
        <v>12604</v>
      </c>
      <c r="B6524" s="803" t="s">
        <v>7915</v>
      </c>
      <c r="C6524" s="803" t="s">
        <v>7915</v>
      </c>
      <c r="D6524" s="803" t="s">
        <v>8018</v>
      </c>
      <c r="E6524" s="803">
        <v>20</v>
      </c>
      <c r="F6524" s="850">
        <v>2</v>
      </c>
      <c r="G6524" s="202" t="str">
        <f t="shared" si="101"/>
        <v/>
      </c>
    </row>
    <row r="6525" spans="1:7" s="172" customFormat="1" ht="15" customHeight="1" x14ac:dyDescent="0.25">
      <c r="A6525" s="803" t="s">
        <v>12663</v>
      </c>
      <c r="B6525" s="803" t="s">
        <v>7915</v>
      </c>
      <c r="C6525" s="803" t="s">
        <v>7915</v>
      </c>
      <c r="D6525" s="803" t="s">
        <v>8019</v>
      </c>
      <c r="E6525" s="803">
        <v>10</v>
      </c>
      <c r="F6525" s="850">
        <v>4</v>
      </c>
      <c r="G6525" s="202" t="str">
        <f t="shared" si="101"/>
        <v/>
      </c>
    </row>
    <row r="6526" spans="1:7" s="172" customFormat="1" ht="15" customHeight="1" x14ac:dyDescent="0.25">
      <c r="A6526" s="803" t="s">
        <v>8020</v>
      </c>
      <c r="B6526" s="803" t="s">
        <v>7915</v>
      </c>
      <c r="C6526" s="803" t="s">
        <v>7915</v>
      </c>
      <c r="D6526" s="803" t="s">
        <v>8021</v>
      </c>
      <c r="E6526" s="803">
        <v>160</v>
      </c>
      <c r="F6526" s="850">
        <v>25</v>
      </c>
      <c r="G6526" s="202" t="str">
        <f t="shared" si="101"/>
        <v/>
      </c>
    </row>
    <row r="6527" spans="1:7" s="172" customFormat="1" ht="15" customHeight="1" x14ac:dyDescent="0.25">
      <c r="A6527" s="803" t="s">
        <v>12664</v>
      </c>
      <c r="B6527" s="803" t="s">
        <v>7915</v>
      </c>
      <c r="C6527" s="803" t="s">
        <v>7915</v>
      </c>
      <c r="D6527" s="803" t="s">
        <v>8022</v>
      </c>
      <c r="E6527" s="803">
        <v>160</v>
      </c>
      <c r="F6527" s="850">
        <v>100</v>
      </c>
      <c r="G6527" s="202" t="str">
        <f t="shared" si="101"/>
        <v/>
      </c>
    </row>
    <row r="6528" spans="1:7" s="172" customFormat="1" ht="15" customHeight="1" x14ac:dyDescent="0.25">
      <c r="A6528" s="803" t="s">
        <v>12665</v>
      </c>
      <c r="B6528" s="803" t="s">
        <v>7915</v>
      </c>
      <c r="C6528" s="803" t="s">
        <v>7915</v>
      </c>
      <c r="D6528" s="803" t="s">
        <v>8023</v>
      </c>
      <c r="E6528" s="803">
        <v>100</v>
      </c>
      <c r="F6528" s="850">
        <v>40</v>
      </c>
      <c r="G6528" s="202" t="str">
        <f t="shared" si="101"/>
        <v/>
      </c>
    </row>
    <row r="6529" spans="1:7" s="172" customFormat="1" ht="15" customHeight="1" x14ac:dyDescent="0.25">
      <c r="A6529" s="803" t="s">
        <v>6940</v>
      </c>
      <c r="B6529" s="803" t="s">
        <v>7915</v>
      </c>
      <c r="C6529" s="803" t="s">
        <v>7915</v>
      </c>
      <c r="D6529" s="803" t="s">
        <v>8024</v>
      </c>
      <c r="E6529" s="803">
        <v>160</v>
      </c>
      <c r="F6529" s="850">
        <v>30</v>
      </c>
      <c r="G6529" s="202" t="str">
        <f t="shared" si="101"/>
        <v/>
      </c>
    </row>
    <row r="6530" spans="1:7" s="172" customFormat="1" ht="15" customHeight="1" x14ac:dyDescent="0.25">
      <c r="A6530" s="803" t="s">
        <v>12666</v>
      </c>
      <c r="B6530" s="803" t="s">
        <v>7915</v>
      </c>
      <c r="C6530" s="803" t="s">
        <v>7915</v>
      </c>
      <c r="D6530" s="803" t="s">
        <v>8025</v>
      </c>
      <c r="E6530" s="803">
        <v>60</v>
      </c>
      <c r="F6530" s="850">
        <v>12</v>
      </c>
      <c r="G6530" s="202" t="str">
        <f t="shared" si="101"/>
        <v/>
      </c>
    </row>
    <row r="6531" spans="1:7" s="172" customFormat="1" ht="15" customHeight="1" x14ac:dyDescent="0.25">
      <c r="A6531" s="803" t="s">
        <v>12628</v>
      </c>
      <c r="B6531" s="803" t="s">
        <v>7915</v>
      </c>
      <c r="C6531" s="803" t="s">
        <v>7915</v>
      </c>
      <c r="D6531" s="803" t="s">
        <v>7928</v>
      </c>
      <c r="E6531" s="803">
        <v>60</v>
      </c>
      <c r="F6531" s="850">
        <v>30</v>
      </c>
      <c r="G6531" s="202" t="str">
        <f t="shared" si="101"/>
        <v/>
      </c>
    </row>
    <row r="6532" spans="1:7" s="172" customFormat="1" ht="15" customHeight="1" x14ac:dyDescent="0.25">
      <c r="A6532" s="803" t="s">
        <v>12667</v>
      </c>
      <c r="B6532" s="803" t="s">
        <v>7915</v>
      </c>
      <c r="C6532" s="803" t="s">
        <v>7915</v>
      </c>
      <c r="D6532" s="803" t="s">
        <v>8026</v>
      </c>
      <c r="E6532" s="803">
        <v>40</v>
      </c>
      <c r="F6532" s="850">
        <v>0</v>
      </c>
      <c r="G6532" s="202" t="str">
        <f t="shared" si="101"/>
        <v/>
      </c>
    </row>
    <row r="6533" spans="1:7" s="172" customFormat="1" ht="15" customHeight="1" x14ac:dyDescent="0.25">
      <c r="A6533" s="803" t="s">
        <v>5028</v>
      </c>
      <c r="B6533" s="803" t="s">
        <v>7915</v>
      </c>
      <c r="C6533" s="803" t="s">
        <v>7915</v>
      </c>
      <c r="D6533" s="803" t="s">
        <v>7914</v>
      </c>
      <c r="E6533" s="803">
        <v>60</v>
      </c>
      <c r="F6533" s="850">
        <v>11</v>
      </c>
      <c r="G6533" s="202" t="str">
        <f t="shared" si="101"/>
        <v/>
      </c>
    </row>
    <row r="6534" spans="1:7" s="172" customFormat="1" ht="15" customHeight="1" x14ac:dyDescent="0.25">
      <c r="A6534" s="803" t="s">
        <v>12668</v>
      </c>
      <c r="B6534" s="803" t="s">
        <v>7915</v>
      </c>
      <c r="C6534" s="803" t="s">
        <v>7915</v>
      </c>
      <c r="D6534" s="803" t="s">
        <v>8027</v>
      </c>
      <c r="E6534" s="803">
        <v>100</v>
      </c>
      <c r="F6534" s="850">
        <v>34</v>
      </c>
      <c r="G6534" s="202" t="str">
        <f t="shared" si="101"/>
        <v/>
      </c>
    </row>
    <row r="6535" spans="1:7" s="172" customFormat="1" ht="15" customHeight="1" x14ac:dyDescent="0.25">
      <c r="A6535" s="803" t="s">
        <v>8042</v>
      </c>
      <c r="B6535" s="803" t="s">
        <v>7915</v>
      </c>
      <c r="C6535" s="803" t="s">
        <v>7915</v>
      </c>
      <c r="D6535" s="803" t="s">
        <v>8028</v>
      </c>
      <c r="E6535" s="803">
        <v>160</v>
      </c>
      <c r="F6535" s="850">
        <v>14</v>
      </c>
      <c r="G6535" s="202" t="str">
        <f t="shared" si="101"/>
        <v/>
      </c>
    </row>
    <row r="6536" spans="1:7" s="172" customFormat="1" ht="15" customHeight="1" x14ac:dyDescent="0.25">
      <c r="A6536" s="803" t="s">
        <v>12642</v>
      </c>
      <c r="B6536" s="803" t="s">
        <v>7915</v>
      </c>
      <c r="C6536" s="803" t="s">
        <v>7915</v>
      </c>
      <c r="D6536" s="803" t="s">
        <v>7968</v>
      </c>
      <c r="E6536" s="803">
        <v>20</v>
      </c>
      <c r="F6536" s="850">
        <v>6</v>
      </c>
      <c r="G6536" s="202" t="str">
        <f t="shared" si="101"/>
        <v/>
      </c>
    </row>
    <row r="6537" spans="1:7" s="172" customFormat="1" ht="15" customHeight="1" x14ac:dyDescent="0.25">
      <c r="A6537" s="803" t="s">
        <v>12669</v>
      </c>
      <c r="B6537" s="803" t="s">
        <v>7915</v>
      </c>
      <c r="C6537" s="803" t="s">
        <v>7915</v>
      </c>
      <c r="D6537" s="803" t="s">
        <v>8029</v>
      </c>
      <c r="E6537" s="803">
        <v>30</v>
      </c>
      <c r="F6537" s="850">
        <v>8</v>
      </c>
      <c r="G6537" s="202" t="str">
        <f t="shared" si="101"/>
        <v/>
      </c>
    </row>
    <row r="6538" spans="1:7" s="172" customFormat="1" ht="15" customHeight="1" x14ac:dyDescent="0.25">
      <c r="A6538" s="803" t="s">
        <v>8042</v>
      </c>
      <c r="B6538" s="803" t="s">
        <v>7915</v>
      </c>
      <c r="C6538" s="803" t="s">
        <v>7915</v>
      </c>
      <c r="D6538" s="803" t="s">
        <v>8030</v>
      </c>
      <c r="E6538" s="803">
        <v>160</v>
      </c>
      <c r="F6538" s="850">
        <v>18</v>
      </c>
      <c r="G6538" s="202" t="str">
        <f t="shared" si="101"/>
        <v/>
      </c>
    </row>
    <row r="6539" spans="1:7" s="172" customFormat="1" ht="15" customHeight="1" x14ac:dyDescent="0.25">
      <c r="A6539" s="803" t="s">
        <v>12670</v>
      </c>
      <c r="B6539" s="803" t="s">
        <v>7915</v>
      </c>
      <c r="C6539" s="803" t="s">
        <v>7915</v>
      </c>
      <c r="D6539" s="803" t="s">
        <v>8031</v>
      </c>
      <c r="E6539" s="803">
        <v>25</v>
      </c>
      <c r="F6539" s="850">
        <v>5</v>
      </c>
      <c r="G6539" s="202" t="str">
        <f t="shared" si="101"/>
        <v/>
      </c>
    </row>
    <row r="6540" spans="1:7" s="172" customFormat="1" ht="15" customHeight="1" x14ac:dyDescent="0.25">
      <c r="A6540" s="803" t="s">
        <v>12671</v>
      </c>
      <c r="B6540" s="803" t="s">
        <v>7915</v>
      </c>
      <c r="C6540" s="803" t="s">
        <v>7915</v>
      </c>
      <c r="D6540" s="803" t="s">
        <v>8032</v>
      </c>
      <c r="E6540" s="803">
        <v>10</v>
      </c>
      <c r="F6540" s="850">
        <v>2</v>
      </c>
      <c r="G6540" s="202" t="str">
        <f t="shared" si="101"/>
        <v/>
      </c>
    </row>
    <row r="6541" spans="1:7" s="172" customFormat="1" ht="15" customHeight="1" x14ac:dyDescent="0.25">
      <c r="A6541" s="803" t="s">
        <v>12672</v>
      </c>
      <c r="B6541" s="803" t="s">
        <v>7915</v>
      </c>
      <c r="C6541" s="803" t="s">
        <v>7915</v>
      </c>
      <c r="D6541" s="803" t="s">
        <v>8033</v>
      </c>
      <c r="E6541" s="803">
        <v>30</v>
      </c>
      <c r="F6541" s="850">
        <v>8</v>
      </c>
      <c r="G6541" s="202" t="str">
        <f t="shared" si="101"/>
        <v/>
      </c>
    </row>
    <row r="6542" spans="1:7" s="172" customFormat="1" ht="15" customHeight="1" x14ac:dyDescent="0.25">
      <c r="A6542" s="803" t="s">
        <v>12673</v>
      </c>
      <c r="B6542" s="803" t="s">
        <v>7915</v>
      </c>
      <c r="C6542" s="803" t="s">
        <v>7915</v>
      </c>
      <c r="D6542" s="803" t="s">
        <v>8034</v>
      </c>
      <c r="E6542" s="803">
        <v>10</v>
      </c>
      <c r="F6542" s="850">
        <v>2</v>
      </c>
      <c r="G6542" s="202" t="str">
        <f t="shared" si="101"/>
        <v/>
      </c>
    </row>
    <row r="6543" spans="1:7" s="172" customFormat="1" ht="15" customHeight="1" x14ac:dyDescent="0.25">
      <c r="A6543" s="803" t="s">
        <v>12674</v>
      </c>
      <c r="B6543" s="803" t="s">
        <v>7915</v>
      </c>
      <c r="C6543" s="803" t="s">
        <v>7915</v>
      </c>
      <c r="D6543" s="803" t="s">
        <v>8035</v>
      </c>
      <c r="E6543" s="803">
        <v>60</v>
      </c>
      <c r="F6543" s="850">
        <v>25</v>
      </c>
      <c r="G6543" s="202" t="str">
        <f t="shared" si="101"/>
        <v/>
      </c>
    </row>
    <row r="6544" spans="1:7" s="172" customFormat="1" ht="15" customHeight="1" x14ac:dyDescent="0.25">
      <c r="A6544" s="803" t="s">
        <v>12675</v>
      </c>
      <c r="B6544" s="803" t="s">
        <v>7915</v>
      </c>
      <c r="C6544" s="803" t="s">
        <v>7915</v>
      </c>
      <c r="D6544" s="803" t="s">
        <v>8036</v>
      </c>
      <c r="E6544" s="803">
        <v>100</v>
      </c>
      <c r="F6544" s="850">
        <v>50</v>
      </c>
      <c r="G6544" s="202" t="str">
        <f t="shared" si="101"/>
        <v/>
      </c>
    </row>
    <row r="6545" spans="1:7" s="172" customFormat="1" ht="15" customHeight="1" x14ac:dyDescent="0.25">
      <c r="A6545" s="803" t="s">
        <v>5530</v>
      </c>
      <c r="B6545" s="803" t="s">
        <v>7915</v>
      </c>
      <c r="C6545" s="803" t="s">
        <v>7915</v>
      </c>
      <c r="D6545" s="803" t="s">
        <v>8037</v>
      </c>
      <c r="E6545" s="803">
        <v>100</v>
      </c>
      <c r="F6545" s="850">
        <v>20</v>
      </c>
      <c r="G6545" s="202" t="str">
        <f t="shared" si="101"/>
        <v/>
      </c>
    </row>
    <row r="6546" spans="1:7" s="172" customFormat="1" ht="15" customHeight="1" x14ac:dyDescent="0.25">
      <c r="A6546" s="803" t="s">
        <v>12676</v>
      </c>
      <c r="B6546" s="803" t="s">
        <v>7915</v>
      </c>
      <c r="C6546" s="803" t="s">
        <v>7915</v>
      </c>
      <c r="D6546" s="803" t="s">
        <v>8038</v>
      </c>
      <c r="E6546" s="803">
        <v>160</v>
      </c>
      <c r="F6546" s="850">
        <v>80</v>
      </c>
      <c r="G6546" s="202" t="str">
        <f t="shared" si="101"/>
        <v/>
      </c>
    </row>
    <row r="6547" spans="1:7" s="172" customFormat="1" ht="15" customHeight="1" x14ac:dyDescent="0.25">
      <c r="A6547" s="803" t="s">
        <v>8039</v>
      </c>
      <c r="B6547" s="803" t="s">
        <v>7915</v>
      </c>
      <c r="C6547" s="803" t="s">
        <v>7915</v>
      </c>
      <c r="D6547" s="803" t="s">
        <v>8040</v>
      </c>
      <c r="E6547" s="803">
        <v>100</v>
      </c>
      <c r="F6547" s="850">
        <v>45</v>
      </c>
      <c r="G6547" s="202" t="str">
        <f t="shared" si="101"/>
        <v/>
      </c>
    </row>
    <row r="6548" spans="1:7" s="172" customFormat="1" ht="15" customHeight="1" x14ac:dyDescent="0.25">
      <c r="A6548" s="803" t="s">
        <v>8039</v>
      </c>
      <c r="B6548" s="803" t="s">
        <v>7915</v>
      </c>
      <c r="C6548" s="803" t="s">
        <v>7915</v>
      </c>
      <c r="D6548" s="803" t="s">
        <v>8041</v>
      </c>
      <c r="E6548" s="803">
        <v>30</v>
      </c>
      <c r="F6548" s="850">
        <v>20</v>
      </c>
      <c r="G6548" s="202" t="str">
        <f t="shared" si="101"/>
        <v/>
      </c>
    </row>
    <row r="6549" spans="1:7" s="172" customFormat="1" ht="15" customHeight="1" x14ac:dyDescent="0.25">
      <c r="A6549" s="803" t="s">
        <v>8042</v>
      </c>
      <c r="B6549" s="803" t="s">
        <v>7915</v>
      </c>
      <c r="C6549" s="803" t="s">
        <v>7915</v>
      </c>
      <c r="D6549" s="803" t="s">
        <v>8043</v>
      </c>
      <c r="E6549" s="803">
        <v>30</v>
      </c>
      <c r="F6549" s="850">
        <v>15</v>
      </c>
      <c r="G6549" s="202" t="str">
        <f t="shared" si="101"/>
        <v/>
      </c>
    </row>
    <row r="6550" spans="1:7" s="172" customFormat="1" ht="15" customHeight="1" x14ac:dyDescent="0.25">
      <c r="A6550" s="803" t="s">
        <v>12677</v>
      </c>
      <c r="B6550" s="803" t="s">
        <v>7915</v>
      </c>
      <c r="C6550" s="803" t="s">
        <v>7915</v>
      </c>
      <c r="D6550" s="803" t="s">
        <v>8044</v>
      </c>
      <c r="E6550" s="803">
        <v>160</v>
      </c>
      <c r="F6550" s="850">
        <v>100</v>
      </c>
      <c r="G6550" s="202" t="str">
        <f t="shared" si="101"/>
        <v/>
      </c>
    </row>
    <row r="6551" spans="1:7" s="172" customFormat="1" ht="15" customHeight="1" x14ac:dyDescent="0.25">
      <c r="A6551" s="803" t="s">
        <v>8039</v>
      </c>
      <c r="B6551" s="803" t="s">
        <v>7915</v>
      </c>
      <c r="C6551" s="803" t="s">
        <v>7915</v>
      </c>
      <c r="D6551" s="803" t="s">
        <v>8045</v>
      </c>
      <c r="E6551" s="803">
        <v>100</v>
      </c>
      <c r="F6551" s="850">
        <v>30</v>
      </c>
      <c r="G6551" s="202" t="str">
        <f t="shared" si="101"/>
        <v/>
      </c>
    </row>
    <row r="6552" spans="1:7" s="172" customFormat="1" ht="15" customHeight="1" x14ac:dyDescent="0.25">
      <c r="A6552" s="803" t="s">
        <v>7379</v>
      </c>
      <c r="B6552" s="803" t="s">
        <v>7915</v>
      </c>
      <c r="C6552" s="803" t="s">
        <v>7915</v>
      </c>
      <c r="D6552" s="803" t="s">
        <v>7966</v>
      </c>
      <c r="E6552" s="803">
        <v>30</v>
      </c>
      <c r="F6552" s="850">
        <v>12</v>
      </c>
      <c r="G6552" s="202" t="str">
        <f t="shared" si="101"/>
        <v/>
      </c>
    </row>
    <row r="6553" spans="1:7" s="172" customFormat="1" ht="15" customHeight="1" x14ac:dyDescent="0.25">
      <c r="A6553" s="803" t="s">
        <v>8046</v>
      </c>
      <c r="B6553" s="803" t="s">
        <v>7915</v>
      </c>
      <c r="C6553" s="803" t="s">
        <v>7915</v>
      </c>
      <c r="D6553" s="803" t="s">
        <v>8047</v>
      </c>
      <c r="E6553" s="803">
        <v>25</v>
      </c>
      <c r="F6553" s="850">
        <v>8</v>
      </c>
      <c r="G6553" s="202" t="str">
        <f t="shared" si="101"/>
        <v/>
      </c>
    </row>
    <row r="6554" spans="1:7" s="172" customFormat="1" ht="15" customHeight="1" x14ac:dyDescent="0.25">
      <c r="A6554" s="803" t="s">
        <v>8048</v>
      </c>
      <c r="B6554" s="803" t="s">
        <v>7915</v>
      </c>
      <c r="C6554" s="803" t="s">
        <v>7915</v>
      </c>
      <c r="D6554" s="803" t="s">
        <v>8049</v>
      </c>
      <c r="E6554" s="803">
        <v>30</v>
      </c>
      <c r="F6554" s="850">
        <v>10</v>
      </c>
      <c r="G6554" s="202" t="str">
        <f t="shared" si="101"/>
        <v/>
      </c>
    </row>
    <row r="6555" spans="1:7" s="172" customFormat="1" ht="15" customHeight="1" x14ac:dyDescent="0.25">
      <c r="A6555" s="803" t="s">
        <v>8050</v>
      </c>
      <c r="B6555" s="803" t="s">
        <v>7915</v>
      </c>
      <c r="C6555" s="803" t="s">
        <v>7915</v>
      </c>
      <c r="D6555" s="803" t="s">
        <v>8051</v>
      </c>
      <c r="E6555" s="803">
        <v>100</v>
      </c>
      <c r="F6555" s="850">
        <v>30</v>
      </c>
      <c r="G6555" s="202" t="str">
        <f t="shared" si="101"/>
        <v/>
      </c>
    </row>
    <row r="6556" spans="1:7" s="172" customFormat="1" ht="15" customHeight="1" x14ac:dyDescent="0.25">
      <c r="A6556" s="803" t="s">
        <v>8052</v>
      </c>
      <c r="B6556" s="803" t="s">
        <v>7915</v>
      </c>
      <c r="C6556" s="803" t="s">
        <v>7915</v>
      </c>
      <c r="D6556" s="803" t="s">
        <v>8053</v>
      </c>
      <c r="E6556" s="803">
        <v>30</v>
      </c>
      <c r="F6556" s="850">
        <v>8</v>
      </c>
      <c r="G6556" s="202" t="str">
        <f t="shared" si="101"/>
        <v/>
      </c>
    </row>
    <row r="6557" spans="1:7" s="172" customFormat="1" ht="15" customHeight="1" x14ac:dyDescent="0.25">
      <c r="A6557" s="803" t="s">
        <v>8054</v>
      </c>
      <c r="B6557" s="803" t="s">
        <v>7915</v>
      </c>
      <c r="C6557" s="803" t="s">
        <v>7915</v>
      </c>
      <c r="D6557" s="803" t="s">
        <v>8055</v>
      </c>
      <c r="E6557" s="803">
        <v>30</v>
      </c>
      <c r="F6557" s="850">
        <v>15</v>
      </c>
      <c r="G6557" s="202" t="str">
        <f t="shared" ref="G6557:G6620" si="102">IF(E6557=F6557,"не загружен","")</f>
        <v/>
      </c>
    </row>
    <row r="6558" spans="1:7" s="172" customFormat="1" ht="15" customHeight="1" x14ac:dyDescent="0.25">
      <c r="A6558" s="803" t="s">
        <v>8056</v>
      </c>
      <c r="B6558" s="803" t="s">
        <v>7915</v>
      </c>
      <c r="C6558" s="803" t="s">
        <v>7915</v>
      </c>
      <c r="D6558" s="803" t="s">
        <v>8057</v>
      </c>
      <c r="E6558" s="803">
        <v>10</v>
      </c>
      <c r="F6558" s="850">
        <v>0</v>
      </c>
      <c r="G6558" s="202" t="str">
        <f t="shared" si="102"/>
        <v/>
      </c>
    </row>
    <row r="6559" spans="1:7" s="172" customFormat="1" ht="15" customHeight="1" x14ac:dyDescent="0.25">
      <c r="A6559" s="803" t="s">
        <v>12678</v>
      </c>
      <c r="B6559" s="803" t="s">
        <v>7915</v>
      </c>
      <c r="C6559" s="803" t="s">
        <v>7915</v>
      </c>
      <c r="D6559" s="803" t="s">
        <v>8058</v>
      </c>
      <c r="E6559" s="803">
        <v>160</v>
      </c>
      <c r="F6559" s="850">
        <v>88</v>
      </c>
      <c r="G6559" s="202" t="str">
        <f t="shared" si="102"/>
        <v/>
      </c>
    </row>
    <row r="6560" spans="1:7" s="172" customFormat="1" ht="15" customHeight="1" x14ac:dyDescent="0.25">
      <c r="A6560" s="803" t="s">
        <v>8042</v>
      </c>
      <c r="B6560" s="803" t="s">
        <v>7915</v>
      </c>
      <c r="C6560" s="803" t="s">
        <v>7915</v>
      </c>
      <c r="D6560" s="803" t="s">
        <v>8059</v>
      </c>
      <c r="E6560" s="803">
        <v>60</v>
      </c>
      <c r="F6560" s="850">
        <v>34</v>
      </c>
      <c r="G6560" s="202" t="str">
        <f t="shared" si="102"/>
        <v/>
      </c>
    </row>
    <row r="6561" spans="1:7" s="172" customFormat="1" ht="15" customHeight="1" x14ac:dyDescent="0.25">
      <c r="A6561" s="803" t="s">
        <v>8060</v>
      </c>
      <c r="B6561" s="803" t="s">
        <v>7915</v>
      </c>
      <c r="C6561" s="803" t="s">
        <v>7915</v>
      </c>
      <c r="D6561" s="803" t="s">
        <v>8061</v>
      </c>
      <c r="E6561" s="803">
        <v>60</v>
      </c>
      <c r="F6561" s="850">
        <v>34</v>
      </c>
      <c r="G6561" s="202" t="str">
        <f t="shared" si="102"/>
        <v/>
      </c>
    </row>
    <row r="6562" spans="1:7" s="172" customFormat="1" ht="15" customHeight="1" x14ac:dyDescent="0.25">
      <c r="A6562" s="803" t="s">
        <v>8062</v>
      </c>
      <c r="B6562" s="803" t="s">
        <v>7915</v>
      </c>
      <c r="C6562" s="803" t="s">
        <v>7915</v>
      </c>
      <c r="D6562" s="803" t="s">
        <v>8063</v>
      </c>
      <c r="E6562" s="803">
        <v>160</v>
      </c>
      <c r="F6562" s="850">
        <v>50</v>
      </c>
      <c r="G6562" s="202" t="str">
        <f t="shared" si="102"/>
        <v/>
      </c>
    </row>
    <row r="6563" spans="1:7" s="172" customFormat="1" ht="15" customHeight="1" x14ac:dyDescent="0.25">
      <c r="A6563" s="803" t="s">
        <v>2778</v>
      </c>
      <c r="B6563" s="803" t="s">
        <v>7915</v>
      </c>
      <c r="C6563" s="803" t="s">
        <v>7915</v>
      </c>
      <c r="D6563" s="803" t="s">
        <v>8064</v>
      </c>
      <c r="E6563" s="803">
        <v>100</v>
      </c>
      <c r="F6563" s="850">
        <v>10</v>
      </c>
      <c r="G6563" s="202" t="str">
        <f t="shared" si="102"/>
        <v/>
      </c>
    </row>
    <row r="6564" spans="1:7" s="172" customFormat="1" ht="15" customHeight="1" x14ac:dyDescent="0.25">
      <c r="A6564" s="803" t="s">
        <v>3636</v>
      </c>
      <c r="B6564" s="803" t="s">
        <v>7915</v>
      </c>
      <c r="C6564" s="803" t="s">
        <v>7915</v>
      </c>
      <c r="D6564" s="803" t="s">
        <v>8065</v>
      </c>
      <c r="E6564" s="803">
        <v>160</v>
      </c>
      <c r="F6564" s="850">
        <v>48</v>
      </c>
      <c r="G6564" s="202" t="str">
        <f t="shared" si="102"/>
        <v/>
      </c>
    </row>
    <row r="6565" spans="1:7" s="172" customFormat="1" ht="15" customHeight="1" x14ac:dyDescent="0.25">
      <c r="A6565" s="803" t="s">
        <v>3545</v>
      </c>
      <c r="B6565" s="803" t="s">
        <v>7915</v>
      </c>
      <c r="C6565" s="803" t="s">
        <v>7915</v>
      </c>
      <c r="D6565" s="803" t="s">
        <v>8066</v>
      </c>
      <c r="E6565" s="803">
        <v>160</v>
      </c>
      <c r="F6565" s="850">
        <v>120</v>
      </c>
      <c r="G6565" s="202" t="str">
        <f t="shared" si="102"/>
        <v/>
      </c>
    </row>
    <row r="6566" spans="1:7" s="172" customFormat="1" ht="15" customHeight="1" x14ac:dyDescent="0.25">
      <c r="A6566" s="803" t="s">
        <v>8067</v>
      </c>
      <c r="B6566" s="803" t="s">
        <v>7915</v>
      </c>
      <c r="C6566" s="803" t="s">
        <v>7915</v>
      </c>
      <c r="D6566" s="803" t="s">
        <v>8068</v>
      </c>
      <c r="E6566" s="803">
        <v>250</v>
      </c>
      <c r="F6566" s="850">
        <v>180</v>
      </c>
      <c r="G6566" s="202" t="str">
        <f t="shared" si="102"/>
        <v/>
      </c>
    </row>
    <row r="6567" spans="1:7" s="172" customFormat="1" ht="15" customHeight="1" x14ac:dyDescent="0.25">
      <c r="A6567" s="803" t="s">
        <v>3636</v>
      </c>
      <c r="B6567" s="803" t="s">
        <v>7915</v>
      </c>
      <c r="C6567" s="803" t="s">
        <v>7915</v>
      </c>
      <c r="D6567" s="803" t="s">
        <v>8069</v>
      </c>
      <c r="E6567" s="803">
        <v>100</v>
      </c>
      <c r="F6567" s="850">
        <v>8</v>
      </c>
      <c r="G6567" s="202" t="str">
        <f t="shared" si="102"/>
        <v/>
      </c>
    </row>
    <row r="6568" spans="1:7" s="172" customFormat="1" ht="15" customHeight="1" x14ac:dyDescent="0.25">
      <c r="A6568" s="803" t="s">
        <v>8062</v>
      </c>
      <c r="B6568" s="803" t="s">
        <v>7915</v>
      </c>
      <c r="C6568" s="803" t="s">
        <v>7915</v>
      </c>
      <c r="D6568" s="803" t="s">
        <v>8070</v>
      </c>
      <c r="E6568" s="803">
        <v>100</v>
      </c>
      <c r="F6568" s="850">
        <v>50</v>
      </c>
      <c r="G6568" s="202" t="str">
        <f t="shared" si="102"/>
        <v/>
      </c>
    </row>
    <row r="6569" spans="1:7" s="172" customFormat="1" ht="15" customHeight="1" x14ac:dyDescent="0.25">
      <c r="A6569" s="803" t="s">
        <v>12642</v>
      </c>
      <c r="B6569" s="803" t="s">
        <v>7915</v>
      </c>
      <c r="C6569" s="803" t="s">
        <v>7915</v>
      </c>
      <c r="D6569" s="803" t="s">
        <v>7968</v>
      </c>
      <c r="E6569" s="803">
        <v>100</v>
      </c>
      <c r="F6569" s="850">
        <v>62</v>
      </c>
      <c r="G6569" s="202" t="str">
        <f t="shared" si="102"/>
        <v/>
      </c>
    </row>
    <row r="6570" spans="1:7" s="172" customFormat="1" ht="15" customHeight="1" x14ac:dyDescent="0.25">
      <c r="A6570" s="803" t="s">
        <v>3636</v>
      </c>
      <c r="B6570" s="803" t="s">
        <v>7915</v>
      </c>
      <c r="C6570" s="803" t="s">
        <v>7915</v>
      </c>
      <c r="D6570" s="803" t="s">
        <v>8071</v>
      </c>
      <c r="E6570" s="803">
        <v>160</v>
      </c>
      <c r="F6570" s="850">
        <v>61</v>
      </c>
      <c r="G6570" s="202" t="str">
        <f t="shared" si="102"/>
        <v/>
      </c>
    </row>
    <row r="6571" spans="1:7" s="172" customFormat="1" ht="15" customHeight="1" x14ac:dyDescent="0.25">
      <c r="A6571" s="803" t="s">
        <v>3636</v>
      </c>
      <c r="B6571" s="803" t="s">
        <v>7915</v>
      </c>
      <c r="C6571" s="803" t="s">
        <v>7915</v>
      </c>
      <c r="D6571" s="803" t="s">
        <v>8072</v>
      </c>
      <c r="E6571" s="803">
        <v>400</v>
      </c>
      <c r="F6571" s="850">
        <v>348</v>
      </c>
      <c r="G6571" s="202" t="str">
        <f t="shared" si="102"/>
        <v/>
      </c>
    </row>
    <row r="6572" spans="1:7" s="172" customFormat="1" ht="15" customHeight="1" x14ac:dyDescent="0.25">
      <c r="A6572" s="803" t="s">
        <v>8075</v>
      </c>
      <c r="B6572" s="803" t="s">
        <v>7915</v>
      </c>
      <c r="C6572" s="803" t="s">
        <v>7915</v>
      </c>
      <c r="D6572" s="803" t="s">
        <v>8073</v>
      </c>
      <c r="E6572" s="803">
        <v>25</v>
      </c>
      <c r="F6572" s="850">
        <v>15</v>
      </c>
      <c r="G6572" s="202" t="str">
        <f t="shared" si="102"/>
        <v/>
      </c>
    </row>
    <row r="6573" spans="1:7" s="172" customFormat="1" ht="15" customHeight="1" x14ac:dyDescent="0.25">
      <c r="A6573" s="803" t="s">
        <v>12679</v>
      </c>
      <c r="B6573" s="803" t="s">
        <v>7915</v>
      </c>
      <c r="C6573" s="803" t="s">
        <v>7915</v>
      </c>
      <c r="D6573" s="803" t="s">
        <v>8074</v>
      </c>
      <c r="E6573" s="803">
        <v>63</v>
      </c>
      <c r="F6573" s="850">
        <v>14</v>
      </c>
      <c r="G6573" s="202" t="str">
        <f t="shared" si="102"/>
        <v/>
      </c>
    </row>
    <row r="6574" spans="1:7" s="172" customFormat="1" ht="15" customHeight="1" x14ac:dyDescent="0.25">
      <c r="A6574" s="803" t="s">
        <v>8075</v>
      </c>
      <c r="B6574" s="803" t="s">
        <v>7915</v>
      </c>
      <c r="C6574" s="803" t="s">
        <v>7915</v>
      </c>
      <c r="D6574" s="803" t="s">
        <v>8076</v>
      </c>
      <c r="E6574" s="803">
        <v>250</v>
      </c>
      <c r="F6574" s="850">
        <v>130</v>
      </c>
      <c r="G6574" s="202" t="str">
        <f t="shared" si="102"/>
        <v/>
      </c>
    </row>
    <row r="6575" spans="1:7" s="172" customFormat="1" ht="15" customHeight="1" x14ac:dyDescent="0.25">
      <c r="A6575" s="803" t="s">
        <v>12680</v>
      </c>
      <c r="B6575" s="803" t="s">
        <v>7915</v>
      </c>
      <c r="C6575" s="803" t="s">
        <v>7915</v>
      </c>
      <c r="D6575" s="803" t="s">
        <v>8077</v>
      </c>
      <c r="E6575" s="803">
        <v>30</v>
      </c>
      <c r="F6575" s="850">
        <v>3</v>
      </c>
      <c r="G6575" s="202" t="str">
        <f t="shared" si="102"/>
        <v/>
      </c>
    </row>
    <row r="6576" spans="1:7" s="172" customFormat="1" ht="15" customHeight="1" x14ac:dyDescent="0.25">
      <c r="A6576" s="803" t="s">
        <v>12681</v>
      </c>
      <c r="B6576" s="803" t="s">
        <v>7915</v>
      </c>
      <c r="C6576" s="803" t="s">
        <v>7915</v>
      </c>
      <c r="D6576" s="803" t="s">
        <v>8078</v>
      </c>
      <c r="E6576" s="803">
        <v>10</v>
      </c>
      <c r="F6576" s="850">
        <v>2</v>
      </c>
      <c r="G6576" s="202" t="str">
        <f t="shared" si="102"/>
        <v/>
      </c>
    </row>
    <row r="6577" spans="1:7" s="172" customFormat="1" ht="15" customHeight="1" x14ac:dyDescent="0.25">
      <c r="A6577" s="803" t="s">
        <v>12682</v>
      </c>
      <c r="B6577" s="803" t="s">
        <v>7915</v>
      </c>
      <c r="C6577" s="803" t="s">
        <v>7915</v>
      </c>
      <c r="D6577" s="803" t="s">
        <v>8079</v>
      </c>
      <c r="E6577" s="803">
        <v>400</v>
      </c>
      <c r="F6577" s="850">
        <v>214</v>
      </c>
      <c r="G6577" s="202" t="str">
        <f t="shared" si="102"/>
        <v/>
      </c>
    </row>
    <row r="6578" spans="1:7" s="172" customFormat="1" ht="15" customHeight="1" x14ac:dyDescent="0.25">
      <c r="A6578" s="803" t="s">
        <v>8062</v>
      </c>
      <c r="B6578" s="803" t="s">
        <v>7915</v>
      </c>
      <c r="C6578" s="803" t="s">
        <v>7915</v>
      </c>
      <c r="D6578" s="803" t="s">
        <v>8080</v>
      </c>
      <c r="E6578" s="803">
        <v>60</v>
      </c>
      <c r="F6578" s="850">
        <v>5</v>
      </c>
      <c r="G6578" s="202" t="str">
        <f t="shared" si="102"/>
        <v/>
      </c>
    </row>
    <row r="6579" spans="1:7" s="172" customFormat="1" ht="15" customHeight="1" x14ac:dyDescent="0.25">
      <c r="A6579" s="803" t="s">
        <v>8067</v>
      </c>
      <c r="B6579" s="803" t="s">
        <v>7915</v>
      </c>
      <c r="C6579" s="803" t="s">
        <v>7915</v>
      </c>
      <c r="D6579" s="803" t="s">
        <v>8081</v>
      </c>
      <c r="E6579" s="803">
        <v>160</v>
      </c>
      <c r="F6579" s="850">
        <v>42</v>
      </c>
      <c r="G6579" s="202" t="str">
        <f t="shared" si="102"/>
        <v/>
      </c>
    </row>
    <row r="6580" spans="1:7" s="172" customFormat="1" ht="15" customHeight="1" x14ac:dyDescent="0.25">
      <c r="A6580" s="803" t="s">
        <v>8075</v>
      </c>
      <c r="B6580" s="803" t="s">
        <v>7915</v>
      </c>
      <c r="C6580" s="803" t="s">
        <v>7915</v>
      </c>
      <c r="D6580" s="803" t="s">
        <v>8082</v>
      </c>
      <c r="E6580" s="803">
        <v>100</v>
      </c>
      <c r="F6580" s="850">
        <v>9</v>
      </c>
      <c r="G6580" s="202" t="str">
        <f t="shared" si="102"/>
        <v/>
      </c>
    </row>
    <row r="6581" spans="1:7" s="172" customFormat="1" ht="15" customHeight="1" x14ac:dyDescent="0.25">
      <c r="A6581" s="803" t="s">
        <v>12683</v>
      </c>
      <c r="B6581" s="803" t="s">
        <v>7915</v>
      </c>
      <c r="C6581" s="803" t="s">
        <v>7915</v>
      </c>
      <c r="D6581" s="803" t="s">
        <v>8083</v>
      </c>
      <c r="E6581" s="803">
        <v>40</v>
      </c>
      <c r="F6581" s="850">
        <v>9</v>
      </c>
      <c r="G6581" s="202" t="str">
        <f t="shared" si="102"/>
        <v/>
      </c>
    </row>
    <row r="6582" spans="1:7" s="172" customFormat="1" ht="15" customHeight="1" x14ac:dyDescent="0.25">
      <c r="A6582" s="803" t="s">
        <v>12684</v>
      </c>
      <c r="B6582" s="803" t="s">
        <v>7915</v>
      </c>
      <c r="C6582" s="803" t="s">
        <v>7915</v>
      </c>
      <c r="D6582" s="803" t="s">
        <v>8084</v>
      </c>
      <c r="E6582" s="803">
        <v>100</v>
      </c>
      <c r="F6582" s="850">
        <v>24</v>
      </c>
      <c r="G6582" s="202" t="str">
        <f t="shared" si="102"/>
        <v/>
      </c>
    </row>
    <row r="6583" spans="1:7" s="172" customFormat="1" ht="15" customHeight="1" x14ac:dyDescent="0.25">
      <c r="A6583" s="803" t="s">
        <v>12685</v>
      </c>
      <c r="B6583" s="803" t="s">
        <v>7915</v>
      </c>
      <c r="C6583" s="803" t="s">
        <v>7915</v>
      </c>
      <c r="D6583" s="803" t="s">
        <v>8085</v>
      </c>
      <c r="E6583" s="803">
        <v>25</v>
      </c>
      <c r="F6583" s="850">
        <v>0</v>
      </c>
      <c r="G6583" s="202" t="str">
        <f t="shared" si="102"/>
        <v/>
      </c>
    </row>
    <row r="6584" spans="1:7" s="172" customFormat="1" ht="15" customHeight="1" x14ac:dyDescent="0.25">
      <c r="A6584" s="803" t="s">
        <v>12686</v>
      </c>
      <c r="B6584" s="803" t="s">
        <v>7915</v>
      </c>
      <c r="C6584" s="803" t="s">
        <v>7915</v>
      </c>
      <c r="D6584" s="803" t="s">
        <v>8086</v>
      </c>
      <c r="E6584" s="803">
        <v>25</v>
      </c>
      <c r="F6584" s="850">
        <v>6</v>
      </c>
      <c r="G6584" s="202" t="str">
        <f t="shared" si="102"/>
        <v/>
      </c>
    </row>
    <row r="6585" spans="1:7" s="172" customFormat="1" ht="15" customHeight="1" x14ac:dyDescent="0.25">
      <c r="A6585" s="803" t="s">
        <v>12687</v>
      </c>
      <c r="B6585" s="803" t="s">
        <v>7915</v>
      </c>
      <c r="C6585" s="803" t="s">
        <v>7915</v>
      </c>
      <c r="D6585" s="803" t="s">
        <v>8087</v>
      </c>
      <c r="E6585" s="803">
        <v>10</v>
      </c>
      <c r="F6585" s="850">
        <v>2</v>
      </c>
      <c r="G6585" s="202" t="str">
        <f t="shared" si="102"/>
        <v/>
      </c>
    </row>
    <row r="6586" spans="1:7" s="172" customFormat="1" ht="15" customHeight="1" x14ac:dyDescent="0.25">
      <c r="A6586" s="803" t="s">
        <v>12084</v>
      </c>
      <c r="B6586" s="803" t="s">
        <v>7915</v>
      </c>
      <c r="C6586" s="803" t="s">
        <v>7915</v>
      </c>
      <c r="D6586" s="803" t="s">
        <v>8088</v>
      </c>
      <c r="E6586" s="803">
        <v>60</v>
      </c>
      <c r="F6586" s="850">
        <v>6</v>
      </c>
      <c r="G6586" s="202" t="str">
        <f t="shared" si="102"/>
        <v/>
      </c>
    </row>
    <row r="6587" spans="1:7" s="172" customFormat="1" ht="15" customHeight="1" x14ac:dyDescent="0.25">
      <c r="A6587" s="803" t="s">
        <v>12688</v>
      </c>
      <c r="B6587" s="803" t="s">
        <v>7915</v>
      </c>
      <c r="C6587" s="803" t="s">
        <v>7915</v>
      </c>
      <c r="D6587" s="803" t="s">
        <v>8089</v>
      </c>
      <c r="E6587" s="803">
        <v>40</v>
      </c>
      <c r="F6587" s="850">
        <v>5</v>
      </c>
      <c r="G6587" s="202" t="str">
        <f t="shared" si="102"/>
        <v/>
      </c>
    </row>
    <row r="6588" spans="1:7" s="172" customFormat="1" ht="15" customHeight="1" x14ac:dyDescent="0.25">
      <c r="A6588" s="803" t="s">
        <v>12689</v>
      </c>
      <c r="B6588" s="803" t="s">
        <v>7915</v>
      </c>
      <c r="C6588" s="803" t="s">
        <v>7915</v>
      </c>
      <c r="D6588" s="803" t="s">
        <v>8090</v>
      </c>
      <c r="E6588" s="803">
        <v>30</v>
      </c>
      <c r="F6588" s="850">
        <v>7</v>
      </c>
      <c r="G6588" s="202" t="str">
        <f t="shared" si="102"/>
        <v/>
      </c>
    </row>
    <row r="6589" spans="1:7" s="172" customFormat="1" ht="15" customHeight="1" x14ac:dyDescent="0.25">
      <c r="A6589" s="803" t="s">
        <v>12690</v>
      </c>
      <c r="B6589" s="803" t="s">
        <v>7915</v>
      </c>
      <c r="C6589" s="803" t="s">
        <v>7915</v>
      </c>
      <c r="D6589" s="803" t="s">
        <v>8091</v>
      </c>
      <c r="E6589" s="803">
        <v>160</v>
      </c>
      <c r="F6589" s="850">
        <v>6</v>
      </c>
      <c r="G6589" s="202" t="str">
        <f t="shared" si="102"/>
        <v/>
      </c>
    </row>
    <row r="6590" spans="1:7" s="172" customFormat="1" ht="15" customHeight="1" x14ac:dyDescent="0.25">
      <c r="A6590" s="803" t="s">
        <v>12691</v>
      </c>
      <c r="B6590" s="803" t="s">
        <v>7915</v>
      </c>
      <c r="C6590" s="803" t="s">
        <v>7915</v>
      </c>
      <c r="D6590" s="803" t="s">
        <v>8092</v>
      </c>
      <c r="E6590" s="803">
        <v>20</v>
      </c>
      <c r="F6590" s="850">
        <v>4</v>
      </c>
      <c r="G6590" s="202" t="str">
        <f t="shared" si="102"/>
        <v/>
      </c>
    </row>
    <row r="6591" spans="1:7" s="172" customFormat="1" ht="15" customHeight="1" x14ac:dyDescent="0.25">
      <c r="A6591" s="803" t="s">
        <v>3373</v>
      </c>
      <c r="B6591" s="803" t="s">
        <v>7915</v>
      </c>
      <c r="C6591" s="803" t="s">
        <v>7915</v>
      </c>
      <c r="D6591" s="803" t="s">
        <v>8093</v>
      </c>
      <c r="E6591" s="803">
        <v>25</v>
      </c>
      <c r="F6591" s="850">
        <v>2</v>
      </c>
      <c r="G6591" s="202" t="str">
        <f t="shared" si="102"/>
        <v/>
      </c>
    </row>
    <row r="6592" spans="1:7" s="172" customFormat="1" ht="15" customHeight="1" x14ac:dyDescent="0.25">
      <c r="A6592" s="803" t="s">
        <v>12692</v>
      </c>
      <c r="B6592" s="803" t="s">
        <v>7915</v>
      </c>
      <c r="C6592" s="803" t="s">
        <v>7915</v>
      </c>
      <c r="D6592" s="803" t="s">
        <v>8094</v>
      </c>
      <c r="E6592" s="803">
        <v>10</v>
      </c>
      <c r="F6592" s="850">
        <v>0</v>
      </c>
      <c r="G6592" s="202" t="str">
        <f t="shared" si="102"/>
        <v/>
      </c>
    </row>
    <row r="6593" spans="1:7" s="172" customFormat="1" ht="15" customHeight="1" x14ac:dyDescent="0.25">
      <c r="A6593" s="803" t="s">
        <v>12693</v>
      </c>
      <c r="B6593" s="803" t="s">
        <v>7915</v>
      </c>
      <c r="C6593" s="803" t="s">
        <v>7915</v>
      </c>
      <c r="D6593" s="803" t="s">
        <v>8095</v>
      </c>
      <c r="E6593" s="803">
        <v>30</v>
      </c>
      <c r="F6593" s="850">
        <v>7</v>
      </c>
      <c r="G6593" s="202" t="str">
        <f t="shared" si="102"/>
        <v/>
      </c>
    </row>
    <row r="6594" spans="1:7" s="172" customFormat="1" ht="15" customHeight="1" x14ac:dyDescent="0.25">
      <c r="A6594" s="803" t="s">
        <v>12694</v>
      </c>
      <c r="B6594" s="803" t="s">
        <v>7915</v>
      </c>
      <c r="C6594" s="803" t="s">
        <v>7915</v>
      </c>
      <c r="D6594" s="803" t="s">
        <v>8096</v>
      </c>
      <c r="E6594" s="803">
        <v>20</v>
      </c>
      <c r="F6594" s="850">
        <v>4</v>
      </c>
      <c r="G6594" s="202" t="str">
        <f t="shared" si="102"/>
        <v/>
      </c>
    </row>
    <row r="6595" spans="1:7" s="172" customFormat="1" ht="15" customHeight="1" x14ac:dyDescent="0.25">
      <c r="A6595" s="803" t="s">
        <v>12695</v>
      </c>
      <c r="B6595" s="803" t="s">
        <v>7915</v>
      </c>
      <c r="C6595" s="803" t="s">
        <v>7915</v>
      </c>
      <c r="D6595" s="803" t="s">
        <v>8097</v>
      </c>
      <c r="E6595" s="803">
        <v>10</v>
      </c>
      <c r="F6595" s="850">
        <v>1</v>
      </c>
      <c r="G6595" s="202" t="str">
        <f t="shared" si="102"/>
        <v/>
      </c>
    </row>
    <row r="6596" spans="1:7" s="172" customFormat="1" ht="15" customHeight="1" x14ac:dyDescent="0.25">
      <c r="A6596" s="803" t="s">
        <v>12696</v>
      </c>
      <c r="B6596" s="803" t="s">
        <v>7915</v>
      </c>
      <c r="C6596" s="803" t="s">
        <v>7915</v>
      </c>
      <c r="D6596" s="803" t="s">
        <v>8098</v>
      </c>
      <c r="E6596" s="803">
        <v>100</v>
      </c>
      <c r="F6596" s="850">
        <v>75</v>
      </c>
      <c r="G6596" s="202" t="str">
        <f t="shared" si="102"/>
        <v/>
      </c>
    </row>
    <row r="6597" spans="1:7" s="172" customFormat="1" ht="15" customHeight="1" x14ac:dyDescent="0.25">
      <c r="A6597" s="803" t="s">
        <v>12697</v>
      </c>
      <c r="B6597" s="803" t="s">
        <v>7915</v>
      </c>
      <c r="C6597" s="803" t="s">
        <v>7915</v>
      </c>
      <c r="D6597" s="803" t="s">
        <v>8099</v>
      </c>
      <c r="E6597" s="803">
        <v>250</v>
      </c>
      <c r="F6597" s="850">
        <v>16</v>
      </c>
      <c r="G6597" s="202" t="str">
        <f t="shared" si="102"/>
        <v/>
      </c>
    </row>
    <row r="6598" spans="1:7" s="172" customFormat="1" ht="15" customHeight="1" x14ac:dyDescent="0.25">
      <c r="A6598" s="803" t="s">
        <v>12697</v>
      </c>
      <c r="B6598" s="803" t="s">
        <v>7915</v>
      </c>
      <c r="C6598" s="803" t="s">
        <v>7915</v>
      </c>
      <c r="D6598" s="803" t="s">
        <v>8100</v>
      </c>
      <c r="E6598" s="803">
        <v>250</v>
      </c>
      <c r="F6598" s="850">
        <v>21</v>
      </c>
      <c r="G6598" s="202" t="str">
        <f t="shared" si="102"/>
        <v/>
      </c>
    </row>
    <row r="6599" spans="1:7" s="172" customFormat="1" ht="15" customHeight="1" x14ac:dyDescent="0.25">
      <c r="A6599" s="803" t="s">
        <v>12697</v>
      </c>
      <c r="B6599" s="803" t="s">
        <v>7915</v>
      </c>
      <c r="C6599" s="803" t="s">
        <v>7915</v>
      </c>
      <c r="D6599" s="803" t="s">
        <v>7088</v>
      </c>
      <c r="E6599" s="803">
        <v>160</v>
      </c>
      <c r="F6599" s="850">
        <v>8</v>
      </c>
      <c r="G6599" s="202" t="str">
        <f t="shared" si="102"/>
        <v/>
      </c>
    </row>
    <row r="6600" spans="1:7" s="172" customFormat="1" ht="15" customHeight="1" x14ac:dyDescent="0.25">
      <c r="A6600" s="803" t="s">
        <v>12697</v>
      </c>
      <c r="B6600" s="803" t="s">
        <v>7915</v>
      </c>
      <c r="C6600" s="803" t="s">
        <v>7915</v>
      </c>
      <c r="D6600" s="803" t="s">
        <v>8101</v>
      </c>
      <c r="E6600" s="803">
        <v>100</v>
      </c>
      <c r="F6600" s="850">
        <v>14</v>
      </c>
      <c r="G6600" s="202" t="str">
        <f t="shared" si="102"/>
        <v/>
      </c>
    </row>
    <row r="6601" spans="1:7" s="172" customFormat="1" ht="15" customHeight="1" x14ac:dyDescent="0.25">
      <c r="A6601" s="803" t="s">
        <v>12697</v>
      </c>
      <c r="B6601" s="803" t="s">
        <v>7915</v>
      </c>
      <c r="C6601" s="803" t="s">
        <v>7915</v>
      </c>
      <c r="D6601" s="803" t="s">
        <v>8102</v>
      </c>
      <c r="E6601" s="803">
        <v>100</v>
      </c>
      <c r="F6601" s="850">
        <v>21</v>
      </c>
      <c r="G6601" s="202" t="str">
        <f t="shared" si="102"/>
        <v/>
      </c>
    </row>
    <row r="6602" spans="1:7" s="172" customFormat="1" ht="15" customHeight="1" x14ac:dyDescent="0.25">
      <c r="A6602" s="803" t="s">
        <v>12697</v>
      </c>
      <c r="B6602" s="803" t="s">
        <v>7915</v>
      </c>
      <c r="C6602" s="803" t="s">
        <v>7915</v>
      </c>
      <c r="D6602" s="803" t="s">
        <v>8103</v>
      </c>
      <c r="E6602" s="803">
        <v>60</v>
      </c>
      <c r="F6602" s="850">
        <v>0</v>
      </c>
      <c r="G6602" s="202" t="str">
        <f t="shared" si="102"/>
        <v/>
      </c>
    </row>
    <row r="6603" spans="1:7" s="172" customFormat="1" ht="15" customHeight="1" x14ac:dyDescent="0.25">
      <c r="A6603" s="803" t="s">
        <v>12697</v>
      </c>
      <c r="B6603" s="803" t="s">
        <v>7915</v>
      </c>
      <c r="C6603" s="803" t="s">
        <v>7915</v>
      </c>
      <c r="D6603" s="803" t="s">
        <v>8104</v>
      </c>
      <c r="E6603" s="803">
        <v>250</v>
      </c>
      <c r="F6603" s="850">
        <v>31</v>
      </c>
      <c r="G6603" s="202" t="str">
        <f t="shared" si="102"/>
        <v/>
      </c>
    </row>
    <row r="6604" spans="1:7" s="172" customFormat="1" ht="15" customHeight="1" x14ac:dyDescent="0.25">
      <c r="A6604" s="803" t="s">
        <v>12697</v>
      </c>
      <c r="B6604" s="803" t="s">
        <v>7915</v>
      </c>
      <c r="C6604" s="803" t="s">
        <v>7915</v>
      </c>
      <c r="D6604" s="803" t="s">
        <v>8105</v>
      </c>
      <c r="E6604" s="803">
        <v>100</v>
      </c>
      <c r="F6604" s="850">
        <v>9</v>
      </c>
      <c r="G6604" s="202" t="str">
        <f t="shared" si="102"/>
        <v/>
      </c>
    </row>
    <row r="6605" spans="1:7" s="172" customFormat="1" ht="15" customHeight="1" x14ac:dyDescent="0.25">
      <c r="A6605" s="803" t="s">
        <v>12697</v>
      </c>
      <c r="B6605" s="803" t="s">
        <v>7915</v>
      </c>
      <c r="C6605" s="803" t="s">
        <v>7915</v>
      </c>
      <c r="D6605" s="803" t="s">
        <v>8106</v>
      </c>
      <c r="E6605" s="803">
        <v>250</v>
      </c>
      <c r="F6605" s="850">
        <v>30</v>
      </c>
      <c r="G6605" s="202" t="str">
        <f t="shared" si="102"/>
        <v/>
      </c>
    </row>
    <row r="6606" spans="1:7" s="172" customFormat="1" ht="15" customHeight="1" x14ac:dyDescent="0.25">
      <c r="A6606" s="803" t="s">
        <v>12697</v>
      </c>
      <c r="B6606" s="803" t="s">
        <v>7915</v>
      </c>
      <c r="C6606" s="803" t="s">
        <v>7915</v>
      </c>
      <c r="D6606" s="803" t="s">
        <v>8107</v>
      </c>
      <c r="E6606" s="803">
        <v>250</v>
      </c>
      <c r="F6606" s="850">
        <v>27</v>
      </c>
      <c r="G6606" s="202" t="str">
        <f t="shared" si="102"/>
        <v/>
      </c>
    </row>
    <row r="6607" spans="1:7" s="172" customFormat="1" ht="15" customHeight="1" x14ac:dyDescent="0.25">
      <c r="A6607" s="803" t="s">
        <v>8108</v>
      </c>
      <c r="B6607" s="803" t="s">
        <v>7915</v>
      </c>
      <c r="C6607" s="803" t="s">
        <v>7915</v>
      </c>
      <c r="D6607" s="803" t="s">
        <v>8109</v>
      </c>
      <c r="E6607" s="803">
        <v>250</v>
      </c>
      <c r="F6607" s="850">
        <v>220</v>
      </c>
      <c r="G6607" s="202" t="str">
        <f t="shared" si="102"/>
        <v/>
      </c>
    </row>
    <row r="6608" spans="1:7" s="172" customFormat="1" ht="15" customHeight="1" x14ac:dyDescent="0.25">
      <c r="A6608" s="803" t="s">
        <v>8108</v>
      </c>
      <c r="B6608" s="803" t="s">
        <v>7915</v>
      </c>
      <c r="C6608" s="803" t="s">
        <v>7915</v>
      </c>
      <c r="D6608" s="803" t="s">
        <v>8110</v>
      </c>
      <c r="E6608" s="803">
        <v>160</v>
      </c>
      <c r="F6608" s="850">
        <v>32</v>
      </c>
      <c r="G6608" s="202" t="str">
        <f t="shared" si="102"/>
        <v/>
      </c>
    </row>
    <row r="6609" spans="1:7" s="172" customFormat="1" ht="15" customHeight="1" x14ac:dyDescent="0.25">
      <c r="A6609" s="803" t="s">
        <v>12698</v>
      </c>
      <c r="B6609" s="803" t="s">
        <v>7915</v>
      </c>
      <c r="C6609" s="803" t="s">
        <v>7915</v>
      </c>
      <c r="D6609" s="803" t="s">
        <v>8111</v>
      </c>
      <c r="E6609" s="803">
        <v>10</v>
      </c>
      <c r="F6609" s="850">
        <v>2</v>
      </c>
      <c r="G6609" s="202" t="str">
        <f t="shared" si="102"/>
        <v/>
      </c>
    </row>
    <row r="6610" spans="1:7" s="172" customFormat="1" ht="15" customHeight="1" x14ac:dyDescent="0.25">
      <c r="A6610" s="803" t="s">
        <v>3145</v>
      </c>
      <c r="B6610" s="803" t="s">
        <v>7915</v>
      </c>
      <c r="C6610" s="803" t="s">
        <v>7915</v>
      </c>
      <c r="D6610" s="803" t="s">
        <v>8112</v>
      </c>
      <c r="E6610" s="803">
        <v>10</v>
      </c>
      <c r="F6610" s="850">
        <v>3</v>
      </c>
      <c r="G6610" s="202" t="str">
        <f t="shared" si="102"/>
        <v/>
      </c>
    </row>
    <row r="6611" spans="1:7" s="172" customFormat="1" ht="15" customHeight="1" x14ac:dyDescent="0.25">
      <c r="A6611" s="803" t="s">
        <v>8108</v>
      </c>
      <c r="B6611" s="803" t="s">
        <v>7915</v>
      </c>
      <c r="C6611" s="803" t="s">
        <v>7915</v>
      </c>
      <c r="D6611" s="803" t="s">
        <v>8113</v>
      </c>
      <c r="E6611" s="803">
        <v>60</v>
      </c>
      <c r="F6611" s="850">
        <v>50</v>
      </c>
      <c r="G6611" s="202" t="str">
        <f t="shared" si="102"/>
        <v/>
      </c>
    </row>
    <row r="6612" spans="1:7" s="172" customFormat="1" ht="15" customHeight="1" x14ac:dyDescent="0.25">
      <c r="A6612" s="803" t="s">
        <v>12699</v>
      </c>
      <c r="B6612" s="803" t="s">
        <v>7915</v>
      </c>
      <c r="C6612" s="803" t="s">
        <v>7915</v>
      </c>
      <c r="D6612" s="803" t="s">
        <v>8114</v>
      </c>
      <c r="E6612" s="803">
        <v>30</v>
      </c>
      <c r="F6612" s="850">
        <v>10</v>
      </c>
      <c r="G6612" s="202" t="str">
        <f t="shared" si="102"/>
        <v/>
      </c>
    </row>
    <row r="6613" spans="1:7" s="172" customFormat="1" ht="15" customHeight="1" x14ac:dyDescent="0.25">
      <c r="A6613" s="803" t="s">
        <v>12700</v>
      </c>
      <c r="B6613" s="803" t="s">
        <v>7915</v>
      </c>
      <c r="C6613" s="803" t="s">
        <v>7915</v>
      </c>
      <c r="D6613" s="803" t="s">
        <v>8115</v>
      </c>
      <c r="E6613" s="803">
        <v>40</v>
      </c>
      <c r="F6613" s="850">
        <v>10</v>
      </c>
      <c r="G6613" s="202" t="str">
        <f t="shared" si="102"/>
        <v/>
      </c>
    </row>
    <row r="6614" spans="1:7" s="172" customFormat="1" ht="15" customHeight="1" x14ac:dyDescent="0.25">
      <c r="A6614" s="803" t="s">
        <v>12701</v>
      </c>
      <c r="B6614" s="803" t="s">
        <v>7915</v>
      </c>
      <c r="C6614" s="803" t="s">
        <v>7915</v>
      </c>
      <c r="D6614" s="803" t="s">
        <v>8116</v>
      </c>
      <c r="E6614" s="803">
        <v>10</v>
      </c>
      <c r="F6614" s="850">
        <v>9</v>
      </c>
      <c r="G6614" s="202" t="str">
        <f t="shared" si="102"/>
        <v/>
      </c>
    </row>
    <row r="6615" spans="1:7" s="172" customFormat="1" ht="15" customHeight="1" x14ac:dyDescent="0.25">
      <c r="A6615" s="803" t="s">
        <v>12702</v>
      </c>
      <c r="B6615" s="803" t="s">
        <v>7915</v>
      </c>
      <c r="C6615" s="803" t="s">
        <v>7915</v>
      </c>
      <c r="D6615" s="803" t="s">
        <v>8117</v>
      </c>
      <c r="E6615" s="803">
        <v>30</v>
      </c>
      <c r="F6615" s="850">
        <v>28</v>
      </c>
      <c r="G6615" s="202" t="str">
        <f t="shared" si="102"/>
        <v/>
      </c>
    </row>
    <row r="6616" spans="1:7" s="172" customFormat="1" ht="15" customHeight="1" x14ac:dyDescent="0.25">
      <c r="A6616" s="803" t="s">
        <v>2991</v>
      </c>
      <c r="B6616" s="803" t="s">
        <v>7915</v>
      </c>
      <c r="C6616" s="803" t="s">
        <v>7915</v>
      </c>
      <c r="D6616" s="803" t="s">
        <v>8118</v>
      </c>
      <c r="E6616" s="803">
        <v>60</v>
      </c>
      <c r="F6616" s="850">
        <v>5</v>
      </c>
      <c r="G6616" s="202" t="str">
        <f t="shared" si="102"/>
        <v/>
      </c>
    </row>
    <row r="6617" spans="1:7" s="172" customFormat="1" ht="15" customHeight="1" x14ac:dyDescent="0.25">
      <c r="A6617" s="803" t="s">
        <v>12703</v>
      </c>
      <c r="B6617" s="803" t="s">
        <v>7915</v>
      </c>
      <c r="C6617" s="803" t="s">
        <v>7915</v>
      </c>
      <c r="D6617" s="803" t="s">
        <v>8119</v>
      </c>
      <c r="E6617" s="803">
        <v>160</v>
      </c>
      <c r="F6617" s="850">
        <v>120</v>
      </c>
      <c r="G6617" s="202" t="str">
        <f t="shared" si="102"/>
        <v/>
      </c>
    </row>
    <row r="6618" spans="1:7" s="172" customFormat="1" ht="15" customHeight="1" x14ac:dyDescent="0.25">
      <c r="A6618" s="803" t="s">
        <v>12704</v>
      </c>
      <c r="B6618" s="803" t="s">
        <v>7915</v>
      </c>
      <c r="C6618" s="803" t="s">
        <v>7915</v>
      </c>
      <c r="D6618" s="803" t="s">
        <v>8120</v>
      </c>
      <c r="E6618" s="803">
        <v>60</v>
      </c>
      <c r="F6618" s="850">
        <v>8</v>
      </c>
      <c r="G6618" s="202" t="str">
        <f t="shared" si="102"/>
        <v/>
      </c>
    </row>
    <row r="6619" spans="1:7" s="172" customFormat="1" ht="15" customHeight="1" x14ac:dyDescent="0.25">
      <c r="A6619" s="803" t="s">
        <v>12674</v>
      </c>
      <c r="B6619" s="803" t="s">
        <v>7915</v>
      </c>
      <c r="C6619" s="803" t="s">
        <v>7915</v>
      </c>
      <c r="D6619" s="803" t="s">
        <v>8121</v>
      </c>
      <c r="E6619" s="803">
        <v>25</v>
      </c>
      <c r="F6619" s="850">
        <v>6</v>
      </c>
      <c r="G6619" s="202" t="str">
        <f t="shared" si="102"/>
        <v/>
      </c>
    </row>
    <row r="6620" spans="1:7" s="172" customFormat="1" ht="15" customHeight="1" x14ac:dyDescent="0.25">
      <c r="A6620" s="803" t="s">
        <v>12705</v>
      </c>
      <c r="B6620" s="803" t="s">
        <v>7915</v>
      </c>
      <c r="C6620" s="803" t="s">
        <v>7915</v>
      </c>
      <c r="D6620" s="803" t="s">
        <v>8122</v>
      </c>
      <c r="E6620" s="803">
        <v>40</v>
      </c>
      <c r="F6620" s="850">
        <v>20</v>
      </c>
      <c r="G6620" s="202" t="str">
        <f t="shared" si="102"/>
        <v/>
      </c>
    </row>
    <row r="6621" spans="1:7" s="172" customFormat="1" ht="15" customHeight="1" x14ac:dyDescent="0.25">
      <c r="A6621" s="803" t="s">
        <v>12706</v>
      </c>
      <c r="B6621" s="803" t="s">
        <v>7915</v>
      </c>
      <c r="C6621" s="803" t="s">
        <v>7915</v>
      </c>
      <c r="D6621" s="803" t="s">
        <v>8123</v>
      </c>
      <c r="E6621" s="803">
        <v>100</v>
      </c>
      <c r="F6621" s="850">
        <v>3</v>
      </c>
      <c r="G6621" s="202" t="str">
        <f t="shared" ref="G6621:G6684" si="103">IF(E6621=F6621,"не загружен","")</f>
        <v/>
      </c>
    </row>
    <row r="6622" spans="1:7" s="172" customFormat="1" ht="15" customHeight="1" x14ac:dyDescent="0.25">
      <c r="A6622" s="803" t="s">
        <v>8124</v>
      </c>
      <c r="B6622" s="803" t="s">
        <v>7915</v>
      </c>
      <c r="C6622" s="803" t="s">
        <v>7915</v>
      </c>
      <c r="D6622" s="803" t="s">
        <v>8125</v>
      </c>
      <c r="E6622" s="803">
        <v>60</v>
      </c>
      <c r="F6622" s="850">
        <v>2</v>
      </c>
      <c r="G6622" s="202" t="str">
        <f t="shared" si="103"/>
        <v/>
      </c>
    </row>
    <row r="6623" spans="1:7" s="172" customFormat="1" ht="15" customHeight="1" x14ac:dyDescent="0.25">
      <c r="A6623" s="803" t="s">
        <v>12707</v>
      </c>
      <c r="B6623" s="803" t="s">
        <v>7915</v>
      </c>
      <c r="C6623" s="803" t="s">
        <v>7915</v>
      </c>
      <c r="D6623" s="803" t="s">
        <v>8126</v>
      </c>
      <c r="E6623" s="803">
        <v>100</v>
      </c>
      <c r="F6623" s="850">
        <v>30</v>
      </c>
      <c r="G6623" s="202" t="str">
        <f t="shared" si="103"/>
        <v/>
      </c>
    </row>
    <row r="6624" spans="1:7" s="172" customFormat="1" ht="15" customHeight="1" x14ac:dyDescent="0.25">
      <c r="A6624" s="803" t="s">
        <v>12708</v>
      </c>
      <c r="B6624" s="803" t="s">
        <v>7915</v>
      </c>
      <c r="C6624" s="803" t="s">
        <v>7915</v>
      </c>
      <c r="D6624" s="803" t="s">
        <v>8127</v>
      </c>
      <c r="E6624" s="803">
        <v>20</v>
      </c>
      <c r="F6624" s="850">
        <v>2</v>
      </c>
      <c r="G6624" s="202" t="str">
        <f t="shared" si="103"/>
        <v/>
      </c>
    </row>
    <row r="6625" spans="1:7" s="172" customFormat="1" ht="15" customHeight="1" x14ac:dyDescent="0.25">
      <c r="A6625" s="803" t="s">
        <v>12709</v>
      </c>
      <c r="B6625" s="803" t="s">
        <v>7915</v>
      </c>
      <c r="C6625" s="803" t="s">
        <v>7915</v>
      </c>
      <c r="D6625" s="803" t="s">
        <v>8128</v>
      </c>
      <c r="E6625" s="803">
        <v>10</v>
      </c>
      <c r="F6625" s="850">
        <v>3</v>
      </c>
      <c r="G6625" s="202" t="str">
        <f t="shared" si="103"/>
        <v/>
      </c>
    </row>
    <row r="6626" spans="1:7" s="172" customFormat="1" ht="15" customHeight="1" x14ac:dyDescent="0.25">
      <c r="A6626" s="803" t="s">
        <v>12710</v>
      </c>
      <c r="B6626" s="803" t="s">
        <v>7915</v>
      </c>
      <c r="C6626" s="803" t="s">
        <v>7915</v>
      </c>
      <c r="D6626" s="803" t="s">
        <v>8129</v>
      </c>
      <c r="E6626" s="803">
        <v>30</v>
      </c>
      <c r="F6626" s="850">
        <v>11</v>
      </c>
      <c r="G6626" s="202" t="str">
        <f t="shared" si="103"/>
        <v/>
      </c>
    </row>
    <row r="6627" spans="1:7" s="172" customFormat="1" ht="15" customHeight="1" x14ac:dyDescent="0.25">
      <c r="A6627" s="803" t="s">
        <v>12711</v>
      </c>
      <c r="B6627" s="803" t="s">
        <v>7915</v>
      </c>
      <c r="C6627" s="803" t="s">
        <v>7915</v>
      </c>
      <c r="D6627" s="803" t="s">
        <v>8130</v>
      </c>
      <c r="E6627" s="803">
        <v>10</v>
      </c>
      <c r="F6627" s="850">
        <v>6</v>
      </c>
      <c r="G6627" s="202" t="str">
        <f t="shared" si="103"/>
        <v/>
      </c>
    </row>
    <row r="6628" spans="1:7" s="172" customFormat="1" ht="15" customHeight="1" x14ac:dyDescent="0.25">
      <c r="A6628" s="803" t="s">
        <v>12712</v>
      </c>
      <c r="B6628" s="803" t="s">
        <v>7915</v>
      </c>
      <c r="C6628" s="803" t="s">
        <v>7915</v>
      </c>
      <c r="D6628" s="803" t="s">
        <v>8131</v>
      </c>
      <c r="E6628" s="803">
        <v>40</v>
      </c>
      <c r="F6628" s="850">
        <v>2</v>
      </c>
      <c r="G6628" s="202" t="str">
        <f t="shared" si="103"/>
        <v/>
      </c>
    </row>
    <row r="6629" spans="1:7" s="172" customFormat="1" ht="15" customHeight="1" x14ac:dyDescent="0.25">
      <c r="A6629" s="803" t="s">
        <v>12713</v>
      </c>
      <c r="B6629" s="803" t="s">
        <v>7915</v>
      </c>
      <c r="C6629" s="803" t="s">
        <v>7915</v>
      </c>
      <c r="D6629" s="803" t="s">
        <v>8132</v>
      </c>
      <c r="E6629" s="803">
        <v>10</v>
      </c>
      <c r="F6629" s="850">
        <v>1</v>
      </c>
      <c r="G6629" s="202" t="str">
        <f t="shared" si="103"/>
        <v/>
      </c>
    </row>
    <row r="6630" spans="1:7" s="172" customFormat="1" ht="15" customHeight="1" x14ac:dyDescent="0.25">
      <c r="A6630" s="803" t="s">
        <v>12714</v>
      </c>
      <c r="B6630" s="803" t="s">
        <v>7915</v>
      </c>
      <c r="C6630" s="803" t="s">
        <v>7915</v>
      </c>
      <c r="D6630" s="803" t="s">
        <v>8133</v>
      </c>
      <c r="E6630" s="803">
        <v>40</v>
      </c>
      <c r="F6630" s="850">
        <v>0</v>
      </c>
      <c r="G6630" s="202" t="str">
        <f t="shared" si="103"/>
        <v/>
      </c>
    </row>
    <row r="6631" spans="1:7" s="172" customFormat="1" ht="15" customHeight="1" x14ac:dyDescent="0.25">
      <c r="A6631" s="803" t="s">
        <v>8134</v>
      </c>
      <c r="B6631" s="803" t="s">
        <v>7915</v>
      </c>
      <c r="C6631" s="803" t="s">
        <v>7915</v>
      </c>
      <c r="D6631" s="803" t="s">
        <v>8135</v>
      </c>
      <c r="E6631" s="803">
        <v>160</v>
      </c>
      <c r="F6631" s="850">
        <v>20</v>
      </c>
      <c r="G6631" s="202" t="str">
        <f t="shared" si="103"/>
        <v/>
      </c>
    </row>
    <row r="6632" spans="1:7" s="172" customFormat="1" ht="15" customHeight="1" x14ac:dyDescent="0.25">
      <c r="A6632" s="803" t="s">
        <v>8134</v>
      </c>
      <c r="B6632" s="803" t="s">
        <v>7915</v>
      </c>
      <c r="C6632" s="803" t="s">
        <v>7915</v>
      </c>
      <c r="D6632" s="803" t="s">
        <v>8136</v>
      </c>
      <c r="E6632" s="803">
        <v>160</v>
      </c>
      <c r="F6632" s="850">
        <v>13</v>
      </c>
      <c r="G6632" s="202" t="str">
        <f t="shared" si="103"/>
        <v/>
      </c>
    </row>
    <row r="6633" spans="1:7" s="172" customFormat="1" ht="15" customHeight="1" x14ac:dyDescent="0.25">
      <c r="A6633" s="803" t="s">
        <v>8134</v>
      </c>
      <c r="B6633" s="803" t="s">
        <v>7915</v>
      </c>
      <c r="C6633" s="803" t="s">
        <v>7915</v>
      </c>
      <c r="D6633" s="803" t="s">
        <v>8137</v>
      </c>
      <c r="E6633" s="803">
        <v>160</v>
      </c>
      <c r="F6633" s="850">
        <v>5</v>
      </c>
      <c r="G6633" s="202" t="str">
        <f t="shared" si="103"/>
        <v/>
      </c>
    </row>
    <row r="6634" spans="1:7" s="172" customFormat="1" ht="15" customHeight="1" x14ac:dyDescent="0.25">
      <c r="A6634" s="803" t="s">
        <v>2778</v>
      </c>
      <c r="B6634" s="803" t="s">
        <v>7915</v>
      </c>
      <c r="C6634" s="803" t="s">
        <v>7915</v>
      </c>
      <c r="D6634" s="803" t="s">
        <v>8064</v>
      </c>
      <c r="E6634" s="803">
        <v>30</v>
      </c>
      <c r="F6634" s="850">
        <v>11</v>
      </c>
      <c r="G6634" s="202" t="str">
        <f t="shared" si="103"/>
        <v/>
      </c>
    </row>
    <row r="6635" spans="1:7" s="172" customFormat="1" ht="15" customHeight="1" x14ac:dyDescent="0.25">
      <c r="A6635" s="803" t="s">
        <v>8124</v>
      </c>
      <c r="B6635" s="803" t="s">
        <v>7915</v>
      </c>
      <c r="C6635" s="803" t="s">
        <v>7915</v>
      </c>
      <c r="D6635" s="803" t="s">
        <v>8138</v>
      </c>
      <c r="E6635" s="803">
        <v>100</v>
      </c>
      <c r="F6635" s="850">
        <v>18</v>
      </c>
      <c r="G6635" s="202" t="str">
        <f t="shared" si="103"/>
        <v/>
      </c>
    </row>
    <row r="6636" spans="1:7" s="172" customFormat="1" ht="15" customHeight="1" x14ac:dyDescent="0.25">
      <c r="A6636" s="803" t="s">
        <v>12622</v>
      </c>
      <c r="B6636" s="803" t="s">
        <v>7915</v>
      </c>
      <c r="C6636" s="803" t="s">
        <v>7915</v>
      </c>
      <c r="D6636" s="803" t="s">
        <v>7922</v>
      </c>
      <c r="E6636" s="803">
        <v>10</v>
      </c>
      <c r="F6636" s="850">
        <v>2</v>
      </c>
      <c r="G6636" s="202" t="str">
        <f t="shared" si="103"/>
        <v/>
      </c>
    </row>
    <row r="6637" spans="1:7" s="172" customFormat="1" ht="15" customHeight="1" x14ac:dyDescent="0.25">
      <c r="A6637" s="803" t="s">
        <v>8134</v>
      </c>
      <c r="B6637" s="803" t="s">
        <v>7915</v>
      </c>
      <c r="C6637" s="803" t="s">
        <v>7915</v>
      </c>
      <c r="D6637" s="803" t="s">
        <v>8139</v>
      </c>
      <c r="E6637" s="803">
        <v>320</v>
      </c>
      <c r="F6637" s="850">
        <v>260</v>
      </c>
      <c r="G6637" s="202" t="str">
        <f t="shared" si="103"/>
        <v/>
      </c>
    </row>
    <row r="6638" spans="1:7" s="172" customFormat="1" ht="15" customHeight="1" x14ac:dyDescent="0.25">
      <c r="A6638" s="803" t="s">
        <v>8134</v>
      </c>
      <c r="B6638" s="803" t="s">
        <v>7915</v>
      </c>
      <c r="C6638" s="803" t="s">
        <v>7915</v>
      </c>
      <c r="D6638" s="803" t="s">
        <v>8140</v>
      </c>
      <c r="E6638" s="803">
        <v>400</v>
      </c>
      <c r="F6638" s="850">
        <v>280</v>
      </c>
      <c r="G6638" s="202" t="str">
        <f t="shared" si="103"/>
        <v/>
      </c>
    </row>
    <row r="6639" spans="1:7" s="172" customFormat="1" ht="15" customHeight="1" x14ac:dyDescent="0.25">
      <c r="A6639" s="803" t="s">
        <v>8134</v>
      </c>
      <c r="B6639" s="803" t="s">
        <v>7915</v>
      </c>
      <c r="C6639" s="803" t="s">
        <v>7915</v>
      </c>
      <c r="D6639" s="803" t="s">
        <v>8141</v>
      </c>
      <c r="E6639" s="803">
        <v>250</v>
      </c>
      <c r="F6639" s="850">
        <v>180</v>
      </c>
      <c r="G6639" s="202" t="str">
        <f t="shared" si="103"/>
        <v/>
      </c>
    </row>
    <row r="6640" spans="1:7" s="172" customFormat="1" ht="15" customHeight="1" x14ac:dyDescent="0.25">
      <c r="A6640" s="803" t="s">
        <v>8142</v>
      </c>
      <c r="B6640" s="803" t="s">
        <v>7915</v>
      </c>
      <c r="C6640" s="803" t="s">
        <v>7915</v>
      </c>
      <c r="D6640" s="803" t="s">
        <v>8143</v>
      </c>
      <c r="E6640" s="803">
        <v>10</v>
      </c>
      <c r="F6640" s="850">
        <v>1</v>
      </c>
      <c r="G6640" s="202" t="str">
        <f t="shared" si="103"/>
        <v/>
      </c>
    </row>
    <row r="6641" spans="1:7" s="172" customFormat="1" ht="15" customHeight="1" x14ac:dyDescent="0.25">
      <c r="A6641" s="803" t="s">
        <v>10000</v>
      </c>
      <c r="B6641" s="803" t="s">
        <v>7915</v>
      </c>
      <c r="C6641" s="803" t="s">
        <v>7915</v>
      </c>
      <c r="D6641" s="803" t="s">
        <v>8144</v>
      </c>
      <c r="E6641" s="803">
        <v>60</v>
      </c>
      <c r="F6641" s="850">
        <v>16</v>
      </c>
      <c r="G6641" s="202" t="str">
        <f t="shared" si="103"/>
        <v/>
      </c>
    </row>
    <row r="6642" spans="1:7" s="172" customFormat="1" ht="15" customHeight="1" x14ac:dyDescent="0.25">
      <c r="A6642" s="803" t="s">
        <v>12715</v>
      </c>
      <c r="B6642" s="803" t="s">
        <v>7915</v>
      </c>
      <c r="C6642" s="803" t="s">
        <v>7915</v>
      </c>
      <c r="D6642" s="803" t="s">
        <v>8145</v>
      </c>
      <c r="E6642" s="803">
        <v>60</v>
      </c>
      <c r="F6642" s="850">
        <v>18</v>
      </c>
      <c r="G6642" s="202" t="str">
        <f t="shared" si="103"/>
        <v/>
      </c>
    </row>
    <row r="6643" spans="1:7" s="172" customFormat="1" ht="15" customHeight="1" x14ac:dyDescent="0.25">
      <c r="A6643" s="803" t="s">
        <v>8957</v>
      </c>
      <c r="B6643" s="803" t="s">
        <v>7915</v>
      </c>
      <c r="C6643" s="803" t="s">
        <v>7915</v>
      </c>
      <c r="D6643" s="803" t="s">
        <v>8146</v>
      </c>
      <c r="E6643" s="803">
        <v>100</v>
      </c>
      <c r="F6643" s="850">
        <v>32</v>
      </c>
      <c r="G6643" s="202" t="str">
        <f t="shared" si="103"/>
        <v/>
      </c>
    </row>
    <row r="6644" spans="1:7" s="172" customFormat="1" ht="15" customHeight="1" x14ac:dyDescent="0.25">
      <c r="A6644" s="803" t="s">
        <v>12716</v>
      </c>
      <c r="B6644" s="803" t="s">
        <v>7915</v>
      </c>
      <c r="C6644" s="803" t="s">
        <v>7915</v>
      </c>
      <c r="D6644" s="803" t="s">
        <v>8147</v>
      </c>
      <c r="E6644" s="803">
        <v>60</v>
      </c>
      <c r="F6644" s="850">
        <v>20</v>
      </c>
      <c r="G6644" s="202" t="str">
        <f t="shared" si="103"/>
        <v/>
      </c>
    </row>
    <row r="6645" spans="1:7" s="172" customFormat="1" ht="15" customHeight="1" x14ac:dyDescent="0.25">
      <c r="A6645" s="803" t="s">
        <v>8148</v>
      </c>
      <c r="B6645" s="803" t="s">
        <v>7915</v>
      </c>
      <c r="C6645" s="803" t="s">
        <v>7915</v>
      </c>
      <c r="D6645" s="803" t="s">
        <v>8149</v>
      </c>
      <c r="E6645" s="803">
        <v>250</v>
      </c>
      <c r="F6645" s="850">
        <v>56</v>
      </c>
      <c r="G6645" s="202" t="str">
        <f t="shared" si="103"/>
        <v/>
      </c>
    </row>
    <row r="6646" spans="1:7" s="172" customFormat="1" ht="15" customHeight="1" x14ac:dyDescent="0.25">
      <c r="A6646" s="803" t="s">
        <v>12717</v>
      </c>
      <c r="B6646" s="803" t="s">
        <v>7915</v>
      </c>
      <c r="C6646" s="803" t="s">
        <v>7915</v>
      </c>
      <c r="D6646" s="803" t="s">
        <v>8150</v>
      </c>
      <c r="E6646" s="803">
        <v>60</v>
      </c>
      <c r="F6646" s="850">
        <v>17</v>
      </c>
      <c r="G6646" s="202" t="str">
        <f t="shared" si="103"/>
        <v/>
      </c>
    </row>
    <row r="6647" spans="1:7" s="172" customFormat="1" ht="15" customHeight="1" x14ac:dyDescent="0.25">
      <c r="A6647" s="803" t="s">
        <v>8148</v>
      </c>
      <c r="B6647" s="803" t="s">
        <v>7915</v>
      </c>
      <c r="C6647" s="803" t="s">
        <v>7915</v>
      </c>
      <c r="D6647" s="803" t="s">
        <v>8151</v>
      </c>
      <c r="E6647" s="803">
        <v>160</v>
      </c>
      <c r="F6647" s="850">
        <v>23</v>
      </c>
      <c r="G6647" s="202" t="str">
        <f t="shared" si="103"/>
        <v/>
      </c>
    </row>
    <row r="6648" spans="1:7" s="172" customFormat="1" ht="15" customHeight="1" x14ac:dyDescent="0.25">
      <c r="A6648" s="803" t="s">
        <v>8148</v>
      </c>
      <c r="B6648" s="803" t="s">
        <v>7915</v>
      </c>
      <c r="C6648" s="803" t="s">
        <v>7915</v>
      </c>
      <c r="D6648" s="803" t="s">
        <v>8152</v>
      </c>
      <c r="E6648" s="803">
        <v>100</v>
      </c>
      <c r="F6648" s="850">
        <v>13</v>
      </c>
      <c r="G6648" s="202" t="str">
        <f t="shared" si="103"/>
        <v/>
      </c>
    </row>
    <row r="6649" spans="1:7" s="172" customFormat="1" ht="15" customHeight="1" x14ac:dyDescent="0.25">
      <c r="A6649" s="803" t="s">
        <v>8148</v>
      </c>
      <c r="B6649" s="803" t="s">
        <v>7915</v>
      </c>
      <c r="C6649" s="803" t="s">
        <v>7915</v>
      </c>
      <c r="D6649" s="803" t="s">
        <v>8153</v>
      </c>
      <c r="E6649" s="803">
        <v>400</v>
      </c>
      <c r="F6649" s="850">
        <v>310</v>
      </c>
      <c r="G6649" s="202" t="str">
        <f t="shared" si="103"/>
        <v/>
      </c>
    </row>
    <row r="6650" spans="1:7" s="172" customFormat="1" ht="15" customHeight="1" x14ac:dyDescent="0.25">
      <c r="A6650" s="803" t="s">
        <v>8148</v>
      </c>
      <c r="B6650" s="803" t="s">
        <v>7915</v>
      </c>
      <c r="C6650" s="803" t="s">
        <v>7915</v>
      </c>
      <c r="D6650" s="803" t="s">
        <v>8154</v>
      </c>
      <c r="E6650" s="803">
        <v>160</v>
      </c>
      <c r="F6650" s="850">
        <v>24</v>
      </c>
      <c r="G6650" s="202" t="str">
        <f t="shared" si="103"/>
        <v/>
      </c>
    </row>
    <row r="6651" spans="1:7" s="172" customFormat="1" ht="15" customHeight="1" x14ac:dyDescent="0.25">
      <c r="A6651" s="803" t="s">
        <v>12718</v>
      </c>
      <c r="B6651" s="803" t="s">
        <v>7915</v>
      </c>
      <c r="C6651" s="803" t="s">
        <v>7915</v>
      </c>
      <c r="D6651" s="803" t="s">
        <v>8155</v>
      </c>
      <c r="E6651" s="803">
        <v>60</v>
      </c>
      <c r="F6651" s="850">
        <v>19</v>
      </c>
      <c r="G6651" s="202" t="str">
        <f t="shared" si="103"/>
        <v/>
      </c>
    </row>
    <row r="6652" spans="1:7" s="172" customFormat="1" ht="15" customHeight="1" x14ac:dyDescent="0.25">
      <c r="A6652" s="803" t="s">
        <v>8156</v>
      </c>
      <c r="B6652" s="803" t="s">
        <v>7915</v>
      </c>
      <c r="C6652" s="803" t="s">
        <v>7915</v>
      </c>
      <c r="D6652" s="803" t="s">
        <v>8157</v>
      </c>
      <c r="E6652" s="803">
        <v>30</v>
      </c>
      <c r="F6652" s="850">
        <v>20</v>
      </c>
      <c r="G6652" s="202" t="str">
        <f t="shared" si="103"/>
        <v/>
      </c>
    </row>
    <row r="6653" spans="1:7" s="172" customFormat="1" ht="15" customHeight="1" x14ac:dyDescent="0.25">
      <c r="A6653" s="803" t="s">
        <v>8148</v>
      </c>
      <c r="B6653" s="803" t="s">
        <v>7915</v>
      </c>
      <c r="C6653" s="803" t="s">
        <v>7915</v>
      </c>
      <c r="D6653" s="803" t="s">
        <v>8158</v>
      </c>
      <c r="E6653" s="803">
        <v>250</v>
      </c>
      <c r="F6653" s="850">
        <v>60</v>
      </c>
      <c r="G6653" s="202" t="str">
        <f t="shared" si="103"/>
        <v/>
      </c>
    </row>
    <row r="6654" spans="1:7" s="172" customFormat="1" ht="15" customHeight="1" x14ac:dyDescent="0.25">
      <c r="A6654" s="803" t="s">
        <v>8159</v>
      </c>
      <c r="B6654" s="803" t="s">
        <v>7915</v>
      </c>
      <c r="C6654" s="803" t="s">
        <v>7915</v>
      </c>
      <c r="D6654" s="803" t="s">
        <v>8160</v>
      </c>
      <c r="E6654" s="803">
        <v>25</v>
      </c>
      <c r="F6654" s="850">
        <v>15</v>
      </c>
      <c r="G6654" s="202" t="str">
        <f t="shared" si="103"/>
        <v/>
      </c>
    </row>
    <row r="6655" spans="1:7" s="172" customFormat="1" ht="15" customHeight="1" x14ac:dyDescent="0.25">
      <c r="A6655" s="803" t="s">
        <v>8159</v>
      </c>
      <c r="B6655" s="803" t="s">
        <v>7915</v>
      </c>
      <c r="C6655" s="803" t="s">
        <v>7915</v>
      </c>
      <c r="D6655" s="803" t="s">
        <v>8161</v>
      </c>
      <c r="E6655" s="803">
        <v>250</v>
      </c>
      <c r="F6655" s="850">
        <v>60</v>
      </c>
      <c r="G6655" s="202" t="str">
        <f t="shared" si="103"/>
        <v/>
      </c>
    </row>
    <row r="6656" spans="1:7" s="172" customFormat="1" ht="15" customHeight="1" x14ac:dyDescent="0.25">
      <c r="A6656" s="803" t="s">
        <v>8159</v>
      </c>
      <c r="B6656" s="803" t="s">
        <v>7915</v>
      </c>
      <c r="C6656" s="803" t="s">
        <v>7915</v>
      </c>
      <c r="D6656" s="803" t="s">
        <v>8162</v>
      </c>
      <c r="E6656" s="803">
        <v>250</v>
      </c>
      <c r="F6656" s="850">
        <v>120</v>
      </c>
      <c r="G6656" s="202" t="str">
        <f t="shared" si="103"/>
        <v/>
      </c>
    </row>
    <row r="6657" spans="1:7" s="172" customFormat="1" ht="15" customHeight="1" x14ac:dyDescent="0.25">
      <c r="A6657" s="803" t="s">
        <v>7950</v>
      </c>
      <c r="B6657" s="803" t="s">
        <v>7915</v>
      </c>
      <c r="C6657" s="803" t="s">
        <v>7915</v>
      </c>
      <c r="D6657" s="803" t="s">
        <v>8163</v>
      </c>
      <c r="E6657" s="803">
        <v>20</v>
      </c>
      <c r="F6657" s="850">
        <v>10</v>
      </c>
      <c r="G6657" s="202" t="str">
        <f t="shared" si="103"/>
        <v/>
      </c>
    </row>
    <row r="6658" spans="1:7" s="172" customFormat="1" ht="15" customHeight="1" x14ac:dyDescent="0.25">
      <c r="A6658" s="803" t="s">
        <v>12719</v>
      </c>
      <c r="B6658" s="803" t="s">
        <v>7915</v>
      </c>
      <c r="C6658" s="803" t="s">
        <v>7915</v>
      </c>
      <c r="D6658" s="803" t="s">
        <v>8164</v>
      </c>
      <c r="E6658" s="803">
        <v>60</v>
      </c>
      <c r="F6658" s="850">
        <v>6</v>
      </c>
      <c r="G6658" s="202" t="str">
        <f t="shared" si="103"/>
        <v/>
      </c>
    </row>
    <row r="6659" spans="1:7" s="172" customFormat="1" ht="15" customHeight="1" x14ac:dyDescent="0.25">
      <c r="A6659" s="803" t="s">
        <v>7056</v>
      </c>
      <c r="B6659" s="803" t="s">
        <v>7915</v>
      </c>
      <c r="C6659" s="803" t="s">
        <v>7915</v>
      </c>
      <c r="D6659" s="803" t="s">
        <v>8165</v>
      </c>
      <c r="E6659" s="803">
        <v>25</v>
      </c>
      <c r="F6659" s="850">
        <v>9</v>
      </c>
      <c r="G6659" s="202" t="str">
        <f t="shared" si="103"/>
        <v/>
      </c>
    </row>
    <row r="6660" spans="1:7" s="172" customFormat="1" ht="15" customHeight="1" x14ac:dyDescent="0.25">
      <c r="A6660" s="803" t="s">
        <v>12720</v>
      </c>
      <c r="B6660" s="803" t="s">
        <v>7915</v>
      </c>
      <c r="C6660" s="803" t="s">
        <v>7915</v>
      </c>
      <c r="D6660" s="803" t="s">
        <v>8166</v>
      </c>
      <c r="E6660" s="803">
        <v>100</v>
      </c>
      <c r="F6660" s="850">
        <v>55</v>
      </c>
      <c r="G6660" s="202" t="str">
        <f t="shared" si="103"/>
        <v/>
      </c>
    </row>
    <row r="6661" spans="1:7" s="172" customFormat="1" ht="15" customHeight="1" x14ac:dyDescent="0.25">
      <c r="A6661" s="803" t="s">
        <v>12721</v>
      </c>
      <c r="B6661" s="803" t="s">
        <v>7915</v>
      </c>
      <c r="C6661" s="803" t="s">
        <v>7915</v>
      </c>
      <c r="D6661" s="803" t="s">
        <v>8167</v>
      </c>
      <c r="E6661" s="803">
        <v>20</v>
      </c>
      <c r="F6661" s="850">
        <v>5</v>
      </c>
      <c r="G6661" s="202" t="str">
        <f t="shared" si="103"/>
        <v/>
      </c>
    </row>
    <row r="6662" spans="1:7" s="172" customFormat="1" ht="15" customHeight="1" x14ac:dyDescent="0.25">
      <c r="A6662" s="803" t="s">
        <v>8168</v>
      </c>
      <c r="B6662" s="803" t="s">
        <v>7915</v>
      </c>
      <c r="C6662" s="803" t="s">
        <v>7915</v>
      </c>
      <c r="D6662" s="803" t="s">
        <v>8169</v>
      </c>
      <c r="E6662" s="803">
        <v>160</v>
      </c>
      <c r="F6662" s="850">
        <v>44</v>
      </c>
      <c r="G6662" s="202" t="str">
        <f t="shared" si="103"/>
        <v/>
      </c>
    </row>
    <row r="6663" spans="1:7" s="172" customFormat="1" ht="15" customHeight="1" x14ac:dyDescent="0.25">
      <c r="A6663" s="803" t="s">
        <v>5607</v>
      </c>
      <c r="B6663" s="803" t="s">
        <v>7915</v>
      </c>
      <c r="C6663" s="803" t="s">
        <v>7915</v>
      </c>
      <c r="D6663" s="803" t="s">
        <v>8170</v>
      </c>
      <c r="E6663" s="803">
        <v>20</v>
      </c>
      <c r="F6663" s="850">
        <v>10</v>
      </c>
      <c r="G6663" s="202" t="str">
        <f t="shared" si="103"/>
        <v/>
      </c>
    </row>
    <row r="6664" spans="1:7" s="172" customFormat="1" ht="15" customHeight="1" x14ac:dyDescent="0.25">
      <c r="A6664" s="803" t="s">
        <v>8168</v>
      </c>
      <c r="B6664" s="803" t="s">
        <v>7915</v>
      </c>
      <c r="C6664" s="803" t="s">
        <v>7915</v>
      </c>
      <c r="D6664" s="803" t="s">
        <v>8171</v>
      </c>
      <c r="E6664" s="803">
        <v>250</v>
      </c>
      <c r="F6664" s="850">
        <v>190</v>
      </c>
      <c r="G6664" s="202" t="str">
        <f t="shared" si="103"/>
        <v/>
      </c>
    </row>
    <row r="6665" spans="1:7" s="172" customFormat="1" ht="15" customHeight="1" x14ac:dyDescent="0.25">
      <c r="A6665" s="803" t="s">
        <v>8168</v>
      </c>
      <c r="B6665" s="803" t="s">
        <v>7915</v>
      </c>
      <c r="C6665" s="803" t="s">
        <v>7915</v>
      </c>
      <c r="D6665" s="803" t="s">
        <v>8172</v>
      </c>
      <c r="E6665" s="803">
        <v>160</v>
      </c>
      <c r="F6665" s="850">
        <v>120</v>
      </c>
      <c r="G6665" s="202" t="str">
        <f t="shared" si="103"/>
        <v/>
      </c>
    </row>
    <row r="6666" spans="1:7" s="172" customFormat="1" ht="15" customHeight="1" x14ac:dyDescent="0.25">
      <c r="A6666" s="803" t="s">
        <v>8168</v>
      </c>
      <c r="B6666" s="803" t="s">
        <v>7915</v>
      </c>
      <c r="C6666" s="803" t="s">
        <v>7915</v>
      </c>
      <c r="D6666" s="803" t="s">
        <v>8173</v>
      </c>
      <c r="E6666" s="803">
        <v>250</v>
      </c>
      <c r="F6666" s="850">
        <v>150</v>
      </c>
      <c r="G6666" s="202" t="str">
        <f t="shared" si="103"/>
        <v/>
      </c>
    </row>
    <row r="6667" spans="1:7" s="172" customFormat="1" ht="15" customHeight="1" x14ac:dyDescent="0.25">
      <c r="A6667" s="803" t="s">
        <v>8168</v>
      </c>
      <c r="B6667" s="803" t="s">
        <v>7915</v>
      </c>
      <c r="C6667" s="803" t="s">
        <v>7915</v>
      </c>
      <c r="D6667" s="803" t="s">
        <v>8174</v>
      </c>
      <c r="E6667" s="803">
        <v>160</v>
      </c>
      <c r="F6667" s="850">
        <v>24</v>
      </c>
      <c r="G6667" s="202" t="str">
        <f t="shared" si="103"/>
        <v/>
      </c>
    </row>
    <row r="6668" spans="1:7" s="172" customFormat="1" ht="15" customHeight="1" x14ac:dyDescent="0.25">
      <c r="A6668" s="803" t="s">
        <v>12722</v>
      </c>
      <c r="B6668" s="803" t="s">
        <v>7915</v>
      </c>
      <c r="C6668" s="803" t="s">
        <v>7915</v>
      </c>
      <c r="D6668" s="803" t="s">
        <v>8175</v>
      </c>
      <c r="E6668" s="803">
        <v>20</v>
      </c>
      <c r="F6668" s="850">
        <v>6</v>
      </c>
      <c r="G6668" s="202" t="str">
        <f t="shared" si="103"/>
        <v/>
      </c>
    </row>
    <row r="6669" spans="1:7" s="172" customFormat="1" ht="15" customHeight="1" x14ac:dyDescent="0.25">
      <c r="A6669" s="803" t="s">
        <v>8176</v>
      </c>
      <c r="B6669" s="803" t="s">
        <v>7915</v>
      </c>
      <c r="C6669" s="803" t="s">
        <v>7915</v>
      </c>
      <c r="D6669" s="803" t="s">
        <v>8177</v>
      </c>
      <c r="E6669" s="803">
        <v>250</v>
      </c>
      <c r="F6669" s="850">
        <v>250</v>
      </c>
      <c r="G6669" s="202" t="str">
        <f t="shared" si="103"/>
        <v>не загружен</v>
      </c>
    </row>
    <row r="6670" spans="1:7" s="172" customFormat="1" ht="15" customHeight="1" x14ac:dyDescent="0.25">
      <c r="A6670" s="803" t="s">
        <v>8178</v>
      </c>
      <c r="B6670" s="803" t="s">
        <v>7915</v>
      </c>
      <c r="C6670" s="803" t="s">
        <v>7915</v>
      </c>
      <c r="D6670" s="803" t="s">
        <v>8179</v>
      </c>
      <c r="E6670" s="803">
        <v>40</v>
      </c>
      <c r="F6670" s="850">
        <v>4</v>
      </c>
      <c r="G6670" s="202" t="str">
        <f t="shared" si="103"/>
        <v/>
      </c>
    </row>
    <row r="6671" spans="1:7" s="172" customFormat="1" ht="15" customHeight="1" x14ac:dyDescent="0.25">
      <c r="A6671" s="803" t="s">
        <v>8180</v>
      </c>
      <c r="B6671" s="803" t="s">
        <v>7915</v>
      </c>
      <c r="C6671" s="803" t="s">
        <v>7915</v>
      </c>
      <c r="D6671" s="803" t="s">
        <v>8181</v>
      </c>
      <c r="E6671" s="803">
        <v>160</v>
      </c>
      <c r="F6671" s="850">
        <v>90</v>
      </c>
      <c r="G6671" s="202" t="str">
        <f t="shared" si="103"/>
        <v/>
      </c>
    </row>
    <row r="6672" spans="1:7" s="172" customFormat="1" ht="15" customHeight="1" x14ac:dyDescent="0.25">
      <c r="A6672" s="803" t="s">
        <v>8176</v>
      </c>
      <c r="B6672" s="803" t="s">
        <v>7915</v>
      </c>
      <c r="C6672" s="803" t="s">
        <v>7915</v>
      </c>
      <c r="D6672" s="803" t="s">
        <v>8182</v>
      </c>
      <c r="E6672" s="803">
        <v>400</v>
      </c>
      <c r="F6672" s="850">
        <v>400</v>
      </c>
      <c r="G6672" s="202" t="str">
        <f t="shared" si="103"/>
        <v>не загружен</v>
      </c>
    </row>
    <row r="6673" spans="1:7" s="172" customFormat="1" ht="15" customHeight="1" x14ac:dyDescent="0.25">
      <c r="A6673" s="803" t="s">
        <v>4857</v>
      </c>
      <c r="B6673" s="803" t="s">
        <v>7915</v>
      </c>
      <c r="C6673" s="803" t="s">
        <v>7915</v>
      </c>
      <c r="D6673" s="803" t="s">
        <v>8183</v>
      </c>
      <c r="E6673" s="803">
        <v>10</v>
      </c>
      <c r="F6673" s="850">
        <v>3</v>
      </c>
      <c r="G6673" s="202" t="str">
        <f t="shared" si="103"/>
        <v/>
      </c>
    </row>
    <row r="6674" spans="1:7" s="172" customFormat="1" ht="15" customHeight="1" x14ac:dyDescent="0.25">
      <c r="A6674" s="803" t="s">
        <v>8184</v>
      </c>
      <c r="B6674" s="803" t="s">
        <v>7915</v>
      </c>
      <c r="C6674" s="803" t="s">
        <v>7915</v>
      </c>
      <c r="D6674" s="803" t="s">
        <v>8185</v>
      </c>
      <c r="E6674" s="803">
        <v>63</v>
      </c>
      <c r="F6674" s="850">
        <v>60</v>
      </c>
      <c r="G6674" s="202" t="str">
        <f t="shared" si="103"/>
        <v/>
      </c>
    </row>
    <row r="6675" spans="1:7" s="172" customFormat="1" ht="15" customHeight="1" x14ac:dyDescent="0.25">
      <c r="A6675" s="803" t="s">
        <v>8176</v>
      </c>
      <c r="B6675" s="803" t="s">
        <v>7915</v>
      </c>
      <c r="C6675" s="803" t="s">
        <v>7915</v>
      </c>
      <c r="D6675" s="803" t="s">
        <v>8186</v>
      </c>
      <c r="E6675" s="803">
        <v>160</v>
      </c>
      <c r="F6675" s="850">
        <v>34</v>
      </c>
      <c r="G6675" s="202" t="str">
        <f t="shared" si="103"/>
        <v/>
      </c>
    </row>
    <row r="6676" spans="1:7" s="172" customFormat="1" ht="15" customHeight="1" x14ac:dyDescent="0.25">
      <c r="A6676" s="803" t="s">
        <v>8176</v>
      </c>
      <c r="B6676" s="803" t="s">
        <v>7915</v>
      </c>
      <c r="C6676" s="803" t="s">
        <v>7915</v>
      </c>
      <c r="D6676" s="803" t="s">
        <v>8187</v>
      </c>
      <c r="E6676" s="803">
        <v>100</v>
      </c>
      <c r="F6676" s="850">
        <v>20</v>
      </c>
      <c r="G6676" s="202" t="str">
        <f t="shared" si="103"/>
        <v/>
      </c>
    </row>
    <row r="6677" spans="1:7" s="172" customFormat="1" ht="15" customHeight="1" x14ac:dyDescent="0.25">
      <c r="A6677" s="803" t="s">
        <v>3545</v>
      </c>
      <c r="B6677" s="803" t="s">
        <v>7915</v>
      </c>
      <c r="C6677" s="803" t="s">
        <v>7915</v>
      </c>
      <c r="D6677" s="803" t="s">
        <v>7971</v>
      </c>
      <c r="E6677" s="803">
        <v>1.25</v>
      </c>
      <c r="F6677" s="850">
        <v>0</v>
      </c>
      <c r="G6677" s="202" t="str">
        <f t="shared" si="103"/>
        <v/>
      </c>
    </row>
    <row r="6678" spans="1:7" s="172" customFormat="1" ht="15" customHeight="1" x14ac:dyDescent="0.25">
      <c r="A6678" s="803" t="s">
        <v>6471</v>
      </c>
      <c r="B6678" s="803" t="s">
        <v>7915</v>
      </c>
      <c r="C6678" s="803" t="s">
        <v>7915</v>
      </c>
      <c r="D6678" s="803" t="s">
        <v>8188</v>
      </c>
      <c r="E6678" s="803">
        <v>63</v>
      </c>
      <c r="F6678" s="850">
        <v>36</v>
      </c>
      <c r="G6678" s="202" t="str">
        <f t="shared" si="103"/>
        <v/>
      </c>
    </row>
    <row r="6679" spans="1:7" s="172" customFormat="1" ht="15" customHeight="1" x14ac:dyDescent="0.25">
      <c r="A6679" s="803" t="s">
        <v>6471</v>
      </c>
      <c r="B6679" s="803" t="s">
        <v>7915</v>
      </c>
      <c r="C6679" s="803" t="s">
        <v>7915</v>
      </c>
      <c r="D6679" s="803" t="s">
        <v>20151</v>
      </c>
      <c r="E6679" s="803">
        <v>100</v>
      </c>
      <c r="F6679" s="850">
        <v>85</v>
      </c>
      <c r="G6679" s="202" t="str">
        <f t="shared" si="103"/>
        <v/>
      </c>
    </row>
    <row r="6680" spans="1:7" s="172" customFormat="1" ht="15" customHeight="1" x14ac:dyDescent="0.25">
      <c r="A6680" s="803" t="s">
        <v>2597</v>
      </c>
      <c r="B6680" s="803" t="s">
        <v>7915</v>
      </c>
      <c r="C6680" s="803" t="s">
        <v>7915</v>
      </c>
      <c r="D6680" s="803" t="s">
        <v>8189</v>
      </c>
      <c r="E6680" s="803">
        <v>250</v>
      </c>
      <c r="F6680" s="850">
        <v>250</v>
      </c>
      <c r="G6680" s="202" t="str">
        <f t="shared" si="103"/>
        <v>не загружен</v>
      </c>
    </row>
    <row r="6681" spans="1:7" s="172" customFormat="1" ht="15" customHeight="1" x14ac:dyDescent="0.25">
      <c r="A6681" s="803" t="s">
        <v>12723</v>
      </c>
      <c r="B6681" s="803" t="s">
        <v>7915</v>
      </c>
      <c r="C6681" s="803" t="s">
        <v>7915</v>
      </c>
      <c r="D6681" s="803" t="s">
        <v>8190</v>
      </c>
      <c r="E6681" s="803">
        <v>40</v>
      </c>
      <c r="F6681" s="850">
        <v>28</v>
      </c>
      <c r="G6681" s="202" t="str">
        <f t="shared" si="103"/>
        <v/>
      </c>
    </row>
    <row r="6682" spans="1:7" s="172" customFormat="1" ht="15" customHeight="1" x14ac:dyDescent="0.25">
      <c r="A6682" s="803" t="s">
        <v>9248</v>
      </c>
      <c r="B6682" s="803" t="s">
        <v>7915</v>
      </c>
      <c r="C6682" s="803" t="s">
        <v>7915</v>
      </c>
      <c r="D6682" s="803" t="s">
        <v>8191</v>
      </c>
      <c r="E6682" s="803">
        <v>40</v>
      </c>
      <c r="F6682" s="850">
        <v>20</v>
      </c>
      <c r="G6682" s="202" t="str">
        <f t="shared" si="103"/>
        <v/>
      </c>
    </row>
    <row r="6683" spans="1:7" s="172" customFormat="1" ht="15" customHeight="1" x14ac:dyDescent="0.25">
      <c r="A6683" s="803" t="s">
        <v>12724</v>
      </c>
      <c r="B6683" s="803" t="s">
        <v>7915</v>
      </c>
      <c r="C6683" s="803" t="s">
        <v>7915</v>
      </c>
      <c r="D6683" s="803" t="s">
        <v>8192</v>
      </c>
      <c r="E6683" s="803">
        <v>30</v>
      </c>
      <c r="F6683" s="850">
        <v>14</v>
      </c>
      <c r="G6683" s="202" t="str">
        <f t="shared" si="103"/>
        <v/>
      </c>
    </row>
    <row r="6684" spans="1:7" s="172" customFormat="1" ht="15" customHeight="1" x14ac:dyDescent="0.25">
      <c r="A6684" s="803" t="s">
        <v>2597</v>
      </c>
      <c r="B6684" s="803" t="s">
        <v>7915</v>
      </c>
      <c r="C6684" s="803" t="s">
        <v>7915</v>
      </c>
      <c r="D6684" s="803" t="s">
        <v>8193</v>
      </c>
      <c r="E6684" s="803">
        <v>100</v>
      </c>
      <c r="F6684" s="850">
        <v>26</v>
      </c>
      <c r="G6684" s="202" t="str">
        <f t="shared" si="103"/>
        <v/>
      </c>
    </row>
    <row r="6685" spans="1:7" s="172" customFormat="1" ht="15" customHeight="1" x14ac:dyDescent="0.25">
      <c r="A6685" s="803" t="s">
        <v>2597</v>
      </c>
      <c r="B6685" s="803" t="s">
        <v>7915</v>
      </c>
      <c r="C6685" s="803" t="s">
        <v>7915</v>
      </c>
      <c r="D6685" s="803" t="s">
        <v>8194</v>
      </c>
      <c r="E6685" s="803">
        <v>160</v>
      </c>
      <c r="F6685" s="850">
        <v>150</v>
      </c>
      <c r="G6685" s="202" t="str">
        <f t="shared" ref="G6685:G6748" si="104">IF(E6685=F6685,"не загружен","")</f>
        <v/>
      </c>
    </row>
    <row r="6686" spans="1:7" s="172" customFormat="1" ht="15" customHeight="1" x14ac:dyDescent="0.25">
      <c r="A6686" s="803" t="s">
        <v>2778</v>
      </c>
      <c r="B6686" s="803" t="s">
        <v>7915</v>
      </c>
      <c r="C6686" s="803" t="s">
        <v>7915</v>
      </c>
      <c r="D6686" s="803" t="s">
        <v>8064</v>
      </c>
      <c r="E6686" s="803">
        <v>100</v>
      </c>
      <c r="F6686" s="850">
        <v>70</v>
      </c>
      <c r="G6686" s="202" t="str">
        <f t="shared" si="104"/>
        <v/>
      </c>
    </row>
    <row r="6687" spans="1:7" s="172" customFormat="1" ht="15" customHeight="1" x14ac:dyDescent="0.25">
      <c r="A6687" s="803" t="s">
        <v>12725</v>
      </c>
      <c r="B6687" s="803" t="s">
        <v>7915</v>
      </c>
      <c r="C6687" s="803" t="s">
        <v>7915</v>
      </c>
      <c r="D6687" s="803" t="s">
        <v>8195</v>
      </c>
      <c r="E6687" s="803">
        <v>10</v>
      </c>
      <c r="F6687" s="850">
        <v>4</v>
      </c>
      <c r="G6687" s="202" t="str">
        <f t="shared" si="104"/>
        <v/>
      </c>
    </row>
    <row r="6688" spans="1:7" s="172" customFormat="1" ht="15" customHeight="1" x14ac:dyDescent="0.25">
      <c r="A6688" s="803" t="s">
        <v>12726</v>
      </c>
      <c r="B6688" s="803" t="s">
        <v>7915</v>
      </c>
      <c r="C6688" s="803" t="s">
        <v>7915</v>
      </c>
      <c r="D6688" s="803" t="s">
        <v>8196</v>
      </c>
      <c r="E6688" s="803">
        <v>10</v>
      </c>
      <c r="F6688" s="850">
        <v>2</v>
      </c>
      <c r="G6688" s="202" t="str">
        <f t="shared" si="104"/>
        <v/>
      </c>
    </row>
    <row r="6689" spans="1:7" s="172" customFormat="1" ht="15" customHeight="1" x14ac:dyDescent="0.25">
      <c r="A6689" s="803" t="s">
        <v>4855</v>
      </c>
      <c r="B6689" s="803" t="s">
        <v>7915</v>
      </c>
      <c r="C6689" s="803" t="s">
        <v>7915</v>
      </c>
      <c r="D6689" s="803" t="s">
        <v>8197</v>
      </c>
      <c r="E6689" s="803">
        <v>40</v>
      </c>
      <c r="F6689" s="850">
        <v>18</v>
      </c>
      <c r="G6689" s="202" t="str">
        <f t="shared" si="104"/>
        <v/>
      </c>
    </row>
    <row r="6690" spans="1:7" s="172" customFormat="1" ht="15" customHeight="1" x14ac:dyDescent="0.25">
      <c r="A6690" s="803" t="s">
        <v>16063</v>
      </c>
      <c r="B6690" s="803" t="s">
        <v>9035</v>
      </c>
      <c r="C6690" s="803" t="s">
        <v>20152</v>
      </c>
      <c r="D6690" s="803" t="s">
        <v>9036</v>
      </c>
      <c r="E6690" s="803">
        <v>160</v>
      </c>
      <c r="F6690" s="850">
        <v>15</v>
      </c>
      <c r="G6690" s="202" t="str">
        <f t="shared" si="104"/>
        <v/>
      </c>
    </row>
    <row r="6691" spans="1:7" s="172" customFormat="1" ht="15" customHeight="1" x14ac:dyDescent="0.25">
      <c r="A6691" s="803" t="s">
        <v>16063</v>
      </c>
      <c r="B6691" s="803" t="s">
        <v>9035</v>
      </c>
      <c r="C6691" s="803" t="s">
        <v>20152</v>
      </c>
      <c r="D6691" s="803" t="s">
        <v>9037</v>
      </c>
      <c r="E6691" s="803">
        <v>30</v>
      </c>
      <c r="F6691" s="850">
        <v>0</v>
      </c>
      <c r="G6691" s="202" t="str">
        <f t="shared" si="104"/>
        <v/>
      </c>
    </row>
    <row r="6692" spans="1:7" s="172" customFormat="1" ht="15" customHeight="1" x14ac:dyDescent="0.25">
      <c r="A6692" s="803" t="s">
        <v>16064</v>
      </c>
      <c r="B6692" s="803" t="s">
        <v>9035</v>
      </c>
      <c r="C6692" s="803" t="s">
        <v>20152</v>
      </c>
      <c r="D6692" s="803" t="s">
        <v>9038</v>
      </c>
      <c r="E6692" s="803">
        <v>160</v>
      </c>
      <c r="F6692" s="850">
        <v>45</v>
      </c>
      <c r="G6692" s="202" t="str">
        <f t="shared" si="104"/>
        <v/>
      </c>
    </row>
    <row r="6693" spans="1:7" s="172" customFormat="1" ht="15" customHeight="1" x14ac:dyDescent="0.25">
      <c r="A6693" s="803" t="s">
        <v>16065</v>
      </c>
      <c r="B6693" s="803" t="s">
        <v>9035</v>
      </c>
      <c r="C6693" s="803" t="s">
        <v>20152</v>
      </c>
      <c r="D6693" s="803" t="s">
        <v>9039</v>
      </c>
      <c r="E6693" s="803">
        <v>40</v>
      </c>
      <c r="F6693" s="850">
        <v>25</v>
      </c>
      <c r="G6693" s="202" t="str">
        <f t="shared" si="104"/>
        <v/>
      </c>
    </row>
    <row r="6694" spans="1:7" s="172" customFormat="1" ht="15" customHeight="1" x14ac:dyDescent="0.25">
      <c r="A6694" s="803" t="s">
        <v>16066</v>
      </c>
      <c r="B6694" s="803" t="s">
        <v>9035</v>
      </c>
      <c r="C6694" s="803" t="s">
        <v>20152</v>
      </c>
      <c r="D6694" s="803" t="s">
        <v>9040</v>
      </c>
      <c r="E6694" s="803">
        <v>20</v>
      </c>
      <c r="F6694" s="850">
        <v>0</v>
      </c>
      <c r="G6694" s="202" t="str">
        <f t="shared" si="104"/>
        <v/>
      </c>
    </row>
    <row r="6695" spans="1:7" s="172" customFormat="1" ht="15" customHeight="1" x14ac:dyDescent="0.25">
      <c r="A6695" s="803" t="s">
        <v>16067</v>
      </c>
      <c r="B6695" s="803" t="s">
        <v>9035</v>
      </c>
      <c r="C6695" s="803" t="s">
        <v>20152</v>
      </c>
      <c r="D6695" s="803" t="s">
        <v>9041</v>
      </c>
      <c r="E6695" s="803">
        <v>100</v>
      </c>
      <c r="F6695" s="850">
        <v>0</v>
      </c>
      <c r="G6695" s="202" t="str">
        <f t="shared" si="104"/>
        <v/>
      </c>
    </row>
    <row r="6696" spans="1:7" s="172" customFormat="1" ht="15" customHeight="1" x14ac:dyDescent="0.25">
      <c r="A6696" s="803" t="s">
        <v>16068</v>
      </c>
      <c r="B6696" s="803" t="s">
        <v>9035</v>
      </c>
      <c r="C6696" s="803" t="s">
        <v>20152</v>
      </c>
      <c r="D6696" s="803" t="s">
        <v>9042</v>
      </c>
      <c r="E6696" s="803">
        <v>20</v>
      </c>
      <c r="F6696" s="850">
        <v>0</v>
      </c>
      <c r="G6696" s="202" t="str">
        <f t="shared" si="104"/>
        <v/>
      </c>
    </row>
    <row r="6697" spans="1:7" s="172" customFormat="1" ht="15" customHeight="1" x14ac:dyDescent="0.25">
      <c r="A6697" s="803" t="s">
        <v>16069</v>
      </c>
      <c r="B6697" s="803" t="s">
        <v>9035</v>
      </c>
      <c r="C6697" s="803" t="s">
        <v>20152</v>
      </c>
      <c r="D6697" s="803" t="s">
        <v>9043</v>
      </c>
      <c r="E6697" s="803">
        <v>100</v>
      </c>
      <c r="F6697" s="850">
        <v>20</v>
      </c>
      <c r="G6697" s="202" t="str">
        <f t="shared" si="104"/>
        <v/>
      </c>
    </row>
    <row r="6698" spans="1:7" s="172" customFormat="1" ht="15" customHeight="1" x14ac:dyDescent="0.25">
      <c r="A6698" s="803" t="s">
        <v>9044</v>
      </c>
      <c r="B6698" s="803" t="s">
        <v>9035</v>
      </c>
      <c r="C6698" s="803" t="s">
        <v>20152</v>
      </c>
      <c r="D6698" s="803" t="s">
        <v>9045</v>
      </c>
      <c r="E6698" s="803">
        <v>10</v>
      </c>
      <c r="F6698" s="850">
        <v>0</v>
      </c>
      <c r="G6698" s="202" t="str">
        <f t="shared" si="104"/>
        <v/>
      </c>
    </row>
    <row r="6699" spans="1:7" s="172" customFormat="1" ht="15" customHeight="1" x14ac:dyDescent="0.25">
      <c r="A6699" s="803" t="s">
        <v>16070</v>
      </c>
      <c r="B6699" s="803" t="s">
        <v>9035</v>
      </c>
      <c r="C6699" s="803" t="s">
        <v>20152</v>
      </c>
      <c r="D6699" s="803" t="s">
        <v>9046</v>
      </c>
      <c r="E6699" s="803">
        <v>100</v>
      </c>
      <c r="F6699" s="850">
        <v>20</v>
      </c>
      <c r="G6699" s="202" t="str">
        <f t="shared" si="104"/>
        <v/>
      </c>
    </row>
    <row r="6700" spans="1:7" s="172" customFormat="1" ht="15" customHeight="1" x14ac:dyDescent="0.25">
      <c r="A6700" s="803" t="s">
        <v>16071</v>
      </c>
      <c r="B6700" s="803" t="s">
        <v>9035</v>
      </c>
      <c r="C6700" s="803" t="s">
        <v>20152</v>
      </c>
      <c r="D6700" s="803" t="s">
        <v>9047</v>
      </c>
      <c r="E6700" s="803">
        <v>10</v>
      </c>
      <c r="F6700" s="850">
        <v>3</v>
      </c>
      <c r="G6700" s="202" t="str">
        <f t="shared" si="104"/>
        <v/>
      </c>
    </row>
    <row r="6701" spans="1:7" s="172" customFormat="1" ht="15" customHeight="1" x14ac:dyDescent="0.25">
      <c r="A6701" s="803" t="s">
        <v>16072</v>
      </c>
      <c r="B6701" s="803" t="s">
        <v>9035</v>
      </c>
      <c r="C6701" s="803" t="s">
        <v>20152</v>
      </c>
      <c r="D6701" s="803" t="s">
        <v>9048</v>
      </c>
      <c r="E6701" s="803">
        <v>10</v>
      </c>
      <c r="F6701" s="850">
        <v>0</v>
      </c>
      <c r="G6701" s="202" t="str">
        <f t="shared" si="104"/>
        <v/>
      </c>
    </row>
    <row r="6702" spans="1:7" s="172" customFormat="1" ht="15" customHeight="1" x14ac:dyDescent="0.25">
      <c r="A6702" s="803" t="s">
        <v>16073</v>
      </c>
      <c r="B6702" s="803" t="s">
        <v>9035</v>
      </c>
      <c r="C6702" s="803" t="s">
        <v>20152</v>
      </c>
      <c r="D6702" s="803" t="s">
        <v>9049</v>
      </c>
      <c r="E6702" s="803">
        <v>250</v>
      </c>
      <c r="F6702" s="850">
        <v>90</v>
      </c>
      <c r="G6702" s="202" t="str">
        <f t="shared" si="104"/>
        <v/>
      </c>
    </row>
    <row r="6703" spans="1:7" s="172" customFormat="1" ht="15" customHeight="1" x14ac:dyDescent="0.25">
      <c r="A6703" s="803" t="s">
        <v>9050</v>
      </c>
      <c r="B6703" s="803" t="s">
        <v>9035</v>
      </c>
      <c r="C6703" s="803" t="s">
        <v>20152</v>
      </c>
      <c r="D6703" s="803" t="s">
        <v>9051</v>
      </c>
      <c r="E6703" s="803">
        <v>100</v>
      </c>
      <c r="F6703" s="850">
        <v>40</v>
      </c>
      <c r="G6703" s="202" t="str">
        <f t="shared" si="104"/>
        <v/>
      </c>
    </row>
    <row r="6704" spans="1:7" s="172" customFormat="1" ht="15" customHeight="1" x14ac:dyDescent="0.25">
      <c r="A6704" s="803" t="s">
        <v>16074</v>
      </c>
      <c r="B6704" s="803" t="s">
        <v>9035</v>
      </c>
      <c r="C6704" s="803" t="s">
        <v>20152</v>
      </c>
      <c r="D6704" s="803" t="s">
        <v>9052</v>
      </c>
      <c r="E6704" s="803">
        <v>160</v>
      </c>
      <c r="F6704" s="850">
        <v>60</v>
      </c>
      <c r="G6704" s="202" t="str">
        <f t="shared" si="104"/>
        <v/>
      </c>
    </row>
    <row r="6705" spans="1:7" s="172" customFormat="1" ht="15" customHeight="1" x14ac:dyDescent="0.25">
      <c r="A6705" s="803" t="s">
        <v>16075</v>
      </c>
      <c r="B6705" s="803" t="s">
        <v>9035</v>
      </c>
      <c r="C6705" s="803" t="s">
        <v>20152</v>
      </c>
      <c r="D6705" s="803" t="s">
        <v>9053</v>
      </c>
      <c r="E6705" s="803">
        <v>160</v>
      </c>
      <c r="F6705" s="850">
        <v>20</v>
      </c>
      <c r="G6705" s="202" t="str">
        <f t="shared" si="104"/>
        <v/>
      </c>
    </row>
    <row r="6706" spans="1:7" s="172" customFormat="1" ht="15" customHeight="1" x14ac:dyDescent="0.25">
      <c r="A6706" s="803" t="s">
        <v>16076</v>
      </c>
      <c r="B6706" s="803" t="s">
        <v>9035</v>
      </c>
      <c r="C6706" s="803" t="s">
        <v>20152</v>
      </c>
      <c r="D6706" s="803" t="s">
        <v>9054</v>
      </c>
      <c r="E6706" s="803">
        <v>100</v>
      </c>
      <c r="F6706" s="850">
        <v>25</v>
      </c>
      <c r="G6706" s="202" t="str">
        <f t="shared" si="104"/>
        <v/>
      </c>
    </row>
    <row r="6707" spans="1:7" s="172" customFormat="1" ht="15" customHeight="1" x14ac:dyDescent="0.25">
      <c r="A6707" s="803" t="s">
        <v>16077</v>
      </c>
      <c r="B6707" s="803" t="s">
        <v>9035</v>
      </c>
      <c r="C6707" s="803" t="s">
        <v>20152</v>
      </c>
      <c r="D6707" s="803" t="s">
        <v>9055</v>
      </c>
      <c r="E6707" s="803">
        <v>20</v>
      </c>
      <c r="F6707" s="850">
        <v>0</v>
      </c>
      <c r="G6707" s="202" t="str">
        <f t="shared" si="104"/>
        <v/>
      </c>
    </row>
    <row r="6708" spans="1:7" s="172" customFormat="1" ht="15" customHeight="1" x14ac:dyDescent="0.25">
      <c r="A6708" s="803" t="s">
        <v>16078</v>
      </c>
      <c r="B6708" s="803" t="s">
        <v>9035</v>
      </c>
      <c r="C6708" s="803" t="s">
        <v>20152</v>
      </c>
      <c r="D6708" s="803" t="s">
        <v>9056</v>
      </c>
      <c r="E6708" s="803">
        <v>100</v>
      </c>
      <c r="F6708" s="850">
        <v>0</v>
      </c>
      <c r="G6708" s="202" t="str">
        <f t="shared" si="104"/>
        <v/>
      </c>
    </row>
    <row r="6709" spans="1:7" s="172" customFormat="1" ht="15" customHeight="1" x14ac:dyDescent="0.25">
      <c r="A6709" s="803" t="s">
        <v>16079</v>
      </c>
      <c r="B6709" s="803" t="s">
        <v>9035</v>
      </c>
      <c r="C6709" s="803" t="s">
        <v>20152</v>
      </c>
      <c r="D6709" s="803" t="s">
        <v>9057</v>
      </c>
      <c r="E6709" s="803">
        <v>30</v>
      </c>
      <c r="F6709" s="850">
        <v>20</v>
      </c>
      <c r="G6709" s="202" t="str">
        <f t="shared" si="104"/>
        <v/>
      </c>
    </row>
    <row r="6710" spans="1:7" s="172" customFormat="1" ht="15" customHeight="1" x14ac:dyDescent="0.25">
      <c r="A6710" s="803" t="s">
        <v>15016</v>
      </c>
      <c r="B6710" s="803" t="s">
        <v>9035</v>
      </c>
      <c r="C6710" s="803" t="s">
        <v>20152</v>
      </c>
      <c r="D6710" s="803" t="s">
        <v>9058</v>
      </c>
      <c r="E6710" s="803">
        <v>63</v>
      </c>
      <c r="F6710" s="850">
        <v>15</v>
      </c>
      <c r="G6710" s="202" t="str">
        <f t="shared" si="104"/>
        <v/>
      </c>
    </row>
    <row r="6711" spans="1:7" s="172" customFormat="1" ht="15" customHeight="1" x14ac:dyDescent="0.25">
      <c r="A6711" s="803" t="s">
        <v>16080</v>
      </c>
      <c r="B6711" s="803" t="s">
        <v>9035</v>
      </c>
      <c r="C6711" s="803" t="s">
        <v>20152</v>
      </c>
      <c r="D6711" s="803" t="s">
        <v>9059</v>
      </c>
      <c r="E6711" s="803">
        <v>60</v>
      </c>
      <c r="F6711" s="850">
        <v>15</v>
      </c>
      <c r="G6711" s="202" t="str">
        <f t="shared" si="104"/>
        <v/>
      </c>
    </row>
    <row r="6712" spans="1:7" s="172" customFormat="1" ht="15" customHeight="1" x14ac:dyDescent="0.25">
      <c r="A6712" s="803" t="s">
        <v>16081</v>
      </c>
      <c r="B6712" s="803" t="s">
        <v>9035</v>
      </c>
      <c r="C6712" s="803" t="s">
        <v>20152</v>
      </c>
      <c r="D6712" s="803" t="s">
        <v>2786</v>
      </c>
      <c r="E6712" s="803">
        <v>100</v>
      </c>
      <c r="F6712" s="850">
        <v>25</v>
      </c>
      <c r="G6712" s="202" t="str">
        <f t="shared" si="104"/>
        <v/>
      </c>
    </row>
    <row r="6713" spans="1:7" s="172" customFormat="1" ht="15" customHeight="1" x14ac:dyDescent="0.25">
      <c r="A6713" s="803" t="s">
        <v>16082</v>
      </c>
      <c r="B6713" s="803" t="s">
        <v>9035</v>
      </c>
      <c r="C6713" s="803" t="s">
        <v>20152</v>
      </c>
      <c r="D6713" s="803" t="s">
        <v>9060</v>
      </c>
      <c r="E6713" s="803">
        <v>50</v>
      </c>
      <c r="F6713" s="850">
        <v>15</v>
      </c>
      <c r="G6713" s="202" t="str">
        <f t="shared" si="104"/>
        <v/>
      </c>
    </row>
    <row r="6714" spans="1:7" s="172" customFormat="1" ht="15" customHeight="1" x14ac:dyDescent="0.25">
      <c r="A6714" s="803" t="s">
        <v>16083</v>
      </c>
      <c r="B6714" s="803" t="s">
        <v>9035</v>
      </c>
      <c r="C6714" s="803" t="s">
        <v>20152</v>
      </c>
      <c r="D6714" s="803" t="s">
        <v>9061</v>
      </c>
      <c r="E6714" s="803">
        <v>63</v>
      </c>
      <c r="F6714" s="850">
        <v>0</v>
      </c>
      <c r="G6714" s="202" t="str">
        <f t="shared" si="104"/>
        <v/>
      </c>
    </row>
    <row r="6715" spans="1:7" s="172" customFormat="1" ht="15" customHeight="1" x14ac:dyDescent="0.25">
      <c r="A6715" s="803" t="s">
        <v>16084</v>
      </c>
      <c r="B6715" s="803" t="s">
        <v>9035</v>
      </c>
      <c r="C6715" s="803" t="s">
        <v>20152</v>
      </c>
      <c r="D6715" s="803" t="s">
        <v>9062</v>
      </c>
      <c r="E6715" s="803">
        <v>10</v>
      </c>
      <c r="F6715" s="850">
        <v>0</v>
      </c>
      <c r="G6715" s="202" t="str">
        <f t="shared" si="104"/>
        <v/>
      </c>
    </row>
    <row r="6716" spans="1:7" s="172" customFormat="1" ht="15" customHeight="1" x14ac:dyDescent="0.25">
      <c r="A6716" s="803" t="s">
        <v>16084</v>
      </c>
      <c r="B6716" s="803" t="s">
        <v>9035</v>
      </c>
      <c r="C6716" s="803" t="s">
        <v>20152</v>
      </c>
      <c r="D6716" s="803" t="s">
        <v>9063</v>
      </c>
      <c r="E6716" s="803">
        <v>10</v>
      </c>
      <c r="F6716" s="850">
        <v>0</v>
      </c>
      <c r="G6716" s="202" t="str">
        <f t="shared" si="104"/>
        <v/>
      </c>
    </row>
    <row r="6717" spans="1:7" s="172" customFormat="1" ht="15" customHeight="1" x14ac:dyDescent="0.25">
      <c r="A6717" s="803" t="s">
        <v>16085</v>
      </c>
      <c r="B6717" s="803" t="s">
        <v>9035</v>
      </c>
      <c r="C6717" s="803" t="s">
        <v>20152</v>
      </c>
      <c r="D6717" s="803" t="s">
        <v>9064</v>
      </c>
      <c r="E6717" s="803">
        <v>10</v>
      </c>
      <c r="F6717" s="850">
        <v>0</v>
      </c>
      <c r="G6717" s="202" t="str">
        <f t="shared" si="104"/>
        <v/>
      </c>
    </row>
    <row r="6718" spans="1:7" s="172" customFormat="1" ht="15" customHeight="1" x14ac:dyDescent="0.25">
      <c r="A6718" s="803" t="s">
        <v>16086</v>
      </c>
      <c r="B6718" s="803" t="s">
        <v>9035</v>
      </c>
      <c r="C6718" s="803" t="s">
        <v>20152</v>
      </c>
      <c r="D6718" s="803" t="s">
        <v>9065</v>
      </c>
      <c r="E6718" s="803">
        <v>160</v>
      </c>
      <c r="F6718" s="850">
        <v>0</v>
      </c>
      <c r="G6718" s="202" t="str">
        <f t="shared" si="104"/>
        <v/>
      </c>
    </row>
    <row r="6719" spans="1:7" s="172" customFormat="1" ht="15" customHeight="1" x14ac:dyDescent="0.25">
      <c r="A6719" s="803" t="s">
        <v>16086</v>
      </c>
      <c r="B6719" s="803" t="s">
        <v>9035</v>
      </c>
      <c r="C6719" s="803" t="s">
        <v>20152</v>
      </c>
      <c r="D6719" s="803" t="s">
        <v>9066</v>
      </c>
      <c r="E6719" s="803">
        <v>160</v>
      </c>
      <c r="F6719" s="850">
        <v>0</v>
      </c>
      <c r="G6719" s="202" t="str">
        <f t="shared" si="104"/>
        <v/>
      </c>
    </row>
    <row r="6720" spans="1:7" s="172" customFormat="1" ht="15" customHeight="1" x14ac:dyDescent="0.25">
      <c r="A6720" s="803" t="s">
        <v>16086</v>
      </c>
      <c r="B6720" s="803" t="s">
        <v>9035</v>
      </c>
      <c r="C6720" s="803" t="s">
        <v>20152</v>
      </c>
      <c r="D6720" s="803" t="s">
        <v>9067</v>
      </c>
      <c r="E6720" s="803">
        <v>100</v>
      </c>
      <c r="F6720" s="850">
        <v>5</v>
      </c>
      <c r="G6720" s="202" t="str">
        <f t="shared" si="104"/>
        <v/>
      </c>
    </row>
    <row r="6721" spans="1:7" s="172" customFormat="1" ht="15" customHeight="1" x14ac:dyDescent="0.25">
      <c r="A6721" s="803" t="s">
        <v>16087</v>
      </c>
      <c r="B6721" s="803" t="s">
        <v>9035</v>
      </c>
      <c r="C6721" s="803" t="s">
        <v>20152</v>
      </c>
      <c r="D6721" s="803" t="s">
        <v>9068</v>
      </c>
      <c r="E6721" s="803">
        <v>30</v>
      </c>
      <c r="F6721" s="850">
        <v>5</v>
      </c>
      <c r="G6721" s="202" t="str">
        <f t="shared" si="104"/>
        <v/>
      </c>
    </row>
    <row r="6722" spans="1:7" s="172" customFormat="1" ht="15" customHeight="1" x14ac:dyDescent="0.25">
      <c r="A6722" s="803" t="s">
        <v>16088</v>
      </c>
      <c r="B6722" s="803" t="s">
        <v>9035</v>
      </c>
      <c r="C6722" s="803" t="s">
        <v>20152</v>
      </c>
      <c r="D6722" s="803" t="s">
        <v>9069</v>
      </c>
      <c r="E6722" s="803">
        <v>100</v>
      </c>
      <c r="F6722" s="850">
        <v>5</v>
      </c>
      <c r="G6722" s="202" t="str">
        <f t="shared" si="104"/>
        <v/>
      </c>
    </row>
    <row r="6723" spans="1:7" s="172" customFormat="1" ht="15" customHeight="1" x14ac:dyDescent="0.25">
      <c r="A6723" s="803" t="s">
        <v>16089</v>
      </c>
      <c r="B6723" s="803" t="s">
        <v>9035</v>
      </c>
      <c r="C6723" s="803" t="s">
        <v>20152</v>
      </c>
      <c r="D6723" s="803" t="s">
        <v>2752</v>
      </c>
      <c r="E6723" s="803">
        <v>100</v>
      </c>
      <c r="F6723" s="850">
        <v>10</v>
      </c>
      <c r="G6723" s="202" t="str">
        <f t="shared" si="104"/>
        <v/>
      </c>
    </row>
    <row r="6724" spans="1:7" s="172" customFormat="1" ht="15" customHeight="1" x14ac:dyDescent="0.25">
      <c r="A6724" s="803" t="s">
        <v>16090</v>
      </c>
      <c r="B6724" s="803" t="s">
        <v>9035</v>
      </c>
      <c r="C6724" s="803" t="s">
        <v>20152</v>
      </c>
      <c r="D6724" s="803" t="s">
        <v>9070</v>
      </c>
      <c r="E6724" s="803">
        <v>30</v>
      </c>
      <c r="F6724" s="850">
        <v>3</v>
      </c>
      <c r="G6724" s="202" t="str">
        <f t="shared" si="104"/>
        <v/>
      </c>
    </row>
    <row r="6725" spans="1:7" s="172" customFormat="1" ht="15" customHeight="1" x14ac:dyDescent="0.25">
      <c r="A6725" s="803" t="s">
        <v>16091</v>
      </c>
      <c r="B6725" s="803" t="s">
        <v>9035</v>
      </c>
      <c r="C6725" s="803" t="s">
        <v>20152</v>
      </c>
      <c r="D6725" s="803" t="s">
        <v>9071</v>
      </c>
      <c r="E6725" s="803">
        <v>250</v>
      </c>
      <c r="F6725" s="850">
        <v>190</v>
      </c>
      <c r="G6725" s="202" t="str">
        <f t="shared" si="104"/>
        <v/>
      </c>
    </row>
    <row r="6726" spans="1:7" s="172" customFormat="1" ht="15" customHeight="1" x14ac:dyDescent="0.25">
      <c r="A6726" s="803" t="s">
        <v>16091</v>
      </c>
      <c r="B6726" s="803" t="s">
        <v>9035</v>
      </c>
      <c r="C6726" s="803" t="s">
        <v>20152</v>
      </c>
      <c r="D6726" s="803" t="s">
        <v>9072</v>
      </c>
      <c r="E6726" s="803" t="s">
        <v>18947</v>
      </c>
      <c r="F6726" s="850">
        <v>400</v>
      </c>
      <c r="G6726" s="202" t="str">
        <f t="shared" si="104"/>
        <v/>
      </c>
    </row>
    <row r="6727" spans="1:7" s="172" customFormat="1" ht="15" customHeight="1" x14ac:dyDescent="0.25">
      <c r="A6727" s="803" t="s">
        <v>16091</v>
      </c>
      <c r="B6727" s="803" t="s">
        <v>9035</v>
      </c>
      <c r="C6727" s="803" t="s">
        <v>20152</v>
      </c>
      <c r="D6727" s="803" t="s">
        <v>9073</v>
      </c>
      <c r="E6727" s="803">
        <v>250</v>
      </c>
      <c r="F6727" s="850">
        <v>35</v>
      </c>
      <c r="G6727" s="202" t="str">
        <f t="shared" si="104"/>
        <v/>
      </c>
    </row>
    <row r="6728" spans="1:7" s="172" customFormat="1" ht="15" customHeight="1" x14ac:dyDescent="0.25">
      <c r="A6728" s="803" t="s">
        <v>9074</v>
      </c>
      <c r="B6728" s="803" t="s">
        <v>9035</v>
      </c>
      <c r="C6728" s="803" t="s">
        <v>20152</v>
      </c>
      <c r="D6728" s="803" t="s">
        <v>9075</v>
      </c>
      <c r="E6728" s="803">
        <v>160</v>
      </c>
      <c r="F6728" s="850">
        <v>5</v>
      </c>
      <c r="G6728" s="202" t="str">
        <f t="shared" si="104"/>
        <v/>
      </c>
    </row>
    <row r="6729" spans="1:7" s="172" customFormat="1" ht="15" customHeight="1" x14ac:dyDescent="0.25">
      <c r="A6729" s="803" t="s">
        <v>16092</v>
      </c>
      <c r="B6729" s="803" t="s">
        <v>9035</v>
      </c>
      <c r="C6729" s="803" t="s">
        <v>20152</v>
      </c>
      <c r="D6729" s="803" t="s">
        <v>9076</v>
      </c>
      <c r="E6729" s="803">
        <v>100</v>
      </c>
      <c r="F6729" s="850">
        <v>5</v>
      </c>
      <c r="G6729" s="202" t="str">
        <f t="shared" si="104"/>
        <v/>
      </c>
    </row>
    <row r="6730" spans="1:7" s="172" customFormat="1" ht="15" customHeight="1" x14ac:dyDescent="0.25">
      <c r="A6730" s="803" t="s">
        <v>16093</v>
      </c>
      <c r="B6730" s="803" t="s">
        <v>9035</v>
      </c>
      <c r="C6730" s="803" t="s">
        <v>20152</v>
      </c>
      <c r="D6730" s="803" t="s">
        <v>9077</v>
      </c>
      <c r="E6730" s="803">
        <v>100</v>
      </c>
      <c r="F6730" s="850">
        <v>35</v>
      </c>
      <c r="G6730" s="202" t="str">
        <f t="shared" si="104"/>
        <v/>
      </c>
    </row>
    <row r="6731" spans="1:7" s="172" customFormat="1" ht="15" customHeight="1" x14ac:dyDescent="0.25">
      <c r="A6731" s="803" t="s">
        <v>6863</v>
      </c>
      <c r="B6731" s="803" t="s">
        <v>9035</v>
      </c>
      <c r="C6731" s="803" t="s">
        <v>20152</v>
      </c>
      <c r="D6731" s="803" t="s">
        <v>9078</v>
      </c>
      <c r="E6731" s="803">
        <v>100</v>
      </c>
      <c r="F6731" s="850">
        <v>55</v>
      </c>
      <c r="G6731" s="202" t="str">
        <f t="shared" si="104"/>
        <v/>
      </c>
    </row>
    <row r="6732" spans="1:7" s="172" customFormat="1" ht="15" customHeight="1" x14ac:dyDescent="0.25">
      <c r="A6732" s="803" t="s">
        <v>16094</v>
      </c>
      <c r="B6732" s="803" t="s">
        <v>9035</v>
      </c>
      <c r="C6732" s="803" t="s">
        <v>20152</v>
      </c>
      <c r="D6732" s="803" t="s">
        <v>9079</v>
      </c>
      <c r="E6732" s="803">
        <v>63</v>
      </c>
      <c r="F6732" s="850">
        <v>25</v>
      </c>
      <c r="G6732" s="202" t="str">
        <f t="shared" si="104"/>
        <v/>
      </c>
    </row>
    <row r="6733" spans="1:7" s="172" customFormat="1" ht="15" customHeight="1" x14ac:dyDescent="0.25">
      <c r="A6733" s="803" t="s">
        <v>16095</v>
      </c>
      <c r="B6733" s="803" t="s">
        <v>9035</v>
      </c>
      <c r="C6733" s="803" t="s">
        <v>20152</v>
      </c>
      <c r="D6733" s="803" t="s">
        <v>9080</v>
      </c>
      <c r="E6733" s="803">
        <v>100</v>
      </c>
      <c r="F6733" s="850">
        <v>55</v>
      </c>
      <c r="G6733" s="202" t="str">
        <f t="shared" si="104"/>
        <v/>
      </c>
    </row>
    <row r="6734" spans="1:7" s="172" customFormat="1" ht="15" customHeight="1" x14ac:dyDescent="0.25">
      <c r="A6734" s="803" t="s">
        <v>16096</v>
      </c>
      <c r="B6734" s="803" t="s">
        <v>9035</v>
      </c>
      <c r="C6734" s="803" t="s">
        <v>20152</v>
      </c>
      <c r="D6734" s="803" t="s">
        <v>9081</v>
      </c>
      <c r="E6734" s="803">
        <v>25</v>
      </c>
      <c r="F6734" s="850">
        <v>3</v>
      </c>
      <c r="G6734" s="202" t="str">
        <f t="shared" si="104"/>
        <v/>
      </c>
    </row>
    <row r="6735" spans="1:7" s="172" customFormat="1" ht="15" customHeight="1" x14ac:dyDescent="0.25">
      <c r="A6735" s="803" t="s">
        <v>16097</v>
      </c>
      <c r="B6735" s="803" t="s">
        <v>9035</v>
      </c>
      <c r="C6735" s="803" t="s">
        <v>20152</v>
      </c>
      <c r="D6735" s="803" t="s">
        <v>9082</v>
      </c>
      <c r="E6735" s="803">
        <v>25</v>
      </c>
      <c r="F6735" s="850">
        <v>5</v>
      </c>
      <c r="G6735" s="202" t="str">
        <f t="shared" si="104"/>
        <v/>
      </c>
    </row>
    <row r="6736" spans="1:7" s="172" customFormat="1" ht="15" customHeight="1" x14ac:dyDescent="0.25">
      <c r="A6736" s="803" t="s">
        <v>16098</v>
      </c>
      <c r="B6736" s="803" t="s">
        <v>9035</v>
      </c>
      <c r="C6736" s="803" t="s">
        <v>20152</v>
      </c>
      <c r="D6736" s="803" t="s">
        <v>9083</v>
      </c>
      <c r="E6736" s="803">
        <v>63</v>
      </c>
      <c r="F6736" s="850">
        <v>20</v>
      </c>
      <c r="G6736" s="202" t="str">
        <f t="shared" si="104"/>
        <v/>
      </c>
    </row>
    <row r="6737" spans="1:7" s="172" customFormat="1" ht="15" customHeight="1" x14ac:dyDescent="0.25">
      <c r="A6737" s="803" t="s">
        <v>16099</v>
      </c>
      <c r="B6737" s="803" t="s">
        <v>9035</v>
      </c>
      <c r="C6737" s="803" t="s">
        <v>20152</v>
      </c>
      <c r="D6737" s="803" t="s">
        <v>9084</v>
      </c>
      <c r="E6737" s="803">
        <v>63</v>
      </c>
      <c r="F6737" s="850">
        <v>25</v>
      </c>
      <c r="G6737" s="202" t="str">
        <f t="shared" si="104"/>
        <v/>
      </c>
    </row>
    <row r="6738" spans="1:7" s="172" customFormat="1" ht="15" customHeight="1" x14ac:dyDescent="0.25">
      <c r="A6738" s="803" t="s">
        <v>16100</v>
      </c>
      <c r="B6738" s="803" t="s">
        <v>9035</v>
      </c>
      <c r="C6738" s="803" t="s">
        <v>20152</v>
      </c>
      <c r="D6738" s="803" t="s">
        <v>9085</v>
      </c>
      <c r="E6738" s="803">
        <v>10</v>
      </c>
      <c r="F6738" s="850">
        <v>1</v>
      </c>
      <c r="G6738" s="202" t="str">
        <f t="shared" si="104"/>
        <v/>
      </c>
    </row>
    <row r="6739" spans="1:7" s="172" customFormat="1" ht="15" customHeight="1" x14ac:dyDescent="0.25">
      <c r="A6739" s="803" t="s">
        <v>16101</v>
      </c>
      <c r="B6739" s="803" t="s">
        <v>9035</v>
      </c>
      <c r="C6739" s="803" t="s">
        <v>20152</v>
      </c>
      <c r="D6739" s="803" t="s">
        <v>9086</v>
      </c>
      <c r="E6739" s="803">
        <v>10</v>
      </c>
      <c r="F6739" s="850">
        <v>3</v>
      </c>
      <c r="G6739" s="202" t="str">
        <f t="shared" si="104"/>
        <v/>
      </c>
    </row>
    <row r="6740" spans="1:7" s="172" customFormat="1" ht="15" customHeight="1" x14ac:dyDescent="0.25">
      <c r="A6740" s="803" t="s">
        <v>16102</v>
      </c>
      <c r="B6740" s="803" t="s">
        <v>9035</v>
      </c>
      <c r="C6740" s="803" t="s">
        <v>20152</v>
      </c>
      <c r="D6740" s="803" t="s">
        <v>2536</v>
      </c>
      <c r="E6740" s="803">
        <v>100</v>
      </c>
      <c r="F6740" s="850">
        <v>50</v>
      </c>
      <c r="G6740" s="202" t="str">
        <f t="shared" si="104"/>
        <v/>
      </c>
    </row>
    <row r="6741" spans="1:7" s="172" customFormat="1" ht="15" customHeight="1" x14ac:dyDescent="0.25">
      <c r="A6741" s="803" t="s">
        <v>16103</v>
      </c>
      <c r="B6741" s="803" t="s">
        <v>9035</v>
      </c>
      <c r="C6741" s="803" t="s">
        <v>20152</v>
      </c>
      <c r="D6741" s="803" t="s">
        <v>9045</v>
      </c>
      <c r="E6741" s="803">
        <v>60</v>
      </c>
      <c r="F6741" s="850">
        <v>55</v>
      </c>
      <c r="G6741" s="202" t="str">
        <f t="shared" si="104"/>
        <v/>
      </c>
    </row>
    <row r="6742" spans="1:7" s="172" customFormat="1" ht="15" customHeight="1" x14ac:dyDescent="0.25">
      <c r="A6742" s="803" t="s">
        <v>16104</v>
      </c>
      <c r="B6742" s="803" t="s">
        <v>9035</v>
      </c>
      <c r="C6742" s="803" t="s">
        <v>20152</v>
      </c>
      <c r="D6742" s="803" t="s">
        <v>9087</v>
      </c>
      <c r="E6742" s="803">
        <v>20</v>
      </c>
      <c r="F6742" s="850">
        <v>3</v>
      </c>
      <c r="G6742" s="202" t="str">
        <f t="shared" si="104"/>
        <v/>
      </c>
    </row>
    <row r="6743" spans="1:7" s="172" customFormat="1" ht="15" customHeight="1" x14ac:dyDescent="0.25">
      <c r="A6743" s="803" t="s">
        <v>16063</v>
      </c>
      <c r="B6743" s="803" t="s">
        <v>9035</v>
      </c>
      <c r="C6743" s="803" t="s">
        <v>20152</v>
      </c>
      <c r="D6743" s="803" t="s">
        <v>9088</v>
      </c>
      <c r="E6743" s="803">
        <v>160</v>
      </c>
      <c r="F6743" s="850">
        <v>100</v>
      </c>
      <c r="G6743" s="202" t="str">
        <f t="shared" si="104"/>
        <v/>
      </c>
    </row>
    <row r="6744" spans="1:7" s="172" customFormat="1" ht="15" customHeight="1" x14ac:dyDescent="0.25">
      <c r="A6744" s="803" t="s">
        <v>16105</v>
      </c>
      <c r="B6744" s="803" t="s">
        <v>9035</v>
      </c>
      <c r="C6744" s="803" t="s">
        <v>20152</v>
      </c>
      <c r="D6744" s="803" t="s">
        <v>9089</v>
      </c>
      <c r="E6744" s="803">
        <v>60</v>
      </c>
      <c r="F6744" s="850">
        <v>15</v>
      </c>
      <c r="G6744" s="202" t="str">
        <f t="shared" si="104"/>
        <v/>
      </c>
    </row>
    <row r="6745" spans="1:7" s="172" customFormat="1" ht="15" customHeight="1" x14ac:dyDescent="0.25">
      <c r="A6745" s="803" t="s">
        <v>16106</v>
      </c>
      <c r="B6745" s="803" t="s">
        <v>9035</v>
      </c>
      <c r="C6745" s="803" t="s">
        <v>20152</v>
      </c>
      <c r="D6745" s="803" t="s">
        <v>9090</v>
      </c>
      <c r="E6745" s="803">
        <v>10</v>
      </c>
      <c r="F6745" s="850">
        <v>3</v>
      </c>
      <c r="G6745" s="202" t="str">
        <f t="shared" si="104"/>
        <v/>
      </c>
    </row>
    <row r="6746" spans="1:7" s="172" customFormat="1" ht="15" customHeight="1" x14ac:dyDescent="0.25">
      <c r="A6746" s="803" t="s">
        <v>16107</v>
      </c>
      <c r="B6746" s="803" t="s">
        <v>9035</v>
      </c>
      <c r="C6746" s="803" t="s">
        <v>20152</v>
      </c>
      <c r="D6746" s="803" t="s">
        <v>9091</v>
      </c>
      <c r="E6746" s="803">
        <v>25</v>
      </c>
      <c r="F6746" s="850">
        <v>-5</v>
      </c>
      <c r="G6746" s="202" t="str">
        <f t="shared" si="104"/>
        <v/>
      </c>
    </row>
    <row r="6747" spans="1:7" s="172" customFormat="1" ht="15" customHeight="1" x14ac:dyDescent="0.25">
      <c r="A6747" s="803" t="s">
        <v>16108</v>
      </c>
      <c r="B6747" s="803" t="s">
        <v>9035</v>
      </c>
      <c r="C6747" s="803" t="s">
        <v>20152</v>
      </c>
      <c r="D6747" s="803" t="s">
        <v>9092</v>
      </c>
      <c r="E6747" s="803">
        <v>40</v>
      </c>
      <c r="F6747" s="850">
        <v>-3</v>
      </c>
      <c r="G6747" s="202" t="str">
        <f t="shared" si="104"/>
        <v/>
      </c>
    </row>
    <row r="6748" spans="1:7" s="172" customFormat="1" ht="15" customHeight="1" x14ac:dyDescent="0.25">
      <c r="A6748" s="803" t="s">
        <v>16109</v>
      </c>
      <c r="B6748" s="803" t="s">
        <v>9035</v>
      </c>
      <c r="C6748" s="803" t="s">
        <v>20152</v>
      </c>
      <c r="D6748" s="803" t="s">
        <v>9093</v>
      </c>
      <c r="E6748" s="803">
        <v>10</v>
      </c>
      <c r="F6748" s="850">
        <v>-3</v>
      </c>
      <c r="G6748" s="202" t="str">
        <f t="shared" si="104"/>
        <v/>
      </c>
    </row>
    <row r="6749" spans="1:7" s="172" customFormat="1" ht="15" customHeight="1" x14ac:dyDescent="0.25">
      <c r="A6749" s="803" t="s">
        <v>16110</v>
      </c>
      <c r="B6749" s="803" t="s">
        <v>9035</v>
      </c>
      <c r="C6749" s="803" t="s">
        <v>20152</v>
      </c>
      <c r="D6749" s="803" t="s">
        <v>9094</v>
      </c>
      <c r="E6749" s="803">
        <v>160</v>
      </c>
      <c r="F6749" s="850">
        <v>30</v>
      </c>
      <c r="G6749" s="202" t="str">
        <f t="shared" ref="G6749:G6813" si="105">IF(E6749=F6749,"не загружен","")</f>
        <v/>
      </c>
    </row>
    <row r="6750" spans="1:7" s="172" customFormat="1" ht="15" customHeight="1" x14ac:dyDescent="0.25">
      <c r="A6750" s="803" t="s">
        <v>16111</v>
      </c>
      <c r="B6750" s="803" t="s">
        <v>9035</v>
      </c>
      <c r="C6750" s="803" t="s">
        <v>20152</v>
      </c>
      <c r="D6750" s="803" t="s">
        <v>9095</v>
      </c>
      <c r="E6750" s="803">
        <v>25</v>
      </c>
      <c r="F6750" s="850">
        <v>3</v>
      </c>
      <c r="G6750" s="202" t="str">
        <f t="shared" si="105"/>
        <v/>
      </c>
    </row>
    <row r="6751" spans="1:7" s="172" customFormat="1" ht="15" customHeight="1" x14ac:dyDescent="0.25">
      <c r="A6751" s="803" t="s">
        <v>16112</v>
      </c>
      <c r="B6751" s="803" t="s">
        <v>9035</v>
      </c>
      <c r="C6751" s="803" t="s">
        <v>20152</v>
      </c>
      <c r="D6751" s="803" t="s">
        <v>9096</v>
      </c>
      <c r="E6751" s="803">
        <v>160</v>
      </c>
      <c r="F6751" s="850">
        <v>30</v>
      </c>
      <c r="G6751" s="202" t="str">
        <f t="shared" si="105"/>
        <v/>
      </c>
    </row>
    <row r="6752" spans="1:7" s="172" customFormat="1" ht="15" customHeight="1" x14ac:dyDescent="0.25">
      <c r="A6752" s="803" t="s">
        <v>16113</v>
      </c>
      <c r="B6752" s="803" t="s">
        <v>9035</v>
      </c>
      <c r="C6752" s="803" t="s">
        <v>20152</v>
      </c>
      <c r="D6752" s="803" t="s">
        <v>9097</v>
      </c>
      <c r="E6752" s="803">
        <v>250</v>
      </c>
      <c r="F6752" s="850">
        <v>0</v>
      </c>
      <c r="G6752" s="202" t="str">
        <f t="shared" si="105"/>
        <v/>
      </c>
    </row>
    <row r="6753" spans="1:7" s="172" customFormat="1" ht="15" customHeight="1" x14ac:dyDescent="0.25">
      <c r="A6753" s="803" t="s">
        <v>16114</v>
      </c>
      <c r="B6753" s="803" t="s">
        <v>9035</v>
      </c>
      <c r="C6753" s="803" t="s">
        <v>20152</v>
      </c>
      <c r="D6753" s="803" t="s">
        <v>9098</v>
      </c>
      <c r="E6753" s="803">
        <v>100</v>
      </c>
      <c r="F6753" s="850">
        <v>35</v>
      </c>
      <c r="G6753" s="202" t="str">
        <f t="shared" si="105"/>
        <v/>
      </c>
    </row>
    <row r="6754" spans="1:7" s="172" customFormat="1" ht="15" customHeight="1" x14ac:dyDescent="0.25">
      <c r="A6754" s="803" t="s">
        <v>16115</v>
      </c>
      <c r="B6754" s="803" t="s">
        <v>9035</v>
      </c>
      <c r="C6754" s="803" t="s">
        <v>20152</v>
      </c>
      <c r="D6754" s="803" t="s">
        <v>9099</v>
      </c>
      <c r="E6754" s="803">
        <v>100</v>
      </c>
      <c r="F6754" s="850">
        <v>10</v>
      </c>
      <c r="G6754" s="202" t="str">
        <f t="shared" si="105"/>
        <v/>
      </c>
    </row>
    <row r="6755" spans="1:7" s="172" customFormat="1" ht="15" customHeight="1" x14ac:dyDescent="0.25">
      <c r="A6755" s="803" t="s">
        <v>16116</v>
      </c>
      <c r="B6755" s="803" t="s">
        <v>9035</v>
      </c>
      <c r="C6755" s="803" t="s">
        <v>20152</v>
      </c>
      <c r="D6755" s="803" t="s">
        <v>9100</v>
      </c>
      <c r="E6755" s="803">
        <v>100</v>
      </c>
      <c r="F6755" s="850">
        <v>15</v>
      </c>
      <c r="G6755" s="202" t="str">
        <f t="shared" si="105"/>
        <v/>
      </c>
    </row>
    <row r="6756" spans="1:7" s="172" customFormat="1" ht="15" customHeight="1" x14ac:dyDescent="0.25">
      <c r="A6756" s="803" t="s">
        <v>16117</v>
      </c>
      <c r="B6756" s="803" t="s">
        <v>9035</v>
      </c>
      <c r="C6756" s="803" t="s">
        <v>20152</v>
      </c>
      <c r="D6756" s="803" t="s">
        <v>9101</v>
      </c>
      <c r="E6756" s="803">
        <v>100</v>
      </c>
      <c r="F6756" s="850">
        <v>45</v>
      </c>
      <c r="G6756" s="202" t="str">
        <f t="shared" si="105"/>
        <v/>
      </c>
    </row>
    <row r="6757" spans="1:7" s="172" customFormat="1" ht="15" customHeight="1" x14ac:dyDescent="0.25">
      <c r="A6757" s="803" t="s">
        <v>16118</v>
      </c>
      <c r="B6757" s="803" t="s">
        <v>9035</v>
      </c>
      <c r="C6757" s="803" t="s">
        <v>20152</v>
      </c>
      <c r="D6757" s="803" t="s">
        <v>9102</v>
      </c>
      <c r="E6757" s="803">
        <v>40</v>
      </c>
      <c r="F6757" s="850">
        <v>-5</v>
      </c>
      <c r="G6757" s="202" t="str">
        <f t="shared" si="105"/>
        <v/>
      </c>
    </row>
    <row r="6758" spans="1:7" s="172" customFormat="1" ht="15" customHeight="1" x14ac:dyDescent="0.25">
      <c r="A6758" s="803" t="s">
        <v>16119</v>
      </c>
      <c r="B6758" s="803" t="s">
        <v>9035</v>
      </c>
      <c r="C6758" s="803" t="s">
        <v>20152</v>
      </c>
      <c r="D6758" s="803" t="s">
        <v>9103</v>
      </c>
      <c r="E6758" s="803">
        <v>40</v>
      </c>
      <c r="F6758" s="850">
        <v>10</v>
      </c>
      <c r="G6758" s="202" t="str">
        <f t="shared" si="105"/>
        <v/>
      </c>
    </row>
    <row r="6759" spans="1:7" s="172" customFormat="1" ht="15" customHeight="1" x14ac:dyDescent="0.25">
      <c r="A6759" s="803" t="s">
        <v>16120</v>
      </c>
      <c r="B6759" s="803" t="s">
        <v>9035</v>
      </c>
      <c r="C6759" s="803" t="s">
        <v>20152</v>
      </c>
      <c r="D6759" s="803" t="s">
        <v>9104</v>
      </c>
      <c r="E6759" s="803">
        <v>25</v>
      </c>
      <c r="F6759" s="850">
        <v>15</v>
      </c>
      <c r="G6759" s="202" t="str">
        <f t="shared" si="105"/>
        <v/>
      </c>
    </row>
    <row r="6760" spans="1:7" s="172" customFormat="1" ht="15" customHeight="1" x14ac:dyDescent="0.25">
      <c r="A6760" s="803" t="s">
        <v>15539</v>
      </c>
      <c r="B6760" s="803" t="s">
        <v>9035</v>
      </c>
      <c r="C6760" s="803" t="s">
        <v>20152</v>
      </c>
      <c r="D6760" s="803" t="s">
        <v>2923</v>
      </c>
      <c r="E6760" s="803">
        <v>40</v>
      </c>
      <c r="F6760" s="850">
        <v>13</v>
      </c>
      <c r="G6760" s="202" t="str">
        <f t="shared" si="105"/>
        <v/>
      </c>
    </row>
    <row r="6761" spans="1:7" s="172" customFormat="1" ht="15" customHeight="1" x14ac:dyDescent="0.25">
      <c r="A6761" s="803" t="s">
        <v>9105</v>
      </c>
      <c r="B6761" s="803" t="s">
        <v>9035</v>
      </c>
      <c r="C6761" s="803" t="s">
        <v>20152</v>
      </c>
      <c r="D6761" s="803" t="s">
        <v>9106</v>
      </c>
      <c r="E6761" s="803">
        <v>160</v>
      </c>
      <c r="F6761" s="850">
        <v>0</v>
      </c>
      <c r="G6761" s="202" t="str">
        <f t="shared" si="105"/>
        <v/>
      </c>
    </row>
    <row r="6762" spans="1:7" s="172" customFormat="1" ht="15" customHeight="1" x14ac:dyDescent="0.25">
      <c r="A6762" s="803" t="s">
        <v>5030</v>
      </c>
      <c r="B6762" s="803" t="s">
        <v>9035</v>
      </c>
      <c r="C6762" s="803" t="s">
        <v>20152</v>
      </c>
      <c r="D6762" s="803" t="s">
        <v>9107</v>
      </c>
      <c r="E6762" s="803">
        <v>100</v>
      </c>
      <c r="F6762" s="850">
        <v>0</v>
      </c>
      <c r="G6762" s="202" t="str">
        <f t="shared" si="105"/>
        <v/>
      </c>
    </row>
    <row r="6763" spans="1:7" s="172" customFormat="1" ht="15" customHeight="1" x14ac:dyDescent="0.25">
      <c r="A6763" s="803" t="s">
        <v>9108</v>
      </c>
      <c r="B6763" s="803" t="s">
        <v>9035</v>
      </c>
      <c r="C6763" s="803" t="s">
        <v>20152</v>
      </c>
      <c r="D6763" s="803" t="s">
        <v>9109</v>
      </c>
      <c r="E6763" s="803">
        <v>160</v>
      </c>
      <c r="F6763" s="850">
        <v>15</v>
      </c>
      <c r="G6763" s="202" t="str">
        <f t="shared" si="105"/>
        <v/>
      </c>
    </row>
    <row r="6764" spans="1:7" s="172" customFormat="1" ht="15" customHeight="1" x14ac:dyDescent="0.25">
      <c r="A6764" s="803" t="s">
        <v>9108</v>
      </c>
      <c r="B6764" s="803" t="s">
        <v>9035</v>
      </c>
      <c r="C6764" s="803" t="s">
        <v>20152</v>
      </c>
      <c r="D6764" s="803" t="s">
        <v>9110</v>
      </c>
      <c r="E6764" s="803">
        <v>100</v>
      </c>
      <c r="F6764" s="850">
        <v>35</v>
      </c>
      <c r="G6764" s="202" t="str">
        <f t="shared" si="105"/>
        <v/>
      </c>
    </row>
    <row r="6765" spans="1:7" s="172" customFormat="1" ht="15" customHeight="1" x14ac:dyDescent="0.25">
      <c r="A6765" s="803" t="s">
        <v>9111</v>
      </c>
      <c r="B6765" s="803" t="s">
        <v>9035</v>
      </c>
      <c r="C6765" s="803" t="s">
        <v>20152</v>
      </c>
      <c r="D6765" s="803" t="s">
        <v>9112</v>
      </c>
      <c r="E6765" s="803">
        <v>100</v>
      </c>
      <c r="F6765" s="850">
        <v>15</v>
      </c>
      <c r="G6765" s="202" t="str">
        <f t="shared" si="105"/>
        <v/>
      </c>
    </row>
    <row r="6766" spans="1:7" s="172" customFormat="1" ht="15" customHeight="1" x14ac:dyDescent="0.25">
      <c r="A6766" s="803" t="s">
        <v>16121</v>
      </c>
      <c r="B6766" s="803" t="s">
        <v>9035</v>
      </c>
      <c r="C6766" s="803" t="s">
        <v>20152</v>
      </c>
      <c r="D6766" s="803" t="s">
        <v>9113</v>
      </c>
      <c r="E6766" s="803">
        <v>100</v>
      </c>
      <c r="F6766" s="850">
        <v>40</v>
      </c>
      <c r="G6766" s="202" t="str">
        <f t="shared" si="105"/>
        <v/>
      </c>
    </row>
    <row r="6767" spans="1:7" s="172" customFormat="1" ht="15" customHeight="1" x14ac:dyDescent="0.25">
      <c r="A6767" s="803" t="s">
        <v>16122</v>
      </c>
      <c r="B6767" s="803" t="s">
        <v>9035</v>
      </c>
      <c r="C6767" s="803" t="s">
        <v>20152</v>
      </c>
      <c r="D6767" s="803" t="s">
        <v>9114</v>
      </c>
      <c r="E6767" s="803">
        <v>250</v>
      </c>
      <c r="F6767" s="850">
        <v>0</v>
      </c>
      <c r="G6767" s="202" t="str">
        <f t="shared" si="105"/>
        <v/>
      </c>
    </row>
    <row r="6768" spans="1:7" s="172" customFormat="1" ht="15" customHeight="1" x14ac:dyDescent="0.25">
      <c r="A6768" s="803" t="s">
        <v>16123</v>
      </c>
      <c r="B6768" s="803" t="s">
        <v>9035</v>
      </c>
      <c r="C6768" s="803" t="s">
        <v>20152</v>
      </c>
      <c r="D6768" s="803" t="s">
        <v>9115</v>
      </c>
      <c r="E6768" s="803">
        <v>63</v>
      </c>
      <c r="F6768" s="850">
        <v>0</v>
      </c>
      <c r="G6768" s="202" t="str">
        <f t="shared" si="105"/>
        <v/>
      </c>
    </row>
    <row r="6769" spans="1:7" s="172" customFormat="1" ht="15" customHeight="1" x14ac:dyDescent="0.25">
      <c r="A6769" s="803" t="s">
        <v>16124</v>
      </c>
      <c r="B6769" s="803" t="s">
        <v>9035</v>
      </c>
      <c r="C6769" s="803" t="s">
        <v>20152</v>
      </c>
      <c r="D6769" s="803" t="s">
        <v>9116</v>
      </c>
      <c r="E6769" s="803">
        <v>63</v>
      </c>
      <c r="F6769" s="850">
        <v>0</v>
      </c>
      <c r="G6769" s="202" t="str">
        <f t="shared" si="105"/>
        <v/>
      </c>
    </row>
    <row r="6770" spans="1:7" s="172" customFormat="1" ht="15" customHeight="1" x14ac:dyDescent="0.25">
      <c r="A6770" s="803" t="s">
        <v>16125</v>
      </c>
      <c r="B6770" s="803" t="s">
        <v>9035</v>
      </c>
      <c r="C6770" s="803" t="s">
        <v>20152</v>
      </c>
      <c r="D6770" s="803" t="s">
        <v>9117</v>
      </c>
      <c r="E6770" s="803">
        <v>160</v>
      </c>
      <c r="F6770" s="850">
        <v>70</v>
      </c>
      <c r="G6770" s="202" t="str">
        <f t="shared" si="105"/>
        <v/>
      </c>
    </row>
    <row r="6771" spans="1:7" s="172" customFormat="1" ht="15" customHeight="1" x14ac:dyDescent="0.25">
      <c r="A6771" s="803" t="s">
        <v>16126</v>
      </c>
      <c r="B6771" s="803" t="s">
        <v>9035</v>
      </c>
      <c r="C6771" s="803" t="s">
        <v>20152</v>
      </c>
      <c r="D6771" s="803" t="s">
        <v>9118</v>
      </c>
      <c r="E6771" s="803">
        <v>60</v>
      </c>
      <c r="F6771" s="850">
        <v>0</v>
      </c>
      <c r="G6771" s="202" t="str">
        <f t="shared" si="105"/>
        <v/>
      </c>
    </row>
    <row r="6772" spans="1:7" s="172" customFormat="1" ht="15" customHeight="1" x14ac:dyDescent="0.25">
      <c r="A6772" s="803" t="s">
        <v>16127</v>
      </c>
      <c r="B6772" s="803" t="s">
        <v>9035</v>
      </c>
      <c r="C6772" s="803" t="s">
        <v>20152</v>
      </c>
      <c r="D6772" s="803" t="s">
        <v>9119</v>
      </c>
      <c r="E6772" s="803">
        <v>20</v>
      </c>
      <c r="F6772" s="850">
        <v>-5</v>
      </c>
      <c r="G6772" s="202" t="str">
        <f t="shared" si="105"/>
        <v/>
      </c>
    </row>
    <row r="6773" spans="1:7" s="172" customFormat="1" ht="15" customHeight="1" x14ac:dyDescent="0.25">
      <c r="A6773" s="803" t="s">
        <v>16128</v>
      </c>
      <c r="B6773" s="803" t="s">
        <v>9035</v>
      </c>
      <c r="C6773" s="803" t="s">
        <v>20152</v>
      </c>
      <c r="D6773" s="803" t="s">
        <v>9120</v>
      </c>
      <c r="E6773" s="803">
        <v>160</v>
      </c>
      <c r="F6773" s="850">
        <v>25</v>
      </c>
      <c r="G6773" s="202" t="str">
        <f t="shared" si="105"/>
        <v/>
      </c>
    </row>
    <row r="6774" spans="1:7" s="172" customFormat="1" ht="15" customHeight="1" x14ac:dyDescent="0.25">
      <c r="A6774" s="803" t="s">
        <v>16129</v>
      </c>
      <c r="B6774" s="803" t="s">
        <v>9035</v>
      </c>
      <c r="C6774" s="803" t="s">
        <v>20152</v>
      </c>
      <c r="D6774" s="803" t="s">
        <v>9121</v>
      </c>
      <c r="E6774" s="803">
        <v>30</v>
      </c>
      <c r="F6774" s="850">
        <v>-5</v>
      </c>
      <c r="G6774" s="202" t="str">
        <f t="shared" si="105"/>
        <v/>
      </c>
    </row>
    <row r="6775" spans="1:7" s="172" customFormat="1" ht="15" customHeight="1" x14ac:dyDescent="0.25">
      <c r="A6775" s="803" t="s">
        <v>16130</v>
      </c>
      <c r="B6775" s="803" t="s">
        <v>9035</v>
      </c>
      <c r="C6775" s="803" t="s">
        <v>20152</v>
      </c>
      <c r="D6775" s="803" t="s">
        <v>9122</v>
      </c>
      <c r="E6775" s="803">
        <v>160</v>
      </c>
      <c r="F6775" s="850">
        <v>30</v>
      </c>
      <c r="G6775" s="202" t="str">
        <f t="shared" si="105"/>
        <v/>
      </c>
    </row>
    <row r="6776" spans="1:7" s="172" customFormat="1" ht="15" customHeight="1" x14ac:dyDescent="0.25">
      <c r="A6776" s="803" t="s">
        <v>9123</v>
      </c>
      <c r="B6776" s="803" t="s">
        <v>9035</v>
      </c>
      <c r="C6776" s="803" t="s">
        <v>20152</v>
      </c>
      <c r="D6776" s="803" t="s">
        <v>9124</v>
      </c>
      <c r="E6776" s="803">
        <v>250</v>
      </c>
      <c r="F6776" s="850">
        <v>75</v>
      </c>
      <c r="G6776" s="202" t="str">
        <f t="shared" si="105"/>
        <v/>
      </c>
    </row>
    <row r="6777" spans="1:7" s="172" customFormat="1" ht="15" customHeight="1" x14ac:dyDescent="0.25">
      <c r="A6777" s="803" t="s">
        <v>16131</v>
      </c>
      <c r="B6777" s="803" t="s">
        <v>9035</v>
      </c>
      <c r="C6777" s="803" t="s">
        <v>20152</v>
      </c>
      <c r="D6777" s="803" t="s">
        <v>9125</v>
      </c>
      <c r="E6777" s="803">
        <v>250</v>
      </c>
      <c r="F6777" s="850">
        <v>50</v>
      </c>
      <c r="G6777" s="202" t="str">
        <f t="shared" si="105"/>
        <v/>
      </c>
    </row>
    <row r="6778" spans="1:7" s="172" customFormat="1" ht="15" customHeight="1" x14ac:dyDescent="0.25">
      <c r="A6778" s="803" t="s">
        <v>16131</v>
      </c>
      <c r="B6778" s="803" t="s">
        <v>9035</v>
      </c>
      <c r="C6778" s="803" t="s">
        <v>20152</v>
      </c>
      <c r="D6778" s="803" t="s">
        <v>9126</v>
      </c>
      <c r="E6778" s="803">
        <v>160</v>
      </c>
      <c r="F6778" s="850">
        <v>65</v>
      </c>
      <c r="G6778" s="202" t="str">
        <f t="shared" si="105"/>
        <v/>
      </c>
    </row>
    <row r="6779" spans="1:7" s="172" customFormat="1" ht="15" customHeight="1" x14ac:dyDescent="0.25">
      <c r="A6779" s="803" t="s">
        <v>9127</v>
      </c>
      <c r="B6779" s="803" t="s">
        <v>9035</v>
      </c>
      <c r="C6779" s="803" t="s">
        <v>20152</v>
      </c>
      <c r="D6779" s="803" t="s">
        <v>9128</v>
      </c>
      <c r="E6779" s="803">
        <v>160</v>
      </c>
      <c r="F6779" s="850">
        <v>85</v>
      </c>
      <c r="G6779" s="202" t="str">
        <f t="shared" si="105"/>
        <v/>
      </c>
    </row>
    <row r="6780" spans="1:7" s="172" customFormat="1" ht="15" customHeight="1" x14ac:dyDescent="0.25">
      <c r="A6780" s="803" t="s">
        <v>16132</v>
      </c>
      <c r="B6780" s="803" t="s">
        <v>9035</v>
      </c>
      <c r="C6780" s="803" t="s">
        <v>20152</v>
      </c>
      <c r="D6780" s="803" t="s">
        <v>9129</v>
      </c>
      <c r="E6780" s="803">
        <v>40</v>
      </c>
      <c r="F6780" s="850">
        <v>-10</v>
      </c>
      <c r="G6780" s="202" t="str">
        <f t="shared" si="105"/>
        <v/>
      </c>
    </row>
    <row r="6781" spans="1:7" s="172" customFormat="1" ht="15" customHeight="1" x14ac:dyDescent="0.25">
      <c r="A6781" s="803" t="s">
        <v>16133</v>
      </c>
      <c r="B6781" s="803" t="s">
        <v>9035</v>
      </c>
      <c r="C6781" s="803" t="s">
        <v>20152</v>
      </c>
      <c r="D6781" s="803" t="s">
        <v>9130</v>
      </c>
      <c r="E6781" s="803">
        <v>63</v>
      </c>
      <c r="F6781" s="850">
        <v>5</v>
      </c>
      <c r="G6781" s="202" t="str">
        <f t="shared" si="105"/>
        <v/>
      </c>
    </row>
    <row r="6782" spans="1:7" s="172" customFormat="1" ht="15" customHeight="1" x14ac:dyDescent="0.25">
      <c r="A6782" s="803" t="s">
        <v>16134</v>
      </c>
      <c r="B6782" s="803" t="s">
        <v>9035</v>
      </c>
      <c r="C6782" s="803" t="s">
        <v>20152</v>
      </c>
      <c r="D6782" s="803" t="s">
        <v>2439</v>
      </c>
      <c r="E6782" s="803">
        <v>40</v>
      </c>
      <c r="F6782" s="850">
        <v>5</v>
      </c>
      <c r="G6782" s="202" t="str">
        <f t="shared" si="105"/>
        <v/>
      </c>
    </row>
    <row r="6783" spans="1:7" s="172" customFormat="1" ht="15" customHeight="1" x14ac:dyDescent="0.25">
      <c r="A6783" s="803" t="s">
        <v>16135</v>
      </c>
      <c r="B6783" s="803" t="s">
        <v>9035</v>
      </c>
      <c r="C6783" s="803" t="s">
        <v>20152</v>
      </c>
      <c r="D6783" s="803" t="s">
        <v>9131</v>
      </c>
      <c r="E6783" s="803">
        <v>100</v>
      </c>
      <c r="F6783" s="850">
        <v>15</v>
      </c>
      <c r="G6783" s="202" t="str">
        <f t="shared" si="105"/>
        <v/>
      </c>
    </row>
    <row r="6784" spans="1:7" s="172" customFormat="1" ht="15" customHeight="1" x14ac:dyDescent="0.25">
      <c r="A6784" s="803" t="s">
        <v>16136</v>
      </c>
      <c r="B6784" s="803" t="s">
        <v>9035</v>
      </c>
      <c r="C6784" s="803" t="s">
        <v>20152</v>
      </c>
      <c r="D6784" s="803" t="s">
        <v>9132</v>
      </c>
      <c r="E6784" s="803">
        <v>63</v>
      </c>
      <c r="F6784" s="850">
        <v>10</v>
      </c>
      <c r="G6784" s="202" t="str">
        <f t="shared" si="105"/>
        <v/>
      </c>
    </row>
    <row r="6785" spans="1:7" s="172" customFormat="1" ht="15" customHeight="1" x14ac:dyDescent="0.25">
      <c r="A6785" s="803" t="s">
        <v>16137</v>
      </c>
      <c r="B6785" s="803" t="s">
        <v>9035</v>
      </c>
      <c r="C6785" s="803" t="s">
        <v>20152</v>
      </c>
      <c r="D6785" s="803" t="s">
        <v>9133</v>
      </c>
      <c r="E6785" s="803">
        <v>63</v>
      </c>
      <c r="F6785" s="850">
        <v>10</v>
      </c>
      <c r="G6785" s="202" t="str">
        <f t="shared" si="105"/>
        <v/>
      </c>
    </row>
    <row r="6786" spans="1:7" s="172" customFormat="1" ht="15" customHeight="1" x14ac:dyDescent="0.25">
      <c r="A6786" s="803" t="s">
        <v>16138</v>
      </c>
      <c r="B6786" s="803" t="s">
        <v>9035</v>
      </c>
      <c r="C6786" s="803" t="s">
        <v>20152</v>
      </c>
      <c r="D6786" s="803" t="s">
        <v>9134</v>
      </c>
      <c r="E6786" s="803">
        <v>100</v>
      </c>
      <c r="F6786" s="850">
        <v>5</v>
      </c>
      <c r="G6786" s="202" t="str">
        <f t="shared" si="105"/>
        <v/>
      </c>
    </row>
    <row r="6787" spans="1:7" s="172" customFormat="1" ht="15" customHeight="1" x14ac:dyDescent="0.25">
      <c r="A6787" s="803" t="s">
        <v>16139</v>
      </c>
      <c r="B6787" s="803" t="s">
        <v>9035</v>
      </c>
      <c r="C6787" s="803" t="s">
        <v>20152</v>
      </c>
      <c r="D6787" s="803" t="s">
        <v>9135</v>
      </c>
      <c r="E6787" s="803">
        <v>100</v>
      </c>
      <c r="F6787" s="850">
        <v>15</v>
      </c>
      <c r="G6787" s="202" t="str">
        <f t="shared" si="105"/>
        <v/>
      </c>
    </row>
    <row r="6788" spans="1:7" s="172" customFormat="1" ht="15" customHeight="1" x14ac:dyDescent="0.25">
      <c r="A6788" s="803" t="s">
        <v>16103</v>
      </c>
      <c r="B6788" s="803" t="s">
        <v>9035</v>
      </c>
      <c r="C6788" s="803" t="s">
        <v>20152</v>
      </c>
      <c r="D6788" s="803" t="s">
        <v>9045</v>
      </c>
      <c r="E6788" s="803">
        <v>100</v>
      </c>
      <c r="F6788" s="850">
        <v>30</v>
      </c>
      <c r="G6788" s="202" t="str">
        <f t="shared" si="105"/>
        <v/>
      </c>
    </row>
    <row r="6789" spans="1:7" s="172" customFormat="1" ht="15" customHeight="1" x14ac:dyDescent="0.25">
      <c r="A6789" s="803" t="s">
        <v>16140</v>
      </c>
      <c r="B6789" s="803" t="s">
        <v>9035</v>
      </c>
      <c r="C6789" s="803" t="s">
        <v>20152</v>
      </c>
      <c r="D6789" s="803" t="s">
        <v>9136</v>
      </c>
      <c r="E6789" s="803">
        <v>10</v>
      </c>
      <c r="F6789" s="850">
        <v>0</v>
      </c>
      <c r="G6789" s="202" t="str">
        <f t="shared" si="105"/>
        <v/>
      </c>
    </row>
    <row r="6790" spans="1:7" s="172" customFormat="1" ht="15" customHeight="1" x14ac:dyDescent="0.25">
      <c r="A6790" s="803" t="s">
        <v>16141</v>
      </c>
      <c r="B6790" s="803" t="s">
        <v>9035</v>
      </c>
      <c r="C6790" s="803" t="s">
        <v>20152</v>
      </c>
      <c r="D6790" s="803" t="s">
        <v>9137</v>
      </c>
      <c r="E6790" s="803">
        <v>160</v>
      </c>
      <c r="F6790" s="850">
        <v>15</v>
      </c>
      <c r="G6790" s="202" t="str">
        <f t="shared" si="105"/>
        <v/>
      </c>
    </row>
    <row r="6791" spans="1:7" s="172" customFormat="1" ht="15" customHeight="1" x14ac:dyDescent="0.25">
      <c r="A6791" s="803" t="s">
        <v>16142</v>
      </c>
      <c r="B6791" s="803" t="s">
        <v>9035</v>
      </c>
      <c r="C6791" s="803" t="s">
        <v>20152</v>
      </c>
      <c r="D6791" s="803" t="s">
        <v>9138</v>
      </c>
      <c r="E6791" s="803">
        <v>100</v>
      </c>
      <c r="F6791" s="850">
        <v>10</v>
      </c>
      <c r="G6791" s="202" t="str">
        <f t="shared" si="105"/>
        <v/>
      </c>
    </row>
    <row r="6792" spans="1:7" s="172" customFormat="1" ht="15" customHeight="1" x14ac:dyDescent="0.25">
      <c r="A6792" s="803" t="s">
        <v>16142</v>
      </c>
      <c r="B6792" s="803" t="s">
        <v>9035</v>
      </c>
      <c r="C6792" s="803" t="s">
        <v>20152</v>
      </c>
      <c r="D6792" s="803" t="s">
        <v>9139</v>
      </c>
      <c r="E6792" s="803">
        <v>160</v>
      </c>
      <c r="F6792" s="850">
        <v>45</v>
      </c>
      <c r="G6792" s="202" t="str">
        <f t="shared" si="105"/>
        <v/>
      </c>
    </row>
    <row r="6793" spans="1:7" s="172" customFormat="1" ht="15" customHeight="1" x14ac:dyDescent="0.25">
      <c r="A6793" s="803" t="s">
        <v>16143</v>
      </c>
      <c r="B6793" s="803" t="s">
        <v>9035</v>
      </c>
      <c r="C6793" s="803" t="s">
        <v>20152</v>
      </c>
      <c r="D6793" s="803" t="s">
        <v>9140</v>
      </c>
      <c r="E6793" s="803">
        <v>100</v>
      </c>
      <c r="F6793" s="850">
        <v>0</v>
      </c>
      <c r="G6793" s="202" t="str">
        <f t="shared" si="105"/>
        <v/>
      </c>
    </row>
    <row r="6794" spans="1:7" s="172" customFormat="1" ht="15" customHeight="1" x14ac:dyDescent="0.25">
      <c r="A6794" s="803" t="s">
        <v>16144</v>
      </c>
      <c r="B6794" s="803" t="s">
        <v>9035</v>
      </c>
      <c r="C6794" s="803" t="s">
        <v>20152</v>
      </c>
      <c r="D6794" s="803" t="s">
        <v>9141</v>
      </c>
      <c r="E6794" s="803">
        <v>63</v>
      </c>
      <c r="F6794" s="850">
        <v>25</v>
      </c>
      <c r="G6794" s="202" t="str">
        <f t="shared" si="105"/>
        <v/>
      </c>
    </row>
    <row r="6795" spans="1:7" s="172" customFormat="1" ht="15" customHeight="1" x14ac:dyDescent="0.25">
      <c r="A6795" s="803" t="s">
        <v>16144</v>
      </c>
      <c r="B6795" s="803" t="s">
        <v>9035</v>
      </c>
      <c r="C6795" s="803" t="s">
        <v>20152</v>
      </c>
      <c r="D6795" s="803" t="s">
        <v>9142</v>
      </c>
      <c r="E6795" s="803">
        <v>250</v>
      </c>
      <c r="F6795" s="850">
        <v>65</v>
      </c>
      <c r="G6795" s="202" t="str">
        <f t="shared" si="105"/>
        <v/>
      </c>
    </row>
    <row r="6796" spans="1:7" s="172" customFormat="1" ht="15" customHeight="1" x14ac:dyDescent="0.25">
      <c r="A6796" s="803" t="s">
        <v>16145</v>
      </c>
      <c r="B6796" s="803" t="s">
        <v>9035</v>
      </c>
      <c r="C6796" s="803" t="s">
        <v>20152</v>
      </c>
      <c r="D6796" s="803" t="s">
        <v>9143</v>
      </c>
      <c r="E6796" s="803">
        <v>4</v>
      </c>
      <c r="F6796" s="850">
        <v>-1</v>
      </c>
      <c r="G6796" s="202" t="str">
        <f t="shared" si="105"/>
        <v/>
      </c>
    </row>
    <row r="6797" spans="1:7" s="172" customFormat="1" ht="15" customHeight="1" x14ac:dyDescent="0.25">
      <c r="A6797" s="803" t="s">
        <v>16146</v>
      </c>
      <c r="B6797" s="803" t="s">
        <v>9035</v>
      </c>
      <c r="C6797" s="803" t="s">
        <v>20152</v>
      </c>
      <c r="D6797" s="803" t="s">
        <v>9144</v>
      </c>
      <c r="E6797" s="803">
        <v>100</v>
      </c>
      <c r="F6797" s="850">
        <v>0</v>
      </c>
      <c r="G6797" s="202" t="str">
        <f t="shared" si="105"/>
        <v/>
      </c>
    </row>
    <row r="6798" spans="1:7" s="172" customFormat="1" ht="15" customHeight="1" x14ac:dyDescent="0.25">
      <c r="A6798" s="803" t="s">
        <v>16147</v>
      </c>
      <c r="B6798" s="803" t="s">
        <v>9035</v>
      </c>
      <c r="C6798" s="803" t="s">
        <v>20152</v>
      </c>
      <c r="D6798" s="803" t="s">
        <v>9145</v>
      </c>
      <c r="E6798" s="803">
        <v>40</v>
      </c>
      <c r="F6798" s="850">
        <v>0</v>
      </c>
      <c r="G6798" s="202" t="str">
        <f t="shared" si="105"/>
        <v/>
      </c>
    </row>
    <row r="6799" spans="1:7" s="172" customFormat="1" ht="15" customHeight="1" x14ac:dyDescent="0.25">
      <c r="A6799" s="803" t="s">
        <v>16148</v>
      </c>
      <c r="B6799" s="803" t="s">
        <v>9035</v>
      </c>
      <c r="C6799" s="803" t="s">
        <v>20152</v>
      </c>
      <c r="D6799" s="803" t="s">
        <v>9146</v>
      </c>
      <c r="E6799" s="803">
        <v>63</v>
      </c>
      <c r="F6799" s="850">
        <v>50</v>
      </c>
      <c r="G6799" s="202" t="str">
        <f t="shared" si="105"/>
        <v/>
      </c>
    </row>
    <row r="6800" spans="1:7" s="172" customFormat="1" ht="15" customHeight="1" x14ac:dyDescent="0.25">
      <c r="A6800" s="803" t="s">
        <v>16149</v>
      </c>
      <c r="B6800" s="803" t="s">
        <v>9035</v>
      </c>
      <c r="C6800" s="803" t="s">
        <v>20152</v>
      </c>
      <c r="D6800" s="803" t="s">
        <v>9147</v>
      </c>
      <c r="E6800" s="803">
        <v>63</v>
      </c>
      <c r="F6800" s="850">
        <v>30</v>
      </c>
      <c r="G6800" s="202" t="str">
        <f t="shared" si="105"/>
        <v/>
      </c>
    </row>
    <row r="6801" spans="1:7" s="172" customFormat="1" ht="15" customHeight="1" x14ac:dyDescent="0.25">
      <c r="A6801" s="803" t="s">
        <v>16150</v>
      </c>
      <c r="B6801" s="803" t="s">
        <v>9035</v>
      </c>
      <c r="C6801" s="803" t="s">
        <v>20152</v>
      </c>
      <c r="D6801" s="803" t="s">
        <v>9148</v>
      </c>
      <c r="E6801" s="803">
        <v>63</v>
      </c>
      <c r="F6801" s="850">
        <v>5</v>
      </c>
      <c r="G6801" s="202" t="str">
        <f t="shared" si="105"/>
        <v/>
      </c>
    </row>
    <row r="6802" spans="1:7" s="172" customFormat="1" ht="15" customHeight="1" x14ac:dyDescent="0.25">
      <c r="A6802" s="803" t="s">
        <v>16151</v>
      </c>
      <c r="B6802" s="803" t="s">
        <v>9035</v>
      </c>
      <c r="C6802" s="803" t="s">
        <v>20152</v>
      </c>
      <c r="D6802" s="803" t="s">
        <v>2588</v>
      </c>
      <c r="E6802" s="803">
        <v>100</v>
      </c>
      <c r="F6802" s="850">
        <v>30</v>
      </c>
      <c r="G6802" s="202" t="str">
        <f t="shared" si="105"/>
        <v/>
      </c>
    </row>
    <row r="6803" spans="1:7" s="172" customFormat="1" ht="15" customHeight="1" x14ac:dyDescent="0.25">
      <c r="A6803" s="803" t="s">
        <v>9149</v>
      </c>
      <c r="B6803" s="803" t="s">
        <v>9035</v>
      </c>
      <c r="C6803" s="803" t="s">
        <v>20152</v>
      </c>
      <c r="D6803" s="803" t="s">
        <v>9150</v>
      </c>
      <c r="E6803" s="803">
        <v>100</v>
      </c>
      <c r="F6803" s="850">
        <v>0</v>
      </c>
      <c r="G6803" s="202" t="str">
        <f t="shared" si="105"/>
        <v/>
      </c>
    </row>
    <row r="6804" spans="1:7" s="172" customFormat="1" ht="15" customHeight="1" x14ac:dyDescent="0.25">
      <c r="A6804" s="803" t="s">
        <v>9149</v>
      </c>
      <c r="B6804" s="803" t="s">
        <v>9035</v>
      </c>
      <c r="C6804" s="803" t="s">
        <v>20152</v>
      </c>
      <c r="D6804" s="803" t="s">
        <v>9151</v>
      </c>
      <c r="E6804" s="803">
        <v>100</v>
      </c>
      <c r="F6804" s="850">
        <v>70</v>
      </c>
      <c r="G6804" s="202" t="str">
        <f t="shared" si="105"/>
        <v/>
      </c>
    </row>
    <row r="6805" spans="1:7" s="172" customFormat="1" ht="15" customHeight="1" x14ac:dyDescent="0.25">
      <c r="A6805" s="803" t="s">
        <v>9149</v>
      </c>
      <c r="B6805" s="803" t="s">
        <v>9035</v>
      </c>
      <c r="C6805" s="803" t="s">
        <v>20152</v>
      </c>
      <c r="D6805" s="803" t="s">
        <v>9152</v>
      </c>
      <c r="E6805" s="803">
        <v>250</v>
      </c>
      <c r="F6805" s="850">
        <v>85</v>
      </c>
      <c r="G6805" s="202" t="str">
        <f t="shared" si="105"/>
        <v/>
      </c>
    </row>
    <row r="6806" spans="1:7" s="172" customFormat="1" ht="15" customHeight="1" x14ac:dyDescent="0.25">
      <c r="A6806" s="803" t="s">
        <v>16152</v>
      </c>
      <c r="B6806" s="803" t="s">
        <v>9035</v>
      </c>
      <c r="C6806" s="803" t="s">
        <v>20152</v>
      </c>
      <c r="D6806" s="803" t="s">
        <v>9153</v>
      </c>
      <c r="E6806" s="803">
        <v>250</v>
      </c>
      <c r="F6806" s="850">
        <v>150</v>
      </c>
      <c r="G6806" s="202" t="str">
        <f t="shared" si="105"/>
        <v/>
      </c>
    </row>
    <row r="6807" spans="1:7" s="172" customFormat="1" ht="15" customHeight="1" x14ac:dyDescent="0.25">
      <c r="A6807" s="803" t="s">
        <v>16153</v>
      </c>
      <c r="B6807" s="803" t="s">
        <v>9035</v>
      </c>
      <c r="C6807" s="803" t="s">
        <v>20152</v>
      </c>
      <c r="D6807" s="803" t="s">
        <v>9154</v>
      </c>
      <c r="E6807" s="803">
        <v>40</v>
      </c>
      <c r="F6807" s="850">
        <v>10</v>
      </c>
      <c r="G6807" s="202" t="str">
        <f t="shared" si="105"/>
        <v/>
      </c>
    </row>
    <row r="6808" spans="1:7" s="172" customFormat="1" ht="15" customHeight="1" x14ac:dyDescent="0.25">
      <c r="A6808" s="803" t="s">
        <v>16154</v>
      </c>
      <c r="B6808" s="803" t="s">
        <v>9035</v>
      </c>
      <c r="C6808" s="803" t="s">
        <v>20152</v>
      </c>
      <c r="D6808" s="803" t="s">
        <v>9155</v>
      </c>
      <c r="E6808" s="803">
        <v>10</v>
      </c>
      <c r="F6808" s="850">
        <v>0</v>
      </c>
      <c r="G6808" s="202" t="str">
        <f t="shared" si="105"/>
        <v/>
      </c>
    </row>
    <row r="6809" spans="1:7" s="172" customFormat="1" ht="15" customHeight="1" x14ac:dyDescent="0.25">
      <c r="A6809" s="803" t="s">
        <v>9156</v>
      </c>
      <c r="B6809" s="803" t="s">
        <v>9035</v>
      </c>
      <c r="C6809" s="803" t="s">
        <v>20152</v>
      </c>
      <c r="D6809" s="803" t="s">
        <v>9157</v>
      </c>
      <c r="E6809" s="803">
        <v>250</v>
      </c>
      <c r="F6809" s="850">
        <v>65</v>
      </c>
      <c r="G6809" s="202" t="str">
        <f t="shared" si="105"/>
        <v/>
      </c>
    </row>
    <row r="6810" spans="1:7" s="172" customFormat="1" ht="15" customHeight="1" x14ac:dyDescent="0.25">
      <c r="A6810" s="803" t="s">
        <v>15788</v>
      </c>
      <c r="B6810" s="803" t="s">
        <v>9035</v>
      </c>
      <c r="C6810" s="803" t="s">
        <v>20152</v>
      </c>
      <c r="D6810" s="803" t="s">
        <v>9158</v>
      </c>
      <c r="E6810" s="803">
        <v>100</v>
      </c>
      <c r="F6810" s="850">
        <v>55</v>
      </c>
      <c r="G6810" s="202" t="str">
        <f t="shared" si="105"/>
        <v/>
      </c>
    </row>
    <row r="6811" spans="1:7" s="172" customFormat="1" ht="15" customHeight="1" x14ac:dyDescent="0.25">
      <c r="A6811" s="803" t="s">
        <v>16155</v>
      </c>
      <c r="B6811" s="803" t="s">
        <v>9035</v>
      </c>
      <c r="C6811" s="803" t="s">
        <v>20152</v>
      </c>
      <c r="D6811" s="803" t="s">
        <v>9159</v>
      </c>
      <c r="E6811" s="803">
        <v>30</v>
      </c>
      <c r="F6811" s="850">
        <v>0</v>
      </c>
      <c r="G6811" s="202" t="str">
        <f t="shared" si="105"/>
        <v/>
      </c>
    </row>
    <row r="6812" spans="1:7" s="172" customFormat="1" ht="15" customHeight="1" x14ac:dyDescent="0.25">
      <c r="A6812" s="803" t="s">
        <v>16155</v>
      </c>
      <c r="B6812" s="803" t="s">
        <v>9035</v>
      </c>
      <c r="C6812" s="803" t="s">
        <v>20152</v>
      </c>
      <c r="D6812" s="803" t="s">
        <v>9160</v>
      </c>
      <c r="E6812" s="803">
        <v>400</v>
      </c>
      <c r="F6812" s="850">
        <v>180</v>
      </c>
      <c r="G6812" s="202" t="str">
        <f t="shared" si="105"/>
        <v/>
      </c>
    </row>
    <row r="6813" spans="1:7" s="172" customFormat="1" ht="15" customHeight="1" x14ac:dyDescent="0.25">
      <c r="A6813" s="803" t="s">
        <v>9161</v>
      </c>
      <c r="B6813" s="803" t="s">
        <v>9035</v>
      </c>
      <c r="C6813" s="803" t="s">
        <v>20152</v>
      </c>
      <c r="D6813" s="803" t="s">
        <v>9162</v>
      </c>
      <c r="E6813" s="803">
        <v>30</v>
      </c>
      <c r="F6813" s="850">
        <v>-5</v>
      </c>
      <c r="G6813" s="202" t="str">
        <f t="shared" si="105"/>
        <v/>
      </c>
    </row>
    <row r="6814" spans="1:7" s="172" customFormat="1" ht="15" customHeight="1" x14ac:dyDescent="0.25">
      <c r="A6814" s="803" t="s">
        <v>9161</v>
      </c>
      <c r="B6814" s="803" t="s">
        <v>9035</v>
      </c>
      <c r="C6814" s="803" t="s">
        <v>20152</v>
      </c>
      <c r="D6814" s="803" t="s">
        <v>9163</v>
      </c>
      <c r="E6814" s="803">
        <v>63</v>
      </c>
      <c r="F6814" s="850">
        <v>18</v>
      </c>
      <c r="G6814" s="202" t="str">
        <f t="shared" ref="G6814:G6877" si="106">IF(E6814=F6814,"не загружен","")</f>
        <v/>
      </c>
    </row>
    <row r="6815" spans="1:7" s="172" customFormat="1" ht="15" customHeight="1" x14ac:dyDescent="0.25">
      <c r="A6815" s="803" t="s">
        <v>16156</v>
      </c>
      <c r="B6815" s="803" t="s">
        <v>9035</v>
      </c>
      <c r="C6815" s="803" t="s">
        <v>20152</v>
      </c>
      <c r="D6815" s="803" t="s">
        <v>9164</v>
      </c>
      <c r="E6815" s="803">
        <v>100</v>
      </c>
      <c r="F6815" s="850">
        <v>0</v>
      </c>
      <c r="G6815" s="202" t="str">
        <f t="shared" si="106"/>
        <v/>
      </c>
    </row>
    <row r="6816" spans="1:7" s="172" customFormat="1" ht="15" customHeight="1" x14ac:dyDescent="0.25">
      <c r="A6816" s="803" t="s">
        <v>16156</v>
      </c>
      <c r="B6816" s="803" t="s">
        <v>9035</v>
      </c>
      <c r="C6816" s="803" t="s">
        <v>20152</v>
      </c>
      <c r="D6816" s="803" t="s">
        <v>9165</v>
      </c>
      <c r="E6816" s="803">
        <v>63</v>
      </c>
      <c r="F6816" s="850">
        <v>0</v>
      </c>
      <c r="G6816" s="202" t="str">
        <f t="shared" si="106"/>
        <v/>
      </c>
    </row>
    <row r="6817" spans="1:7" s="172" customFormat="1" ht="15" customHeight="1" x14ac:dyDescent="0.25">
      <c r="A6817" s="803" t="s">
        <v>9166</v>
      </c>
      <c r="B6817" s="803" t="s">
        <v>9035</v>
      </c>
      <c r="C6817" s="803" t="s">
        <v>20152</v>
      </c>
      <c r="D6817" s="803" t="s">
        <v>9167</v>
      </c>
      <c r="E6817" s="803">
        <v>100</v>
      </c>
      <c r="F6817" s="850">
        <v>30</v>
      </c>
      <c r="G6817" s="202" t="str">
        <f t="shared" si="106"/>
        <v/>
      </c>
    </row>
    <row r="6818" spans="1:7" s="172" customFormat="1" ht="15" customHeight="1" x14ac:dyDescent="0.25">
      <c r="A6818" s="803" t="s">
        <v>9168</v>
      </c>
      <c r="B6818" s="803" t="s">
        <v>9035</v>
      </c>
      <c r="C6818" s="803" t="s">
        <v>20152</v>
      </c>
      <c r="D6818" s="803" t="s">
        <v>9169</v>
      </c>
      <c r="E6818" s="803">
        <v>60</v>
      </c>
      <c r="F6818" s="850">
        <v>0</v>
      </c>
      <c r="G6818" s="202" t="str">
        <f t="shared" si="106"/>
        <v/>
      </c>
    </row>
    <row r="6819" spans="1:7" s="172" customFormat="1" ht="15" customHeight="1" x14ac:dyDescent="0.25">
      <c r="A6819" s="803" t="s">
        <v>9170</v>
      </c>
      <c r="B6819" s="803" t="s">
        <v>9035</v>
      </c>
      <c r="C6819" s="803" t="s">
        <v>20152</v>
      </c>
      <c r="D6819" s="803" t="s">
        <v>9171</v>
      </c>
      <c r="E6819" s="803">
        <v>250</v>
      </c>
      <c r="F6819" s="850">
        <v>100</v>
      </c>
      <c r="G6819" s="202" t="str">
        <f t="shared" si="106"/>
        <v/>
      </c>
    </row>
    <row r="6820" spans="1:7" s="172" customFormat="1" ht="15" customHeight="1" x14ac:dyDescent="0.25">
      <c r="A6820" s="803" t="s">
        <v>9172</v>
      </c>
      <c r="B6820" s="803" t="s">
        <v>9035</v>
      </c>
      <c r="C6820" s="803" t="s">
        <v>20152</v>
      </c>
      <c r="D6820" s="803" t="s">
        <v>9173</v>
      </c>
      <c r="E6820" s="803">
        <v>30</v>
      </c>
      <c r="F6820" s="850">
        <v>15</v>
      </c>
      <c r="G6820" s="202" t="str">
        <f t="shared" si="106"/>
        <v/>
      </c>
    </row>
    <row r="6821" spans="1:7" s="172" customFormat="1" ht="15" customHeight="1" x14ac:dyDescent="0.25">
      <c r="A6821" s="803" t="s">
        <v>9174</v>
      </c>
      <c r="B6821" s="803" t="s">
        <v>9035</v>
      </c>
      <c r="C6821" s="803" t="s">
        <v>20152</v>
      </c>
      <c r="D6821" s="803" t="s">
        <v>9175</v>
      </c>
      <c r="E6821" s="803">
        <v>100</v>
      </c>
      <c r="F6821" s="850">
        <v>55</v>
      </c>
      <c r="G6821" s="202" t="str">
        <f t="shared" si="106"/>
        <v/>
      </c>
    </row>
    <row r="6822" spans="1:7" s="172" customFormat="1" ht="15" customHeight="1" x14ac:dyDescent="0.25">
      <c r="A6822" s="803" t="s">
        <v>9176</v>
      </c>
      <c r="B6822" s="803" t="s">
        <v>9035</v>
      </c>
      <c r="C6822" s="803" t="s">
        <v>20152</v>
      </c>
      <c r="D6822" s="803" t="s">
        <v>9177</v>
      </c>
      <c r="E6822" s="803">
        <v>30</v>
      </c>
      <c r="F6822" s="850">
        <v>20</v>
      </c>
      <c r="G6822" s="202" t="str">
        <f t="shared" si="106"/>
        <v/>
      </c>
    </row>
    <row r="6823" spans="1:7" s="172" customFormat="1" ht="15" customHeight="1" x14ac:dyDescent="0.25">
      <c r="A6823" s="803" t="s">
        <v>7345</v>
      </c>
      <c r="B6823" s="803" t="s">
        <v>9035</v>
      </c>
      <c r="C6823" s="803" t="s">
        <v>20152</v>
      </c>
      <c r="D6823" s="803" t="s">
        <v>9178</v>
      </c>
      <c r="E6823" s="803">
        <v>100</v>
      </c>
      <c r="F6823" s="850">
        <v>5</v>
      </c>
      <c r="G6823" s="202" t="str">
        <f t="shared" si="106"/>
        <v/>
      </c>
    </row>
    <row r="6824" spans="1:7" s="172" customFormat="1" ht="15" customHeight="1" x14ac:dyDescent="0.25">
      <c r="A6824" s="803" t="s">
        <v>7345</v>
      </c>
      <c r="B6824" s="803" t="s">
        <v>9035</v>
      </c>
      <c r="C6824" s="803" t="s">
        <v>20152</v>
      </c>
      <c r="D6824" s="803" t="s">
        <v>9179</v>
      </c>
      <c r="E6824" s="803">
        <v>250</v>
      </c>
      <c r="F6824" s="850">
        <v>240</v>
      </c>
      <c r="G6824" s="202" t="str">
        <f t="shared" si="106"/>
        <v/>
      </c>
    </row>
    <row r="6825" spans="1:7" s="172" customFormat="1" ht="15" customHeight="1" x14ac:dyDescent="0.25">
      <c r="A6825" s="803" t="s">
        <v>7345</v>
      </c>
      <c r="B6825" s="803" t="s">
        <v>9035</v>
      </c>
      <c r="C6825" s="803" t="s">
        <v>20152</v>
      </c>
      <c r="D6825" s="803" t="s">
        <v>9180</v>
      </c>
      <c r="E6825" s="803">
        <v>100</v>
      </c>
      <c r="F6825" s="850">
        <v>100</v>
      </c>
      <c r="G6825" s="202" t="str">
        <f t="shared" si="106"/>
        <v>не загружен</v>
      </c>
    </row>
    <row r="6826" spans="1:7" s="172" customFormat="1" ht="15" customHeight="1" x14ac:dyDescent="0.25">
      <c r="A6826" s="803" t="s">
        <v>7460</v>
      </c>
      <c r="B6826" s="803" t="s">
        <v>9035</v>
      </c>
      <c r="C6826" s="803" t="s">
        <v>20152</v>
      </c>
      <c r="D6826" s="803" t="s">
        <v>9181</v>
      </c>
      <c r="E6826" s="803">
        <v>100</v>
      </c>
      <c r="F6826" s="850">
        <v>65</v>
      </c>
      <c r="G6826" s="202" t="str">
        <f t="shared" si="106"/>
        <v/>
      </c>
    </row>
    <row r="6827" spans="1:7" s="172" customFormat="1" ht="15" customHeight="1" x14ac:dyDescent="0.25">
      <c r="A6827" s="803" t="s">
        <v>9182</v>
      </c>
      <c r="B6827" s="803" t="s">
        <v>9035</v>
      </c>
      <c r="C6827" s="803" t="s">
        <v>20152</v>
      </c>
      <c r="D6827" s="803" t="s">
        <v>9183</v>
      </c>
      <c r="E6827" s="803">
        <v>30</v>
      </c>
      <c r="F6827" s="850">
        <v>0</v>
      </c>
      <c r="G6827" s="202" t="str">
        <f t="shared" si="106"/>
        <v/>
      </c>
    </row>
    <row r="6828" spans="1:7" s="172" customFormat="1" ht="15" customHeight="1" x14ac:dyDescent="0.25">
      <c r="A6828" s="803" t="s">
        <v>16157</v>
      </c>
      <c r="B6828" s="803" t="s">
        <v>9035</v>
      </c>
      <c r="C6828" s="803" t="s">
        <v>20152</v>
      </c>
      <c r="D6828" s="803" t="s">
        <v>9184</v>
      </c>
      <c r="E6828" s="803">
        <v>30</v>
      </c>
      <c r="F6828" s="850">
        <v>12</v>
      </c>
      <c r="G6828" s="202" t="str">
        <f t="shared" si="106"/>
        <v/>
      </c>
    </row>
    <row r="6829" spans="1:7" s="172" customFormat="1" ht="15" customHeight="1" x14ac:dyDescent="0.25">
      <c r="A6829" s="803" t="s">
        <v>9185</v>
      </c>
      <c r="B6829" s="803" t="s">
        <v>9035</v>
      </c>
      <c r="C6829" s="803" t="s">
        <v>20152</v>
      </c>
      <c r="D6829" s="803" t="s">
        <v>9186</v>
      </c>
      <c r="E6829" s="803">
        <v>40</v>
      </c>
      <c r="F6829" s="850">
        <v>30</v>
      </c>
      <c r="G6829" s="202" t="str">
        <f t="shared" si="106"/>
        <v/>
      </c>
    </row>
    <row r="6830" spans="1:7" s="172" customFormat="1" ht="15" customHeight="1" x14ac:dyDescent="0.25">
      <c r="A6830" s="803" t="s">
        <v>9187</v>
      </c>
      <c r="B6830" s="803" t="s">
        <v>9035</v>
      </c>
      <c r="C6830" s="803" t="s">
        <v>20152</v>
      </c>
      <c r="D6830" s="803" t="s">
        <v>9188</v>
      </c>
      <c r="E6830" s="803">
        <v>10</v>
      </c>
      <c r="F6830" s="850">
        <v>3</v>
      </c>
      <c r="G6830" s="202" t="str">
        <f t="shared" si="106"/>
        <v/>
      </c>
    </row>
    <row r="6831" spans="1:7" s="172" customFormat="1" ht="15" customHeight="1" x14ac:dyDescent="0.25">
      <c r="A6831" s="803" t="s">
        <v>9189</v>
      </c>
      <c r="B6831" s="803" t="s">
        <v>9035</v>
      </c>
      <c r="C6831" s="803" t="s">
        <v>20152</v>
      </c>
      <c r="D6831" s="803" t="s">
        <v>9190</v>
      </c>
      <c r="E6831" s="803">
        <v>100</v>
      </c>
      <c r="F6831" s="850">
        <v>-5</v>
      </c>
      <c r="G6831" s="202" t="str">
        <f t="shared" si="106"/>
        <v/>
      </c>
    </row>
    <row r="6832" spans="1:7" s="172" customFormat="1" ht="15" customHeight="1" x14ac:dyDescent="0.25">
      <c r="A6832" s="803" t="s">
        <v>9191</v>
      </c>
      <c r="B6832" s="803" t="s">
        <v>9035</v>
      </c>
      <c r="C6832" s="803" t="s">
        <v>20152</v>
      </c>
      <c r="D6832" s="803" t="s">
        <v>9192</v>
      </c>
      <c r="E6832" s="803">
        <v>25</v>
      </c>
      <c r="F6832" s="850">
        <v>3</v>
      </c>
      <c r="G6832" s="202" t="str">
        <f t="shared" si="106"/>
        <v/>
      </c>
    </row>
    <row r="6833" spans="1:7" s="172" customFormat="1" ht="15" customHeight="1" x14ac:dyDescent="0.25">
      <c r="A6833" s="803" t="s">
        <v>9193</v>
      </c>
      <c r="B6833" s="803" t="s">
        <v>9035</v>
      </c>
      <c r="C6833" s="803" t="s">
        <v>20152</v>
      </c>
      <c r="D6833" s="803" t="s">
        <v>9194</v>
      </c>
      <c r="E6833" s="803">
        <v>30</v>
      </c>
      <c r="F6833" s="850">
        <v>10</v>
      </c>
      <c r="G6833" s="202" t="str">
        <f t="shared" si="106"/>
        <v/>
      </c>
    </row>
    <row r="6834" spans="1:7" s="172" customFormat="1" ht="15" customHeight="1" x14ac:dyDescent="0.25">
      <c r="A6834" s="803" t="s">
        <v>9195</v>
      </c>
      <c r="B6834" s="803" t="s">
        <v>9035</v>
      </c>
      <c r="C6834" s="803" t="s">
        <v>20152</v>
      </c>
      <c r="D6834" s="803" t="s">
        <v>9196</v>
      </c>
      <c r="E6834" s="803">
        <v>160</v>
      </c>
      <c r="F6834" s="850">
        <v>18</v>
      </c>
      <c r="G6834" s="202" t="str">
        <f t="shared" si="106"/>
        <v/>
      </c>
    </row>
    <row r="6835" spans="1:7" s="172" customFormat="1" ht="15" customHeight="1" x14ac:dyDescent="0.25">
      <c r="A6835" s="803" t="s">
        <v>9195</v>
      </c>
      <c r="B6835" s="803" t="s">
        <v>9035</v>
      </c>
      <c r="C6835" s="803" t="s">
        <v>20152</v>
      </c>
      <c r="D6835" s="803" t="s">
        <v>9197</v>
      </c>
      <c r="E6835" s="803">
        <v>100</v>
      </c>
      <c r="F6835" s="850">
        <v>20</v>
      </c>
      <c r="G6835" s="202" t="str">
        <f t="shared" si="106"/>
        <v/>
      </c>
    </row>
    <row r="6836" spans="1:7" s="172" customFormat="1" ht="15" customHeight="1" x14ac:dyDescent="0.25">
      <c r="A6836" s="803" t="s">
        <v>9198</v>
      </c>
      <c r="B6836" s="803" t="s">
        <v>9035</v>
      </c>
      <c r="C6836" s="803" t="s">
        <v>20152</v>
      </c>
      <c r="D6836" s="803" t="s">
        <v>9199</v>
      </c>
      <c r="E6836" s="803">
        <v>100</v>
      </c>
      <c r="F6836" s="850">
        <v>45</v>
      </c>
      <c r="G6836" s="202" t="str">
        <f t="shared" si="106"/>
        <v/>
      </c>
    </row>
    <row r="6837" spans="1:7" s="172" customFormat="1" ht="15" customHeight="1" x14ac:dyDescent="0.25">
      <c r="A6837" s="803" t="s">
        <v>9200</v>
      </c>
      <c r="B6837" s="803" t="s">
        <v>9035</v>
      </c>
      <c r="C6837" s="803" t="s">
        <v>20152</v>
      </c>
      <c r="D6837" s="803" t="s">
        <v>9201</v>
      </c>
      <c r="E6837" s="803">
        <v>60</v>
      </c>
      <c r="F6837" s="850">
        <v>35</v>
      </c>
      <c r="G6837" s="202" t="str">
        <f t="shared" si="106"/>
        <v/>
      </c>
    </row>
    <row r="6838" spans="1:7" s="172" customFormat="1" ht="15" customHeight="1" x14ac:dyDescent="0.25">
      <c r="A6838" s="803" t="s">
        <v>3084</v>
      </c>
      <c r="B6838" s="803" t="s">
        <v>9035</v>
      </c>
      <c r="C6838" s="803" t="s">
        <v>20152</v>
      </c>
      <c r="D6838" s="803" t="s">
        <v>9202</v>
      </c>
      <c r="E6838" s="803">
        <v>63</v>
      </c>
      <c r="F6838" s="850">
        <v>40</v>
      </c>
      <c r="G6838" s="202" t="str">
        <f t="shared" si="106"/>
        <v/>
      </c>
    </row>
    <row r="6839" spans="1:7" s="172" customFormat="1" ht="15" customHeight="1" x14ac:dyDescent="0.25">
      <c r="A6839" s="803" t="s">
        <v>16158</v>
      </c>
      <c r="B6839" s="803" t="s">
        <v>9035</v>
      </c>
      <c r="C6839" s="803" t="s">
        <v>20152</v>
      </c>
      <c r="D6839" s="803" t="s">
        <v>9203</v>
      </c>
      <c r="E6839" s="803">
        <v>63</v>
      </c>
      <c r="F6839" s="850">
        <v>0</v>
      </c>
      <c r="G6839" s="202" t="str">
        <f t="shared" si="106"/>
        <v/>
      </c>
    </row>
    <row r="6840" spans="1:7" s="172" customFormat="1" ht="15" customHeight="1" x14ac:dyDescent="0.25">
      <c r="A6840" s="803" t="s">
        <v>9204</v>
      </c>
      <c r="B6840" s="803" t="s">
        <v>9035</v>
      </c>
      <c r="C6840" s="803" t="s">
        <v>20152</v>
      </c>
      <c r="D6840" s="803" t="s">
        <v>9205</v>
      </c>
      <c r="E6840" s="803">
        <v>100</v>
      </c>
      <c r="F6840" s="850">
        <v>12</v>
      </c>
      <c r="G6840" s="202" t="str">
        <f t="shared" si="106"/>
        <v/>
      </c>
    </row>
    <row r="6841" spans="1:7" s="172" customFormat="1" ht="15" customHeight="1" x14ac:dyDescent="0.25">
      <c r="A6841" s="803" t="s">
        <v>9204</v>
      </c>
      <c r="B6841" s="803" t="s">
        <v>9035</v>
      </c>
      <c r="C6841" s="803" t="s">
        <v>20152</v>
      </c>
      <c r="D6841" s="803" t="s">
        <v>9206</v>
      </c>
      <c r="E6841" s="803">
        <v>250</v>
      </c>
      <c r="F6841" s="850">
        <v>15</v>
      </c>
      <c r="G6841" s="202" t="str">
        <f t="shared" si="106"/>
        <v/>
      </c>
    </row>
    <row r="6842" spans="1:7" s="172" customFormat="1" ht="15" customHeight="1" x14ac:dyDescent="0.25">
      <c r="A6842" s="803" t="s">
        <v>9204</v>
      </c>
      <c r="B6842" s="803" t="s">
        <v>9035</v>
      </c>
      <c r="C6842" s="803" t="s">
        <v>20152</v>
      </c>
      <c r="D6842" s="803" t="s">
        <v>9207</v>
      </c>
      <c r="E6842" s="803">
        <v>250</v>
      </c>
      <c r="F6842" s="850">
        <v>235</v>
      </c>
      <c r="G6842" s="202" t="str">
        <f t="shared" si="106"/>
        <v/>
      </c>
    </row>
    <row r="6843" spans="1:7" s="172" customFormat="1" ht="15" customHeight="1" x14ac:dyDescent="0.25">
      <c r="A6843" s="803" t="s">
        <v>9204</v>
      </c>
      <c r="B6843" s="803" t="s">
        <v>9035</v>
      </c>
      <c r="C6843" s="803" t="s">
        <v>20152</v>
      </c>
      <c r="D6843" s="803" t="s">
        <v>9208</v>
      </c>
      <c r="E6843" s="803">
        <v>250</v>
      </c>
      <c r="F6843" s="850">
        <v>100</v>
      </c>
      <c r="G6843" s="202" t="str">
        <f t="shared" si="106"/>
        <v/>
      </c>
    </row>
    <row r="6844" spans="1:7" s="172" customFormat="1" ht="15" customHeight="1" x14ac:dyDescent="0.25">
      <c r="A6844" s="803" t="s">
        <v>9204</v>
      </c>
      <c r="B6844" s="803" t="s">
        <v>9035</v>
      </c>
      <c r="C6844" s="803" t="s">
        <v>20152</v>
      </c>
      <c r="D6844" s="803" t="s">
        <v>9209</v>
      </c>
      <c r="E6844" s="803">
        <v>63</v>
      </c>
      <c r="F6844" s="850">
        <v>12</v>
      </c>
      <c r="G6844" s="202" t="str">
        <f t="shared" si="106"/>
        <v/>
      </c>
    </row>
    <row r="6845" spans="1:7" s="172" customFormat="1" ht="15" customHeight="1" x14ac:dyDescent="0.25">
      <c r="A6845" s="803" t="s">
        <v>9210</v>
      </c>
      <c r="B6845" s="803" t="s">
        <v>9035</v>
      </c>
      <c r="C6845" s="803" t="s">
        <v>20152</v>
      </c>
      <c r="D6845" s="803" t="s">
        <v>9211</v>
      </c>
      <c r="E6845" s="803">
        <v>100</v>
      </c>
      <c r="F6845" s="850">
        <v>0</v>
      </c>
      <c r="G6845" s="202" t="str">
        <f t="shared" si="106"/>
        <v/>
      </c>
    </row>
    <row r="6846" spans="1:7" s="172" customFormat="1" ht="15" customHeight="1" x14ac:dyDescent="0.25">
      <c r="A6846" s="803" t="s">
        <v>16159</v>
      </c>
      <c r="B6846" s="803" t="s">
        <v>9035</v>
      </c>
      <c r="C6846" s="803" t="s">
        <v>20152</v>
      </c>
      <c r="D6846" s="803" t="s">
        <v>9212</v>
      </c>
      <c r="E6846" s="803">
        <v>63</v>
      </c>
      <c r="F6846" s="850">
        <v>0</v>
      </c>
      <c r="G6846" s="202" t="str">
        <f t="shared" si="106"/>
        <v/>
      </c>
    </row>
    <row r="6847" spans="1:7" s="172" customFormat="1" ht="15" customHeight="1" x14ac:dyDescent="0.25">
      <c r="A6847" s="803" t="s">
        <v>9213</v>
      </c>
      <c r="B6847" s="803" t="s">
        <v>9035</v>
      </c>
      <c r="C6847" s="803" t="s">
        <v>20152</v>
      </c>
      <c r="D6847" s="803" t="s">
        <v>9214</v>
      </c>
      <c r="E6847" s="803">
        <v>63</v>
      </c>
      <c r="F6847" s="850">
        <v>12</v>
      </c>
      <c r="G6847" s="202" t="str">
        <f t="shared" si="106"/>
        <v/>
      </c>
    </row>
    <row r="6848" spans="1:7" s="172" customFormat="1" ht="15" customHeight="1" x14ac:dyDescent="0.25">
      <c r="A6848" s="803" t="s">
        <v>2660</v>
      </c>
      <c r="B6848" s="803" t="s">
        <v>9035</v>
      </c>
      <c r="C6848" s="803" t="s">
        <v>20152</v>
      </c>
      <c r="D6848" s="803" t="s">
        <v>2661</v>
      </c>
      <c r="E6848" s="803">
        <v>63</v>
      </c>
      <c r="F6848" s="850">
        <v>20</v>
      </c>
      <c r="G6848" s="202" t="str">
        <f t="shared" si="106"/>
        <v/>
      </c>
    </row>
    <row r="6849" spans="1:7" s="172" customFormat="1" ht="15" customHeight="1" x14ac:dyDescent="0.25">
      <c r="A6849" s="803" t="s">
        <v>9215</v>
      </c>
      <c r="B6849" s="803" t="s">
        <v>9035</v>
      </c>
      <c r="C6849" s="803" t="s">
        <v>20152</v>
      </c>
      <c r="D6849" s="803" t="s">
        <v>9216</v>
      </c>
      <c r="E6849" s="803">
        <v>63</v>
      </c>
      <c r="F6849" s="850">
        <v>12</v>
      </c>
      <c r="G6849" s="202" t="str">
        <f t="shared" si="106"/>
        <v/>
      </c>
    </row>
    <row r="6850" spans="1:7" s="172" customFormat="1" ht="15" customHeight="1" x14ac:dyDescent="0.25">
      <c r="A6850" s="803" t="s">
        <v>9215</v>
      </c>
      <c r="B6850" s="803" t="s">
        <v>9035</v>
      </c>
      <c r="C6850" s="803" t="s">
        <v>20152</v>
      </c>
      <c r="D6850" s="803" t="s">
        <v>9217</v>
      </c>
      <c r="E6850" s="803">
        <v>250</v>
      </c>
      <c r="F6850" s="850">
        <v>55</v>
      </c>
      <c r="G6850" s="202" t="str">
        <f t="shared" si="106"/>
        <v/>
      </c>
    </row>
    <row r="6851" spans="1:7" s="172" customFormat="1" ht="15" customHeight="1" x14ac:dyDescent="0.25">
      <c r="A6851" s="803" t="s">
        <v>9215</v>
      </c>
      <c r="B6851" s="803" t="s">
        <v>9035</v>
      </c>
      <c r="C6851" s="803" t="s">
        <v>20152</v>
      </c>
      <c r="D6851" s="803" t="s">
        <v>9218</v>
      </c>
      <c r="E6851" s="803">
        <v>250</v>
      </c>
      <c r="F6851" s="850">
        <v>150</v>
      </c>
      <c r="G6851" s="202" t="str">
        <f t="shared" si="106"/>
        <v/>
      </c>
    </row>
    <row r="6852" spans="1:7" s="172" customFormat="1" ht="15" customHeight="1" x14ac:dyDescent="0.25">
      <c r="A6852" s="803" t="s">
        <v>9215</v>
      </c>
      <c r="B6852" s="803" t="s">
        <v>9035</v>
      </c>
      <c r="C6852" s="803" t="s">
        <v>20152</v>
      </c>
      <c r="D6852" s="803" t="s">
        <v>9219</v>
      </c>
      <c r="E6852" s="803">
        <v>100</v>
      </c>
      <c r="F6852" s="850">
        <v>90</v>
      </c>
      <c r="G6852" s="202" t="str">
        <f t="shared" si="106"/>
        <v/>
      </c>
    </row>
    <row r="6853" spans="1:7" s="172" customFormat="1" ht="15" customHeight="1" x14ac:dyDescent="0.25">
      <c r="A6853" s="803" t="s">
        <v>9220</v>
      </c>
      <c r="B6853" s="803" t="s">
        <v>9035</v>
      </c>
      <c r="C6853" s="803" t="s">
        <v>20152</v>
      </c>
      <c r="D6853" s="803" t="s">
        <v>9221</v>
      </c>
      <c r="E6853" s="803">
        <v>160</v>
      </c>
      <c r="F6853" s="850">
        <v>0</v>
      </c>
      <c r="G6853" s="202" t="str">
        <f t="shared" si="106"/>
        <v/>
      </c>
    </row>
    <row r="6854" spans="1:7" s="172" customFormat="1" ht="15" customHeight="1" x14ac:dyDescent="0.25">
      <c r="A6854" s="803" t="s">
        <v>9222</v>
      </c>
      <c r="B6854" s="803" t="s">
        <v>9035</v>
      </c>
      <c r="C6854" s="803" t="s">
        <v>20152</v>
      </c>
      <c r="D6854" s="803" t="s">
        <v>9115</v>
      </c>
      <c r="E6854" s="803">
        <v>160</v>
      </c>
      <c r="F6854" s="850">
        <v>0</v>
      </c>
      <c r="G6854" s="202" t="str">
        <f t="shared" si="106"/>
        <v/>
      </c>
    </row>
    <row r="6855" spans="1:7" s="172" customFormat="1" ht="15" customHeight="1" x14ac:dyDescent="0.25">
      <c r="A6855" s="803" t="s">
        <v>9223</v>
      </c>
      <c r="B6855" s="803" t="s">
        <v>9035</v>
      </c>
      <c r="C6855" s="803" t="s">
        <v>20152</v>
      </c>
      <c r="D6855" s="803" t="s">
        <v>9224</v>
      </c>
      <c r="E6855" s="803">
        <v>63</v>
      </c>
      <c r="F6855" s="850">
        <v>10</v>
      </c>
      <c r="G6855" s="202" t="str">
        <f t="shared" si="106"/>
        <v/>
      </c>
    </row>
    <row r="6856" spans="1:7" s="172" customFormat="1" ht="15" customHeight="1" x14ac:dyDescent="0.25">
      <c r="A6856" s="803" t="s">
        <v>9223</v>
      </c>
      <c r="B6856" s="803" t="s">
        <v>9035</v>
      </c>
      <c r="C6856" s="803" t="s">
        <v>20152</v>
      </c>
      <c r="D6856" s="803" t="s">
        <v>9225</v>
      </c>
      <c r="E6856" s="803">
        <v>100</v>
      </c>
      <c r="F6856" s="850">
        <v>45</v>
      </c>
      <c r="G6856" s="202" t="str">
        <f t="shared" si="106"/>
        <v/>
      </c>
    </row>
    <row r="6857" spans="1:7" s="172" customFormat="1" ht="15" customHeight="1" x14ac:dyDescent="0.25">
      <c r="A6857" s="803" t="s">
        <v>9226</v>
      </c>
      <c r="B6857" s="803" t="s">
        <v>9035</v>
      </c>
      <c r="C6857" s="803" t="s">
        <v>20152</v>
      </c>
      <c r="D6857" s="803" t="s">
        <v>9227</v>
      </c>
      <c r="E6857" s="803">
        <v>160</v>
      </c>
      <c r="F6857" s="850">
        <v>35</v>
      </c>
      <c r="G6857" s="202" t="str">
        <f t="shared" si="106"/>
        <v/>
      </c>
    </row>
    <row r="6858" spans="1:7" s="172" customFormat="1" ht="15" customHeight="1" x14ac:dyDescent="0.25">
      <c r="A6858" s="803" t="s">
        <v>9228</v>
      </c>
      <c r="B6858" s="803" t="s">
        <v>9035</v>
      </c>
      <c r="C6858" s="803" t="s">
        <v>20152</v>
      </c>
      <c r="D6858" s="803" t="s">
        <v>9229</v>
      </c>
      <c r="E6858" s="803">
        <v>30</v>
      </c>
      <c r="F6858" s="850">
        <v>0</v>
      </c>
      <c r="G6858" s="202" t="str">
        <f t="shared" si="106"/>
        <v/>
      </c>
    </row>
    <row r="6859" spans="1:7" s="172" customFormat="1" ht="15" customHeight="1" x14ac:dyDescent="0.25">
      <c r="A6859" s="803" t="s">
        <v>9230</v>
      </c>
      <c r="B6859" s="803" t="s">
        <v>9035</v>
      </c>
      <c r="C6859" s="803" t="s">
        <v>20152</v>
      </c>
      <c r="D6859" s="803" t="s">
        <v>9231</v>
      </c>
      <c r="E6859" s="803">
        <v>30</v>
      </c>
      <c r="F6859" s="850">
        <v>-10</v>
      </c>
      <c r="G6859" s="202" t="str">
        <f t="shared" si="106"/>
        <v/>
      </c>
    </row>
    <row r="6860" spans="1:7" s="172" customFormat="1" ht="15" customHeight="1" x14ac:dyDescent="0.25">
      <c r="A6860" s="803" t="s">
        <v>9232</v>
      </c>
      <c r="B6860" s="803" t="s">
        <v>9035</v>
      </c>
      <c r="C6860" s="803" t="s">
        <v>20152</v>
      </c>
      <c r="D6860" s="803" t="s">
        <v>9233</v>
      </c>
      <c r="E6860" s="803">
        <v>10</v>
      </c>
      <c r="F6860" s="850">
        <v>7</v>
      </c>
      <c r="G6860" s="202" t="str">
        <f t="shared" si="106"/>
        <v/>
      </c>
    </row>
    <row r="6861" spans="1:7" s="172" customFormat="1" ht="15" customHeight="1" x14ac:dyDescent="0.25">
      <c r="A6861" s="803" t="s">
        <v>9234</v>
      </c>
      <c r="B6861" s="803" t="s">
        <v>9035</v>
      </c>
      <c r="C6861" s="803" t="s">
        <v>20152</v>
      </c>
      <c r="D6861" s="803" t="s">
        <v>9235</v>
      </c>
      <c r="E6861" s="803">
        <v>100</v>
      </c>
      <c r="F6861" s="850">
        <v>0</v>
      </c>
      <c r="G6861" s="202" t="str">
        <f t="shared" si="106"/>
        <v/>
      </c>
    </row>
    <row r="6862" spans="1:7" s="172" customFormat="1" ht="15" customHeight="1" x14ac:dyDescent="0.25">
      <c r="A6862" s="803" t="s">
        <v>9236</v>
      </c>
      <c r="B6862" s="803" t="s">
        <v>9035</v>
      </c>
      <c r="C6862" s="803" t="s">
        <v>20152</v>
      </c>
      <c r="D6862" s="803" t="s">
        <v>9237</v>
      </c>
      <c r="E6862" s="803">
        <v>250</v>
      </c>
      <c r="F6862" s="850">
        <v>150</v>
      </c>
      <c r="G6862" s="202" t="str">
        <f t="shared" si="106"/>
        <v/>
      </c>
    </row>
    <row r="6863" spans="1:7" s="172" customFormat="1" ht="15" customHeight="1" x14ac:dyDescent="0.25">
      <c r="A6863" s="803" t="s">
        <v>9238</v>
      </c>
      <c r="B6863" s="803" t="s">
        <v>9035</v>
      </c>
      <c r="C6863" s="803" t="s">
        <v>20152</v>
      </c>
      <c r="D6863" s="803" t="s">
        <v>9239</v>
      </c>
      <c r="E6863" s="803">
        <v>100</v>
      </c>
      <c r="F6863" s="850">
        <v>10</v>
      </c>
      <c r="G6863" s="202" t="str">
        <f t="shared" si="106"/>
        <v/>
      </c>
    </row>
    <row r="6864" spans="1:7" s="172" customFormat="1" ht="15" customHeight="1" x14ac:dyDescent="0.25">
      <c r="A6864" s="803" t="s">
        <v>16160</v>
      </c>
      <c r="B6864" s="803" t="s">
        <v>9035</v>
      </c>
      <c r="C6864" s="803" t="s">
        <v>20152</v>
      </c>
      <c r="D6864" s="803" t="s">
        <v>9240</v>
      </c>
      <c r="E6864" s="803">
        <v>250</v>
      </c>
      <c r="F6864" s="850">
        <v>45</v>
      </c>
      <c r="G6864" s="202" t="str">
        <f t="shared" si="106"/>
        <v/>
      </c>
    </row>
    <row r="6865" spans="1:7" s="172" customFormat="1" ht="15" customHeight="1" x14ac:dyDescent="0.25">
      <c r="A6865" s="803" t="s">
        <v>9111</v>
      </c>
      <c r="B6865" s="803" t="s">
        <v>9035</v>
      </c>
      <c r="C6865" s="803" t="s">
        <v>20152</v>
      </c>
      <c r="D6865" s="803" t="s">
        <v>9241</v>
      </c>
      <c r="E6865" s="803">
        <v>400</v>
      </c>
      <c r="F6865" s="850">
        <v>250</v>
      </c>
      <c r="G6865" s="202" t="str">
        <f t="shared" si="106"/>
        <v/>
      </c>
    </row>
    <row r="6866" spans="1:7" s="172" customFormat="1" ht="15" customHeight="1" x14ac:dyDescent="0.25">
      <c r="A6866" s="803" t="s">
        <v>9111</v>
      </c>
      <c r="B6866" s="803" t="s">
        <v>9035</v>
      </c>
      <c r="C6866" s="803" t="s">
        <v>20152</v>
      </c>
      <c r="D6866" s="803" t="s">
        <v>9242</v>
      </c>
      <c r="E6866" s="803">
        <v>160</v>
      </c>
      <c r="F6866" s="850">
        <v>15</v>
      </c>
      <c r="G6866" s="202" t="str">
        <f t="shared" si="106"/>
        <v/>
      </c>
    </row>
    <row r="6867" spans="1:7" s="172" customFormat="1" ht="15" customHeight="1" x14ac:dyDescent="0.25">
      <c r="A6867" s="803" t="s">
        <v>9111</v>
      </c>
      <c r="B6867" s="803" t="s">
        <v>9035</v>
      </c>
      <c r="C6867" s="803" t="s">
        <v>20152</v>
      </c>
      <c r="D6867" s="803" t="s">
        <v>9243</v>
      </c>
      <c r="E6867" s="803">
        <v>63</v>
      </c>
      <c r="F6867" s="850">
        <v>0</v>
      </c>
      <c r="G6867" s="202" t="str">
        <f t="shared" si="106"/>
        <v/>
      </c>
    </row>
    <row r="6868" spans="1:7" s="172" customFormat="1" ht="15" customHeight="1" x14ac:dyDescent="0.25">
      <c r="A6868" s="803" t="s">
        <v>9244</v>
      </c>
      <c r="B6868" s="803" t="s">
        <v>9035</v>
      </c>
      <c r="C6868" s="803" t="s">
        <v>20152</v>
      </c>
      <c r="D6868" s="803" t="s">
        <v>9245</v>
      </c>
      <c r="E6868" s="803">
        <v>160</v>
      </c>
      <c r="F6868" s="850">
        <v>60</v>
      </c>
      <c r="G6868" s="202" t="str">
        <f t="shared" si="106"/>
        <v/>
      </c>
    </row>
    <row r="6869" spans="1:7" s="172" customFormat="1" ht="15" customHeight="1" x14ac:dyDescent="0.25">
      <c r="A6869" s="803" t="s">
        <v>9246</v>
      </c>
      <c r="B6869" s="803" t="s">
        <v>9035</v>
      </c>
      <c r="C6869" s="803" t="s">
        <v>20152</v>
      </c>
      <c r="D6869" s="803" t="s">
        <v>9247</v>
      </c>
      <c r="E6869" s="803">
        <v>63</v>
      </c>
      <c r="F6869" s="850">
        <v>0</v>
      </c>
      <c r="G6869" s="202" t="str">
        <f t="shared" si="106"/>
        <v/>
      </c>
    </row>
    <row r="6870" spans="1:7" s="172" customFormat="1" ht="15" customHeight="1" x14ac:dyDescent="0.25">
      <c r="A6870" s="803" t="s">
        <v>9248</v>
      </c>
      <c r="B6870" s="803" t="s">
        <v>9035</v>
      </c>
      <c r="C6870" s="803" t="s">
        <v>20152</v>
      </c>
      <c r="D6870" s="803" t="s">
        <v>9249</v>
      </c>
      <c r="E6870" s="803">
        <v>63</v>
      </c>
      <c r="F6870" s="850">
        <v>30</v>
      </c>
      <c r="G6870" s="202" t="str">
        <f t="shared" si="106"/>
        <v/>
      </c>
    </row>
    <row r="6871" spans="1:7" s="172" customFormat="1" ht="15" customHeight="1" x14ac:dyDescent="0.25">
      <c r="A6871" s="803" t="s">
        <v>9250</v>
      </c>
      <c r="B6871" s="803" t="s">
        <v>9035</v>
      </c>
      <c r="C6871" s="803" t="s">
        <v>20152</v>
      </c>
      <c r="D6871" s="803" t="s">
        <v>9251</v>
      </c>
      <c r="E6871" s="803">
        <v>100</v>
      </c>
      <c r="F6871" s="850">
        <v>45</v>
      </c>
      <c r="G6871" s="202" t="str">
        <f t="shared" si="106"/>
        <v/>
      </c>
    </row>
    <row r="6872" spans="1:7" s="172" customFormat="1" ht="15" customHeight="1" x14ac:dyDescent="0.25">
      <c r="A6872" s="803" t="s">
        <v>9252</v>
      </c>
      <c r="B6872" s="803" t="s">
        <v>9035</v>
      </c>
      <c r="C6872" s="803" t="s">
        <v>20152</v>
      </c>
      <c r="D6872" s="803" t="s">
        <v>9253</v>
      </c>
      <c r="E6872" s="803">
        <v>40</v>
      </c>
      <c r="F6872" s="850">
        <v>25</v>
      </c>
      <c r="G6872" s="202" t="str">
        <f t="shared" si="106"/>
        <v/>
      </c>
    </row>
    <row r="6873" spans="1:7" s="172" customFormat="1" ht="15" customHeight="1" x14ac:dyDescent="0.25">
      <c r="A6873" s="803" t="s">
        <v>4131</v>
      </c>
      <c r="B6873" s="803" t="s">
        <v>9035</v>
      </c>
      <c r="C6873" s="803" t="s">
        <v>20152</v>
      </c>
      <c r="D6873" s="803" t="s">
        <v>9254</v>
      </c>
      <c r="E6873" s="803">
        <v>160</v>
      </c>
      <c r="F6873" s="850">
        <v>60</v>
      </c>
      <c r="G6873" s="202" t="str">
        <f t="shared" si="106"/>
        <v/>
      </c>
    </row>
    <row r="6874" spans="1:7" s="172" customFormat="1" ht="15" customHeight="1" x14ac:dyDescent="0.25">
      <c r="A6874" s="803" t="s">
        <v>3545</v>
      </c>
      <c r="B6874" s="803" t="s">
        <v>9035</v>
      </c>
      <c r="C6874" s="803" t="s">
        <v>20152</v>
      </c>
      <c r="D6874" s="803" t="s">
        <v>9255</v>
      </c>
      <c r="E6874" s="803">
        <v>100</v>
      </c>
      <c r="F6874" s="850">
        <v>45</v>
      </c>
      <c r="G6874" s="202" t="str">
        <f t="shared" si="106"/>
        <v/>
      </c>
    </row>
    <row r="6875" spans="1:7" s="172" customFormat="1" ht="15" customHeight="1" x14ac:dyDescent="0.25">
      <c r="A6875" s="803" t="s">
        <v>3271</v>
      </c>
      <c r="B6875" s="803" t="s">
        <v>9035</v>
      </c>
      <c r="C6875" s="803" t="s">
        <v>20152</v>
      </c>
      <c r="D6875" s="803" t="s">
        <v>9256</v>
      </c>
      <c r="E6875" s="803">
        <v>10</v>
      </c>
      <c r="F6875" s="850">
        <v>0</v>
      </c>
      <c r="G6875" s="202" t="str">
        <f t="shared" si="106"/>
        <v/>
      </c>
    </row>
    <row r="6876" spans="1:7" s="172" customFormat="1" ht="15" customHeight="1" x14ac:dyDescent="0.25">
      <c r="A6876" s="803" t="s">
        <v>9257</v>
      </c>
      <c r="B6876" s="803" t="s">
        <v>9035</v>
      </c>
      <c r="C6876" s="803" t="s">
        <v>20152</v>
      </c>
      <c r="D6876" s="803" t="s">
        <v>9258</v>
      </c>
      <c r="E6876" s="803">
        <v>63</v>
      </c>
      <c r="F6876" s="850">
        <v>30</v>
      </c>
      <c r="G6876" s="202" t="str">
        <f t="shared" si="106"/>
        <v/>
      </c>
    </row>
    <row r="6877" spans="1:7" s="172" customFormat="1" ht="15" customHeight="1" x14ac:dyDescent="0.25">
      <c r="A6877" s="803" t="s">
        <v>9111</v>
      </c>
      <c r="B6877" s="803" t="s">
        <v>9035</v>
      </c>
      <c r="C6877" s="803" t="s">
        <v>20152</v>
      </c>
      <c r="D6877" s="803" t="s">
        <v>9259</v>
      </c>
      <c r="E6877" s="803">
        <v>100</v>
      </c>
      <c r="F6877" s="850">
        <v>15</v>
      </c>
      <c r="G6877" s="202" t="str">
        <f t="shared" si="106"/>
        <v/>
      </c>
    </row>
    <row r="6878" spans="1:7" s="172" customFormat="1" ht="15" customHeight="1" x14ac:dyDescent="0.25">
      <c r="A6878" s="803" t="s">
        <v>9260</v>
      </c>
      <c r="B6878" s="803" t="s">
        <v>9035</v>
      </c>
      <c r="C6878" s="803" t="s">
        <v>20152</v>
      </c>
      <c r="D6878" s="803" t="s">
        <v>9261</v>
      </c>
      <c r="E6878" s="803">
        <v>25</v>
      </c>
      <c r="F6878" s="850">
        <v>0</v>
      </c>
      <c r="G6878" s="202" t="str">
        <f t="shared" ref="G6878:G6941" si="107">IF(E6878=F6878,"не загружен","")</f>
        <v/>
      </c>
    </row>
    <row r="6879" spans="1:7" s="172" customFormat="1" ht="15" customHeight="1" x14ac:dyDescent="0.25">
      <c r="A6879" s="803" t="s">
        <v>9262</v>
      </c>
      <c r="B6879" s="803" t="s">
        <v>9035</v>
      </c>
      <c r="C6879" s="803" t="s">
        <v>20152</v>
      </c>
      <c r="D6879" s="803" t="s">
        <v>9263</v>
      </c>
      <c r="E6879" s="803">
        <v>30</v>
      </c>
      <c r="F6879" s="850">
        <v>25</v>
      </c>
      <c r="G6879" s="202" t="str">
        <f t="shared" si="107"/>
        <v/>
      </c>
    </row>
    <row r="6880" spans="1:7" s="172" customFormat="1" ht="15" customHeight="1" x14ac:dyDescent="0.25">
      <c r="A6880" s="803" t="s">
        <v>9264</v>
      </c>
      <c r="B6880" s="803" t="s">
        <v>9035</v>
      </c>
      <c r="C6880" s="803" t="s">
        <v>20152</v>
      </c>
      <c r="D6880" s="803" t="s">
        <v>9265</v>
      </c>
      <c r="E6880" s="803">
        <v>100</v>
      </c>
      <c r="F6880" s="850">
        <v>90</v>
      </c>
      <c r="G6880" s="202" t="str">
        <f t="shared" si="107"/>
        <v/>
      </c>
    </row>
    <row r="6881" spans="1:7" s="172" customFormat="1" ht="15" customHeight="1" x14ac:dyDescent="0.25">
      <c r="A6881" s="803" t="s">
        <v>9266</v>
      </c>
      <c r="B6881" s="803" t="s">
        <v>9035</v>
      </c>
      <c r="C6881" s="803" t="s">
        <v>20152</v>
      </c>
      <c r="D6881" s="803" t="s">
        <v>9267</v>
      </c>
      <c r="E6881" s="803">
        <v>100</v>
      </c>
      <c r="F6881" s="850">
        <v>75</v>
      </c>
      <c r="G6881" s="202" t="str">
        <f t="shared" si="107"/>
        <v/>
      </c>
    </row>
    <row r="6882" spans="1:7" s="172" customFormat="1" ht="15" customHeight="1" x14ac:dyDescent="0.25">
      <c r="A6882" s="803" t="s">
        <v>9268</v>
      </c>
      <c r="B6882" s="803" t="s">
        <v>9035</v>
      </c>
      <c r="C6882" s="803" t="s">
        <v>20152</v>
      </c>
      <c r="D6882" s="803" t="s">
        <v>9269</v>
      </c>
      <c r="E6882" s="803">
        <v>160</v>
      </c>
      <c r="F6882" s="850">
        <v>35</v>
      </c>
      <c r="G6882" s="202" t="str">
        <f t="shared" si="107"/>
        <v/>
      </c>
    </row>
    <row r="6883" spans="1:7" s="172" customFormat="1" ht="15" customHeight="1" x14ac:dyDescent="0.25">
      <c r="A6883" s="803" t="s">
        <v>9222</v>
      </c>
      <c r="B6883" s="803" t="s">
        <v>9035</v>
      </c>
      <c r="C6883" s="803" t="s">
        <v>20152</v>
      </c>
      <c r="D6883" s="803" t="s">
        <v>9270</v>
      </c>
      <c r="E6883" s="803">
        <v>63</v>
      </c>
      <c r="F6883" s="850">
        <v>25</v>
      </c>
      <c r="G6883" s="202" t="str">
        <f t="shared" si="107"/>
        <v/>
      </c>
    </row>
    <row r="6884" spans="1:7" s="172" customFormat="1" ht="15" customHeight="1" x14ac:dyDescent="0.25">
      <c r="A6884" s="803" t="s">
        <v>16161</v>
      </c>
      <c r="B6884" s="803" t="s">
        <v>9035</v>
      </c>
      <c r="C6884" s="803" t="s">
        <v>20152</v>
      </c>
      <c r="D6884" s="803" t="s">
        <v>9271</v>
      </c>
      <c r="E6884" s="803">
        <v>160</v>
      </c>
      <c r="F6884" s="850">
        <v>60</v>
      </c>
      <c r="G6884" s="202" t="str">
        <f t="shared" si="107"/>
        <v/>
      </c>
    </row>
    <row r="6885" spans="1:7" s="172" customFormat="1" ht="15" customHeight="1" x14ac:dyDescent="0.25">
      <c r="A6885" s="803" t="s">
        <v>9272</v>
      </c>
      <c r="B6885" s="803" t="s">
        <v>9035</v>
      </c>
      <c r="C6885" s="803" t="s">
        <v>20152</v>
      </c>
      <c r="D6885" s="803" t="s">
        <v>9273</v>
      </c>
      <c r="E6885" s="803">
        <v>10</v>
      </c>
      <c r="F6885" s="850">
        <v>7</v>
      </c>
      <c r="G6885" s="202" t="str">
        <f t="shared" si="107"/>
        <v/>
      </c>
    </row>
    <row r="6886" spans="1:7" s="172" customFormat="1" ht="15" customHeight="1" x14ac:dyDescent="0.25">
      <c r="A6886" s="803" t="s">
        <v>9274</v>
      </c>
      <c r="B6886" s="803" t="s">
        <v>9035</v>
      </c>
      <c r="C6886" s="803" t="s">
        <v>20152</v>
      </c>
      <c r="D6886" s="803" t="s">
        <v>9275</v>
      </c>
      <c r="E6886" s="803">
        <v>63</v>
      </c>
      <c r="F6886" s="850">
        <v>12</v>
      </c>
      <c r="G6886" s="202" t="str">
        <f t="shared" si="107"/>
        <v/>
      </c>
    </row>
    <row r="6887" spans="1:7" s="172" customFormat="1" ht="15" customHeight="1" x14ac:dyDescent="0.25">
      <c r="A6887" s="803" t="s">
        <v>16162</v>
      </c>
      <c r="B6887" s="803" t="s">
        <v>9035</v>
      </c>
      <c r="C6887" s="803" t="s">
        <v>20152</v>
      </c>
      <c r="D6887" s="803" t="s">
        <v>9276</v>
      </c>
      <c r="E6887" s="803">
        <v>25</v>
      </c>
      <c r="F6887" s="850">
        <v>5</v>
      </c>
      <c r="G6887" s="202" t="str">
        <f t="shared" si="107"/>
        <v/>
      </c>
    </row>
    <row r="6888" spans="1:7" s="172" customFormat="1" ht="15" customHeight="1" x14ac:dyDescent="0.25">
      <c r="A6888" s="803" t="s">
        <v>9277</v>
      </c>
      <c r="B6888" s="803" t="s">
        <v>9035</v>
      </c>
      <c r="C6888" s="803" t="s">
        <v>20152</v>
      </c>
      <c r="D6888" s="803" t="s">
        <v>9278</v>
      </c>
      <c r="E6888" s="803">
        <v>30</v>
      </c>
      <c r="F6888" s="850">
        <v>25</v>
      </c>
      <c r="G6888" s="202" t="str">
        <f t="shared" si="107"/>
        <v/>
      </c>
    </row>
    <row r="6889" spans="1:7" s="172" customFormat="1" ht="15" customHeight="1" x14ac:dyDescent="0.25">
      <c r="A6889" s="803" t="s">
        <v>9279</v>
      </c>
      <c r="B6889" s="803" t="s">
        <v>9035</v>
      </c>
      <c r="C6889" s="803" t="s">
        <v>20152</v>
      </c>
      <c r="D6889" s="803" t="s">
        <v>9280</v>
      </c>
      <c r="E6889" s="803">
        <v>100</v>
      </c>
      <c r="F6889" s="850">
        <v>75</v>
      </c>
      <c r="G6889" s="202" t="str">
        <f t="shared" si="107"/>
        <v/>
      </c>
    </row>
    <row r="6890" spans="1:7" s="172" customFormat="1" ht="15" customHeight="1" x14ac:dyDescent="0.25">
      <c r="A6890" s="803" t="s">
        <v>9187</v>
      </c>
      <c r="B6890" s="803" t="s">
        <v>9035</v>
      </c>
      <c r="C6890" s="803" t="s">
        <v>20152</v>
      </c>
      <c r="D6890" s="803" t="s">
        <v>9188</v>
      </c>
      <c r="E6890" s="803">
        <v>25</v>
      </c>
      <c r="F6890" s="850">
        <v>0</v>
      </c>
      <c r="G6890" s="202" t="str">
        <f t="shared" si="107"/>
        <v/>
      </c>
    </row>
    <row r="6891" spans="1:7" s="172" customFormat="1" ht="15" customHeight="1" x14ac:dyDescent="0.25">
      <c r="A6891" s="803" t="s">
        <v>9281</v>
      </c>
      <c r="B6891" s="803" t="s">
        <v>9035</v>
      </c>
      <c r="C6891" s="803" t="s">
        <v>20152</v>
      </c>
      <c r="D6891" s="803" t="s">
        <v>9282</v>
      </c>
      <c r="E6891" s="803">
        <v>250</v>
      </c>
      <c r="F6891" s="850">
        <v>55</v>
      </c>
      <c r="G6891" s="202" t="str">
        <f t="shared" si="107"/>
        <v/>
      </c>
    </row>
    <row r="6892" spans="1:7" s="172" customFormat="1" ht="15" customHeight="1" x14ac:dyDescent="0.25">
      <c r="A6892" s="803" t="s">
        <v>4859</v>
      </c>
      <c r="B6892" s="803" t="s">
        <v>9035</v>
      </c>
      <c r="C6892" s="803" t="s">
        <v>20152</v>
      </c>
      <c r="D6892" s="803" t="s">
        <v>9283</v>
      </c>
      <c r="E6892" s="803">
        <v>160</v>
      </c>
      <c r="F6892" s="850">
        <v>65</v>
      </c>
      <c r="G6892" s="202" t="str">
        <f t="shared" si="107"/>
        <v/>
      </c>
    </row>
    <row r="6893" spans="1:7" s="172" customFormat="1" ht="15" customHeight="1" x14ac:dyDescent="0.25">
      <c r="A6893" s="803" t="s">
        <v>4859</v>
      </c>
      <c r="B6893" s="803" t="s">
        <v>9035</v>
      </c>
      <c r="C6893" s="803" t="s">
        <v>20152</v>
      </c>
      <c r="D6893" s="803" t="s">
        <v>9284</v>
      </c>
      <c r="E6893" s="803">
        <v>160</v>
      </c>
      <c r="F6893" s="850">
        <v>55</v>
      </c>
      <c r="G6893" s="202" t="str">
        <f t="shared" si="107"/>
        <v/>
      </c>
    </row>
    <row r="6894" spans="1:7" s="172" customFormat="1" ht="15" customHeight="1" x14ac:dyDescent="0.25">
      <c r="A6894" s="803" t="s">
        <v>4859</v>
      </c>
      <c r="B6894" s="803" t="s">
        <v>9035</v>
      </c>
      <c r="C6894" s="803" t="s">
        <v>20152</v>
      </c>
      <c r="D6894" s="803" t="s">
        <v>9285</v>
      </c>
      <c r="E6894" s="803">
        <v>160</v>
      </c>
      <c r="F6894" s="850">
        <v>60</v>
      </c>
      <c r="G6894" s="202" t="str">
        <f t="shared" si="107"/>
        <v/>
      </c>
    </row>
    <row r="6895" spans="1:7" s="172" customFormat="1" ht="15" customHeight="1" x14ac:dyDescent="0.25">
      <c r="A6895" s="803" t="s">
        <v>5701</v>
      </c>
      <c r="B6895" s="803" t="s">
        <v>9035</v>
      </c>
      <c r="C6895" s="803" t="s">
        <v>20152</v>
      </c>
      <c r="D6895" s="803" t="s">
        <v>9286</v>
      </c>
      <c r="E6895" s="803">
        <v>10</v>
      </c>
      <c r="F6895" s="850">
        <v>-10</v>
      </c>
      <c r="G6895" s="202" t="str">
        <f t="shared" si="107"/>
        <v/>
      </c>
    </row>
    <row r="6896" spans="1:7" s="172" customFormat="1" ht="15" customHeight="1" x14ac:dyDescent="0.25">
      <c r="A6896" s="803" t="s">
        <v>8050</v>
      </c>
      <c r="B6896" s="803" t="s">
        <v>9035</v>
      </c>
      <c r="C6896" s="803" t="s">
        <v>20152</v>
      </c>
      <c r="D6896" s="803" t="s">
        <v>9287</v>
      </c>
      <c r="E6896" s="803">
        <v>30</v>
      </c>
      <c r="F6896" s="850">
        <v>12</v>
      </c>
      <c r="G6896" s="202" t="str">
        <f t="shared" si="107"/>
        <v/>
      </c>
    </row>
    <row r="6897" spans="1:7" s="172" customFormat="1" ht="15" customHeight="1" x14ac:dyDescent="0.25">
      <c r="A6897" s="803" t="s">
        <v>9288</v>
      </c>
      <c r="B6897" s="803" t="s">
        <v>9035</v>
      </c>
      <c r="C6897" s="803" t="s">
        <v>20152</v>
      </c>
      <c r="D6897" s="803" t="s">
        <v>9289</v>
      </c>
      <c r="E6897" s="803">
        <v>160</v>
      </c>
      <c r="F6897" s="850">
        <v>100</v>
      </c>
      <c r="G6897" s="202" t="str">
        <f t="shared" si="107"/>
        <v/>
      </c>
    </row>
    <row r="6898" spans="1:7" s="172" customFormat="1" ht="15" customHeight="1" x14ac:dyDescent="0.25">
      <c r="A6898" s="803" t="s">
        <v>9288</v>
      </c>
      <c r="B6898" s="803" t="s">
        <v>9035</v>
      </c>
      <c r="C6898" s="803" t="s">
        <v>20152</v>
      </c>
      <c r="D6898" s="803" t="s">
        <v>9290</v>
      </c>
      <c r="E6898" s="803">
        <v>250</v>
      </c>
      <c r="F6898" s="850">
        <v>150</v>
      </c>
      <c r="G6898" s="202" t="str">
        <f t="shared" si="107"/>
        <v/>
      </c>
    </row>
    <row r="6899" spans="1:7" s="172" customFormat="1" ht="15" customHeight="1" x14ac:dyDescent="0.25">
      <c r="A6899" s="803" t="s">
        <v>9252</v>
      </c>
      <c r="B6899" s="803" t="s">
        <v>9035</v>
      </c>
      <c r="C6899" s="803" t="s">
        <v>20152</v>
      </c>
      <c r="D6899" s="803" t="s">
        <v>9253</v>
      </c>
      <c r="E6899" s="803">
        <v>100</v>
      </c>
      <c r="F6899" s="850">
        <v>0</v>
      </c>
      <c r="G6899" s="202" t="str">
        <f t="shared" si="107"/>
        <v/>
      </c>
    </row>
    <row r="6900" spans="1:7" s="172" customFormat="1" ht="15" customHeight="1" x14ac:dyDescent="0.25">
      <c r="A6900" s="803" t="s">
        <v>9291</v>
      </c>
      <c r="B6900" s="803" t="s">
        <v>9035</v>
      </c>
      <c r="C6900" s="803" t="s">
        <v>20152</v>
      </c>
      <c r="D6900" s="803" t="s">
        <v>9292</v>
      </c>
      <c r="E6900" s="803">
        <v>20</v>
      </c>
      <c r="F6900" s="850">
        <v>0</v>
      </c>
      <c r="G6900" s="202" t="str">
        <f t="shared" si="107"/>
        <v/>
      </c>
    </row>
    <row r="6901" spans="1:7" s="172" customFormat="1" ht="15" customHeight="1" x14ac:dyDescent="0.25">
      <c r="A6901" s="803" t="s">
        <v>9293</v>
      </c>
      <c r="B6901" s="803" t="s">
        <v>9035</v>
      </c>
      <c r="C6901" s="803" t="s">
        <v>20152</v>
      </c>
      <c r="D6901" s="803" t="s">
        <v>9294</v>
      </c>
      <c r="E6901" s="803">
        <v>160</v>
      </c>
      <c r="F6901" s="850">
        <v>100</v>
      </c>
      <c r="G6901" s="202" t="str">
        <f t="shared" si="107"/>
        <v/>
      </c>
    </row>
    <row r="6902" spans="1:7" s="172" customFormat="1" ht="15" customHeight="1" x14ac:dyDescent="0.25">
      <c r="A6902" s="803" t="s">
        <v>9156</v>
      </c>
      <c r="B6902" s="803" t="s">
        <v>9035</v>
      </c>
      <c r="C6902" s="803" t="s">
        <v>20152</v>
      </c>
      <c r="D6902" s="803" t="s">
        <v>9295</v>
      </c>
      <c r="E6902" s="803">
        <v>250</v>
      </c>
      <c r="F6902" s="850">
        <v>150</v>
      </c>
      <c r="G6902" s="202" t="str">
        <f t="shared" si="107"/>
        <v/>
      </c>
    </row>
    <row r="6903" spans="1:7" s="172" customFormat="1" ht="15" customHeight="1" x14ac:dyDescent="0.25">
      <c r="A6903" s="803" t="s">
        <v>9195</v>
      </c>
      <c r="B6903" s="803" t="s">
        <v>9035</v>
      </c>
      <c r="C6903" s="803" t="s">
        <v>20152</v>
      </c>
      <c r="D6903" s="803" t="s">
        <v>9296</v>
      </c>
      <c r="E6903" s="803">
        <v>250</v>
      </c>
      <c r="F6903" s="850">
        <v>55</v>
      </c>
      <c r="G6903" s="202" t="str">
        <f t="shared" si="107"/>
        <v/>
      </c>
    </row>
    <row r="6904" spans="1:7" s="172" customFormat="1" ht="15" customHeight="1" x14ac:dyDescent="0.25">
      <c r="A6904" s="803" t="s">
        <v>9111</v>
      </c>
      <c r="B6904" s="803" t="s">
        <v>9035</v>
      </c>
      <c r="C6904" s="803" t="s">
        <v>20152</v>
      </c>
      <c r="D6904" s="803" t="s">
        <v>9297</v>
      </c>
      <c r="E6904" s="803">
        <v>250</v>
      </c>
      <c r="F6904" s="850">
        <v>90</v>
      </c>
      <c r="G6904" s="202" t="str">
        <f t="shared" si="107"/>
        <v/>
      </c>
    </row>
    <row r="6905" spans="1:7" s="172" customFormat="1" ht="15" customHeight="1" x14ac:dyDescent="0.25">
      <c r="A6905" s="803" t="s">
        <v>9281</v>
      </c>
      <c r="B6905" s="803" t="s">
        <v>9035</v>
      </c>
      <c r="C6905" s="803" t="s">
        <v>20152</v>
      </c>
      <c r="D6905" s="803" t="s">
        <v>9298</v>
      </c>
      <c r="E6905" s="803">
        <v>250</v>
      </c>
      <c r="F6905" s="850">
        <v>80</v>
      </c>
      <c r="G6905" s="202" t="str">
        <f t="shared" si="107"/>
        <v/>
      </c>
    </row>
    <row r="6906" spans="1:7" s="172" customFormat="1" ht="15" customHeight="1" x14ac:dyDescent="0.25">
      <c r="A6906" s="803" t="s">
        <v>16163</v>
      </c>
      <c r="B6906" s="803" t="s">
        <v>9035</v>
      </c>
      <c r="C6906" s="803" t="s">
        <v>20152</v>
      </c>
      <c r="D6906" s="803" t="s">
        <v>2577</v>
      </c>
      <c r="E6906" s="803">
        <v>250</v>
      </c>
      <c r="F6906" s="850">
        <v>150</v>
      </c>
      <c r="G6906" s="202" t="str">
        <f t="shared" si="107"/>
        <v/>
      </c>
    </row>
    <row r="6907" spans="1:7" s="172" customFormat="1" ht="15" customHeight="1" x14ac:dyDescent="0.25">
      <c r="A6907" s="803" t="s">
        <v>9299</v>
      </c>
      <c r="B6907" s="803" t="s">
        <v>9035</v>
      </c>
      <c r="C6907" s="803" t="s">
        <v>20152</v>
      </c>
      <c r="D6907" s="803" t="s">
        <v>9300</v>
      </c>
      <c r="E6907" s="803">
        <v>25</v>
      </c>
      <c r="F6907" s="850">
        <v>10</v>
      </c>
      <c r="G6907" s="202" t="str">
        <f t="shared" si="107"/>
        <v/>
      </c>
    </row>
    <row r="6908" spans="1:7" s="172" customFormat="1" ht="15" customHeight="1" x14ac:dyDescent="0.25">
      <c r="A6908" s="803" t="s">
        <v>4817</v>
      </c>
      <c r="B6908" s="803" t="s">
        <v>9035</v>
      </c>
      <c r="C6908" s="803" t="s">
        <v>20152</v>
      </c>
      <c r="D6908" s="803" t="s">
        <v>9301</v>
      </c>
      <c r="E6908" s="803">
        <v>63</v>
      </c>
      <c r="F6908" s="850">
        <v>25</v>
      </c>
      <c r="G6908" s="202" t="str">
        <f t="shared" si="107"/>
        <v/>
      </c>
    </row>
    <row r="6909" spans="1:7" s="172" customFormat="1" ht="15" customHeight="1" x14ac:dyDescent="0.25">
      <c r="A6909" s="803" t="s">
        <v>9302</v>
      </c>
      <c r="B6909" s="803" t="s">
        <v>9035</v>
      </c>
      <c r="C6909" s="803" t="s">
        <v>20152</v>
      </c>
      <c r="D6909" s="803" t="s">
        <v>9303</v>
      </c>
      <c r="E6909" s="803">
        <v>63</v>
      </c>
      <c r="F6909" s="850">
        <v>15</v>
      </c>
      <c r="G6909" s="202" t="str">
        <f t="shared" si="107"/>
        <v/>
      </c>
    </row>
    <row r="6910" spans="1:7" s="172" customFormat="1" ht="15" customHeight="1" x14ac:dyDescent="0.25">
      <c r="A6910" s="803" t="s">
        <v>9304</v>
      </c>
      <c r="B6910" s="803" t="s">
        <v>9035</v>
      </c>
      <c r="C6910" s="803" t="s">
        <v>20152</v>
      </c>
      <c r="D6910" s="803" t="s">
        <v>9305</v>
      </c>
      <c r="E6910" s="803">
        <v>400</v>
      </c>
      <c r="F6910" s="850">
        <v>0</v>
      </c>
      <c r="G6910" s="202" t="str">
        <f t="shared" si="107"/>
        <v/>
      </c>
    </row>
    <row r="6911" spans="1:7" s="172" customFormat="1" ht="15" customHeight="1" x14ac:dyDescent="0.25">
      <c r="A6911" s="803" t="s">
        <v>9306</v>
      </c>
      <c r="B6911" s="803" t="s">
        <v>9035</v>
      </c>
      <c r="C6911" s="803" t="s">
        <v>20152</v>
      </c>
      <c r="D6911" s="803" t="s">
        <v>9307</v>
      </c>
      <c r="E6911" s="803">
        <v>250</v>
      </c>
      <c r="F6911" s="850">
        <v>150</v>
      </c>
      <c r="G6911" s="202" t="str">
        <f t="shared" si="107"/>
        <v/>
      </c>
    </row>
    <row r="6912" spans="1:7" s="172" customFormat="1" ht="15" customHeight="1" x14ac:dyDescent="0.25">
      <c r="A6912" s="803" t="s">
        <v>5030</v>
      </c>
      <c r="B6912" s="803" t="s">
        <v>9035</v>
      </c>
      <c r="C6912" s="803" t="s">
        <v>20152</v>
      </c>
      <c r="D6912" s="803" t="s">
        <v>9107</v>
      </c>
      <c r="E6912" s="803">
        <v>160</v>
      </c>
      <c r="F6912" s="850">
        <v>65</v>
      </c>
      <c r="G6912" s="202" t="str">
        <f t="shared" si="107"/>
        <v/>
      </c>
    </row>
    <row r="6913" spans="1:7" s="172" customFormat="1" ht="15" customHeight="1" x14ac:dyDescent="0.25">
      <c r="A6913" s="803" t="s">
        <v>3134</v>
      </c>
      <c r="B6913" s="803" t="s">
        <v>9035</v>
      </c>
      <c r="C6913" s="803" t="s">
        <v>20152</v>
      </c>
      <c r="D6913" s="803" t="s">
        <v>9308</v>
      </c>
      <c r="E6913" s="803">
        <v>63</v>
      </c>
      <c r="F6913" s="850">
        <v>0</v>
      </c>
      <c r="G6913" s="202" t="str">
        <f t="shared" si="107"/>
        <v/>
      </c>
    </row>
    <row r="6914" spans="1:7" s="172" customFormat="1" ht="15" customHeight="1" x14ac:dyDescent="0.25">
      <c r="A6914" s="803" t="s">
        <v>9123</v>
      </c>
      <c r="B6914" s="803" t="s">
        <v>9035</v>
      </c>
      <c r="C6914" s="803" t="s">
        <v>20152</v>
      </c>
      <c r="D6914" s="803" t="s">
        <v>9309</v>
      </c>
      <c r="E6914" s="803">
        <v>160</v>
      </c>
      <c r="F6914" s="850">
        <v>60</v>
      </c>
      <c r="G6914" s="202" t="str">
        <f t="shared" si="107"/>
        <v/>
      </c>
    </row>
    <row r="6915" spans="1:7" s="172" customFormat="1" ht="15" customHeight="1" x14ac:dyDescent="0.25">
      <c r="A6915" s="803" t="s">
        <v>9149</v>
      </c>
      <c r="B6915" s="803" t="s">
        <v>9035</v>
      </c>
      <c r="C6915" s="803" t="s">
        <v>20152</v>
      </c>
      <c r="D6915" s="803" t="s">
        <v>9310</v>
      </c>
      <c r="E6915" s="803">
        <v>63</v>
      </c>
      <c r="F6915" s="850">
        <v>5</v>
      </c>
      <c r="G6915" s="202" t="str">
        <f t="shared" si="107"/>
        <v/>
      </c>
    </row>
    <row r="6916" spans="1:7" s="172" customFormat="1" ht="15" customHeight="1" x14ac:dyDescent="0.25">
      <c r="A6916" s="803" t="s">
        <v>9311</v>
      </c>
      <c r="B6916" s="803" t="s">
        <v>9035</v>
      </c>
      <c r="C6916" s="803" t="s">
        <v>20152</v>
      </c>
      <c r="D6916" s="803" t="s">
        <v>9312</v>
      </c>
      <c r="E6916" s="803">
        <v>63</v>
      </c>
      <c r="F6916" s="850">
        <v>0</v>
      </c>
      <c r="G6916" s="202" t="str">
        <f t="shared" si="107"/>
        <v/>
      </c>
    </row>
    <row r="6917" spans="1:7" s="172" customFormat="1" ht="15" customHeight="1" x14ac:dyDescent="0.25">
      <c r="A6917" s="803" t="s">
        <v>9313</v>
      </c>
      <c r="B6917" s="803" t="s">
        <v>9035</v>
      </c>
      <c r="C6917" s="803" t="s">
        <v>20152</v>
      </c>
      <c r="D6917" s="803" t="s">
        <v>9314</v>
      </c>
      <c r="E6917" s="803">
        <v>63</v>
      </c>
      <c r="F6917" s="850">
        <v>30</v>
      </c>
      <c r="G6917" s="202" t="str">
        <f t="shared" si="107"/>
        <v/>
      </c>
    </row>
    <row r="6918" spans="1:7" s="172" customFormat="1" ht="15" customHeight="1" x14ac:dyDescent="0.25">
      <c r="A6918" s="803" t="s">
        <v>9313</v>
      </c>
      <c r="B6918" s="803" t="s">
        <v>9035</v>
      </c>
      <c r="C6918" s="803" t="s">
        <v>20152</v>
      </c>
      <c r="D6918" s="803" t="s">
        <v>9315</v>
      </c>
      <c r="E6918" s="803">
        <v>40</v>
      </c>
      <c r="F6918" s="850">
        <v>25</v>
      </c>
      <c r="G6918" s="202" t="str">
        <f t="shared" si="107"/>
        <v/>
      </c>
    </row>
    <row r="6919" spans="1:7" s="172" customFormat="1" ht="15" customHeight="1" x14ac:dyDescent="0.25">
      <c r="A6919" s="803" t="s">
        <v>9108</v>
      </c>
      <c r="B6919" s="803" t="s">
        <v>9035</v>
      </c>
      <c r="C6919" s="803" t="s">
        <v>20152</v>
      </c>
      <c r="D6919" s="803" t="s">
        <v>9110</v>
      </c>
      <c r="E6919" s="803">
        <v>250</v>
      </c>
      <c r="F6919" s="850">
        <v>150</v>
      </c>
      <c r="G6919" s="202" t="str">
        <f t="shared" si="107"/>
        <v/>
      </c>
    </row>
    <row r="6920" spans="1:7" s="172" customFormat="1" ht="15" customHeight="1" x14ac:dyDescent="0.25">
      <c r="A6920" s="803" t="s">
        <v>9316</v>
      </c>
      <c r="B6920" s="803" t="s">
        <v>9035</v>
      </c>
      <c r="C6920" s="803" t="s">
        <v>20152</v>
      </c>
      <c r="D6920" s="803" t="s">
        <v>9317</v>
      </c>
      <c r="E6920" s="803">
        <v>63</v>
      </c>
      <c r="F6920" s="850">
        <v>35</v>
      </c>
      <c r="G6920" s="202" t="str">
        <f t="shared" si="107"/>
        <v/>
      </c>
    </row>
    <row r="6921" spans="1:7" s="172" customFormat="1" ht="15" customHeight="1" x14ac:dyDescent="0.25">
      <c r="A6921" s="803" t="s">
        <v>9318</v>
      </c>
      <c r="B6921" s="803" t="s">
        <v>9035</v>
      </c>
      <c r="C6921" s="803" t="s">
        <v>20152</v>
      </c>
      <c r="D6921" s="803" t="s">
        <v>9319</v>
      </c>
      <c r="E6921" s="803">
        <v>63</v>
      </c>
      <c r="F6921" s="850">
        <v>25</v>
      </c>
      <c r="G6921" s="202" t="str">
        <f t="shared" si="107"/>
        <v/>
      </c>
    </row>
    <row r="6922" spans="1:7" s="172" customFormat="1" ht="15" customHeight="1" x14ac:dyDescent="0.25">
      <c r="A6922" s="803" t="s">
        <v>9149</v>
      </c>
      <c r="B6922" s="803" t="s">
        <v>9035</v>
      </c>
      <c r="C6922" s="803" t="s">
        <v>20152</v>
      </c>
      <c r="D6922" s="803" t="s">
        <v>9320</v>
      </c>
      <c r="E6922" s="803">
        <v>100</v>
      </c>
      <c r="F6922" s="850">
        <v>0</v>
      </c>
      <c r="G6922" s="202" t="str">
        <f t="shared" si="107"/>
        <v/>
      </c>
    </row>
    <row r="6923" spans="1:7" s="172" customFormat="1" ht="15" customHeight="1" x14ac:dyDescent="0.25">
      <c r="A6923" s="803" t="s">
        <v>9321</v>
      </c>
      <c r="B6923" s="803" t="s">
        <v>9035</v>
      </c>
      <c r="C6923" s="803" t="s">
        <v>20152</v>
      </c>
      <c r="D6923" s="803" t="s">
        <v>9322</v>
      </c>
      <c r="E6923" s="803">
        <v>100</v>
      </c>
      <c r="F6923" s="850">
        <v>45</v>
      </c>
      <c r="G6923" s="202" t="str">
        <f t="shared" si="107"/>
        <v/>
      </c>
    </row>
    <row r="6924" spans="1:7" s="172" customFormat="1" ht="15" customHeight="1" x14ac:dyDescent="0.25">
      <c r="A6924" s="803" t="s">
        <v>9323</v>
      </c>
      <c r="B6924" s="803" t="s">
        <v>9035</v>
      </c>
      <c r="C6924" s="803" t="s">
        <v>20152</v>
      </c>
      <c r="D6924" s="803" t="s">
        <v>9324</v>
      </c>
      <c r="E6924" s="803">
        <v>50</v>
      </c>
      <c r="F6924" s="850">
        <v>35</v>
      </c>
      <c r="G6924" s="202" t="str">
        <f t="shared" si="107"/>
        <v/>
      </c>
    </row>
    <row r="6925" spans="1:7" s="172" customFormat="1" ht="15" customHeight="1" x14ac:dyDescent="0.25">
      <c r="A6925" s="803" t="s">
        <v>9325</v>
      </c>
      <c r="B6925" s="803" t="s">
        <v>9035</v>
      </c>
      <c r="C6925" s="803" t="s">
        <v>20152</v>
      </c>
      <c r="D6925" s="803" t="s">
        <v>9326</v>
      </c>
      <c r="E6925" s="803">
        <v>100</v>
      </c>
      <c r="F6925" s="850">
        <v>35</v>
      </c>
      <c r="G6925" s="202" t="str">
        <f t="shared" si="107"/>
        <v/>
      </c>
    </row>
    <row r="6926" spans="1:7" s="172" customFormat="1" ht="15" customHeight="1" x14ac:dyDescent="0.25">
      <c r="A6926" s="803" t="s">
        <v>8050</v>
      </c>
      <c r="B6926" s="803" t="s">
        <v>9035</v>
      </c>
      <c r="C6926" s="803" t="s">
        <v>20152</v>
      </c>
      <c r="D6926" s="803" t="s">
        <v>9327</v>
      </c>
      <c r="E6926" s="803">
        <v>100</v>
      </c>
      <c r="F6926" s="850">
        <v>85</v>
      </c>
      <c r="G6926" s="202" t="str">
        <f t="shared" si="107"/>
        <v/>
      </c>
    </row>
    <row r="6927" spans="1:7" s="172" customFormat="1" ht="15" customHeight="1" x14ac:dyDescent="0.25">
      <c r="A6927" s="803" t="s">
        <v>9328</v>
      </c>
      <c r="B6927" s="803" t="s">
        <v>9035</v>
      </c>
      <c r="C6927" s="803" t="s">
        <v>20152</v>
      </c>
      <c r="D6927" s="803" t="s">
        <v>9037</v>
      </c>
      <c r="E6927" s="803">
        <v>160</v>
      </c>
      <c r="F6927" s="850">
        <v>50</v>
      </c>
      <c r="G6927" s="202" t="str">
        <f t="shared" si="107"/>
        <v/>
      </c>
    </row>
    <row r="6928" spans="1:7" s="172" customFormat="1" ht="15" customHeight="1" x14ac:dyDescent="0.25">
      <c r="A6928" s="803" t="s">
        <v>16164</v>
      </c>
      <c r="B6928" s="803" t="s">
        <v>9329</v>
      </c>
      <c r="C6928" s="803" t="s">
        <v>9329</v>
      </c>
      <c r="D6928" s="803" t="s">
        <v>9330</v>
      </c>
      <c r="E6928" s="803">
        <v>100</v>
      </c>
      <c r="F6928" s="850">
        <v>62</v>
      </c>
      <c r="G6928" s="202" t="str">
        <f t="shared" si="107"/>
        <v/>
      </c>
    </row>
    <row r="6929" spans="1:7" s="172" customFormat="1" ht="15" customHeight="1" x14ac:dyDescent="0.25">
      <c r="A6929" s="803" t="s">
        <v>16164</v>
      </c>
      <c r="B6929" s="803" t="s">
        <v>9329</v>
      </c>
      <c r="C6929" s="803" t="s">
        <v>9329</v>
      </c>
      <c r="D6929" s="803" t="s">
        <v>9331</v>
      </c>
      <c r="E6929" s="803">
        <v>100</v>
      </c>
      <c r="F6929" s="850">
        <v>34</v>
      </c>
      <c r="G6929" s="202" t="str">
        <f t="shared" si="107"/>
        <v/>
      </c>
    </row>
    <row r="6930" spans="1:7" s="172" customFormat="1" ht="15" customHeight="1" x14ac:dyDescent="0.25">
      <c r="A6930" s="803" t="s">
        <v>16164</v>
      </c>
      <c r="B6930" s="803" t="s">
        <v>9329</v>
      </c>
      <c r="C6930" s="803" t="s">
        <v>9329</v>
      </c>
      <c r="D6930" s="803" t="s">
        <v>9332</v>
      </c>
      <c r="E6930" s="803">
        <v>160</v>
      </c>
      <c r="F6930" s="850">
        <v>45</v>
      </c>
      <c r="G6930" s="202" t="str">
        <f t="shared" si="107"/>
        <v/>
      </c>
    </row>
    <row r="6931" spans="1:7" s="172" customFormat="1" ht="15" customHeight="1" x14ac:dyDescent="0.25">
      <c r="A6931" s="803" t="s">
        <v>16164</v>
      </c>
      <c r="B6931" s="803" t="s">
        <v>9329</v>
      </c>
      <c r="C6931" s="803" t="s">
        <v>9329</v>
      </c>
      <c r="D6931" s="803" t="s">
        <v>9333</v>
      </c>
      <c r="E6931" s="803">
        <v>100</v>
      </c>
      <c r="F6931" s="850">
        <v>25</v>
      </c>
      <c r="G6931" s="202" t="str">
        <f t="shared" si="107"/>
        <v/>
      </c>
    </row>
    <row r="6932" spans="1:7" s="172" customFormat="1" ht="15" customHeight="1" x14ac:dyDescent="0.25">
      <c r="A6932" s="803" t="s">
        <v>16165</v>
      </c>
      <c r="B6932" s="803" t="s">
        <v>9329</v>
      </c>
      <c r="C6932" s="803" t="s">
        <v>9329</v>
      </c>
      <c r="D6932" s="803" t="s">
        <v>9334</v>
      </c>
      <c r="E6932" s="803">
        <v>160</v>
      </c>
      <c r="F6932" s="850">
        <v>70</v>
      </c>
      <c r="G6932" s="202" t="str">
        <f t="shared" si="107"/>
        <v/>
      </c>
    </row>
    <row r="6933" spans="1:7" s="172" customFormat="1" ht="15" customHeight="1" x14ac:dyDescent="0.25">
      <c r="A6933" s="803" t="s">
        <v>16165</v>
      </c>
      <c r="B6933" s="803" t="s">
        <v>9329</v>
      </c>
      <c r="C6933" s="803" t="s">
        <v>9329</v>
      </c>
      <c r="D6933" s="803" t="s">
        <v>9335</v>
      </c>
      <c r="E6933" s="803">
        <v>60</v>
      </c>
      <c r="F6933" s="850">
        <v>31</v>
      </c>
      <c r="G6933" s="202" t="str">
        <f t="shared" si="107"/>
        <v/>
      </c>
    </row>
    <row r="6934" spans="1:7" s="172" customFormat="1" ht="15" customHeight="1" x14ac:dyDescent="0.25">
      <c r="A6934" s="803" t="s">
        <v>16165</v>
      </c>
      <c r="B6934" s="803" t="s">
        <v>9329</v>
      </c>
      <c r="C6934" s="803" t="s">
        <v>9329</v>
      </c>
      <c r="D6934" s="803" t="s">
        <v>9336</v>
      </c>
      <c r="E6934" s="803">
        <v>63</v>
      </c>
      <c r="F6934" s="850">
        <v>34</v>
      </c>
      <c r="G6934" s="202" t="str">
        <f t="shared" si="107"/>
        <v/>
      </c>
    </row>
    <row r="6935" spans="1:7" s="172" customFormat="1" ht="15" customHeight="1" x14ac:dyDescent="0.25">
      <c r="A6935" s="803" t="s">
        <v>16165</v>
      </c>
      <c r="B6935" s="803" t="s">
        <v>9329</v>
      </c>
      <c r="C6935" s="803" t="s">
        <v>9329</v>
      </c>
      <c r="D6935" s="803" t="s">
        <v>9337</v>
      </c>
      <c r="E6935" s="803">
        <v>30</v>
      </c>
      <c r="F6935" s="850">
        <v>15</v>
      </c>
      <c r="G6935" s="202" t="str">
        <f t="shared" si="107"/>
        <v/>
      </c>
    </row>
    <row r="6936" spans="1:7" s="172" customFormat="1" ht="15" customHeight="1" x14ac:dyDescent="0.25">
      <c r="A6936" s="803" t="s">
        <v>16166</v>
      </c>
      <c r="B6936" s="803" t="s">
        <v>9329</v>
      </c>
      <c r="C6936" s="803" t="s">
        <v>9329</v>
      </c>
      <c r="D6936" s="803" t="s">
        <v>9338</v>
      </c>
      <c r="E6936" s="803">
        <v>30</v>
      </c>
      <c r="F6936" s="850">
        <v>10</v>
      </c>
      <c r="G6936" s="202" t="str">
        <f t="shared" si="107"/>
        <v/>
      </c>
    </row>
    <row r="6937" spans="1:7" s="172" customFormat="1" ht="15" customHeight="1" x14ac:dyDescent="0.25">
      <c r="A6937" s="803" t="s">
        <v>16167</v>
      </c>
      <c r="B6937" s="803" t="s">
        <v>9329</v>
      </c>
      <c r="C6937" s="803" t="s">
        <v>9329</v>
      </c>
      <c r="D6937" s="803" t="s">
        <v>9339</v>
      </c>
      <c r="E6937" s="803">
        <v>50</v>
      </c>
      <c r="F6937" s="850">
        <v>24</v>
      </c>
      <c r="G6937" s="202" t="str">
        <f t="shared" si="107"/>
        <v/>
      </c>
    </row>
    <row r="6938" spans="1:7" s="172" customFormat="1" ht="15" customHeight="1" x14ac:dyDescent="0.25">
      <c r="A6938" s="803" t="s">
        <v>16168</v>
      </c>
      <c r="B6938" s="803" t="s">
        <v>9329</v>
      </c>
      <c r="C6938" s="803" t="s">
        <v>9329</v>
      </c>
      <c r="D6938" s="803" t="s">
        <v>9340</v>
      </c>
      <c r="E6938" s="803">
        <v>50</v>
      </c>
      <c r="F6938" s="850">
        <v>24</v>
      </c>
      <c r="G6938" s="202" t="str">
        <f t="shared" si="107"/>
        <v/>
      </c>
    </row>
    <row r="6939" spans="1:7" s="172" customFormat="1" ht="15" customHeight="1" x14ac:dyDescent="0.25">
      <c r="A6939" s="803" t="s">
        <v>16169</v>
      </c>
      <c r="B6939" s="803" t="s">
        <v>9329</v>
      </c>
      <c r="C6939" s="803" t="s">
        <v>9329</v>
      </c>
      <c r="D6939" s="803" t="s">
        <v>9341</v>
      </c>
      <c r="E6939" s="803">
        <v>30</v>
      </c>
      <c r="F6939" s="850">
        <v>18</v>
      </c>
      <c r="G6939" s="202" t="str">
        <f t="shared" si="107"/>
        <v/>
      </c>
    </row>
    <row r="6940" spans="1:7" s="172" customFormat="1" ht="15" customHeight="1" x14ac:dyDescent="0.25">
      <c r="A6940" s="803" t="s">
        <v>16170</v>
      </c>
      <c r="B6940" s="803" t="s">
        <v>9329</v>
      </c>
      <c r="C6940" s="803" t="s">
        <v>9329</v>
      </c>
      <c r="D6940" s="803" t="s">
        <v>9342</v>
      </c>
      <c r="E6940" s="803">
        <v>63</v>
      </c>
      <c r="F6940" s="850">
        <v>22</v>
      </c>
      <c r="G6940" s="202" t="str">
        <f t="shared" si="107"/>
        <v/>
      </c>
    </row>
    <row r="6941" spans="1:7" s="172" customFormat="1" ht="15" customHeight="1" x14ac:dyDescent="0.25">
      <c r="A6941" s="803" t="s">
        <v>16170</v>
      </c>
      <c r="B6941" s="803" t="s">
        <v>9329</v>
      </c>
      <c r="C6941" s="803" t="s">
        <v>9329</v>
      </c>
      <c r="D6941" s="803" t="s">
        <v>9343</v>
      </c>
      <c r="E6941" s="803">
        <v>63</v>
      </c>
      <c r="F6941" s="850">
        <v>31</v>
      </c>
      <c r="G6941" s="202" t="str">
        <f t="shared" si="107"/>
        <v/>
      </c>
    </row>
    <row r="6942" spans="1:7" s="172" customFormat="1" ht="15" customHeight="1" x14ac:dyDescent="0.25">
      <c r="A6942" s="803" t="s">
        <v>16171</v>
      </c>
      <c r="B6942" s="803" t="s">
        <v>9329</v>
      </c>
      <c r="C6942" s="803" t="s">
        <v>9329</v>
      </c>
      <c r="D6942" s="803" t="s">
        <v>9344</v>
      </c>
      <c r="E6942" s="803">
        <v>63</v>
      </c>
      <c r="F6942" s="850">
        <v>18</v>
      </c>
      <c r="G6942" s="202" t="str">
        <f t="shared" ref="G6942:G7005" si="108">IF(E6942=F6942,"не загружен","")</f>
        <v/>
      </c>
    </row>
    <row r="6943" spans="1:7" s="172" customFormat="1" ht="15" customHeight="1" x14ac:dyDescent="0.25">
      <c r="A6943" s="803" t="s">
        <v>16164</v>
      </c>
      <c r="B6943" s="803" t="s">
        <v>9329</v>
      </c>
      <c r="C6943" s="803" t="s">
        <v>9329</v>
      </c>
      <c r="D6943" s="803" t="s">
        <v>9345</v>
      </c>
      <c r="E6943" s="803">
        <v>250</v>
      </c>
      <c r="F6943" s="850">
        <v>130</v>
      </c>
      <c r="G6943" s="202" t="str">
        <f t="shared" si="108"/>
        <v/>
      </c>
    </row>
    <row r="6944" spans="1:7" s="172" customFormat="1" ht="15" customHeight="1" x14ac:dyDescent="0.25">
      <c r="A6944" s="803" t="s">
        <v>16164</v>
      </c>
      <c r="B6944" s="803" t="s">
        <v>9329</v>
      </c>
      <c r="C6944" s="803" t="s">
        <v>9329</v>
      </c>
      <c r="D6944" s="803" t="s">
        <v>9346</v>
      </c>
      <c r="E6944" s="803">
        <v>160</v>
      </c>
      <c r="F6944" s="850">
        <v>55</v>
      </c>
      <c r="G6944" s="202" t="str">
        <f t="shared" si="108"/>
        <v/>
      </c>
    </row>
    <row r="6945" spans="1:7" s="172" customFormat="1" ht="15" customHeight="1" x14ac:dyDescent="0.25">
      <c r="A6945" s="803" t="s">
        <v>16172</v>
      </c>
      <c r="B6945" s="803" t="s">
        <v>9329</v>
      </c>
      <c r="C6945" s="803" t="s">
        <v>9329</v>
      </c>
      <c r="D6945" s="803" t="s">
        <v>9347</v>
      </c>
      <c r="E6945" s="803">
        <v>63</v>
      </c>
      <c r="F6945" s="850">
        <v>39</v>
      </c>
      <c r="G6945" s="202" t="str">
        <f t="shared" si="108"/>
        <v/>
      </c>
    </row>
    <row r="6946" spans="1:7" s="172" customFormat="1" ht="15" customHeight="1" x14ac:dyDescent="0.25">
      <c r="A6946" s="803" t="s">
        <v>16173</v>
      </c>
      <c r="B6946" s="803" t="s">
        <v>9329</v>
      </c>
      <c r="C6946" s="803" t="s">
        <v>9329</v>
      </c>
      <c r="D6946" s="803" t="s">
        <v>9348</v>
      </c>
      <c r="E6946" s="803">
        <v>40</v>
      </c>
      <c r="F6946" s="850">
        <v>8</v>
      </c>
      <c r="G6946" s="202" t="str">
        <f t="shared" si="108"/>
        <v/>
      </c>
    </row>
    <row r="6947" spans="1:7" s="172" customFormat="1" ht="15" customHeight="1" x14ac:dyDescent="0.25">
      <c r="A6947" s="803" t="s">
        <v>16174</v>
      </c>
      <c r="B6947" s="803" t="s">
        <v>9329</v>
      </c>
      <c r="C6947" s="803" t="s">
        <v>9329</v>
      </c>
      <c r="D6947" s="803" t="s">
        <v>9349</v>
      </c>
      <c r="E6947" s="803">
        <v>40</v>
      </c>
      <c r="F6947" s="850">
        <v>12</v>
      </c>
      <c r="G6947" s="202" t="str">
        <f t="shared" si="108"/>
        <v/>
      </c>
    </row>
    <row r="6948" spans="1:7" s="172" customFormat="1" ht="15" customHeight="1" x14ac:dyDescent="0.25">
      <c r="A6948" s="803" t="s">
        <v>16175</v>
      </c>
      <c r="B6948" s="803" t="s">
        <v>9329</v>
      </c>
      <c r="C6948" s="803" t="s">
        <v>9329</v>
      </c>
      <c r="D6948" s="803" t="s">
        <v>9350</v>
      </c>
      <c r="E6948" s="803">
        <v>40</v>
      </c>
      <c r="F6948" s="850">
        <v>15</v>
      </c>
      <c r="G6948" s="202" t="str">
        <f t="shared" si="108"/>
        <v/>
      </c>
    </row>
    <row r="6949" spans="1:7" s="172" customFormat="1" ht="15" customHeight="1" x14ac:dyDescent="0.25">
      <c r="A6949" s="803" t="s">
        <v>16176</v>
      </c>
      <c r="B6949" s="803" t="s">
        <v>9329</v>
      </c>
      <c r="C6949" s="803" t="s">
        <v>9329</v>
      </c>
      <c r="D6949" s="803" t="s">
        <v>9351</v>
      </c>
      <c r="E6949" s="803">
        <v>63</v>
      </c>
      <c r="F6949" s="850">
        <v>18</v>
      </c>
      <c r="G6949" s="202" t="str">
        <f t="shared" si="108"/>
        <v/>
      </c>
    </row>
    <row r="6950" spans="1:7" s="172" customFormat="1" ht="15" customHeight="1" x14ac:dyDescent="0.25">
      <c r="A6950" s="803" t="s">
        <v>16177</v>
      </c>
      <c r="B6950" s="803" t="s">
        <v>9329</v>
      </c>
      <c r="C6950" s="803" t="s">
        <v>9329</v>
      </c>
      <c r="D6950" s="803" t="s">
        <v>9352</v>
      </c>
      <c r="E6950" s="803">
        <v>40</v>
      </c>
      <c r="F6950" s="850">
        <v>25</v>
      </c>
      <c r="G6950" s="202" t="str">
        <f t="shared" si="108"/>
        <v/>
      </c>
    </row>
    <row r="6951" spans="1:7" s="172" customFormat="1" ht="15" customHeight="1" x14ac:dyDescent="0.25">
      <c r="A6951" s="803" t="s">
        <v>16178</v>
      </c>
      <c r="B6951" s="803" t="s">
        <v>9329</v>
      </c>
      <c r="C6951" s="803" t="s">
        <v>9329</v>
      </c>
      <c r="D6951" s="803" t="s">
        <v>9353</v>
      </c>
      <c r="E6951" s="803">
        <v>160</v>
      </c>
      <c r="F6951" s="850">
        <v>80</v>
      </c>
      <c r="G6951" s="202" t="str">
        <f t="shared" si="108"/>
        <v/>
      </c>
    </row>
    <row r="6952" spans="1:7" s="172" customFormat="1" ht="15" customHeight="1" x14ac:dyDescent="0.25">
      <c r="A6952" s="803" t="s">
        <v>16178</v>
      </c>
      <c r="B6952" s="803" t="s">
        <v>9329</v>
      </c>
      <c r="C6952" s="803" t="s">
        <v>9329</v>
      </c>
      <c r="D6952" s="803" t="s">
        <v>9354</v>
      </c>
      <c r="E6952" s="803">
        <v>160</v>
      </c>
      <c r="F6952" s="850">
        <v>65</v>
      </c>
      <c r="G6952" s="202" t="str">
        <f t="shared" si="108"/>
        <v/>
      </c>
    </row>
    <row r="6953" spans="1:7" s="172" customFormat="1" ht="15" customHeight="1" x14ac:dyDescent="0.25">
      <c r="A6953" s="803" t="s">
        <v>16178</v>
      </c>
      <c r="B6953" s="803" t="s">
        <v>9329</v>
      </c>
      <c r="C6953" s="803" t="s">
        <v>9329</v>
      </c>
      <c r="D6953" s="803" t="s">
        <v>9355</v>
      </c>
      <c r="E6953" s="803">
        <v>60</v>
      </c>
      <c r="F6953" s="850">
        <v>33</v>
      </c>
      <c r="G6953" s="202" t="str">
        <f t="shared" si="108"/>
        <v/>
      </c>
    </row>
    <row r="6954" spans="1:7" s="172" customFormat="1" ht="15" customHeight="1" x14ac:dyDescent="0.25">
      <c r="A6954" s="803" t="s">
        <v>16178</v>
      </c>
      <c r="B6954" s="803" t="s">
        <v>9329</v>
      </c>
      <c r="C6954" s="803" t="s">
        <v>9329</v>
      </c>
      <c r="D6954" s="803" t="s">
        <v>9356</v>
      </c>
      <c r="E6954" s="803">
        <v>25</v>
      </c>
      <c r="F6954" s="850">
        <v>25</v>
      </c>
      <c r="G6954" s="202" t="str">
        <f t="shared" si="108"/>
        <v>не загружен</v>
      </c>
    </row>
    <row r="6955" spans="1:7" s="172" customFormat="1" ht="15" customHeight="1" x14ac:dyDescent="0.25">
      <c r="A6955" s="803" t="s">
        <v>16179</v>
      </c>
      <c r="B6955" s="803" t="s">
        <v>9329</v>
      </c>
      <c r="C6955" s="803" t="s">
        <v>9329</v>
      </c>
      <c r="D6955" s="803" t="s">
        <v>9357</v>
      </c>
      <c r="E6955" s="803">
        <v>25</v>
      </c>
      <c r="F6955" s="850">
        <v>15</v>
      </c>
      <c r="G6955" s="202" t="str">
        <f t="shared" si="108"/>
        <v/>
      </c>
    </row>
    <row r="6956" spans="1:7" s="172" customFormat="1" ht="15" customHeight="1" x14ac:dyDescent="0.25">
      <c r="A6956" s="803" t="s">
        <v>16180</v>
      </c>
      <c r="B6956" s="803" t="s">
        <v>9329</v>
      </c>
      <c r="C6956" s="803" t="s">
        <v>9329</v>
      </c>
      <c r="D6956" s="803" t="s">
        <v>9358</v>
      </c>
      <c r="E6956" s="803">
        <v>40</v>
      </c>
      <c r="F6956" s="850">
        <v>22</v>
      </c>
      <c r="G6956" s="202" t="str">
        <f t="shared" si="108"/>
        <v/>
      </c>
    </row>
    <row r="6957" spans="1:7" s="172" customFormat="1" ht="15" customHeight="1" x14ac:dyDescent="0.25">
      <c r="A6957" s="803" t="s">
        <v>15539</v>
      </c>
      <c r="B6957" s="803" t="s">
        <v>9329</v>
      </c>
      <c r="C6957" s="803" t="s">
        <v>9329</v>
      </c>
      <c r="D6957" s="803" t="s">
        <v>9359</v>
      </c>
      <c r="E6957" s="803">
        <v>60</v>
      </c>
      <c r="F6957" s="850">
        <v>18</v>
      </c>
      <c r="G6957" s="202" t="str">
        <f t="shared" si="108"/>
        <v/>
      </c>
    </row>
    <row r="6958" spans="1:7" s="172" customFormat="1" ht="15" customHeight="1" x14ac:dyDescent="0.25">
      <c r="A6958" s="803" t="s">
        <v>16181</v>
      </c>
      <c r="B6958" s="803" t="s">
        <v>9329</v>
      </c>
      <c r="C6958" s="803" t="s">
        <v>9329</v>
      </c>
      <c r="D6958" s="803" t="s">
        <v>9360</v>
      </c>
      <c r="E6958" s="803">
        <v>50</v>
      </c>
      <c r="F6958" s="850">
        <v>20</v>
      </c>
      <c r="G6958" s="202" t="str">
        <f t="shared" si="108"/>
        <v/>
      </c>
    </row>
    <row r="6959" spans="1:7" s="172" customFormat="1" ht="15" customHeight="1" x14ac:dyDescent="0.25">
      <c r="A6959" s="803" t="s">
        <v>16182</v>
      </c>
      <c r="B6959" s="803" t="s">
        <v>9329</v>
      </c>
      <c r="C6959" s="803" t="s">
        <v>9329</v>
      </c>
      <c r="D6959" s="803" t="s">
        <v>9361</v>
      </c>
      <c r="E6959" s="803">
        <v>100</v>
      </c>
      <c r="F6959" s="850">
        <v>35</v>
      </c>
      <c r="G6959" s="202" t="str">
        <f t="shared" si="108"/>
        <v/>
      </c>
    </row>
    <row r="6960" spans="1:7" s="172" customFormat="1" ht="15" customHeight="1" x14ac:dyDescent="0.25">
      <c r="A6960" s="803" t="s">
        <v>16183</v>
      </c>
      <c r="B6960" s="803" t="s">
        <v>9329</v>
      </c>
      <c r="C6960" s="803" t="s">
        <v>9329</v>
      </c>
      <c r="D6960" s="803" t="s">
        <v>9362</v>
      </c>
      <c r="E6960" s="803">
        <v>50</v>
      </c>
      <c r="F6960" s="850">
        <v>18</v>
      </c>
      <c r="G6960" s="202" t="str">
        <f t="shared" si="108"/>
        <v/>
      </c>
    </row>
    <row r="6961" spans="1:7" s="172" customFormat="1" ht="15" customHeight="1" x14ac:dyDescent="0.25">
      <c r="A6961" s="803" t="s">
        <v>16184</v>
      </c>
      <c r="B6961" s="803" t="s">
        <v>9329</v>
      </c>
      <c r="C6961" s="803" t="s">
        <v>9329</v>
      </c>
      <c r="D6961" s="803" t="s">
        <v>9363</v>
      </c>
      <c r="E6961" s="803">
        <v>100</v>
      </c>
      <c r="F6961" s="850">
        <v>65</v>
      </c>
      <c r="G6961" s="202" t="str">
        <f t="shared" si="108"/>
        <v/>
      </c>
    </row>
    <row r="6962" spans="1:7" s="172" customFormat="1" ht="15" customHeight="1" x14ac:dyDescent="0.25">
      <c r="A6962" s="803" t="s">
        <v>16185</v>
      </c>
      <c r="B6962" s="803" t="s">
        <v>9329</v>
      </c>
      <c r="C6962" s="803" t="s">
        <v>9329</v>
      </c>
      <c r="D6962" s="803" t="s">
        <v>9364</v>
      </c>
      <c r="E6962" s="803">
        <v>63</v>
      </c>
      <c r="F6962" s="850">
        <v>17</v>
      </c>
      <c r="G6962" s="202" t="str">
        <f t="shared" si="108"/>
        <v/>
      </c>
    </row>
    <row r="6963" spans="1:7" s="172" customFormat="1" ht="15" customHeight="1" x14ac:dyDescent="0.25">
      <c r="A6963" s="803" t="s">
        <v>16186</v>
      </c>
      <c r="B6963" s="803" t="s">
        <v>9329</v>
      </c>
      <c r="C6963" s="803" t="s">
        <v>9329</v>
      </c>
      <c r="D6963" s="803" t="s">
        <v>9365</v>
      </c>
      <c r="E6963" s="803">
        <v>63</v>
      </c>
      <c r="F6963" s="850">
        <v>21</v>
      </c>
      <c r="G6963" s="202" t="str">
        <f t="shared" si="108"/>
        <v/>
      </c>
    </row>
    <row r="6964" spans="1:7" s="172" customFormat="1" ht="15" customHeight="1" x14ac:dyDescent="0.25">
      <c r="A6964" s="803" t="s">
        <v>16187</v>
      </c>
      <c r="B6964" s="803" t="s">
        <v>9329</v>
      </c>
      <c r="C6964" s="803" t="s">
        <v>9329</v>
      </c>
      <c r="D6964" s="803" t="s">
        <v>9366</v>
      </c>
      <c r="E6964" s="803">
        <v>63</v>
      </c>
      <c r="F6964" s="850">
        <v>39</v>
      </c>
      <c r="G6964" s="202" t="str">
        <f t="shared" si="108"/>
        <v/>
      </c>
    </row>
    <row r="6965" spans="1:7" s="172" customFormat="1" ht="15" customHeight="1" x14ac:dyDescent="0.25">
      <c r="A6965" s="803" t="s">
        <v>16187</v>
      </c>
      <c r="B6965" s="803" t="s">
        <v>9329</v>
      </c>
      <c r="C6965" s="803" t="s">
        <v>9329</v>
      </c>
      <c r="D6965" s="803" t="s">
        <v>9367</v>
      </c>
      <c r="E6965" s="803">
        <v>63</v>
      </c>
      <c r="F6965" s="850">
        <v>15</v>
      </c>
      <c r="G6965" s="202" t="str">
        <f t="shared" si="108"/>
        <v/>
      </c>
    </row>
    <row r="6966" spans="1:7" s="172" customFormat="1" ht="15" customHeight="1" x14ac:dyDescent="0.25">
      <c r="A6966" s="803" t="s">
        <v>16164</v>
      </c>
      <c r="B6966" s="803" t="s">
        <v>9329</v>
      </c>
      <c r="C6966" s="803" t="s">
        <v>9329</v>
      </c>
      <c r="D6966" s="803" t="s">
        <v>9368</v>
      </c>
      <c r="E6966" s="803">
        <v>250</v>
      </c>
      <c r="F6966" s="850">
        <v>130</v>
      </c>
      <c r="G6966" s="202" t="str">
        <f t="shared" si="108"/>
        <v/>
      </c>
    </row>
    <row r="6967" spans="1:7" s="172" customFormat="1" ht="15" customHeight="1" x14ac:dyDescent="0.25">
      <c r="A6967" s="803" t="s">
        <v>16164</v>
      </c>
      <c r="B6967" s="803" t="s">
        <v>9329</v>
      </c>
      <c r="C6967" s="803" t="s">
        <v>9329</v>
      </c>
      <c r="D6967" s="803" t="s">
        <v>20153</v>
      </c>
      <c r="E6967" s="803">
        <v>160</v>
      </c>
      <c r="F6967" s="850">
        <v>110</v>
      </c>
      <c r="G6967" s="202" t="str">
        <f t="shared" si="108"/>
        <v/>
      </c>
    </row>
    <row r="6968" spans="1:7" s="172" customFormat="1" ht="15" customHeight="1" x14ac:dyDescent="0.25">
      <c r="A6968" s="803" t="s">
        <v>16164</v>
      </c>
      <c r="B6968" s="803" t="s">
        <v>9329</v>
      </c>
      <c r="C6968" s="803" t="s">
        <v>9329</v>
      </c>
      <c r="D6968" s="803" t="s">
        <v>9369</v>
      </c>
      <c r="E6968" s="803">
        <v>250</v>
      </c>
      <c r="F6968" s="850">
        <v>125</v>
      </c>
      <c r="G6968" s="202" t="str">
        <f t="shared" si="108"/>
        <v/>
      </c>
    </row>
    <row r="6969" spans="1:7" s="172" customFormat="1" ht="15" customHeight="1" x14ac:dyDescent="0.25">
      <c r="A6969" s="803" t="s">
        <v>16164</v>
      </c>
      <c r="B6969" s="803" t="s">
        <v>9329</v>
      </c>
      <c r="C6969" s="803" t="s">
        <v>9329</v>
      </c>
      <c r="D6969" s="803" t="s">
        <v>9370</v>
      </c>
      <c r="E6969" s="803">
        <v>160</v>
      </c>
      <c r="F6969" s="850">
        <v>110</v>
      </c>
      <c r="G6969" s="202" t="str">
        <f t="shared" si="108"/>
        <v/>
      </c>
    </row>
    <row r="6970" spans="1:7" s="172" customFormat="1" ht="15" customHeight="1" x14ac:dyDescent="0.25">
      <c r="A6970" s="803" t="s">
        <v>16164</v>
      </c>
      <c r="B6970" s="803" t="s">
        <v>9329</v>
      </c>
      <c r="C6970" s="803" t="s">
        <v>9329</v>
      </c>
      <c r="D6970" s="803" t="s">
        <v>9371</v>
      </c>
      <c r="E6970" s="803">
        <v>63</v>
      </c>
      <c r="F6970" s="850">
        <v>12</v>
      </c>
      <c r="G6970" s="202" t="str">
        <f t="shared" si="108"/>
        <v/>
      </c>
    </row>
    <row r="6971" spans="1:7" s="172" customFormat="1" ht="15" customHeight="1" x14ac:dyDescent="0.25">
      <c r="A6971" s="803" t="s">
        <v>16164</v>
      </c>
      <c r="B6971" s="803" t="s">
        <v>9329</v>
      </c>
      <c r="C6971" s="803" t="s">
        <v>9329</v>
      </c>
      <c r="D6971" s="803" t="s">
        <v>9372</v>
      </c>
      <c r="E6971" s="803" t="s">
        <v>18196</v>
      </c>
      <c r="F6971" s="850">
        <v>630</v>
      </c>
      <c r="G6971" s="202" t="str">
        <f t="shared" si="108"/>
        <v/>
      </c>
    </row>
    <row r="6972" spans="1:7" s="172" customFormat="1" ht="15" customHeight="1" x14ac:dyDescent="0.25">
      <c r="A6972" s="803" t="s">
        <v>16164</v>
      </c>
      <c r="B6972" s="803" t="s">
        <v>9329</v>
      </c>
      <c r="C6972" s="803" t="s">
        <v>9329</v>
      </c>
      <c r="D6972" s="803" t="s">
        <v>9373</v>
      </c>
      <c r="E6972" s="803">
        <v>250</v>
      </c>
      <c r="F6972" s="850">
        <v>86</v>
      </c>
      <c r="G6972" s="202" t="str">
        <f t="shared" si="108"/>
        <v/>
      </c>
    </row>
    <row r="6973" spans="1:7" s="172" customFormat="1" ht="15" customHeight="1" x14ac:dyDescent="0.25">
      <c r="A6973" s="803" t="s">
        <v>16164</v>
      </c>
      <c r="B6973" s="803" t="s">
        <v>9329</v>
      </c>
      <c r="C6973" s="803" t="s">
        <v>9329</v>
      </c>
      <c r="D6973" s="803" t="s">
        <v>9374</v>
      </c>
      <c r="E6973" s="803" t="s">
        <v>18196</v>
      </c>
      <c r="F6973" s="850">
        <v>120</v>
      </c>
      <c r="G6973" s="202" t="str">
        <f t="shared" si="108"/>
        <v/>
      </c>
    </row>
    <row r="6974" spans="1:7" s="172" customFormat="1" ht="15" customHeight="1" x14ac:dyDescent="0.25">
      <c r="A6974" s="803" t="s">
        <v>16164</v>
      </c>
      <c r="B6974" s="803" t="s">
        <v>9329</v>
      </c>
      <c r="C6974" s="803" t="s">
        <v>9329</v>
      </c>
      <c r="D6974" s="803" t="s">
        <v>9375</v>
      </c>
      <c r="E6974" s="803">
        <v>400</v>
      </c>
      <c r="F6974" s="850">
        <v>130</v>
      </c>
      <c r="G6974" s="202" t="str">
        <f t="shared" si="108"/>
        <v/>
      </c>
    </row>
    <row r="6975" spans="1:7" s="172" customFormat="1" ht="15" customHeight="1" x14ac:dyDescent="0.25">
      <c r="A6975" s="803" t="s">
        <v>16164</v>
      </c>
      <c r="B6975" s="803" t="s">
        <v>9329</v>
      </c>
      <c r="C6975" s="803" t="s">
        <v>9329</v>
      </c>
      <c r="D6975" s="803" t="s">
        <v>20154</v>
      </c>
      <c r="E6975" s="803">
        <v>160</v>
      </c>
      <c r="F6975" s="850">
        <v>130</v>
      </c>
      <c r="G6975" s="202" t="str">
        <f t="shared" si="108"/>
        <v/>
      </c>
    </row>
    <row r="6976" spans="1:7" s="172" customFormat="1" ht="15" customHeight="1" x14ac:dyDescent="0.25">
      <c r="A6976" s="803" t="s">
        <v>16164</v>
      </c>
      <c r="B6976" s="803" t="s">
        <v>9329</v>
      </c>
      <c r="C6976" s="803" t="s">
        <v>9329</v>
      </c>
      <c r="D6976" s="803" t="s">
        <v>9376</v>
      </c>
      <c r="E6976" s="803">
        <v>400</v>
      </c>
      <c r="F6976" s="850">
        <v>170</v>
      </c>
      <c r="G6976" s="202" t="str">
        <f t="shared" si="108"/>
        <v/>
      </c>
    </row>
    <row r="6977" spans="1:7" s="172" customFormat="1" ht="15" customHeight="1" x14ac:dyDescent="0.25">
      <c r="A6977" s="803" t="s">
        <v>16164</v>
      </c>
      <c r="B6977" s="803" t="s">
        <v>9329</v>
      </c>
      <c r="C6977" s="803" t="s">
        <v>9329</v>
      </c>
      <c r="D6977" s="803" t="s">
        <v>9377</v>
      </c>
      <c r="E6977" s="803">
        <v>160</v>
      </c>
      <c r="F6977" s="850">
        <v>80</v>
      </c>
      <c r="G6977" s="202" t="str">
        <f t="shared" si="108"/>
        <v/>
      </c>
    </row>
    <row r="6978" spans="1:7" s="172" customFormat="1" ht="15" customHeight="1" x14ac:dyDescent="0.25">
      <c r="A6978" s="803" t="s">
        <v>16164</v>
      </c>
      <c r="B6978" s="803" t="s">
        <v>9329</v>
      </c>
      <c r="C6978" s="803" t="s">
        <v>9329</v>
      </c>
      <c r="D6978" s="803" t="s">
        <v>9378</v>
      </c>
      <c r="E6978" s="803">
        <v>100</v>
      </c>
      <c r="F6978" s="850">
        <v>40</v>
      </c>
      <c r="G6978" s="202" t="str">
        <f t="shared" si="108"/>
        <v/>
      </c>
    </row>
    <row r="6979" spans="1:7" s="172" customFormat="1" ht="15" customHeight="1" x14ac:dyDescent="0.25">
      <c r="A6979" s="803" t="s">
        <v>16164</v>
      </c>
      <c r="B6979" s="803" t="s">
        <v>9329</v>
      </c>
      <c r="C6979" s="803" t="s">
        <v>9329</v>
      </c>
      <c r="D6979" s="803" t="s">
        <v>9379</v>
      </c>
      <c r="E6979" s="803">
        <v>160</v>
      </c>
      <c r="F6979" s="850">
        <v>38</v>
      </c>
      <c r="G6979" s="202" t="str">
        <f t="shared" si="108"/>
        <v/>
      </c>
    </row>
    <row r="6980" spans="1:7" s="172" customFormat="1" ht="15" customHeight="1" x14ac:dyDescent="0.25">
      <c r="A6980" s="803" t="s">
        <v>16164</v>
      </c>
      <c r="B6980" s="803" t="s">
        <v>9329</v>
      </c>
      <c r="C6980" s="803" t="s">
        <v>9329</v>
      </c>
      <c r="D6980" s="803" t="s">
        <v>9380</v>
      </c>
      <c r="E6980" s="803">
        <v>100</v>
      </c>
      <c r="F6980" s="850">
        <v>38</v>
      </c>
      <c r="G6980" s="202" t="str">
        <f t="shared" si="108"/>
        <v/>
      </c>
    </row>
    <row r="6981" spans="1:7" s="172" customFormat="1" ht="15" customHeight="1" x14ac:dyDescent="0.25">
      <c r="A6981" s="803" t="s">
        <v>16164</v>
      </c>
      <c r="B6981" s="803" t="s">
        <v>9329</v>
      </c>
      <c r="C6981" s="803" t="s">
        <v>9329</v>
      </c>
      <c r="D6981" s="803" t="s">
        <v>9381</v>
      </c>
      <c r="E6981" s="803">
        <v>160</v>
      </c>
      <c r="F6981" s="850">
        <v>15</v>
      </c>
      <c r="G6981" s="202" t="str">
        <f t="shared" si="108"/>
        <v/>
      </c>
    </row>
    <row r="6982" spans="1:7" s="172" customFormat="1" ht="15" customHeight="1" x14ac:dyDescent="0.25">
      <c r="A6982" s="803" t="s">
        <v>16164</v>
      </c>
      <c r="B6982" s="803" t="s">
        <v>9329</v>
      </c>
      <c r="C6982" s="803" t="s">
        <v>9329</v>
      </c>
      <c r="D6982" s="803" t="s">
        <v>9382</v>
      </c>
      <c r="E6982" s="803">
        <v>400</v>
      </c>
      <c r="F6982" s="850">
        <v>60</v>
      </c>
      <c r="G6982" s="202" t="str">
        <f t="shared" si="108"/>
        <v/>
      </c>
    </row>
    <row r="6983" spans="1:7" s="172" customFormat="1" ht="15" customHeight="1" x14ac:dyDescent="0.25">
      <c r="A6983" s="803" t="s">
        <v>16164</v>
      </c>
      <c r="B6983" s="803" t="s">
        <v>9329</v>
      </c>
      <c r="C6983" s="803" t="s">
        <v>9329</v>
      </c>
      <c r="D6983" s="803" t="s">
        <v>9383</v>
      </c>
      <c r="E6983" s="803">
        <v>160</v>
      </c>
      <c r="F6983" s="850">
        <v>28</v>
      </c>
      <c r="G6983" s="202" t="str">
        <f t="shared" si="108"/>
        <v/>
      </c>
    </row>
    <row r="6984" spans="1:7" s="172" customFormat="1" ht="15" customHeight="1" x14ac:dyDescent="0.25">
      <c r="A6984" s="803" t="s">
        <v>16164</v>
      </c>
      <c r="B6984" s="803" t="s">
        <v>9329</v>
      </c>
      <c r="C6984" s="803" t="s">
        <v>9329</v>
      </c>
      <c r="D6984" s="803" t="s">
        <v>9384</v>
      </c>
      <c r="E6984" s="803">
        <v>160</v>
      </c>
      <c r="F6984" s="850">
        <v>23</v>
      </c>
      <c r="G6984" s="202" t="str">
        <f t="shared" si="108"/>
        <v/>
      </c>
    </row>
    <row r="6985" spans="1:7" s="172" customFormat="1" ht="15" customHeight="1" x14ac:dyDescent="0.25">
      <c r="A6985" s="803" t="s">
        <v>16164</v>
      </c>
      <c r="B6985" s="803" t="s">
        <v>9329</v>
      </c>
      <c r="C6985" s="803" t="s">
        <v>9329</v>
      </c>
      <c r="D6985" s="803" t="s">
        <v>9385</v>
      </c>
      <c r="E6985" s="803">
        <v>250</v>
      </c>
      <c r="F6985" s="850">
        <v>74</v>
      </c>
      <c r="G6985" s="202" t="str">
        <f t="shared" si="108"/>
        <v/>
      </c>
    </row>
    <row r="6986" spans="1:7" s="172" customFormat="1" ht="15" customHeight="1" x14ac:dyDescent="0.25">
      <c r="A6986" s="803" t="s">
        <v>16164</v>
      </c>
      <c r="B6986" s="803" t="s">
        <v>9329</v>
      </c>
      <c r="C6986" s="803" t="s">
        <v>9329</v>
      </c>
      <c r="D6986" s="803" t="s">
        <v>9386</v>
      </c>
      <c r="E6986" s="803">
        <v>250</v>
      </c>
      <c r="F6986" s="850">
        <v>120</v>
      </c>
      <c r="G6986" s="202" t="str">
        <f t="shared" si="108"/>
        <v/>
      </c>
    </row>
    <row r="6987" spans="1:7" s="172" customFormat="1" ht="15" customHeight="1" x14ac:dyDescent="0.25">
      <c r="A6987" s="803" t="s">
        <v>16164</v>
      </c>
      <c r="B6987" s="803" t="s">
        <v>9329</v>
      </c>
      <c r="C6987" s="803" t="s">
        <v>9329</v>
      </c>
      <c r="D6987" s="803" t="s">
        <v>9387</v>
      </c>
      <c r="E6987" s="803">
        <v>250</v>
      </c>
      <c r="F6987" s="850">
        <v>115</v>
      </c>
      <c r="G6987" s="202" t="str">
        <f t="shared" si="108"/>
        <v/>
      </c>
    </row>
    <row r="6988" spans="1:7" s="172" customFormat="1" ht="15" customHeight="1" x14ac:dyDescent="0.25">
      <c r="A6988" s="803" t="s">
        <v>16164</v>
      </c>
      <c r="B6988" s="803" t="s">
        <v>9329</v>
      </c>
      <c r="C6988" s="803" t="s">
        <v>9329</v>
      </c>
      <c r="D6988" s="803" t="s">
        <v>9388</v>
      </c>
      <c r="E6988" s="803">
        <v>250</v>
      </c>
      <c r="F6988" s="850">
        <v>140</v>
      </c>
      <c r="G6988" s="202" t="str">
        <f t="shared" si="108"/>
        <v/>
      </c>
    </row>
    <row r="6989" spans="1:7" s="172" customFormat="1" ht="15" customHeight="1" x14ac:dyDescent="0.25">
      <c r="A6989" s="803" t="s">
        <v>16164</v>
      </c>
      <c r="B6989" s="803" t="s">
        <v>9329</v>
      </c>
      <c r="C6989" s="803" t="s">
        <v>9329</v>
      </c>
      <c r="D6989" s="803" t="s">
        <v>9389</v>
      </c>
      <c r="E6989" s="803">
        <v>250</v>
      </c>
      <c r="F6989" s="850">
        <v>140</v>
      </c>
      <c r="G6989" s="202" t="str">
        <f t="shared" si="108"/>
        <v/>
      </c>
    </row>
    <row r="6990" spans="1:7" s="172" customFormat="1" ht="15" customHeight="1" x14ac:dyDescent="0.25">
      <c r="A6990" s="803" t="s">
        <v>16164</v>
      </c>
      <c r="B6990" s="803" t="s">
        <v>9329</v>
      </c>
      <c r="C6990" s="803" t="s">
        <v>9329</v>
      </c>
      <c r="D6990" s="803" t="s">
        <v>19508</v>
      </c>
      <c r="E6990" s="803">
        <v>63</v>
      </c>
      <c r="F6990" s="850">
        <v>15</v>
      </c>
      <c r="G6990" s="202" t="str">
        <f t="shared" si="108"/>
        <v/>
      </c>
    </row>
    <row r="6991" spans="1:7" s="172" customFormat="1" ht="15" customHeight="1" x14ac:dyDescent="0.25">
      <c r="A6991" s="803" t="s">
        <v>16164</v>
      </c>
      <c r="B6991" s="803" t="s">
        <v>9329</v>
      </c>
      <c r="C6991" s="803" t="s">
        <v>9329</v>
      </c>
      <c r="D6991" s="803" t="s">
        <v>9390</v>
      </c>
      <c r="E6991" s="803">
        <v>100</v>
      </c>
      <c r="F6991" s="850">
        <v>51</v>
      </c>
      <c r="G6991" s="202" t="str">
        <f t="shared" si="108"/>
        <v/>
      </c>
    </row>
    <row r="6992" spans="1:7" s="172" customFormat="1" ht="15" customHeight="1" x14ac:dyDescent="0.25">
      <c r="A6992" s="803" t="s">
        <v>16164</v>
      </c>
      <c r="B6992" s="803" t="s">
        <v>9329</v>
      </c>
      <c r="C6992" s="803" t="s">
        <v>9329</v>
      </c>
      <c r="D6992" s="803" t="s">
        <v>19200</v>
      </c>
      <c r="E6992" s="803">
        <v>100</v>
      </c>
      <c r="F6992" s="850">
        <v>35</v>
      </c>
      <c r="G6992" s="202" t="str">
        <f t="shared" si="108"/>
        <v/>
      </c>
    </row>
    <row r="6993" spans="1:7" s="172" customFormat="1" ht="15" customHeight="1" x14ac:dyDescent="0.25">
      <c r="A6993" s="803" t="s">
        <v>16164</v>
      </c>
      <c r="B6993" s="803" t="s">
        <v>9329</v>
      </c>
      <c r="C6993" s="803" t="s">
        <v>9329</v>
      </c>
      <c r="D6993" s="803" t="s">
        <v>9391</v>
      </c>
      <c r="E6993" s="803">
        <v>63</v>
      </c>
      <c r="F6993" s="850">
        <v>16</v>
      </c>
      <c r="G6993" s="202" t="str">
        <f t="shared" si="108"/>
        <v/>
      </c>
    </row>
    <row r="6994" spans="1:7" s="172" customFormat="1" ht="15" customHeight="1" x14ac:dyDescent="0.25">
      <c r="A6994" s="803" t="s">
        <v>16164</v>
      </c>
      <c r="B6994" s="803" t="s">
        <v>9329</v>
      </c>
      <c r="C6994" s="803" t="s">
        <v>9329</v>
      </c>
      <c r="D6994" s="803" t="s">
        <v>9392</v>
      </c>
      <c r="E6994" s="803">
        <v>63</v>
      </c>
      <c r="F6994" s="850">
        <v>21</v>
      </c>
      <c r="G6994" s="202" t="str">
        <f t="shared" si="108"/>
        <v/>
      </c>
    </row>
    <row r="6995" spans="1:7" s="172" customFormat="1" ht="15" customHeight="1" x14ac:dyDescent="0.25">
      <c r="A6995" s="803" t="s">
        <v>16164</v>
      </c>
      <c r="B6995" s="803" t="s">
        <v>9329</v>
      </c>
      <c r="C6995" s="803" t="s">
        <v>9329</v>
      </c>
      <c r="D6995" s="803" t="s">
        <v>9393</v>
      </c>
      <c r="E6995" s="803">
        <v>630</v>
      </c>
      <c r="F6995" s="850">
        <v>450</v>
      </c>
      <c r="G6995" s="202" t="str">
        <f t="shared" si="108"/>
        <v/>
      </c>
    </row>
    <row r="6996" spans="1:7" s="172" customFormat="1" ht="15" customHeight="1" x14ac:dyDescent="0.25">
      <c r="A6996" s="803" t="s">
        <v>16188</v>
      </c>
      <c r="B6996" s="803" t="s">
        <v>9329</v>
      </c>
      <c r="C6996" s="803" t="s">
        <v>9329</v>
      </c>
      <c r="D6996" s="803" t="s">
        <v>9394</v>
      </c>
      <c r="E6996" s="803">
        <v>100</v>
      </c>
      <c r="F6996" s="850">
        <v>54</v>
      </c>
      <c r="G6996" s="202" t="str">
        <f t="shared" si="108"/>
        <v/>
      </c>
    </row>
    <row r="6997" spans="1:7" s="172" customFormat="1" ht="15" customHeight="1" x14ac:dyDescent="0.25">
      <c r="A6997" s="803" t="s">
        <v>16188</v>
      </c>
      <c r="B6997" s="803" t="s">
        <v>9329</v>
      </c>
      <c r="C6997" s="803" t="s">
        <v>9329</v>
      </c>
      <c r="D6997" s="803" t="s">
        <v>9395</v>
      </c>
      <c r="E6997" s="803">
        <v>100</v>
      </c>
      <c r="F6997" s="850">
        <v>45</v>
      </c>
      <c r="G6997" s="202" t="str">
        <f t="shared" si="108"/>
        <v/>
      </c>
    </row>
    <row r="6998" spans="1:7" s="172" customFormat="1" ht="15" customHeight="1" x14ac:dyDescent="0.25">
      <c r="A6998" s="803" t="s">
        <v>16188</v>
      </c>
      <c r="B6998" s="803" t="s">
        <v>9329</v>
      </c>
      <c r="C6998" s="803" t="s">
        <v>9329</v>
      </c>
      <c r="D6998" s="803" t="s">
        <v>9396</v>
      </c>
      <c r="E6998" s="803">
        <v>160</v>
      </c>
      <c r="F6998" s="850">
        <v>40</v>
      </c>
      <c r="G6998" s="202" t="str">
        <f t="shared" si="108"/>
        <v/>
      </c>
    </row>
    <row r="6999" spans="1:7" s="172" customFormat="1" ht="15" customHeight="1" x14ac:dyDescent="0.25">
      <c r="A6999" s="803" t="s">
        <v>16188</v>
      </c>
      <c r="B6999" s="803" t="s">
        <v>9329</v>
      </c>
      <c r="C6999" s="803" t="s">
        <v>9329</v>
      </c>
      <c r="D6999" s="803" t="s">
        <v>9397</v>
      </c>
      <c r="E6999" s="803">
        <v>100</v>
      </c>
      <c r="F6999" s="850">
        <v>38</v>
      </c>
      <c r="G6999" s="202" t="str">
        <f t="shared" si="108"/>
        <v/>
      </c>
    </row>
    <row r="7000" spans="1:7" s="172" customFormat="1" ht="15" customHeight="1" x14ac:dyDescent="0.25">
      <c r="A7000" s="803" t="s">
        <v>16189</v>
      </c>
      <c r="B7000" s="803" t="s">
        <v>9329</v>
      </c>
      <c r="C7000" s="803" t="s">
        <v>9329</v>
      </c>
      <c r="D7000" s="803" t="s">
        <v>9398</v>
      </c>
      <c r="E7000" s="803">
        <v>100</v>
      </c>
      <c r="F7000" s="850">
        <v>45</v>
      </c>
      <c r="G7000" s="202" t="str">
        <f t="shared" si="108"/>
        <v/>
      </c>
    </row>
    <row r="7001" spans="1:7" s="172" customFormat="1" ht="15" customHeight="1" x14ac:dyDescent="0.25">
      <c r="A7001" s="803" t="s">
        <v>16190</v>
      </c>
      <c r="B7001" s="803" t="s">
        <v>9329</v>
      </c>
      <c r="C7001" s="803" t="s">
        <v>9329</v>
      </c>
      <c r="D7001" s="803" t="s">
        <v>9399</v>
      </c>
      <c r="E7001" s="803">
        <v>30</v>
      </c>
      <c r="F7001" s="850">
        <v>17</v>
      </c>
      <c r="G7001" s="202" t="str">
        <f t="shared" si="108"/>
        <v/>
      </c>
    </row>
    <row r="7002" spans="1:7" s="172" customFormat="1" ht="15" customHeight="1" x14ac:dyDescent="0.25">
      <c r="A7002" s="803" t="s">
        <v>16191</v>
      </c>
      <c r="B7002" s="803" t="s">
        <v>9329</v>
      </c>
      <c r="C7002" s="803" t="s">
        <v>9329</v>
      </c>
      <c r="D7002" s="803" t="s">
        <v>9400</v>
      </c>
      <c r="E7002" s="803">
        <v>10</v>
      </c>
      <c r="F7002" s="850">
        <v>3</v>
      </c>
      <c r="G7002" s="202" t="str">
        <f t="shared" si="108"/>
        <v/>
      </c>
    </row>
    <row r="7003" spans="1:7" s="172" customFormat="1" ht="15" customHeight="1" x14ac:dyDescent="0.25">
      <c r="A7003" s="803" t="s">
        <v>16192</v>
      </c>
      <c r="B7003" s="803" t="s">
        <v>9329</v>
      </c>
      <c r="C7003" s="803" t="s">
        <v>9329</v>
      </c>
      <c r="D7003" s="803" t="s">
        <v>9401</v>
      </c>
      <c r="E7003" s="803">
        <v>250</v>
      </c>
      <c r="F7003" s="850">
        <v>110</v>
      </c>
      <c r="G7003" s="202" t="str">
        <f t="shared" si="108"/>
        <v/>
      </c>
    </row>
    <row r="7004" spans="1:7" s="172" customFormat="1" ht="15" customHeight="1" x14ac:dyDescent="0.25">
      <c r="A7004" s="803" t="s">
        <v>16192</v>
      </c>
      <c r="B7004" s="803" t="s">
        <v>9329</v>
      </c>
      <c r="C7004" s="803" t="s">
        <v>9329</v>
      </c>
      <c r="D7004" s="803" t="s">
        <v>9402</v>
      </c>
      <c r="E7004" s="803">
        <v>60</v>
      </c>
      <c r="F7004" s="850">
        <v>12</v>
      </c>
      <c r="G7004" s="202" t="str">
        <f t="shared" si="108"/>
        <v/>
      </c>
    </row>
    <row r="7005" spans="1:7" s="172" customFormat="1" ht="15" customHeight="1" x14ac:dyDescent="0.25">
      <c r="A7005" s="803" t="s">
        <v>16192</v>
      </c>
      <c r="B7005" s="803" t="s">
        <v>9329</v>
      </c>
      <c r="C7005" s="803" t="s">
        <v>9329</v>
      </c>
      <c r="D7005" s="803" t="s">
        <v>9403</v>
      </c>
      <c r="E7005" s="803">
        <v>160</v>
      </c>
      <c r="F7005" s="850">
        <v>50</v>
      </c>
      <c r="G7005" s="202" t="str">
        <f t="shared" si="108"/>
        <v/>
      </c>
    </row>
    <row r="7006" spans="1:7" s="172" customFormat="1" ht="15" customHeight="1" x14ac:dyDescent="0.25">
      <c r="A7006" s="803" t="s">
        <v>16192</v>
      </c>
      <c r="B7006" s="803" t="s">
        <v>9329</v>
      </c>
      <c r="C7006" s="803" t="s">
        <v>9329</v>
      </c>
      <c r="D7006" s="803" t="s">
        <v>9404</v>
      </c>
      <c r="E7006" s="803">
        <v>100</v>
      </c>
      <c r="F7006" s="850">
        <v>47</v>
      </c>
      <c r="G7006" s="202" t="str">
        <f t="shared" ref="G7006:G7069" si="109">IF(E7006=F7006,"не загружен","")</f>
        <v/>
      </c>
    </row>
    <row r="7007" spans="1:7" s="172" customFormat="1" ht="15" customHeight="1" x14ac:dyDescent="0.25">
      <c r="A7007" s="803" t="s">
        <v>16192</v>
      </c>
      <c r="B7007" s="803" t="s">
        <v>9329</v>
      </c>
      <c r="C7007" s="803" t="s">
        <v>9329</v>
      </c>
      <c r="D7007" s="803" t="s">
        <v>9405</v>
      </c>
      <c r="E7007" s="803">
        <v>40</v>
      </c>
      <c r="F7007" s="850">
        <v>15</v>
      </c>
      <c r="G7007" s="202" t="str">
        <f t="shared" si="109"/>
        <v/>
      </c>
    </row>
    <row r="7008" spans="1:7" s="172" customFormat="1" ht="15" customHeight="1" x14ac:dyDescent="0.25">
      <c r="A7008" s="803" t="s">
        <v>16193</v>
      </c>
      <c r="B7008" s="803" t="s">
        <v>9329</v>
      </c>
      <c r="C7008" s="803" t="s">
        <v>9329</v>
      </c>
      <c r="D7008" s="803" t="s">
        <v>9406</v>
      </c>
      <c r="E7008" s="803">
        <v>25</v>
      </c>
      <c r="F7008" s="850">
        <v>8</v>
      </c>
      <c r="G7008" s="202" t="str">
        <f t="shared" si="109"/>
        <v/>
      </c>
    </row>
    <row r="7009" spans="1:7" s="172" customFormat="1" ht="15" customHeight="1" x14ac:dyDescent="0.25">
      <c r="A7009" s="803" t="s">
        <v>16194</v>
      </c>
      <c r="B7009" s="803" t="s">
        <v>9329</v>
      </c>
      <c r="C7009" s="803" t="s">
        <v>9329</v>
      </c>
      <c r="D7009" s="803" t="s">
        <v>9407</v>
      </c>
      <c r="E7009" s="803">
        <v>25</v>
      </c>
      <c r="F7009" s="850">
        <v>19</v>
      </c>
      <c r="G7009" s="202" t="str">
        <f t="shared" si="109"/>
        <v/>
      </c>
    </row>
    <row r="7010" spans="1:7" s="172" customFormat="1" ht="15" customHeight="1" x14ac:dyDescent="0.25">
      <c r="A7010" s="803" t="s">
        <v>16195</v>
      </c>
      <c r="B7010" s="803" t="s">
        <v>9329</v>
      </c>
      <c r="C7010" s="803" t="s">
        <v>9329</v>
      </c>
      <c r="D7010" s="803" t="s">
        <v>9408</v>
      </c>
      <c r="E7010" s="803">
        <v>30</v>
      </c>
      <c r="F7010" s="850">
        <v>12</v>
      </c>
      <c r="G7010" s="202" t="str">
        <f t="shared" si="109"/>
        <v/>
      </c>
    </row>
    <row r="7011" spans="1:7" s="172" customFormat="1" ht="15" customHeight="1" x14ac:dyDescent="0.25">
      <c r="A7011" s="803" t="s">
        <v>16196</v>
      </c>
      <c r="B7011" s="803" t="s">
        <v>9329</v>
      </c>
      <c r="C7011" s="803" t="s">
        <v>9329</v>
      </c>
      <c r="D7011" s="803" t="s">
        <v>9409</v>
      </c>
      <c r="E7011" s="803"/>
      <c r="F7011" s="850"/>
      <c r="G7011" s="202" t="str">
        <f t="shared" si="109"/>
        <v>не загружен</v>
      </c>
    </row>
    <row r="7012" spans="1:7" s="172" customFormat="1" ht="15" customHeight="1" x14ac:dyDescent="0.25">
      <c r="A7012" s="803" t="s">
        <v>16197</v>
      </c>
      <c r="B7012" s="803" t="s">
        <v>9329</v>
      </c>
      <c r="C7012" s="803" t="s">
        <v>9329</v>
      </c>
      <c r="D7012" s="803" t="s">
        <v>9410</v>
      </c>
      <c r="E7012" s="803">
        <v>10</v>
      </c>
      <c r="F7012" s="850">
        <v>2.5</v>
      </c>
      <c r="G7012" s="202" t="str">
        <f t="shared" si="109"/>
        <v/>
      </c>
    </row>
    <row r="7013" spans="1:7" s="172" customFormat="1" ht="15" customHeight="1" x14ac:dyDescent="0.25">
      <c r="A7013" s="803" t="s">
        <v>16198</v>
      </c>
      <c r="B7013" s="803" t="s">
        <v>9329</v>
      </c>
      <c r="C7013" s="803" t="s">
        <v>9329</v>
      </c>
      <c r="D7013" s="803" t="s">
        <v>9411</v>
      </c>
      <c r="E7013" s="803">
        <v>10</v>
      </c>
      <c r="F7013" s="850">
        <v>5</v>
      </c>
      <c r="G7013" s="202" t="str">
        <f t="shared" si="109"/>
        <v/>
      </c>
    </row>
    <row r="7014" spans="1:7" s="172" customFormat="1" ht="15" customHeight="1" x14ac:dyDescent="0.25">
      <c r="A7014" s="803" t="s">
        <v>16199</v>
      </c>
      <c r="B7014" s="803" t="s">
        <v>9329</v>
      </c>
      <c r="C7014" s="803" t="s">
        <v>9329</v>
      </c>
      <c r="D7014" s="803" t="s">
        <v>9412</v>
      </c>
      <c r="E7014" s="803">
        <v>30</v>
      </c>
      <c r="F7014" s="850">
        <v>16</v>
      </c>
      <c r="G7014" s="202" t="str">
        <f t="shared" si="109"/>
        <v/>
      </c>
    </row>
    <row r="7015" spans="1:7" s="172" customFormat="1" ht="15" customHeight="1" x14ac:dyDescent="0.25">
      <c r="A7015" s="803" t="s">
        <v>16200</v>
      </c>
      <c r="B7015" s="803" t="s">
        <v>9329</v>
      </c>
      <c r="C7015" s="803" t="s">
        <v>9329</v>
      </c>
      <c r="D7015" s="803" t="s">
        <v>9413</v>
      </c>
      <c r="E7015" s="803">
        <v>100</v>
      </c>
      <c r="F7015" s="850">
        <v>58</v>
      </c>
      <c r="G7015" s="202" t="str">
        <f t="shared" si="109"/>
        <v/>
      </c>
    </row>
    <row r="7016" spans="1:7" s="172" customFormat="1" ht="15" customHeight="1" x14ac:dyDescent="0.25">
      <c r="A7016" s="803" t="s">
        <v>16200</v>
      </c>
      <c r="B7016" s="803" t="s">
        <v>9329</v>
      </c>
      <c r="C7016" s="803" t="s">
        <v>9329</v>
      </c>
      <c r="D7016" s="803" t="s">
        <v>9414</v>
      </c>
      <c r="E7016" s="803">
        <v>63</v>
      </c>
      <c r="F7016" s="850">
        <v>35</v>
      </c>
      <c r="G7016" s="202" t="str">
        <f t="shared" si="109"/>
        <v/>
      </c>
    </row>
    <row r="7017" spans="1:7" s="172" customFormat="1" ht="15" customHeight="1" x14ac:dyDescent="0.25">
      <c r="A7017" s="803" t="s">
        <v>16201</v>
      </c>
      <c r="B7017" s="803" t="s">
        <v>9329</v>
      </c>
      <c r="C7017" s="803" t="s">
        <v>9329</v>
      </c>
      <c r="D7017" s="803" t="s">
        <v>9415</v>
      </c>
      <c r="E7017" s="803">
        <v>30</v>
      </c>
      <c r="F7017" s="850">
        <v>14</v>
      </c>
      <c r="G7017" s="202" t="str">
        <f t="shared" si="109"/>
        <v/>
      </c>
    </row>
    <row r="7018" spans="1:7" s="172" customFormat="1" ht="15" customHeight="1" x14ac:dyDescent="0.25">
      <c r="A7018" s="803" t="s">
        <v>16201</v>
      </c>
      <c r="B7018" s="803" t="s">
        <v>9329</v>
      </c>
      <c r="C7018" s="803" t="s">
        <v>9329</v>
      </c>
      <c r="D7018" s="803" t="s">
        <v>19509</v>
      </c>
      <c r="E7018" s="803"/>
      <c r="F7018" s="850"/>
      <c r="G7018" s="202" t="str">
        <f t="shared" si="109"/>
        <v>не загружен</v>
      </c>
    </row>
    <row r="7019" spans="1:7" s="172" customFormat="1" ht="15" customHeight="1" x14ac:dyDescent="0.25">
      <c r="A7019" s="803" t="s">
        <v>16202</v>
      </c>
      <c r="B7019" s="803" t="s">
        <v>9329</v>
      </c>
      <c r="C7019" s="803" t="s">
        <v>9329</v>
      </c>
      <c r="D7019" s="803" t="s">
        <v>9416</v>
      </c>
      <c r="E7019" s="803">
        <v>4</v>
      </c>
      <c r="F7019" s="850">
        <v>1.5</v>
      </c>
      <c r="G7019" s="202" t="str">
        <f t="shared" si="109"/>
        <v/>
      </c>
    </row>
    <row r="7020" spans="1:7" s="172" customFormat="1" ht="15" customHeight="1" x14ac:dyDescent="0.25">
      <c r="A7020" s="803" t="s">
        <v>16203</v>
      </c>
      <c r="B7020" s="803" t="s">
        <v>9329</v>
      </c>
      <c r="C7020" s="803" t="s">
        <v>9329</v>
      </c>
      <c r="D7020" s="803" t="s">
        <v>9417</v>
      </c>
      <c r="E7020" s="803">
        <v>4</v>
      </c>
      <c r="F7020" s="850">
        <v>2.5</v>
      </c>
      <c r="G7020" s="202" t="str">
        <f t="shared" si="109"/>
        <v/>
      </c>
    </row>
    <row r="7021" spans="1:7" s="172" customFormat="1" ht="15" customHeight="1" x14ac:dyDescent="0.25">
      <c r="A7021" s="803" t="s">
        <v>16204</v>
      </c>
      <c r="B7021" s="803" t="s">
        <v>9329</v>
      </c>
      <c r="C7021" s="803" t="s">
        <v>9329</v>
      </c>
      <c r="D7021" s="803" t="s">
        <v>9418</v>
      </c>
      <c r="E7021" s="803">
        <v>63</v>
      </c>
      <c r="F7021" s="850">
        <v>18</v>
      </c>
      <c r="G7021" s="202" t="str">
        <f t="shared" si="109"/>
        <v/>
      </c>
    </row>
    <row r="7022" spans="1:7" s="172" customFormat="1" ht="15" customHeight="1" x14ac:dyDescent="0.25">
      <c r="A7022" s="803" t="s">
        <v>16205</v>
      </c>
      <c r="B7022" s="803" t="s">
        <v>9329</v>
      </c>
      <c r="C7022" s="803" t="s">
        <v>9329</v>
      </c>
      <c r="D7022" s="803" t="s">
        <v>9419</v>
      </c>
      <c r="E7022" s="803">
        <v>100</v>
      </c>
      <c r="F7022" s="850">
        <v>34</v>
      </c>
      <c r="G7022" s="202" t="str">
        <f t="shared" si="109"/>
        <v/>
      </c>
    </row>
    <row r="7023" spans="1:7" s="172" customFormat="1" ht="15" customHeight="1" x14ac:dyDescent="0.25">
      <c r="A7023" s="803" t="s">
        <v>16206</v>
      </c>
      <c r="B7023" s="803" t="s">
        <v>9329</v>
      </c>
      <c r="C7023" s="803" t="s">
        <v>9329</v>
      </c>
      <c r="D7023" s="803" t="s">
        <v>9420</v>
      </c>
      <c r="E7023" s="803">
        <v>30</v>
      </c>
      <c r="F7023" s="850">
        <v>8</v>
      </c>
      <c r="G7023" s="202" t="str">
        <f t="shared" si="109"/>
        <v/>
      </c>
    </row>
    <row r="7024" spans="1:7" s="172" customFormat="1" ht="15" customHeight="1" x14ac:dyDescent="0.25">
      <c r="A7024" s="803" t="s">
        <v>15520</v>
      </c>
      <c r="B7024" s="803" t="s">
        <v>9329</v>
      </c>
      <c r="C7024" s="803" t="s">
        <v>9329</v>
      </c>
      <c r="D7024" s="803" t="s">
        <v>9421</v>
      </c>
      <c r="E7024" s="803">
        <v>100</v>
      </c>
      <c r="F7024" s="850">
        <v>49</v>
      </c>
      <c r="G7024" s="202" t="str">
        <f t="shared" si="109"/>
        <v/>
      </c>
    </row>
    <row r="7025" spans="1:7" s="172" customFormat="1" ht="15" customHeight="1" x14ac:dyDescent="0.25">
      <c r="A7025" s="803" t="s">
        <v>16207</v>
      </c>
      <c r="B7025" s="803" t="s">
        <v>9329</v>
      </c>
      <c r="C7025" s="803" t="s">
        <v>9329</v>
      </c>
      <c r="D7025" s="803" t="s">
        <v>9422</v>
      </c>
      <c r="E7025" s="803">
        <v>160</v>
      </c>
      <c r="F7025" s="850">
        <v>25</v>
      </c>
      <c r="G7025" s="202" t="str">
        <f t="shared" si="109"/>
        <v/>
      </c>
    </row>
    <row r="7026" spans="1:7" s="172" customFormat="1" ht="15" customHeight="1" x14ac:dyDescent="0.25">
      <c r="A7026" s="803" t="s">
        <v>16207</v>
      </c>
      <c r="B7026" s="803" t="s">
        <v>9329</v>
      </c>
      <c r="C7026" s="803" t="s">
        <v>9329</v>
      </c>
      <c r="D7026" s="803" t="s">
        <v>9423</v>
      </c>
      <c r="E7026" s="803">
        <v>63</v>
      </c>
      <c r="F7026" s="850">
        <v>14</v>
      </c>
      <c r="G7026" s="202" t="str">
        <f t="shared" si="109"/>
        <v/>
      </c>
    </row>
    <row r="7027" spans="1:7" s="172" customFormat="1" ht="15" customHeight="1" x14ac:dyDescent="0.25">
      <c r="A7027" s="803" t="s">
        <v>16207</v>
      </c>
      <c r="B7027" s="803" t="s">
        <v>9329</v>
      </c>
      <c r="C7027" s="803" t="s">
        <v>9329</v>
      </c>
      <c r="D7027" s="803" t="s">
        <v>9424</v>
      </c>
      <c r="E7027" s="803"/>
      <c r="F7027" s="850"/>
      <c r="G7027" s="202" t="str">
        <f t="shared" si="109"/>
        <v>не загружен</v>
      </c>
    </row>
    <row r="7028" spans="1:7" s="172" customFormat="1" ht="15" customHeight="1" x14ac:dyDescent="0.25">
      <c r="A7028" s="803" t="s">
        <v>16208</v>
      </c>
      <c r="B7028" s="803" t="s">
        <v>9329</v>
      </c>
      <c r="C7028" s="803" t="s">
        <v>9329</v>
      </c>
      <c r="D7028" s="803" t="s">
        <v>9425</v>
      </c>
      <c r="E7028" s="803">
        <v>63</v>
      </c>
      <c r="F7028" s="850">
        <v>14</v>
      </c>
      <c r="G7028" s="202" t="str">
        <f t="shared" si="109"/>
        <v/>
      </c>
    </row>
    <row r="7029" spans="1:7" s="172" customFormat="1" ht="15" customHeight="1" x14ac:dyDescent="0.25">
      <c r="A7029" s="803" t="s">
        <v>16209</v>
      </c>
      <c r="B7029" s="803" t="s">
        <v>9329</v>
      </c>
      <c r="C7029" s="803" t="s">
        <v>9329</v>
      </c>
      <c r="D7029" s="803" t="s">
        <v>9426</v>
      </c>
      <c r="E7029" s="803">
        <v>10</v>
      </c>
      <c r="F7029" s="850">
        <v>4</v>
      </c>
      <c r="G7029" s="202" t="str">
        <f t="shared" si="109"/>
        <v/>
      </c>
    </row>
    <row r="7030" spans="1:7" s="172" customFormat="1" ht="15" customHeight="1" x14ac:dyDescent="0.25">
      <c r="A7030" s="803" t="s">
        <v>16209</v>
      </c>
      <c r="B7030" s="803" t="s">
        <v>9329</v>
      </c>
      <c r="C7030" s="803" t="s">
        <v>9329</v>
      </c>
      <c r="D7030" s="803" t="s">
        <v>9427</v>
      </c>
      <c r="E7030" s="803">
        <v>30</v>
      </c>
      <c r="F7030" s="850">
        <v>8</v>
      </c>
      <c r="G7030" s="202" t="str">
        <f t="shared" si="109"/>
        <v/>
      </c>
    </row>
    <row r="7031" spans="1:7" s="172" customFormat="1" ht="15" customHeight="1" x14ac:dyDescent="0.25">
      <c r="A7031" s="803" t="s">
        <v>16210</v>
      </c>
      <c r="B7031" s="803" t="s">
        <v>9329</v>
      </c>
      <c r="C7031" s="803" t="s">
        <v>9329</v>
      </c>
      <c r="D7031" s="803" t="s">
        <v>9428</v>
      </c>
      <c r="E7031" s="803">
        <v>100</v>
      </c>
      <c r="F7031" s="850">
        <v>40</v>
      </c>
      <c r="G7031" s="202" t="str">
        <f t="shared" si="109"/>
        <v/>
      </c>
    </row>
    <row r="7032" spans="1:7" s="172" customFormat="1" ht="15" customHeight="1" x14ac:dyDescent="0.25">
      <c r="A7032" s="803" t="s">
        <v>16210</v>
      </c>
      <c r="B7032" s="803" t="s">
        <v>9329</v>
      </c>
      <c r="C7032" s="803" t="s">
        <v>9329</v>
      </c>
      <c r="D7032" s="803" t="s">
        <v>9429</v>
      </c>
      <c r="E7032" s="803">
        <v>63</v>
      </c>
      <c r="F7032" s="850">
        <v>27</v>
      </c>
      <c r="G7032" s="202" t="str">
        <f t="shared" si="109"/>
        <v/>
      </c>
    </row>
    <row r="7033" spans="1:7" s="172" customFormat="1" ht="15" customHeight="1" x14ac:dyDescent="0.25">
      <c r="A7033" s="803" t="s">
        <v>16210</v>
      </c>
      <c r="B7033" s="803" t="s">
        <v>9329</v>
      </c>
      <c r="C7033" s="803" t="s">
        <v>9329</v>
      </c>
      <c r="D7033" s="803" t="s">
        <v>18580</v>
      </c>
      <c r="E7033" s="803">
        <v>40</v>
      </c>
      <c r="F7033" s="850">
        <v>18</v>
      </c>
      <c r="G7033" s="202" t="str">
        <f t="shared" si="109"/>
        <v/>
      </c>
    </row>
    <row r="7034" spans="1:7" s="172" customFormat="1" ht="15" customHeight="1" x14ac:dyDescent="0.25">
      <c r="A7034" s="803" t="s">
        <v>16211</v>
      </c>
      <c r="B7034" s="803" t="s">
        <v>9329</v>
      </c>
      <c r="C7034" s="803" t="s">
        <v>9329</v>
      </c>
      <c r="D7034" s="803" t="s">
        <v>9430</v>
      </c>
      <c r="E7034" s="803">
        <v>63</v>
      </c>
      <c r="F7034" s="850">
        <v>17</v>
      </c>
      <c r="G7034" s="202" t="str">
        <f t="shared" si="109"/>
        <v/>
      </c>
    </row>
    <row r="7035" spans="1:7" s="172" customFormat="1" ht="15" customHeight="1" x14ac:dyDescent="0.25">
      <c r="A7035" s="803" t="s">
        <v>16211</v>
      </c>
      <c r="B7035" s="803" t="s">
        <v>9329</v>
      </c>
      <c r="C7035" s="803" t="s">
        <v>9329</v>
      </c>
      <c r="D7035" s="803" t="s">
        <v>9431</v>
      </c>
      <c r="E7035" s="803">
        <v>100</v>
      </c>
      <c r="F7035" s="850">
        <v>32</v>
      </c>
      <c r="G7035" s="202" t="str">
        <f t="shared" si="109"/>
        <v/>
      </c>
    </row>
    <row r="7036" spans="1:7" s="172" customFormat="1" ht="15" customHeight="1" x14ac:dyDescent="0.25">
      <c r="A7036" s="803" t="s">
        <v>16211</v>
      </c>
      <c r="B7036" s="803" t="s">
        <v>9329</v>
      </c>
      <c r="C7036" s="803" t="s">
        <v>9329</v>
      </c>
      <c r="D7036" s="803" t="s">
        <v>9432</v>
      </c>
      <c r="E7036" s="803">
        <v>63</v>
      </c>
      <c r="F7036" s="850">
        <v>8</v>
      </c>
      <c r="G7036" s="202" t="str">
        <f t="shared" si="109"/>
        <v/>
      </c>
    </row>
    <row r="7037" spans="1:7" s="172" customFormat="1" ht="15" customHeight="1" x14ac:dyDescent="0.25">
      <c r="A7037" s="803" t="s">
        <v>16212</v>
      </c>
      <c r="B7037" s="803" t="s">
        <v>9329</v>
      </c>
      <c r="C7037" s="803" t="s">
        <v>9329</v>
      </c>
      <c r="D7037" s="803" t="s">
        <v>9433</v>
      </c>
      <c r="E7037" s="803">
        <v>25</v>
      </c>
      <c r="F7037" s="850">
        <v>15</v>
      </c>
      <c r="G7037" s="202" t="str">
        <f t="shared" si="109"/>
        <v/>
      </c>
    </row>
    <row r="7038" spans="1:7" s="172" customFormat="1" ht="15" customHeight="1" x14ac:dyDescent="0.25">
      <c r="A7038" s="803" t="s">
        <v>16213</v>
      </c>
      <c r="B7038" s="803" t="s">
        <v>9329</v>
      </c>
      <c r="C7038" s="803" t="s">
        <v>9329</v>
      </c>
      <c r="D7038" s="803" t="s">
        <v>9434</v>
      </c>
      <c r="E7038" s="803">
        <v>60</v>
      </c>
      <c r="F7038" s="850">
        <v>24</v>
      </c>
      <c r="G7038" s="202" t="str">
        <f t="shared" si="109"/>
        <v/>
      </c>
    </row>
    <row r="7039" spans="1:7" s="172" customFormat="1" ht="15" customHeight="1" x14ac:dyDescent="0.25">
      <c r="A7039" s="803" t="s">
        <v>16214</v>
      </c>
      <c r="B7039" s="803" t="s">
        <v>9329</v>
      </c>
      <c r="C7039" s="803" t="s">
        <v>9329</v>
      </c>
      <c r="D7039" s="803" t="s">
        <v>9435</v>
      </c>
      <c r="E7039" s="803">
        <v>40</v>
      </c>
      <c r="F7039" s="850">
        <v>14</v>
      </c>
      <c r="G7039" s="202" t="str">
        <f t="shared" si="109"/>
        <v/>
      </c>
    </row>
    <row r="7040" spans="1:7" s="172" customFormat="1" ht="15" customHeight="1" x14ac:dyDescent="0.25">
      <c r="A7040" s="803" t="s">
        <v>16215</v>
      </c>
      <c r="B7040" s="803" t="s">
        <v>9329</v>
      </c>
      <c r="C7040" s="803" t="s">
        <v>9329</v>
      </c>
      <c r="D7040" s="803" t="s">
        <v>9436</v>
      </c>
      <c r="E7040" s="803">
        <v>30</v>
      </c>
      <c r="F7040" s="850">
        <v>12</v>
      </c>
      <c r="G7040" s="202" t="str">
        <f t="shared" si="109"/>
        <v/>
      </c>
    </row>
    <row r="7041" spans="1:7" s="172" customFormat="1" ht="15" customHeight="1" x14ac:dyDescent="0.25">
      <c r="A7041" s="803" t="s">
        <v>16216</v>
      </c>
      <c r="B7041" s="803" t="s">
        <v>9329</v>
      </c>
      <c r="C7041" s="803" t="s">
        <v>9329</v>
      </c>
      <c r="D7041" s="803" t="s">
        <v>9437</v>
      </c>
      <c r="E7041" s="803">
        <v>63</v>
      </c>
      <c r="F7041" s="850">
        <v>48</v>
      </c>
      <c r="G7041" s="202" t="str">
        <f t="shared" si="109"/>
        <v/>
      </c>
    </row>
    <row r="7042" spans="1:7" s="172" customFormat="1" ht="15" customHeight="1" x14ac:dyDescent="0.25">
      <c r="A7042" s="803" t="s">
        <v>16217</v>
      </c>
      <c r="B7042" s="803" t="s">
        <v>9329</v>
      </c>
      <c r="C7042" s="803" t="s">
        <v>9329</v>
      </c>
      <c r="D7042" s="803" t="s">
        <v>9438</v>
      </c>
      <c r="E7042" s="803">
        <v>30</v>
      </c>
      <c r="F7042" s="850">
        <v>22</v>
      </c>
      <c r="G7042" s="202" t="str">
        <f t="shared" si="109"/>
        <v/>
      </c>
    </row>
    <row r="7043" spans="1:7" s="172" customFormat="1" ht="15" customHeight="1" x14ac:dyDescent="0.25">
      <c r="A7043" s="803" t="s">
        <v>16218</v>
      </c>
      <c r="B7043" s="803" t="s">
        <v>9329</v>
      </c>
      <c r="C7043" s="803" t="s">
        <v>9329</v>
      </c>
      <c r="D7043" s="803" t="s">
        <v>7127</v>
      </c>
      <c r="E7043" s="803">
        <v>30</v>
      </c>
      <c r="F7043" s="850">
        <v>19</v>
      </c>
      <c r="G7043" s="202" t="str">
        <f t="shared" si="109"/>
        <v/>
      </c>
    </row>
    <row r="7044" spans="1:7" s="172" customFormat="1" ht="15" customHeight="1" x14ac:dyDescent="0.25">
      <c r="A7044" s="803" t="s">
        <v>16219</v>
      </c>
      <c r="B7044" s="803" t="s">
        <v>9329</v>
      </c>
      <c r="C7044" s="803" t="s">
        <v>9329</v>
      </c>
      <c r="D7044" s="803" t="s">
        <v>9439</v>
      </c>
      <c r="E7044" s="803">
        <v>63</v>
      </c>
      <c r="F7044" s="850">
        <v>45</v>
      </c>
      <c r="G7044" s="202" t="str">
        <f t="shared" si="109"/>
        <v/>
      </c>
    </row>
    <row r="7045" spans="1:7" s="172" customFormat="1" ht="15" customHeight="1" x14ac:dyDescent="0.25">
      <c r="A7045" s="803" t="s">
        <v>16220</v>
      </c>
      <c r="B7045" s="803" t="s">
        <v>9329</v>
      </c>
      <c r="C7045" s="803" t="s">
        <v>9329</v>
      </c>
      <c r="D7045" s="803" t="s">
        <v>9440</v>
      </c>
      <c r="E7045" s="803">
        <v>20</v>
      </c>
      <c r="F7045" s="850">
        <v>12</v>
      </c>
      <c r="G7045" s="202" t="str">
        <f t="shared" si="109"/>
        <v/>
      </c>
    </row>
    <row r="7046" spans="1:7" s="172" customFormat="1" ht="15" customHeight="1" x14ac:dyDescent="0.25">
      <c r="A7046" s="803" t="s">
        <v>16220</v>
      </c>
      <c r="B7046" s="803" t="s">
        <v>9329</v>
      </c>
      <c r="C7046" s="803" t="s">
        <v>9329</v>
      </c>
      <c r="D7046" s="803" t="s">
        <v>9441</v>
      </c>
      <c r="E7046" s="803">
        <v>100</v>
      </c>
      <c r="F7046" s="850">
        <v>22</v>
      </c>
      <c r="G7046" s="202" t="str">
        <f t="shared" si="109"/>
        <v/>
      </c>
    </row>
    <row r="7047" spans="1:7" s="172" customFormat="1" ht="15" customHeight="1" x14ac:dyDescent="0.25">
      <c r="A7047" s="803" t="s">
        <v>16220</v>
      </c>
      <c r="B7047" s="803" t="s">
        <v>9329</v>
      </c>
      <c r="C7047" s="803" t="s">
        <v>9329</v>
      </c>
      <c r="D7047" s="803" t="s">
        <v>9442</v>
      </c>
      <c r="E7047" s="803">
        <v>63</v>
      </c>
      <c r="F7047" s="850">
        <v>14</v>
      </c>
      <c r="G7047" s="202" t="str">
        <f t="shared" si="109"/>
        <v/>
      </c>
    </row>
    <row r="7048" spans="1:7" s="172" customFormat="1" ht="15" customHeight="1" x14ac:dyDescent="0.25">
      <c r="A7048" s="803" t="s">
        <v>16220</v>
      </c>
      <c r="B7048" s="803" t="s">
        <v>9329</v>
      </c>
      <c r="C7048" s="803" t="s">
        <v>9329</v>
      </c>
      <c r="D7048" s="803" t="s">
        <v>9443</v>
      </c>
      <c r="E7048" s="803">
        <v>60</v>
      </c>
      <c r="F7048" s="850">
        <v>38</v>
      </c>
      <c r="G7048" s="202" t="str">
        <f t="shared" si="109"/>
        <v/>
      </c>
    </row>
    <row r="7049" spans="1:7" s="172" customFormat="1" ht="15" customHeight="1" x14ac:dyDescent="0.25">
      <c r="A7049" s="803" t="s">
        <v>16221</v>
      </c>
      <c r="B7049" s="803" t="s">
        <v>9329</v>
      </c>
      <c r="C7049" s="803" t="s">
        <v>9329</v>
      </c>
      <c r="D7049" s="803" t="s">
        <v>9444</v>
      </c>
      <c r="E7049" s="803">
        <v>10</v>
      </c>
      <c r="F7049" s="850">
        <v>4</v>
      </c>
      <c r="G7049" s="202" t="str">
        <f t="shared" si="109"/>
        <v/>
      </c>
    </row>
    <row r="7050" spans="1:7" s="172" customFormat="1" ht="15" customHeight="1" x14ac:dyDescent="0.25">
      <c r="A7050" s="803" t="s">
        <v>15505</v>
      </c>
      <c r="B7050" s="803" t="s">
        <v>9329</v>
      </c>
      <c r="C7050" s="803" t="s">
        <v>9329</v>
      </c>
      <c r="D7050" s="803" t="s">
        <v>9445</v>
      </c>
      <c r="E7050" s="803">
        <v>40</v>
      </c>
      <c r="F7050" s="850">
        <v>21</v>
      </c>
      <c r="G7050" s="202" t="str">
        <f t="shared" si="109"/>
        <v/>
      </c>
    </row>
    <row r="7051" spans="1:7" s="172" customFormat="1" ht="15" customHeight="1" x14ac:dyDescent="0.25">
      <c r="A7051" s="803" t="s">
        <v>16222</v>
      </c>
      <c r="B7051" s="803" t="s">
        <v>9329</v>
      </c>
      <c r="C7051" s="803" t="s">
        <v>9329</v>
      </c>
      <c r="D7051" s="803" t="s">
        <v>9446</v>
      </c>
      <c r="E7051" s="803">
        <v>25</v>
      </c>
      <c r="F7051" s="850">
        <v>3</v>
      </c>
      <c r="G7051" s="202" t="str">
        <f t="shared" si="109"/>
        <v/>
      </c>
    </row>
    <row r="7052" spans="1:7" s="172" customFormat="1" ht="15" customHeight="1" x14ac:dyDescent="0.25">
      <c r="A7052" s="803" t="s">
        <v>16223</v>
      </c>
      <c r="B7052" s="803" t="s">
        <v>9329</v>
      </c>
      <c r="C7052" s="803" t="s">
        <v>9329</v>
      </c>
      <c r="D7052" s="803" t="s">
        <v>9447</v>
      </c>
      <c r="E7052" s="803">
        <v>100</v>
      </c>
      <c r="F7052" s="850">
        <v>25</v>
      </c>
      <c r="G7052" s="202" t="str">
        <f t="shared" si="109"/>
        <v/>
      </c>
    </row>
    <row r="7053" spans="1:7" s="172" customFormat="1" ht="15" customHeight="1" x14ac:dyDescent="0.25">
      <c r="A7053" s="803" t="s">
        <v>16224</v>
      </c>
      <c r="B7053" s="803" t="s">
        <v>9329</v>
      </c>
      <c r="C7053" s="803" t="s">
        <v>9329</v>
      </c>
      <c r="D7053" s="803" t="s">
        <v>9448</v>
      </c>
      <c r="E7053" s="803">
        <v>400</v>
      </c>
      <c r="F7053" s="850">
        <v>250</v>
      </c>
      <c r="G7053" s="202" t="str">
        <f t="shared" si="109"/>
        <v/>
      </c>
    </row>
    <row r="7054" spans="1:7" s="172" customFormat="1" ht="15" customHeight="1" x14ac:dyDescent="0.25">
      <c r="A7054" s="803" t="s">
        <v>16224</v>
      </c>
      <c r="B7054" s="803" t="s">
        <v>9329</v>
      </c>
      <c r="C7054" s="803" t="s">
        <v>9329</v>
      </c>
      <c r="D7054" s="803" t="s">
        <v>9449</v>
      </c>
      <c r="E7054" s="803">
        <v>1000</v>
      </c>
      <c r="F7054" s="850">
        <v>300</v>
      </c>
      <c r="G7054" s="202" t="str">
        <f t="shared" si="109"/>
        <v/>
      </c>
    </row>
    <row r="7055" spans="1:7" s="172" customFormat="1" ht="15" customHeight="1" x14ac:dyDescent="0.25">
      <c r="A7055" s="803" t="s">
        <v>16225</v>
      </c>
      <c r="B7055" s="803" t="s">
        <v>9329</v>
      </c>
      <c r="C7055" s="803" t="s">
        <v>9329</v>
      </c>
      <c r="D7055" s="803" t="s">
        <v>9450</v>
      </c>
      <c r="E7055" s="803">
        <v>30</v>
      </c>
      <c r="F7055" s="850">
        <v>16</v>
      </c>
      <c r="G7055" s="202" t="str">
        <f t="shared" si="109"/>
        <v/>
      </c>
    </row>
    <row r="7056" spans="1:7" s="172" customFormat="1" ht="15" customHeight="1" x14ac:dyDescent="0.25">
      <c r="A7056" s="803" t="s">
        <v>16226</v>
      </c>
      <c r="B7056" s="803" t="s">
        <v>9329</v>
      </c>
      <c r="C7056" s="803" t="s">
        <v>9329</v>
      </c>
      <c r="D7056" s="803" t="s">
        <v>9451</v>
      </c>
      <c r="E7056" s="803">
        <v>63</v>
      </c>
      <c r="F7056" s="850">
        <v>45</v>
      </c>
      <c r="G7056" s="202" t="str">
        <f t="shared" si="109"/>
        <v/>
      </c>
    </row>
    <row r="7057" spans="1:7" s="172" customFormat="1" ht="15" customHeight="1" x14ac:dyDescent="0.25">
      <c r="A7057" s="803" t="s">
        <v>16227</v>
      </c>
      <c r="B7057" s="803" t="s">
        <v>9329</v>
      </c>
      <c r="C7057" s="803" t="s">
        <v>9329</v>
      </c>
      <c r="D7057" s="803" t="s">
        <v>9452</v>
      </c>
      <c r="E7057" s="803">
        <v>40</v>
      </c>
      <c r="F7057" s="850">
        <v>12</v>
      </c>
      <c r="G7057" s="202" t="str">
        <f t="shared" si="109"/>
        <v/>
      </c>
    </row>
    <row r="7058" spans="1:7" s="172" customFormat="1" ht="15" customHeight="1" x14ac:dyDescent="0.25">
      <c r="A7058" s="803" t="s">
        <v>19167</v>
      </c>
      <c r="B7058" s="803" t="s">
        <v>9329</v>
      </c>
      <c r="C7058" s="803" t="s">
        <v>9329</v>
      </c>
      <c r="D7058" s="803" t="s">
        <v>9453</v>
      </c>
      <c r="E7058" s="803">
        <v>40</v>
      </c>
      <c r="F7058" s="850">
        <v>25</v>
      </c>
      <c r="G7058" s="202" t="str">
        <f t="shared" si="109"/>
        <v/>
      </c>
    </row>
    <row r="7059" spans="1:7" s="172" customFormat="1" ht="15" customHeight="1" x14ac:dyDescent="0.25">
      <c r="A7059" s="803" t="s">
        <v>16228</v>
      </c>
      <c r="B7059" s="803" t="s">
        <v>9329</v>
      </c>
      <c r="C7059" s="803" t="s">
        <v>9329</v>
      </c>
      <c r="D7059" s="803" t="s">
        <v>9454</v>
      </c>
      <c r="E7059" s="803">
        <v>25</v>
      </c>
      <c r="F7059" s="850">
        <v>8</v>
      </c>
      <c r="G7059" s="202" t="str">
        <f t="shared" si="109"/>
        <v/>
      </c>
    </row>
    <row r="7060" spans="1:7" s="172" customFormat="1" ht="15" customHeight="1" x14ac:dyDescent="0.25">
      <c r="A7060" s="803" t="s">
        <v>16229</v>
      </c>
      <c r="B7060" s="803" t="s">
        <v>9329</v>
      </c>
      <c r="C7060" s="803" t="s">
        <v>9329</v>
      </c>
      <c r="D7060" s="803" t="s">
        <v>9455</v>
      </c>
      <c r="E7060" s="803">
        <v>100</v>
      </c>
      <c r="F7060" s="850">
        <v>48</v>
      </c>
      <c r="G7060" s="202" t="str">
        <f t="shared" si="109"/>
        <v/>
      </c>
    </row>
    <row r="7061" spans="1:7" s="172" customFormat="1" ht="15" customHeight="1" x14ac:dyDescent="0.25">
      <c r="A7061" s="803" t="s">
        <v>16230</v>
      </c>
      <c r="B7061" s="803" t="s">
        <v>9329</v>
      </c>
      <c r="C7061" s="803" t="s">
        <v>9329</v>
      </c>
      <c r="D7061" s="803" t="s">
        <v>9456</v>
      </c>
      <c r="E7061" s="803">
        <v>100</v>
      </c>
      <c r="F7061" s="850">
        <v>80</v>
      </c>
      <c r="G7061" s="202" t="str">
        <f t="shared" si="109"/>
        <v/>
      </c>
    </row>
    <row r="7062" spans="1:7" s="172" customFormat="1" ht="15" customHeight="1" x14ac:dyDescent="0.25">
      <c r="A7062" s="803" t="s">
        <v>16231</v>
      </c>
      <c r="B7062" s="803" t="s">
        <v>9329</v>
      </c>
      <c r="C7062" s="803" t="s">
        <v>9329</v>
      </c>
      <c r="D7062" s="803" t="s">
        <v>9457</v>
      </c>
      <c r="E7062" s="803">
        <v>63</v>
      </c>
      <c r="F7062" s="850">
        <v>34</v>
      </c>
      <c r="G7062" s="202" t="str">
        <f t="shared" si="109"/>
        <v/>
      </c>
    </row>
    <row r="7063" spans="1:7" s="172" customFormat="1" ht="15" customHeight="1" x14ac:dyDescent="0.25">
      <c r="A7063" s="803" t="s">
        <v>16232</v>
      </c>
      <c r="B7063" s="803" t="s">
        <v>9329</v>
      </c>
      <c r="C7063" s="803" t="s">
        <v>9329</v>
      </c>
      <c r="D7063" s="803" t="s">
        <v>9458</v>
      </c>
      <c r="E7063" s="803">
        <v>63</v>
      </c>
      <c r="F7063" s="850">
        <v>31</v>
      </c>
      <c r="G7063" s="202" t="str">
        <f t="shared" si="109"/>
        <v/>
      </c>
    </row>
    <row r="7064" spans="1:7" s="172" customFormat="1" ht="15" customHeight="1" x14ac:dyDescent="0.25">
      <c r="A7064" s="803" t="s">
        <v>16114</v>
      </c>
      <c r="B7064" s="803" t="s">
        <v>9329</v>
      </c>
      <c r="C7064" s="803" t="s">
        <v>9329</v>
      </c>
      <c r="D7064" s="803" t="s">
        <v>9459</v>
      </c>
      <c r="E7064" s="803">
        <v>100</v>
      </c>
      <c r="F7064" s="850">
        <v>41</v>
      </c>
      <c r="G7064" s="202" t="str">
        <f t="shared" si="109"/>
        <v/>
      </c>
    </row>
    <row r="7065" spans="1:7" s="172" customFormat="1" ht="15" customHeight="1" x14ac:dyDescent="0.25">
      <c r="A7065" s="803" t="s">
        <v>16114</v>
      </c>
      <c r="B7065" s="803" t="s">
        <v>9329</v>
      </c>
      <c r="C7065" s="803" t="s">
        <v>9329</v>
      </c>
      <c r="D7065" s="803" t="s">
        <v>9460</v>
      </c>
      <c r="E7065" s="803">
        <v>160</v>
      </c>
      <c r="F7065" s="850">
        <v>63</v>
      </c>
      <c r="G7065" s="202" t="str">
        <f t="shared" si="109"/>
        <v/>
      </c>
    </row>
    <row r="7066" spans="1:7" s="172" customFormat="1" ht="15" customHeight="1" x14ac:dyDescent="0.25">
      <c r="A7066" s="803" t="s">
        <v>16114</v>
      </c>
      <c r="B7066" s="803" t="s">
        <v>9329</v>
      </c>
      <c r="C7066" s="803" t="s">
        <v>9329</v>
      </c>
      <c r="D7066" s="803" t="s">
        <v>9461</v>
      </c>
      <c r="E7066" s="803">
        <v>100</v>
      </c>
      <c r="F7066" s="850">
        <v>55</v>
      </c>
      <c r="G7066" s="202" t="str">
        <f t="shared" si="109"/>
        <v/>
      </c>
    </row>
    <row r="7067" spans="1:7" s="172" customFormat="1" ht="15" customHeight="1" x14ac:dyDescent="0.25">
      <c r="A7067" s="803" t="s">
        <v>16233</v>
      </c>
      <c r="B7067" s="803" t="s">
        <v>9329</v>
      </c>
      <c r="C7067" s="803" t="s">
        <v>9329</v>
      </c>
      <c r="D7067" s="803" t="s">
        <v>9462</v>
      </c>
      <c r="E7067" s="803">
        <v>40</v>
      </c>
      <c r="F7067" s="850">
        <v>25</v>
      </c>
      <c r="G7067" s="202" t="str">
        <f t="shared" si="109"/>
        <v/>
      </c>
    </row>
    <row r="7068" spans="1:7" s="172" customFormat="1" ht="15" customHeight="1" x14ac:dyDescent="0.25">
      <c r="A7068" s="803" t="s">
        <v>16234</v>
      </c>
      <c r="B7068" s="803" t="s">
        <v>9329</v>
      </c>
      <c r="C7068" s="803" t="s">
        <v>9329</v>
      </c>
      <c r="D7068" s="803" t="s">
        <v>9463</v>
      </c>
      <c r="E7068" s="803">
        <v>30</v>
      </c>
      <c r="F7068" s="850">
        <v>14</v>
      </c>
      <c r="G7068" s="202" t="str">
        <f t="shared" si="109"/>
        <v/>
      </c>
    </row>
    <row r="7069" spans="1:7" s="172" customFormat="1" ht="15" customHeight="1" x14ac:dyDescent="0.25">
      <c r="A7069" s="803" t="s">
        <v>16208</v>
      </c>
      <c r="B7069" s="803" t="s">
        <v>9329</v>
      </c>
      <c r="C7069" s="803" t="s">
        <v>9329</v>
      </c>
      <c r="D7069" s="803" t="s">
        <v>9425</v>
      </c>
      <c r="E7069" s="803">
        <v>4</v>
      </c>
      <c r="F7069" s="850">
        <v>2</v>
      </c>
      <c r="G7069" s="202" t="str">
        <f t="shared" si="109"/>
        <v/>
      </c>
    </row>
    <row r="7070" spans="1:7" s="172" customFormat="1" ht="15" customHeight="1" x14ac:dyDescent="0.25">
      <c r="A7070" s="803" t="s">
        <v>16235</v>
      </c>
      <c r="B7070" s="803" t="s">
        <v>9329</v>
      </c>
      <c r="C7070" s="803" t="s">
        <v>9329</v>
      </c>
      <c r="D7070" s="803" t="s">
        <v>9464</v>
      </c>
      <c r="E7070" s="803">
        <v>40</v>
      </c>
      <c r="F7070" s="850">
        <v>22</v>
      </c>
      <c r="G7070" s="202" t="str">
        <f t="shared" ref="G7070:G7133" si="110">IF(E7070=F7070,"не загружен","")</f>
        <v/>
      </c>
    </row>
    <row r="7071" spans="1:7" s="172" customFormat="1" ht="15" customHeight="1" x14ac:dyDescent="0.25">
      <c r="A7071" s="803" t="s">
        <v>16236</v>
      </c>
      <c r="B7071" s="803" t="s">
        <v>9329</v>
      </c>
      <c r="C7071" s="803" t="s">
        <v>9329</v>
      </c>
      <c r="D7071" s="803" t="s">
        <v>9465</v>
      </c>
      <c r="E7071" s="803">
        <v>40</v>
      </c>
      <c r="F7071" s="850">
        <v>16</v>
      </c>
      <c r="G7071" s="202" t="str">
        <f t="shared" si="110"/>
        <v/>
      </c>
    </row>
    <row r="7072" spans="1:7" s="172" customFormat="1" ht="15" customHeight="1" x14ac:dyDescent="0.25">
      <c r="A7072" s="803" t="s">
        <v>16237</v>
      </c>
      <c r="B7072" s="803" t="s">
        <v>9329</v>
      </c>
      <c r="C7072" s="803" t="s">
        <v>9329</v>
      </c>
      <c r="D7072" s="803" t="s">
        <v>9466</v>
      </c>
      <c r="E7072" s="803">
        <v>63</v>
      </c>
      <c r="F7072" s="850">
        <v>15</v>
      </c>
      <c r="G7072" s="202" t="str">
        <f t="shared" si="110"/>
        <v/>
      </c>
    </row>
    <row r="7073" spans="1:7" s="172" customFormat="1" ht="15" customHeight="1" x14ac:dyDescent="0.25">
      <c r="A7073" s="803" t="s">
        <v>16237</v>
      </c>
      <c r="B7073" s="803" t="s">
        <v>9329</v>
      </c>
      <c r="C7073" s="803" t="s">
        <v>9329</v>
      </c>
      <c r="D7073" s="803" t="s">
        <v>9467</v>
      </c>
      <c r="E7073" s="803">
        <v>63</v>
      </c>
      <c r="F7073" s="850">
        <v>24</v>
      </c>
      <c r="G7073" s="202" t="str">
        <f t="shared" si="110"/>
        <v/>
      </c>
    </row>
    <row r="7074" spans="1:7" s="172" customFormat="1" ht="15" customHeight="1" x14ac:dyDescent="0.25">
      <c r="A7074" s="803" t="s">
        <v>16237</v>
      </c>
      <c r="B7074" s="803" t="s">
        <v>9329</v>
      </c>
      <c r="C7074" s="803" t="s">
        <v>9329</v>
      </c>
      <c r="D7074" s="803" t="s">
        <v>9468</v>
      </c>
      <c r="E7074" s="803">
        <v>100</v>
      </c>
      <c r="F7074" s="850">
        <v>32</v>
      </c>
      <c r="G7074" s="202" t="str">
        <f t="shared" si="110"/>
        <v/>
      </c>
    </row>
    <row r="7075" spans="1:7" s="172" customFormat="1" ht="15" customHeight="1" x14ac:dyDescent="0.25">
      <c r="A7075" s="803" t="s">
        <v>16237</v>
      </c>
      <c r="B7075" s="803" t="s">
        <v>9329</v>
      </c>
      <c r="C7075" s="803" t="s">
        <v>9329</v>
      </c>
      <c r="D7075" s="803" t="s">
        <v>9469</v>
      </c>
      <c r="E7075" s="803">
        <v>100</v>
      </c>
      <c r="F7075" s="850">
        <v>45</v>
      </c>
      <c r="G7075" s="202" t="str">
        <f t="shared" si="110"/>
        <v/>
      </c>
    </row>
    <row r="7076" spans="1:7" s="172" customFormat="1" ht="15" customHeight="1" x14ac:dyDescent="0.25">
      <c r="A7076" s="803" t="s">
        <v>16238</v>
      </c>
      <c r="B7076" s="803" t="s">
        <v>9329</v>
      </c>
      <c r="C7076" s="803" t="s">
        <v>9329</v>
      </c>
      <c r="D7076" s="803" t="s">
        <v>9470</v>
      </c>
      <c r="E7076" s="803">
        <v>63</v>
      </c>
      <c r="F7076" s="850">
        <v>38</v>
      </c>
      <c r="G7076" s="202" t="str">
        <f t="shared" si="110"/>
        <v/>
      </c>
    </row>
    <row r="7077" spans="1:7" s="172" customFormat="1" ht="15" customHeight="1" x14ac:dyDescent="0.25">
      <c r="A7077" s="803" t="s">
        <v>16239</v>
      </c>
      <c r="B7077" s="803" t="s">
        <v>9329</v>
      </c>
      <c r="C7077" s="803" t="s">
        <v>9329</v>
      </c>
      <c r="D7077" s="803" t="s">
        <v>9471</v>
      </c>
      <c r="E7077" s="803">
        <v>63</v>
      </c>
      <c r="F7077" s="850">
        <v>25</v>
      </c>
      <c r="G7077" s="202" t="str">
        <f t="shared" si="110"/>
        <v/>
      </c>
    </row>
    <row r="7078" spans="1:7" s="172" customFormat="1" ht="15" customHeight="1" x14ac:dyDescent="0.25">
      <c r="A7078" s="803" t="s">
        <v>15021</v>
      </c>
      <c r="B7078" s="803" t="s">
        <v>9329</v>
      </c>
      <c r="C7078" s="803" t="s">
        <v>9329</v>
      </c>
      <c r="D7078" s="803" t="s">
        <v>9472</v>
      </c>
      <c r="E7078" s="803">
        <v>63</v>
      </c>
      <c r="F7078" s="850">
        <v>48</v>
      </c>
      <c r="G7078" s="202" t="str">
        <f t="shared" si="110"/>
        <v/>
      </c>
    </row>
    <row r="7079" spans="1:7" s="172" customFormat="1" ht="15" customHeight="1" x14ac:dyDescent="0.25">
      <c r="A7079" s="803" t="s">
        <v>16240</v>
      </c>
      <c r="B7079" s="803" t="s">
        <v>9329</v>
      </c>
      <c r="C7079" s="803" t="s">
        <v>9329</v>
      </c>
      <c r="D7079" s="803" t="s">
        <v>9473</v>
      </c>
      <c r="E7079" s="803">
        <v>4</v>
      </c>
      <c r="F7079" s="850">
        <v>1</v>
      </c>
      <c r="G7079" s="202" t="str">
        <f t="shared" si="110"/>
        <v/>
      </c>
    </row>
    <row r="7080" spans="1:7" s="172" customFormat="1" ht="15" customHeight="1" x14ac:dyDescent="0.25">
      <c r="A7080" s="803" t="s">
        <v>16241</v>
      </c>
      <c r="B7080" s="803" t="s">
        <v>9329</v>
      </c>
      <c r="C7080" s="803" t="s">
        <v>9329</v>
      </c>
      <c r="D7080" s="803" t="s">
        <v>9474</v>
      </c>
      <c r="E7080" s="803">
        <v>20</v>
      </c>
      <c r="F7080" s="850">
        <v>8</v>
      </c>
      <c r="G7080" s="202" t="str">
        <f t="shared" si="110"/>
        <v/>
      </c>
    </row>
    <row r="7081" spans="1:7" s="172" customFormat="1" ht="15" customHeight="1" x14ac:dyDescent="0.25">
      <c r="A7081" s="803" t="s">
        <v>16242</v>
      </c>
      <c r="B7081" s="803" t="s">
        <v>9329</v>
      </c>
      <c r="C7081" s="803" t="s">
        <v>9329</v>
      </c>
      <c r="D7081" s="803" t="s">
        <v>9475</v>
      </c>
      <c r="E7081" s="803">
        <v>250</v>
      </c>
      <c r="F7081" s="850">
        <v>210</v>
      </c>
      <c r="G7081" s="202" t="str">
        <f t="shared" si="110"/>
        <v/>
      </c>
    </row>
    <row r="7082" spans="1:7" s="172" customFormat="1" ht="15" customHeight="1" x14ac:dyDescent="0.25">
      <c r="A7082" s="803" t="s">
        <v>16242</v>
      </c>
      <c r="B7082" s="803" t="s">
        <v>9329</v>
      </c>
      <c r="C7082" s="803" t="s">
        <v>9329</v>
      </c>
      <c r="D7082" s="803" t="s">
        <v>9476</v>
      </c>
      <c r="E7082" s="803">
        <v>60</v>
      </c>
      <c r="F7082" s="850">
        <v>24</v>
      </c>
      <c r="G7082" s="202" t="str">
        <f t="shared" si="110"/>
        <v/>
      </c>
    </row>
    <row r="7083" spans="1:7" s="172" customFormat="1" ht="15" customHeight="1" x14ac:dyDescent="0.25">
      <c r="A7083" s="803" t="s">
        <v>16242</v>
      </c>
      <c r="B7083" s="803" t="s">
        <v>9329</v>
      </c>
      <c r="C7083" s="803" t="s">
        <v>9329</v>
      </c>
      <c r="D7083" s="803" t="s">
        <v>9477</v>
      </c>
      <c r="E7083" s="803">
        <v>63</v>
      </c>
      <c r="F7083" s="850">
        <v>19</v>
      </c>
      <c r="G7083" s="202" t="str">
        <f t="shared" si="110"/>
        <v/>
      </c>
    </row>
    <row r="7084" spans="1:7" s="172" customFormat="1" ht="15" customHeight="1" x14ac:dyDescent="0.25">
      <c r="A7084" s="803" t="s">
        <v>16242</v>
      </c>
      <c r="B7084" s="803" t="s">
        <v>9329</v>
      </c>
      <c r="C7084" s="803" t="s">
        <v>9329</v>
      </c>
      <c r="D7084" s="803" t="s">
        <v>9478</v>
      </c>
      <c r="E7084" s="803">
        <v>63</v>
      </c>
      <c r="F7084" s="850">
        <v>12</v>
      </c>
      <c r="G7084" s="202" t="str">
        <f t="shared" si="110"/>
        <v/>
      </c>
    </row>
    <row r="7085" spans="1:7" s="172" customFormat="1" ht="15" customHeight="1" x14ac:dyDescent="0.25">
      <c r="A7085" s="803" t="s">
        <v>16242</v>
      </c>
      <c r="B7085" s="803" t="s">
        <v>9329</v>
      </c>
      <c r="C7085" s="803" t="s">
        <v>9329</v>
      </c>
      <c r="D7085" s="803" t="s">
        <v>9479</v>
      </c>
      <c r="E7085" s="803">
        <v>160</v>
      </c>
      <c r="F7085" s="850">
        <v>120</v>
      </c>
      <c r="G7085" s="202" t="str">
        <f t="shared" si="110"/>
        <v/>
      </c>
    </row>
    <row r="7086" spans="1:7" s="172" customFormat="1" ht="15" customHeight="1" x14ac:dyDescent="0.25">
      <c r="A7086" s="803" t="s">
        <v>16242</v>
      </c>
      <c r="B7086" s="803" t="s">
        <v>9329</v>
      </c>
      <c r="C7086" s="803" t="s">
        <v>9329</v>
      </c>
      <c r="D7086" s="803" t="s">
        <v>9480</v>
      </c>
      <c r="E7086" s="803">
        <v>100</v>
      </c>
      <c r="F7086" s="850">
        <v>38</v>
      </c>
      <c r="G7086" s="202" t="str">
        <f t="shared" si="110"/>
        <v/>
      </c>
    </row>
    <row r="7087" spans="1:7" s="172" customFormat="1" ht="15" customHeight="1" x14ac:dyDescent="0.25">
      <c r="A7087" s="803" t="s">
        <v>16243</v>
      </c>
      <c r="B7087" s="803" t="s">
        <v>9329</v>
      </c>
      <c r="C7087" s="803" t="s">
        <v>9329</v>
      </c>
      <c r="D7087" s="803" t="s">
        <v>9481</v>
      </c>
      <c r="E7087" s="803">
        <v>160</v>
      </c>
      <c r="F7087" s="850">
        <v>115</v>
      </c>
      <c r="G7087" s="202" t="str">
        <f t="shared" si="110"/>
        <v/>
      </c>
    </row>
    <row r="7088" spans="1:7" s="172" customFormat="1" ht="15" customHeight="1" x14ac:dyDescent="0.25">
      <c r="A7088" s="803" t="s">
        <v>15070</v>
      </c>
      <c r="B7088" s="803" t="s">
        <v>9329</v>
      </c>
      <c r="C7088" s="803" t="s">
        <v>9329</v>
      </c>
      <c r="D7088" s="803" t="s">
        <v>9482</v>
      </c>
      <c r="E7088" s="803">
        <v>160</v>
      </c>
      <c r="F7088" s="850">
        <v>120</v>
      </c>
      <c r="G7088" s="202" t="str">
        <f t="shared" si="110"/>
        <v/>
      </c>
    </row>
    <row r="7089" spans="1:7" s="172" customFormat="1" ht="15" customHeight="1" x14ac:dyDescent="0.25">
      <c r="A7089" s="803" t="s">
        <v>16244</v>
      </c>
      <c r="B7089" s="803" t="s">
        <v>9329</v>
      </c>
      <c r="C7089" s="803" t="s">
        <v>9329</v>
      </c>
      <c r="D7089" s="803" t="s">
        <v>9483</v>
      </c>
      <c r="E7089" s="803">
        <v>40</v>
      </c>
      <c r="F7089" s="850">
        <v>30</v>
      </c>
      <c r="G7089" s="202" t="str">
        <f t="shared" si="110"/>
        <v/>
      </c>
    </row>
    <row r="7090" spans="1:7" s="172" customFormat="1" ht="15" customHeight="1" x14ac:dyDescent="0.25">
      <c r="A7090" s="803" t="s">
        <v>16245</v>
      </c>
      <c r="B7090" s="803" t="s">
        <v>9329</v>
      </c>
      <c r="C7090" s="803" t="s">
        <v>9329</v>
      </c>
      <c r="D7090" s="803" t="s">
        <v>9484</v>
      </c>
      <c r="E7090" s="803">
        <v>30</v>
      </c>
      <c r="F7090" s="850">
        <v>11</v>
      </c>
      <c r="G7090" s="202" t="str">
        <f t="shared" si="110"/>
        <v/>
      </c>
    </row>
    <row r="7091" spans="1:7" s="172" customFormat="1" ht="15" customHeight="1" x14ac:dyDescent="0.25">
      <c r="A7091" s="803" t="s">
        <v>16246</v>
      </c>
      <c r="B7091" s="803" t="s">
        <v>9329</v>
      </c>
      <c r="C7091" s="803" t="s">
        <v>9329</v>
      </c>
      <c r="D7091" s="803" t="s">
        <v>9485</v>
      </c>
      <c r="E7091" s="803">
        <v>10</v>
      </c>
      <c r="F7091" s="850">
        <v>4</v>
      </c>
      <c r="G7091" s="202" t="str">
        <f t="shared" si="110"/>
        <v/>
      </c>
    </row>
    <row r="7092" spans="1:7" s="172" customFormat="1" ht="15" customHeight="1" x14ac:dyDescent="0.25">
      <c r="A7092" s="803" t="s">
        <v>16247</v>
      </c>
      <c r="B7092" s="803" t="s">
        <v>9329</v>
      </c>
      <c r="C7092" s="803" t="s">
        <v>9329</v>
      </c>
      <c r="D7092" s="803" t="s">
        <v>9486</v>
      </c>
      <c r="E7092" s="803">
        <v>60</v>
      </c>
      <c r="F7092" s="850">
        <v>40</v>
      </c>
      <c r="G7092" s="202" t="str">
        <f t="shared" si="110"/>
        <v/>
      </c>
    </row>
    <row r="7093" spans="1:7" s="172" customFormat="1" ht="15" customHeight="1" x14ac:dyDescent="0.25">
      <c r="A7093" s="803" t="s">
        <v>10020</v>
      </c>
      <c r="B7093" s="803" t="s">
        <v>16248</v>
      </c>
      <c r="C7093" s="803" t="s">
        <v>16248</v>
      </c>
      <c r="D7093" s="803" t="s">
        <v>16249</v>
      </c>
      <c r="E7093" s="803">
        <v>400</v>
      </c>
      <c r="F7093" s="850">
        <v>204.35483870967741</v>
      </c>
      <c r="G7093" s="202" t="str">
        <f t="shared" si="110"/>
        <v/>
      </c>
    </row>
    <row r="7094" spans="1:7" s="172" customFormat="1" ht="15" customHeight="1" x14ac:dyDescent="0.25">
      <c r="A7094" s="803" t="s">
        <v>16250</v>
      </c>
      <c r="B7094" s="803" t="s">
        <v>16248</v>
      </c>
      <c r="C7094" s="803" t="s">
        <v>16248</v>
      </c>
      <c r="D7094" s="803" t="s">
        <v>16251</v>
      </c>
      <c r="E7094" s="803">
        <v>400</v>
      </c>
      <c r="F7094" s="850">
        <v>260</v>
      </c>
      <c r="G7094" s="202" t="str">
        <f t="shared" si="110"/>
        <v/>
      </c>
    </row>
    <row r="7095" spans="1:7" s="172" customFormat="1" ht="15" customHeight="1" x14ac:dyDescent="0.25">
      <c r="A7095" s="803" t="s">
        <v>16250</v>
      </c>
      <c r="B7095" s="803" t="s">
        <v>16248</v>
      </c>
      <c r="C7095" s="803" t="s">
        <v>16248</v>
      </c>
      <c r="D7095" s="803" t="s">
        <v>4492</v>
      </c>
      <c r="E7095" s="803">
        <v>250</v>
      </c>
      <c r="F7095" s="850">
        <v>22</v>
      </c>
      <c r="G7095" s="202" t="str">
        <f t="shared" si="110"/>
        <v/>
      </c>
    </row>
    <row r="7096" spans="1:7" s="172" customFormat="1" ht="15" customHeight="1" x14ac:dyDescent="0.25">
      <c r="A7096" s="803" t="s">
        <v>16252</v>
      </c>
      <c r="B7096" s="803" t="s">
        <v>16248</v>
      </c>
      <c r="C7096" s="803" t="s">
        <v>16248</v>
      </c>
      <c r="D7096" s="803" t="s">
        <v>16253</v>
      </c>
      <c r="E7096" s="803">
        <v>100</v>
      </c>
      <c r="F7096" s="850">
        <v>30</v>
      </c>
      <c r="G7096" s="202" t="str">
        <f t="shared" si="110"/>
        <v/>
      </c>
    </row>
    <row r="7097" spans="1:7" s="172" customFormat="1" ht="15" customHeight="1" x14ac:dyDescent="0.25">
      <c r="A7097" s="803" t="s">
        <v>16252</v>
      </c>
      <c r="B7097" s="803" t="s">
        <v>16248</v>
      </c>
      <c r="C7097" s="803" t="s">
        <v>16248</v>
      </c>
      <c r="D7097" s="803" t="s">
        <v>16254</v>
      </c>
      <c r="E7097" s="803">
        <v>400</v>
      </c>
      <c r="F7097" s="850">
        <v>273</v>
      </c>
      <c r="G7097" s="202" t="str">
        <f t="shared" si="110"/>
        <v/>
      </c>
    </row>
    <row r="7098" spans="1:7" s="172" customFormat="1" ht="15" customHeight="1" x14ac:dyDescent="0.25">
      <c r="A7098" s="803" t="s">
        <v>16252</v>
      </c>
      <c r="B7098" s="803" t="s">
        <v>16248</v>
      </c>
      <c r="C7098" s="803" t="s">
        <v>16248</v>
      </c>
      <c r="D7098" s="803" t="s">
        <v>16255</v>
      </c>
      <c r="E7098" s="803">
        <v>160</v>
      </c>
      <c r="F7098" s="850">
        <v>15</v>
      </c>
      <c r="G7098" s="202" t="str">
        <f t="shared" si="110"/>
        <v/>
      </c>
    </row>
    <row r="7099" spans="1:7" s="172" customFormat="1" ht="15" customHeight="1" x14ac:dyDescent="0.25">
      <c r="A7099" s="803" t="s">
        <v>16250</v>
      </c>
      <c r="B7099" s="803" t="s">
        <v>16248</v>
      </c>
      <c r="C7099" s="803" t="s">
        <v>16248</v>
      </c>
      <c r="D7099" s="803" t="s">
        <v>16256</v>
      </c>
      <c r="E7099" s="803">
        <v>320</v>
      </c>
      <c r="F7099" s="850">
        <v>162</v>
      </c>
      <c r="G7099" s="202" t="str">
        <f t="shared" si="110"/>
        <v/>
      </c>
    </row>
    <row r="7100" spans="1:7" s="172" customFormat="1" ht="15" customHeight="1" x14ac:dyDescent="0.25">
      <c r="A7100" s="803" t="s">
        <v>3294</v>
      </c>
      <c r="B7100" s="803" t="s">
        <v>16248</v>
      </c>
      <c r="C7100" s="803" t="s">
        <v>16248</v>
      </c>
      <c r="D7100" s="803" t="s">
        <v>16257</v>
      </c>
      <c r="E7100" s="803">
        <v>400</v>
      </c>
      <c r="F7100" s="850">
        <v>90</v>
      </c>
      <c r="G7100" s="202" t="str">
        <f t="shared" si="110"/>
        <v/>
      </c>
    </row>
    <row r="7101" spans="1:7" s="172" customFormat="1" ht="15" customHeight="1" x14ac:dyDescent="0.25">
      <c r="A7101" s="803" t="s">
        <v>16258</v>
      </c>
      <c r="B7101" s="803" t="s">
        <v>16248</v>
      </c>
      <c r="C7101" s="803" t="s">
        <v>16248</v>
      </c>
      <c r="D7101" s="803" t="s">
        <v>16259</v>
      </c>
      <c r="E7101" s="803">
        <v>400</v>
      </c>
      <c r="F7101" s="850">
        <v>163</v>
      </c>
      <c r="G7101" s="202" t="str">
        <f t="shared" si="110"/>
        <v/>
      </c>
    </row>
    <row r="7102" spans="1:7" s="172" customFormat="1" ht="15" customHeight="1" x14ac:dyDescent="0.25">
      <c r="A7102" s="803" t="s">
        <v>16258</v>
      </c>
      <c r="B7102" s="803" t="s">
        <v>16248</v>
      </c>
      <c r="C7102" s="803" t="s">
        <v>16248</v>
      </c>
      <c r="D7102" s="803" t="s">
        <v>16260</v>
      </c>
      <c r="E7102" s="803">
        <v>63</v>
      </c>
      <c r="F7102" s="850">
        <v>21</v>
      </c>
      <c r="G7102" s="202" t="str">
        <f t="shared" si="110"/>
        <v/>
      </c>
    </row>
    <row r="7103" spans="1:7" s="172" customFormat="1" ht="15" customHeight="1" x14ac:dyDescent="0.25">
      <c r="A7103" s="803" t="s">
        <v>16261</v>
      </c>
      <c r="B7103" s="803" t="s">
        <v>16248</v>
      </c>
      <c r="C7103" s="803" t="s">
        <v>16248</v>
      </c>
      <c r="D7103" s="803" t="s">
        <v>16262</v>
      </c>
      <c r="E7103" s="803">
        <v>160</v>
      </c>
      <c r="F7103" s="850">
        <v>36</v>
      </c>
      <c r="G7103" s="202" t="str">
        <f t="shared" si="110"/>
        <v/>
      </c>
    </row>
    <row r="7104" spans="1:7" s="172" customFormat="1" ht="15" customHeight="1" x14ac:dyDescent="0.25">
      <c r="A7104" s="803" t="s">
        <v>16261</v>
      </c>
      <c r="B7104" s="803" t="s">
        <v>16248</v>
      </c>
      <c r="C7104" s="803" t="s">
        <v>16248</v>
      </c>
      <c r="D7104" s="803" t="s">
        <v>16263</v>
      </c>
      <c r="E7104" s="803">
        <v>160</v>
      </c>
      <c r="F7104" s="850">
        <v>160</v>
      </c>
      <c r="G7104" s="202" t="str">
        <f t="shared" si="110"/>
        <v>не загружен</v>
      </c>
    </row>
    <row r="7105" spans="1:7" s="172" customFormat="1" ht="15" customHeight="1" x14ac:dyDescent="0.25">
      <c r="A7105" s="803" t="s">
        <v>7340</v>
      </c>
      <c r="B7105" s="803" t="s">
        <v>16248</v>
      </c>
      <c r="C7105" s="803" t="s">
        <v>16248</v>
      </c>
      <c r="D7105" s="803" t="s">
        <v>16264</v>
      </c>
      <c r="E7105" s="803">
        <v>100</v>
      </c>
      <c r="F7105" s="850">
        <v>8</v>
      </c>
      <c r="G7105" s="202" t="str">
        <f t="shared" si="110"/>
        <v/>
      </c>
    </row>
    <row r="7106" spans="1:7" s="172" customFormat="1" ht="15" customHeight="1" x14ac:dyDescent="0.25">
      <c r="A7106" s="803" t="s">
        <v>5570</v>
      </c>
      <c r="B7106" s="803" t="s">
        <v>16248</v>
      </c>
      <c r="C7106" s="803" t="s">
        <v>16248</v>
      </c>
      <c r="D7106" s="803" t="s">
        <v>16265</v>
      </c>
      <c r="E7106" s="803">
        <v>63</v>
      </c>
      <c r="F7106" s="850">
        <v>4</v>
      </c>
      <c r="G7106" s="202" t="str">
        <f t="shared" si="110"/>
        <v/>
      </c>
    </row>
    <row r="7107" spans="1:7" s="172" customFormat="1" ht="15" customHeight="1" x14ac:dyDescent="0.25">
      <c r="A7107" s="803" t="s">
        <v>16266</v>
      </c>
      <c r="B7107" s="803" t="s">
        <v>16248</v>
      </c>
      <c r="C7107" s="803" t="s">
        <v>16248</v>
      </c>
      <c r="D7107" s="803" t="s">
        <v>16267</v>
      </c>
      <c r="E7107" s="803">
        <v>160</v>
      </c>
      <c r="F7107" s="850">
        <v>72</v>
      </c>
      <c r="G7107" s="202" t="str">
        <f t="shared" si="110"/>
        <v/>
      </c>
    </row>
    <row r="7108" spans="1:7" s="172" customFormat="1" ht="15" customHeight="1" x14ac:dyDescent="0.25">
      <c r="A7108" s="803" t="s">
        <v>16268</v>
      </c>
      <c r="B7108" s="803" t="s">
        <v>16248</v>
      </c>
      <c r="C7108" s="803" t="s">
        <v>16248</v>
      </c>
      <c r="D7108" s="803" t="s">
        <v>16269</v>
      </c>
      <c r="E7108" s="803">
        <v>63</v>
      </c>
      <c r="F7108" s="850">
        <v>36</v>
      </c>
      <c r="G7108" s="202" t="str">
        <f t="shared" si="110"/>
        <v/>
      </c>
    </row>
    <row r="7109" spans="1:7" s="172" customFormat="1" ht="15" customHeight="1" x14ac:dyDescent="0.25">
      <c r="A7109" s="803" t="s">
        <v>12257</v>
      </c>
      <c r="B7109" s="803" t="s">
        <v>16248</v>
      </c>
      <c r="C7109" s="803" t="s">
        <v>16248</v>
      </c>
      <c r="D7109" s="803" t="s">
        <v>16270</v>
      </c>
      <c r="E7109" s="803">
        <v>160</v>
      </c>
      <c r="F7109" s="850">
        <v>27</v>
      </c>
      <c r="G7109" s="202" t="str">
        <f t="shared" si="110"/>
        <v/>
      </c>
    </row>
    <row r="7110" spans="1:7" s="172" customFormat="1" ht="15" customHeight="1" x14ac:dyDescent="0.25">
      <c r="A7110" s="803" t="s">
        <v>16271</v>
      </c>
      <c r="B7110" s="803" t="s">
        <v>16248</v>
      </c>
      <c r="C7110" s="803" t="s">
        <v>16248</v>
      </c>
      <c r="D7110" s="803" t="s">
        <v>16272</v>
      </c>
      <c r="E7110" s="803">
        <v>100</v>
      </c>
      <c r="F7110" s="850">
        <v>29</v>
      </c>
      <c r="G7110" s="202" t="str">
        <f t="shared" si="110"/>
        <v/>
      </c>
    </row>
    <row r="7111" spans="1:7" s="172" customFormat="1" ht="15" customHeight="1" x14ac:dyDescent="0.25">
      <c r="A7111" s="803" t="s">
        <v>10020</v>
      </c>
      <c r="B7111" s="803" t="s">
        <v>16248</v>
      </c>
      <c r="C7111" s="803" t="s">
        <v>16248</v>
      </c>
      <c r="D7111" s="803" t="s">
        <v>16273</v>
      </c>
      <c r="E7111" s="803">
        <v>63</v>
      </c>
      <c r="F7111" s="850">
        <v>42</v>
      </c>
      <c r="G7111" s="202" t="str">
        <f t="shared" si="110"/>
        <v/>
      </c>
    </row>
    <row r="7112" spans="1:7" s="172" customFormat="1" ht="15" customHeight="1" x14ac:dyDescent="0.25">
      <c r="A7112" s="803" t="s">
        <v>16274</v>
      </c>
      <c r="B7112" s="803" t="s">
        <v>16248</v>
      </c>
      <c r="C7112" s="803" t="s">
        <v>16248</v>
      </c>
      <c r="D7112" s="803" t="s">
        <v>16275</v>
      </c>
      <c r="E7112" s="803">
        <v>100</v>
      </c>
      <c r="F7112" s="850">
        <v>0</v>
      </c>
      <c r="G7112" s="202" t="str">
        <f t="shared" si="110"/>
        <v/>
      </c>
    </row>
    <row r="7113" spans="1:7" s="172" customFormat="1" ht="15" customHeight="1" x14ac:dyDescent="0.25">
      <c r="A7113" s="803" t="s">
        <v>16274</v>
      </c>
      <c r="B7113" s="803" t="s">
        <v>16248</v>
      </c>
      <c r="C7113" s="803" t="s">
        <v>16248</v>
      </c>
      <c r="D7113" s="803" t="s">
        <v>16276</v>
      </c>
      <c r="E7113" s="803">
        <v>60</v>
      </c>
      <c r="F7113" s="850">
        <v>46</v>
      </c>
      <c r="G7113" s="202" t="str">
        <f t="shared" si="110"/>
        <v/>
      </c>
    </row>
    <row r="7114" spans="1:7" s="172" customFormat="1" ht="15" customHeight="1" x14ac:dyDescent="0.25">
      <c r="A7114" s="803" t="s">
        <v>16274</v>
      </c>
      <c r="B7114" s="803" t="s">
        <v>16248</v>
      </c>
      <c r="C7114" s="803" t="s">
        <v>16248</v>
      </c>
      <c r="D7114" s="803" t="s">
        <v>16277</v>
      </c>
      <c r="E7114" s="803">
        <v>250</v>
      </c>
      <c r="F7114" s="850">
        <v>167</v>
      </c>
      <c r="G7114" s="202" t="str">
        <f t="shared" si="110"/>
        <v/>
      </c>
    </row>
    <row r="7115" spans="1:7" s="172" customFormat="1" ht="15" customHeight="1" x14ac:dyDescent="0.25">
      <c r="A7115" s="803" t="s">
        <v>16278</v>
      </c>
      <c r="B7115" s="803" t="s">
        <v>16248</v>
      </c>
      <c r="C7115" s="803" t="s">
        <v>16248</v>
      </c>
      <c r="D7115" s="803" t="s">
        <v>16279</v>
      </c>
      <c r="E7115" s="803">
        <v>160</v>
      </c>
      <c r="F7115" s="850">
        <v>24</v>
      </c>
      <c r="G7115" s="202" t="str">
        <f t="shared" si="110"/>
        <v/>
      </c>
    </row>
    <row r="7116" spans="1:7" s="172" customFormat="1" ht="15" customHeight="1" x14ac:dyDescent="0.25">
      <c r="A7116" s="803" t="s">
        <v>13096</v>
      </c>
      <c r="B7116" s="803" t="s">
        <v>16248</v>
      </c>
      <c r="C7116" s="803" t="s">
        <v>16248</v>
      </c>
      <c r="D7116" s="803" t="s">
        <v>16280</v>
      </c>
      <c r="E7116" s="803">
        <v>100</v>
      </c>
      <c r="F7116" s="850">
        <v>23</v>
      </c>
      <c r="G7116" s="202" t="str">
        <f t="shared" si="110"/>
        <v/>
      </c>
    </row>
    <row r="7117" spans="1:7" s="172" customFormat="1" ht="15" customHeight="1" x14ac:dyDescent="0.25">
      <c r="A7117" s="803" t="s">
        <v>2791</v>
      </c>
      <c r="B7117" s="803" t="s">
        <v>16248</v>
      </c>
      <c r="C7117" s="803" t="s">
        <v>16248</v>
      </c>
      <c r="D7117" s="803" t="s">
        <v>16281</v>
      </c>
      <c r="E7117" s="803">
        <v>100</v>
      </c>
      <c r="F7117" s="850">
        <v>13</v>
      </c>
      <c r="G7117" s="202" t="str">
        <f t="shared" si="110"/>
        <v/>
      </c>
    </row>
    <row r="7118" spans="1:7" s="172" customFormat="1" ht="15" customHeight="1" x14ac:dyDescent="0.25">
      <c r="A7118" s="803" t="s">
        <v>3109</v>
      </c>
      <c r="B7118" s="803" t="s">
        <v>16248</v>
      </c>
      <c r="C7118" s="803" t="s">
        <v>16248</v>
      </c>
      <c r="D7118" s="803" t="s">
        <v>15284</v>
      </c>
      <c r="E7118" s="803">
        <v>60</v>
      </c>
      <c r="F7118" s="850">
        <v>0</v>
      </c>
      <c r="G7118" s="202" t="str">
        <f t="shared" si="110"/>
        <v/>
      </c>
    </row>
    <row r="7119" spans="1:7" s="172" customFormat="1" ht="15" customHeight="1" x14ac:dyDescent="0.25">
      <c r="A7119" s="803" t="s">
        <v>3043</v>
      </c>
      <c r="B7119" s="803" t="s">
        <v>16248</v>
      </c>
      <c r="C7119" s="803" t="s">
        <v>16248</v>
      </c>
      <c r="D7119" s="803" t="s">
        <v>16282</v>
      </c>
      <c r="E7119" s="803">
        <v>100</v>
      </c>
      <c r="F7119" s="850">
        <v>6</v>
      </c>
      <c r="G7119" s="202" t="str">
        <f t="shared" si="110"/>
        <v/>
      </c>
    </row>
    <row r="7120" spans="1:7" s="172" customFormat="1" ht="15" customHeight="1" x14ac:dyDescent="0.25">
      <c r="A7120" s="803" t="s">
        <v>11960</v>
      </c>
      <c r="B7120" s="803" t="s">
        <v>16248</v>
      </c>
      <c r="C7120" s="803" t="s">
        <v>16248</v>
      </c>
      <c r="D7120" s="803" t="s">
        <v>16283</v>
      </c>
      <c r="E7120" s="803">
        <v>400</v>
      </c>
      <c r="F7120" s="850">
        <v>274</v>
      </c>
      <c r="G7120" s="202" t="str">
        <f t="shared" si="110"/>
        <v/>
      </c>
    </row>
    <row r="7121" spans="1:7" s="172" customFormat="1" ht="15" customHeight="1" x14ac:dyDescent="0.25">
      <c r="A7121" s="803" t="s">
        <v>11960</v>
      </c>
      <c r="B7121" s="803" t="s">
        <v>16248</v>
      </c>
      <c r="C7121" s="803" t="s">
        <v>16248</v>
      </c>
      <c r="D7121" s="803" t="s">
        <v>16284</v>
      </c>
      <c r="E7121" s="803">
        <v>63</v>
      </c>
      <c r="F7121" s="850">
        <v>0</v>
      </c>
      <c r="G7121" s="202" t="str">
        <f t="shared" si="110"/>
        <v/>
      </c>
    </row>
    <row r="7122" spans="1:7" s="172" customFormat="1" ht="15" customHeight="1" x14ac:dyDescent="0.25">
      <c r="A7122" s="803" t="s">
        <v>11960</v>
      </c>
      <c r="B7122" s="803" t="s">
        <v>16248</v>
      </c>
      <c r="C7122" s="803" t="s">
        <v>16248</v>
      </c>
      <c r="D7122" s="803" t="s">
        <v>16285</v>
      </c>
      <c r="E7122" s="803">
        <v>160</v>
      </c>
      <c r="F7122" s="850">
        <v>160</v>
      </c>
      <c r="G7122" s="202" t="str">
        <f t="shared" si="110"/>
        <v>не загружен</v>
      </c>
    </row>
    <row r="7123" spans="1:7" s="172" customFormat="1" ht="15" customHeight="1" x14ac:dyDescent="0.25">
      <c r="A7123" s="803" t="s">
        <v>16286</v>
      </c>
      <c r="B7123" s="803" t="s">
        <v>16248</v>
      </c>
      <c r="C7123" s="803" t="s">
        <v>16248</v>
      </c>
      <c r="D7123" s="803" t="s">
        <v>16287</v>
      </c>
      <c r="E7123" s="803">
        <v>100</v>
      </c>
      <c r="F7123" s="850">
        <v>29</v>
      </c>
      <c r="G7123" s="202" t="str">
        <f t="shared" si="110"/>
        <v/>
      </c>
    </row>
    <row r="7124" spans="1:7" s="172" customFormat="1" ht="15" customHeight="1" x14ac:dyDescent="0.25">
      <c r="A7124" s="803" t="s">
        <v>6427</v>
      </c>
      <c r="B7124" s="803" t="s">
        <v>16248</v>
      </c>
      <c r="C7124" s="803" t="s">
        <v>16248</v>
      </c>
      <c r="D7124" s="803" t="s">
        <v>16288</v>
      </c>
      <c r="E7124" s="803">
        <v>30</v>
      </c>
      <c r="F7124" s="850">
        <v>0</v>
      </c>
      <c r="G7124" s="202" t="str">
        <f t="shared" si="110"/>
        <v/>
      </c>
    </row>
    <row r="7125" spans="1:7" s="172" customFormat="1" ht="15" customHeight="1" x14ac:dyDescent="0.25">
      <c r="A7125" s="803" t="s">
        <v>10349</v>
      </c>
      <c r="B7125" s="803" t="s">
        <v>16248</v>
      </c>
      <c r="C7125" s="803" t="s">
        <v>16248</v>
      </c>
      <c r="D7125" s="803" t="s">
        <v>16289</v>
      </c>
      <c r="E7125" s="803">
        <v>160</v>
      </c>
      <c r="F7125" s="850">
        <v>32</v>
      </c>
      <c r="G7125" s="202" t="str">
        <f t="shared" si="110"/>
        <v/>
      </c>
    </row>
    <row r="7126" spans="1:7" s="172" customFormat="1" ht="15" customHeight="1" x14ac:dyDescent="0.25">
      <c r="A7126" s="803" t="s">
        <v>10349</v>
      </c>
      <c r="B7126" s="803" t="s">
        <v>16248</v>
      </c>
      <c r="C7126" s="803" t="s">
        <v>16248</v>
      </c>
      <c r="D7126" s="803" t="s">
        <v>16290</v>
      </c>
      <c r="E7126" s="803">
        <v>160</v>
      </c>
      <c r="F7126" s="850">
        <v>42</v>
      </c>
      <c r="G7126" s="202" t="str">
        <f t="shared" si="110"/>
        <v/>
      </c>
    </row>
    <row r="7127" spans="1:7" s="172" customFormat="1" ht="15" customHeight="1" x14ac:dyDescent="0.25">
      <c r="A7127" s="803" t="s">
        <v>16291</v>
      </c>
      <c r="B7127" s="803" t="s">
        <v>16248</v>
      </c>
      <c r="C7127" s="803" t="s">
        <v>16248</v>
      </c>
      <c r="D7127" s="803" t="s">
        <v>16292</v>
      </c>
      <c r="E7127" s="803">
        <v>30</v>
      </c>
      <c r="F7127" s="850">
        <v>0</v>
      </c>
      <c r="G7127" s="202" t="str">
        <f t="shared" si="110"/>
        <v/>
      </c>
    </row>
    <row r="7128" spans="1:7" s="172" customFormat="1" ht="15" customHeight="1" x14ac:dyDescent="0.25">
      <c r="A7128" s="803" t="s">
        <v>16293</v>
      </c>
      <c r="B7128" s="803" t="s">
        <v>16248</v>
      </c>
      <c r="C7128" s="803" t="s">
        <v>16248</v>
      </c>
      <c r="D7128" s="803" t="s">
        <v>16294</v>
      </c>
      <c r="E7128" s="803">
        <v>63</v>
      </c>
      <c r="F7128" s="850">
        <v>0</v>
      </c>
      <c r="G7128" s="202" t="str">
        <f t="shared" si="110"/>
        <v/>
      </c>
    </row>
    <row r="7129" spans="1:7" s="172" customFormat="1" ht="15" customHeight="1" x14ac:dyDescent="0.25">
      <c r="A7129" s="803" t="s">
        <v>2597</v>
      </c>
      <c r="B7129" s="803" t="s">
        <v>16248</v>
      </c>
      <c r="C7129" s="803" t="s">
        <v>16248</v>
      </c>
      <c r="D7129" s="803" t="s">
        <v>16295</v>
      </c>
      <c r="E7129" s="803">
        <v>100</v>
      </c>
      <c r="F7129" s="850">
        <v>0</v>
      </c>
      <c r="G7129" s="202" t="str">
        <f t="shared" si="110"/>
        <v/>
      </c>
    </row>
    <row r="7130" spans="1:7" s="172" customFormat="1" ht="15" customHeight="1" x14ac:dyDescent="0.25">
      <c r="A7130" s="803" t="s">
        <v>2597</v>
      </c>
      <c r="B7130" s="803" t="s">
        <v>16248</v>
      </c>
      <c r="C7130" s="803" t="s">
        <v>16248</v>
      </c>
      <c r="D7130" s="803" t="s">
        <v>16296</v>
      </c>
      <c r="E7130" s="803">
        <v>100</v>
      </c>
      <c r="F7130" s="850">
        <v>0</v>
      </c>
      <c r="G7130" s="202" t="str">
        <f t="shared" si="110"/>
        <v/>
      </c>
    </row>
    <row r="7131" spans="1:7" s="172" customFormat="1" ht="15" customHeight="1" x14ac:dyDescent="0.25">
      <c r="A7131" s="803" t="s">
        <v>2597</v>
      </c>
      <c r="B7131" s="803" t="s">
        <v>16248</v>
      </c>
      <c r="C7131" s="803" t="s">
        <v>16248</v>
      </c>
      <c r="D7131" s="803" t="s">
        <v>16297</v>
      </c>
      <c r="E7131" s="803">
        <v>400</v>
      </c>
      <c r="F7131" s="850">
        <v>186</v>
      </c>
      <c r="G7131" s="202" t="str">
        <f t="shared" si="110"/>
        <v/>
      </c>
    </row>
    <row r="7132" spans="1:7" s="172" customFormat="1" ht="15" customHeight="1" x14ac:dyDescent="0.25">
      <c r="A7132" s="803" t="s">
        <v>16298</v>
      </c>
      <c r="B7132" s="803" t="s">
        <v>16248</v>
      </c>
      <c r="C7132" s="803" t="s">
        <v>16248</v>
      </c>
      <c r="D7132" s="803" t="s">
        <v>16299</v>
      </c>
      <c r="E7132" s="803">
        <v>40</v>
      </c>
      <c r="F7132" s="850">
        <v>0</v>
      </c>
      <c r="G7132" s="202" t="str">
        <f t="shared" si="110"/>
        <v/>
      </c>
    </row>
    <row r="7133" spans="1:7" s="172" customFormat="1" ht="15" customHeight="1" x14ac:dyDescent="0.25">
      <c r="A7133" s="803" t="s">
        <v>16300</v>
      </c>
      <c r="B7133" s="803" t="s">
        <v>16248</v>
      </c>
      <c r="C7133" s="803" t="s">
        <v>16248</v>
      </c>
      <c r="D7133" s="803" t="s">
        <v>16301</v>
      </c>
      <c r="E7133" s="803">
        <v>40</v>
      </c>
      <c r="F7133" s="850">
        <v>23</v>
      </c>
      <c r="G7133" s="202" t="str">
        <f t="shared" si="110"/>
        <v/>
      </c>
    </row>
    <row r="7134" spans="1:7" s="172" customFormat="1" ht="15" customHeight="1" x14ac:dyDescent="0.25">
      <c r="A7134" s="803" t="s">
        <v>12624</v>
      </c>
      <c r="B7134" s="803" t="s">
        <v>16248</v>
      </c>
      <c r="C7134" s="803" t="s">
        <v>16248</v>
      </c>
      <c r="D7134" s="803" t="s">
        <v>16302</v>
      </c>
      <c r="E7134" s="803">
        <v>250</v>
      </c>
      <c r="F7134" s="850">
        <v>0</v>
      </c>
      <c r="G7134" s="202" t="str">
        <f t="shared" ref="G7134:G7197" si="111">IF(E7134=F7134,"не загружен","")</f>
        <v/>
      </c>
    </row>
    <row r="7135" spans="1:7" s="172" customFormat="1" ht="15" customHeight="1" x14ac:dyDescent="0.25">
      <c r="A7135" s="803" t="s">
        <v>16303</v>
      </c>
      <c r="B7135" s="803" t="s">
        <v>16248</v>
      </c>
      <c r="C7135" s="803" t="s">
        <v>16248</v>
      </c>
      <c r="D7135" s="803" t="s">
        <v>16304</v>
      </c>
      <c r="E7135" s="803">
        <v>63</v>
      </c>
      <c r="F7135" s="850">
        <v>0</v>
      </c>
      <c r="G7135" s="202" t="str">
        <f t="shared" si="111"/>
        <v/>
      </c>
    </row>
    <row r="7136" spans="1:7" s="172" customFormat="1" ht="15" customHeight="1" x14ac:dyDescent="0.25">
      <c r="A7136" s="803" t="s">
        <v>12624</v>
      </c>
      <c r="B7136" s="803" t="s">
        <v>16248</v>
      </c>
      <c r="C7136" s="803" t="s">
        <v>16248</v>
      </c>
      <c r="D7136" s="803" t="s">
        <v>16305</v>
      </c>
      <c r="E7136" s="803">
        <v>63</v>
      </c>
      <c r="F7136" s="850">
        <v>0</v>
      </c>
      <c r="G7136" s="202" t="str">
        <f t="shared" si="111"/>
        <v/>
      </c>
    </row>
    <row r="7137" spans="1:7" s="172" customFormat="1" ht="15" customHeight="1" x14ac:dyDescent="0.25">
      <c r="A7137" s="803" t="s">
        <v>14507</v>
      </c>
      <c r="B7137" s="803" t="s">
        <v>16248</v>
      </c>
      <c r="C7137" s="803" t="s">
        <v>16248</v>
      </c>
      <c r="D7137" s="803" t="s">
        <v>16306</v>
      </c>
      <c r="E7137" s="803">
        <v>100</v>
      </c>
      <c r="F7137" s="850">
        <v>0</v>
      </c>
      <c r="G7137" s="202" t="str">
        <f t="shared" si="111"/>
        <v/>
      </c>
    </row>
    <row r="7138" spans="1:7" s="172" customFormat="1" ht="15" customHeight="1" x14ac:dyDescent="0.25">
      <c r="A7138" s="803" t="s">
        <v>14095</v>
      </c>
      <c r="B7138" s="803" t="s">
        <v>16248</v>
      </c>
      <c r="C7138" s="803" t="s">
        <v>16248</v>
      </c>
      <c r="D7138" s="803" t="s">
        <v>16307</v>
      </c>
      <c r="E7138" s="803">
        <v>100</v>
      </c>
      <c r="F7138" s="850">
        <v>0</v>
      </c>
      <c r="G7138" s="202" t="str">
        <f t="shared" si="111"/>
        <v/>
      </c>
    </row>
    <row r="7139" spans="1:7" s="172" customFormat="1" ht="15" customHeight="1" x14ac:dyDescent="0.25">
      <c r="A7139" s="803" t="s">
        <v>14095</v>
      </c>
      <c r="B7139" s="803" t="s">
        <v>16248</v>
      </c>
      <c r="C7139" s="803" t="s">
        <v>16248</v>
      </c>
      <c r="D7139" s="803" t="s">
        <v>16308</v>
      </c>
      <c r="E7139" s="803">
        <v>160</v>
      </c>
      <c r="F7139" s="850">
        <v>160</v>
      </c>
      <c r="G7139" s="202" t="str">
        <f t="shared" si="111"/>
        <v>не загружен</v>
      </c>
    </row>
    <row r="7140" spans="1:7" s="172" customFormat="1" ht="15" customHeight="1" x14ac:dyDescent="0.25">
      <c r="A7140" s="803" t="s">
        <v>16309</v>
      </c>
      <c r="B7140" s="803" t="s">
        <v>16248</v>
      </c>
      <c r="C7140" s="803" t="s">
        <v>16248</v>
      </c>
      <c r="D7140" s="803" t="s">
        <v>16310</v>
      </c>
      <c r="E7140" s="803">
        <v>40</v>
      </c>
      <c r="F7140" s="850">
        <v>20</v>
      </c>
      <c r="G7140" s="202" t="str">
        <f t="shared" si="111"/>
        <v/>
      </c>
    </row>
    <row r="7141" spans="1:7" s="172" customFormat="1" ht="15" customHeight="1" x14ac:dyDescent="0.25">
      <c r="A7141" s="803" t="s">
        <v>16309</v>
      </c>
      <c r="B7141" s="803" t="s">
        <v>16248</v>
      </c>
      <c r="C7141" s="803" t="s">
        <v>16248</v>
      </c>
      <c r="D7141" s="803" t="s">
        <v>20155</v>
      </c>
      <c r="E7141" s="803">
        <v>100</v>
      </c>
      <c r="F7141" s="850">
        <v>50</v>
      </c>
      <c r="G7141" s="202" t="str">
        <f t="shared" si="111"/>
        <v/>
      </c>
    </row>
    <row r="7142" spans="1:7" s="172" customFormat="1" ht="15" customHeight="1" x14ac:dyDescent="0.25">
      <c r="A7142" s="803" t="s">
        <v>16311</v>
      </c>
      <c r="B7142" s="803" t="s">
        <v>16248</v>
      </c>
      <c r="C7142" s="803" t="s">
        <v>16248</v>
      </c>
      <c r="D7142" s="803" t="s">
        <v>16312</v>
      </c>
      <c r="E7142" s="803">
        <v>40</v>
      </c>
      <c r="F7142" s="850">
        <v>0</v>
      </c>
      <c r="G7142" s="202" t="str">
        <f t="shared" si="111"/>
        <v/>
      </c>
    </row>
    <row r="7143" spans="1:7" s="172" customFormat="1" ht="15" customHeight="1" x14ac:dyDescent="0.25">
      <c r="A7143" s="803" t="s">
        <v>16311</v>
      </c>
      <c r="B7143" s="803" t="s">
        <v>16248</v>
      </c>
      <c r="C7143" s="803" t="s">
        <v>16248</v>
      </c>
      <c r="D7143" s="803" t="s">
        <v>16313</v>
      </c>
      <c r="E7143" s="803">
        <v>100</v>
      </c>
      <c r="F7143" s="850">
        <v>0</v>
      </c>
      <c r="G7143" s="202" t="str">
        <f t="shared" si="111"/>
        <v/>
      </c>
    </row>
    <row r="7144" spans="1:7" s="172" customFormat="1" ht="15" customHeight="1" x14ac:dyDescent="0.25">
      <c r="A7144" s="803" t="s">
        <v>4855</v>
      </c>
      <c r="B7144" s="803" t="s">
        <v>16248</v>
      </c>
      <c r="C7144" s="803" t="s">
        <v>16248</v>
      </c>
      <c r="D7144" s="803" t="s">
        <v>16314</v>
      </c>
      <c r="E7144" s="803">
        <v>30</v>
      </c>
      <c r="F7144" s="850">
        <v>0</v>
      </c>
      <c r="G7144" s="202" t="str">
        <f t="shared" si="111"/>
        <v/>
      </c>
    </row>
    <row r="7145" spans="1:7" s="172" customFormat="1" ht="15" customHeight="1" x14ac:dyDescent="0.25">
      <c r="A7145" s="803" t="s">
        <v>16315</v>
      </c>
      <c r="B7145" s="803" t="s">
        <v>16248</v>
      </c>
      <c r="C7145" s="803" t="s">
        <v>16248</v>
      </c>
      <c r="D7145" s="803" t="s">
        <v>16316</v>
      </c>
      <c r="E7145" s="803">
        <v>60</v>
      </c>
      <c r="F7145" s="850">
        <v>0</v>
      </c>
      <c r="G7145" s="202" t="str">
        <f t="shared" si="111"/>
        <v/>
      </c>
    </row>
    <row r="7146" spans="1:7" s="172" customFormat="1" ht="15" customHeight="1" x14ac:dyDescent="0.25">
      <c r="A7146" s="803" t="s">
        <v>16317</v>
      </c>
      <c r="B7146" s="803" t="s">
        <v>16248</v>
      </c>
      <c r="C7146" s="803" t="s">
        <v>16248</v>
      </c>
      <c r="D7146" s="803" t="s">
        <v>16318</v>
      </c>
      <c r="E7146" s="803">
        <v>160</v>
      </c>
      <c r="F7146" s="850">
        <v>29</v>
      </c>
      <c r="G7146" s="202" t="str">
        <f t="shared" si="111"/>
        <v/>
      </c>
    </row>
    <row r="7147" spans="1:7" s="172" customFormat="1" ht="15" customHeight="1" x14ac:dyDescent="0.25">
      <c r="A7147" s="803" t="s">
        <v>16315</v>
      </c>
      <c r="B7147" s="803" t="s">
        <v>16248</v>
      </c>
      <c r="C7147" s="803" t="s">
        <v>16248</v>
      </c>
      <c r="D7147" s="803" t="s">
        <v>16319</v>
      </c>
      <c r="E7147" s="803">
        <v>250</v>
      </c>
      <c r="F7147" s="850">
        <v>250</v>
      </c>
      <c r="G7147" s="202" t="str">
        <f t="shared" si="111"/>
        <v>не загружен</v>
      </c>
    </row>
    <row r="7148" spans="1:7" s="172" customFormat="1" ht="15" customHeight="1" x14ac:dyDescent="0.25">
      <c r="A7148" s="803" t="s">
        <v>2597</v>
      </c>
      <c r="B7148" s="803" t="s">
        <v>16248</v>
      </c>
      <c r="C7148" s="803" t="s">
        <v>16248</v>
      </c>
      <c r="D7148" s="803" t="s">
        <v>16320</v>
      </c>
      <c r="E7148" s="803">
        <v>320</v>
      </c>
      <c r="F7148" s="850">
        <v>23</v>
      </c>
      <c r="G7148" s="202" t="str">
        <f t="shared" si="111"/>
        <v/>
      </c>
    </row>
    <row r="7149" spans="1:7" s="172" customFormat="1" ht="15" customHeight="1" x14ac:dyDescent="0.25">
      <c r="A7149" s="803" t="s">
        <v>2597</v>
      </c>
      <c r="B7149" s="803" t="s">
        <v>16248</v>
      </c>
      <c r="C7149" s="803" t="s">
        <v>16248</v>
      </c>
      <c r="D7149" s="803" t="s">
        <v>16321</v>
      </c>
      <c r="E7149" s="803">
        <v>100</v>
      </c>
      <c r="F7149" s="850">
        <v>0</v>
      </c>
      <c r="G7149" s="202" t="str">
        <f t="shared" si="111"/>
        <v/>
      </c>
    </row>
    <row r="7150" spans="1:7" s="172" customFormat="1" ht="15" customHeight="1" x14ac:dyDescent="0.25">
      <c r="A7150" s="803" t="s">
        <v>16322</v>
      </c>
      <c r="B7150" s="803" t="s">
        <v>16248</v>
      </c>
      <c r="C7150" s="803" t="s">
        <v>16248</v>
      </c>
      <c r="D7150" s="803" t="s">
        <v>16323</v>
      </c>
      <c r="E7150" s="803">
        <v>40</v>
      </c>
      <c r="F7150" s="850">
        <v>5</v>
      </c>
      <c r="G7150" s="202" t="str">
        <f t="shared" si="111"/>
        <v/>
      </c>
    </row>
    <row r="7151" spans="1:7" s="172" customFormat="1" ht="15" customHeight="1" x14ac:dyDescent="0.25">
      <c r="A7151" s="803" t="s">
        <v>16324</v>
      </c>
      <c r="B7151" s="803" t="s">
        <v>16248</v>
      </c>
      <c r="C7151" s="803" t="s">
        <v>16248</v>
      </c>
      <c r="D7151" s="803" t="s">
        <v>16325</v>
      </c>
      <c r="E7151" s="803">
        <v>160</v>
      </c>
      <c r="F7151" s="850">
        <v>84</v>
      </c>
      <c r="G7151" s="202" t="str">
        <f t="shared" si="111"/>
        <v/>
      </c>
    </row>
    <row r="7152" spans="1:7" s="172" customFormat="1" ht="15" customHeight="1" x14ac:dyDescent="0.25">
      <c r="A7152" s="803" t="s">
        <v>16326</v>
      </c>
      <c r="B7152" s="803" t="s">
        <v>16248</v>
      </c>
      <c r="C7152" s="803" t="s">
        <v>16248</v>
      </c>
      <c r="D7152" s="803" t="s">
        <v>16327</v>
      </c>
      <c r="E7152" s="803">
        <v>160</v>
      </c>
      <c r="F7152" s="850">
        <v>0</v>
      </c>
      <c r="G7152" s="202" t="str">
        <f t="shared" si="111"/>
        <v/>
      </c>
    </row>
    <row r="7153" spans="1:7" s="172" customFormat="1" ht="15" customHeight="1" x14ac:dyDescent="0.25">
      <c r="A7153" s="803" t="s">
        <v>16328</v>
      </c>
      <c r="B7153" s="803" t="s">
        <v>16248</v>
      </c>
      <c r="C7153" s="803" t="s">
        <v>16248</v>
      </c>
      <c r="D7153" s="803" t="s">
        <v>16329</v>
      </c>
      <c r="E7153" s="803">
        <v>250</v>
      </c>
      <c r="F7153" s="850">
        <v>250</v>
      </c>
      <c r="G7153" s="202" t="str">
        <f t="shared" si="111"/>
        <v>не загружен</v>
      </c>
    </row>
    <row r="7154" spans="1:7" s="172" customFormat="1" ht="15" customHeight="1" x14ac:dyDescent="0.25">
      <c r="A7154" s="803" t="s">
        <v>16328</v>
      </c>
      <c r="B7154" s="803" t="s">
        <v>16248</v>
      </c>
      <c r="C7154" s="803" t="s">
        <v>16248</v>
      </c>
      <c r="D7154" s="803" t="s">
        <v>16330</v>
      </c>
      <c r="E7154" s="803">
        <v>400</v>
      </c>
      <c r="F7154" s="850">
        <v>182</v>
      </c>
      <c r="G7154" s="202" t="str">
        <f t="shared" si="111"/>
        <v/>
      </c>
    </row>
    <row r="7155" spans="1:7" s="172" customFormat="1" ht="15" customHeight="1" x14ac:dyDescent="0.25">
      <c r="A7155" s="803" t="s">
        <v>16328</v>
      </c>
      <c r="B7155" s="803" t="s">
        <v>16248</v>
      </c>
      <c r="C7155" s="803" t="s">
        <v>16248</v>
      </c>
      <c r="D7155" s="803" t="s">
        <v>16331</v>
      </c>
      <c r="E7155" s="803">
        <v>400</v>
      </c>
      <c r="F7155" s="850">
        <v>87</v>
      </c>
      <c r="G7155" s="202" t="str">
        <f t="shared" si="111"/>
        <v/>
      </c>
    </row>
    <row r="7156" spans="1:7" s="172" customFormat="1" ht="15" customHeight="1" x14ac:dyDescent="0.25">
      <c r="A7156" s="803" t="s">
        <v>16328</v>
      </c>
      <c r="B7156" s="803" t="s">
        <v>16248</v>
      </c>
      <c r="C7156" s="803" t="s">
        <v>16248</v>
      </c>
      <c r="D7156" s="803" t="s">
        <v>16332</v>
      </c>
      <c r="E7156" s="803">
        <v>100</v>
      </c>
      <c r="F7156" s="850">
        <v>42</v>
      </c>
      <c r="G7156" s="202" t="str">
        <f t="shared" si="111"/>
        <v/>
      </c>
    </row>
    <row r="7157" spans="1:7" s="172" customFormat="1" ht="15" customHeight="1" x14ac:dyDescent="0.25">
      <c r="A7157" s="803" t="s">
        <v>16328</v>
      </c>
      <c r="B7157" s="803" t="s">
        <v>16248</v>
      </c>
      <c r="C7157" s="803" t="s">
        <v>16248</v>
      </c>
      <c r="D7157" s="803" t="s">
        <v>16333</v>
      </c>
      <c r="E7157" s="803">
        <v>100</v>
      </c>
      <c r="F7157" s="850">
        <v>0</v>
      </c>
      <c r="G7157" s="202" t="str">
        <f t="shared" si="111"/>
        <v/>
      </c>
    </row>
    <row r="7158" spans="1:7" s="172" customFormat="1" ht="15" customHeight="1" x14ac:dyDescent="0.25">
      <c r="A7158" s="803" t="s">
        <v>16334</v>
      </c>
      <c r="B7158" s="803" t="s">
        <v>16248</v>
      </c>
      <c r="C7158" s="803" t="s">
        <v>16248</v>
      </c>
      <c r="D7158" s="803" t="s">
        <v>16335</v>
      </c>
      <c r="E7158" s="803">
        <v>63</v>
      </c>
      <c r="F7158" s="850">
        <v>44</v>
      </c>
      <c r="G7158" s="202" t="str">
        <f t="shared" si="111"/>
        <v/>
      </c>
    </row>
    <row r="7159" spans="1:7" s="172" customFormat="1" ht="15" customHeight="1" x14ac:dyDescent="0.25">
      <c r="A7159" s="803" t="s">
        <v>16336</v>
      </c>
      <c r="B7159" s="803" t="s">
        <v>16248</v>
      </c>
      <c r="C7159" s="803" t="s">
        <v>16248</v>
      </c>
      <c r="D7159" s="803" t="s">
        <v>16337</v>
      </c>
      <c r="E7159" s="803">
        <v>63</v>
      </c>
      <c r="F7159" s="850">
        <v>46</v>
      </c>
      <c r="G7159" s="202" t="str">
        <f t="shared" si="111"/>
        <v/>
      </c>
    </row>
    <row r="7160" spans="1:7" s="172" customFormat="1" ht="15" customHeight="1" x14ac:dyDescent="0.25">
      <c r="A7160" s="803" t="s">
        <v>16338</v>
      </c>
      <c r="B7160" s="803" t="s">
        <v>16248</v>
      </c>
      <c r="C7160" s="803" t="s">
        <v>16248</v>
      </c>
      <c r="D7160" s="803" t="s">
        <v>16339</v>
      </c>
      <c r="E7160" s="803">
        <v>160</v>
      </c>
      <c r="F7160" s="850">
        <v>113</v>
      </c>
      <c r="G7160" s="202" t="str">
        <f t="shared" si="111"/>
        <v/>
      </c>
    </row>
    <row r="7161" spans="1:7" s="172" customFormat="1" ht="15" customHeight="1" x14ac:dyDescent="0.25">
      <c r="A7161" s="803" t="s">
        <v>2473</v>
      </c>
      <c r="B7161" s="803" t="s">
        <v>16248</v>
      </c>
      <c r="C7161" s="803" t="s">
        <v>16248</v>
      </c>
      <c r="D7161" s="803" t="s">
        <v>11008</v>
      </c>
      <c r="E7161" s="803">
        <v>250</v>
      </c>
      <c r="F7161" s="850">
        <v>241</v>
      </c>
      <c r="G7161" s="202" t="str">
        <f t="shared" si="111"/>
        <v/>
      </c>
    </row>
    <row r="7162" spans="1:7" s="172" customFormat="1" ht="15" customHeight="1" x14ac:dyDescent="0.25">
      <c r="A7162" s="803" t="s">
        <v>16340</v>
      </c>
      <c r="B7162" s="803" t="s">
        <v>16248</v>
      </c>
      <c r="C7162" s="803" t="s">
        <v>16248</v>
      </c>
      <c r="D7162" s="803" t="s">
        <v>16341</v>
      </c>
      <c r="E7162" s="803">
        <v>30</v>
      </c>
      <c r="F7162" s="850">
        <v>12</v>
      </c>
      <c r="G7162" s="202" t="str">
        <f t="shared" si="111"/>
        <v/>
      </c>
    </row>
    <row r="7163" spans="1:7" s="172" customFormat="1" ht="15" customHeight="1" x14ac:dyDescent="0.25">
      <c r="A7163" s="803" t="s">
        <v>11808</v>
      </c>
      <c r="B7163" s="803" t="s">
        <v>16248</v>
      </c>
      <c r="C7163" s="803" t="s">
        <v>16248</v>
      </c>
      <c r="D7163" s="803" t="s">
        <v>10837</v>
      </c>
      <c r="E7163" s="803">
        <v>100</v>
      </c>
      <c r="F7163" s="850">
        <v>37</v>
      </c>
      <c r="G7163" s="202" t="str">
        <f t="shared" si="111"/>
        <v/>
      </c>
    </row>
    <row r="7164" spans="1:7" s="172" customFormat="1" ht="15" customHeight="1" x14ac:dyDescent="0.25">
      <c r="A7164" s="803" t="s">
        <v>2689</v>
      </c>
      <c r="B7164" s="803" t="s">
        <v>16248</v>
      </c>
      <c r="C7164" s="803" t="s">
        <v>16248</v>
      </c>
      <c r="D7164" s="803" t="s">
        <v>16342</v>
      </c>
      <c r="E7164" s="803">
        <v>30</v>
      </c>
      <c r="F7164" s="850">
        <v>4</v>
      </c>
      <c r="G7164" s="202" t="str">
        <f t="shared" si="111"/>
        <v/>
      </c>
    </row>
    <row r="7165" spans="1:7" s="172" customFormat="1" ht="15" customHeight="1" x14ac:dyDescent="0.25">
      <c r="A7165" s="803" t="s">
        <v>16343</v>
      </c>
      <c r="B7165" s="803" t="s">
        <v>16248</v>
      </c>
      <c r="C7165" s="803" t="s">
        <v>16248</v>
      </c>
      <c r="D7165" s="803" t="s">
        <v>16344</v>
      </c>
      <c r="E7165" s="803">
        <v>160</v>
      </c>
      <c r="F7165" s="850">
        <v>160</v>
      </c>
      <c r="G7165" s="202" t="str">
        <f t="shared" si="111"/>
        <v>не загружен</v>
      </c>
    </row>
    <row r="7166" spans="1:7" s="172" customFormat="1" ht="15" customHeight="1" x14ac:dyDescent="0.25">
      <c r="A7166" s="803" t="s">
        <v>16343</v>
      </c>
      <c r="B7166" s="803" t="s">
        <v>16248</v>
      </c>
      <c r="C7166" s="803" t="s">
        <v>16248</v>
      </c>
      <c r="D7166" s="803" t="s">
        <v>16345</v>
      </c>
      <c r="E7166" s="803">
        <v>100</v>
      </c>
      <c r="F7166" s="850">
        <v>0</v>
      </c>
      <c r="G7166" s="202" t="str">
        <f t="shared" si="111"/>
        <v/>
      </c>
    </row>
    <row r="7167" spans="1:7" s="172" customFormat="1" ht="15" customHeight="1" x14ac:dyDescent="0.25">
      <c r="A7167" s="803" t="s">
        <v>16346</v>
      </c>
      <c r="B7167" s="803" t="s">
        <v>16248</v>
      </c>
      <c r="C7167" s="803" t="s">
        <v>16248</v>
      </c>
      <c r="D7167" s="803" t="s">
        <v>16347</v>
      </c>
      <c r="E7167" s="803">
        <v>160</v>
      </c>
      <c r="F7167" s="850">
        <v>141</v>
      </c>
      <c r="G7167" s="202" t="str">
        <f t="shared" si="111"/>
        <v/>
      </c>
    </row>
    <row r="7168" spans="1:7" s="172" customFormat="1" ht="15" customHeight="1" x14ac:dyDescent="0.25">
      <c r="A7168" s="803" t="s">
        <v>16348</v>
      </c>
      <c r="B7168" s="803" t="s">
        <v>16248</v>
      </c>
      <c r="C7168" s="803" t="s">
        <v>16248</v>
      </c>
      <c r="D7168" s="803" t="s">
        <v>16349</v>
      </c>
      <c r="E7168" s="803">
        <v>400</v>
      </c>
      <c r="F7168" s="850">
        <v>157</v>
      </c>
      <c r="G7168" s="202" t="str">
        <f t="shared" si="111"/>
        <v/>
      </c>
    </row>
    <row r="7169" spans="1:7" s="172" customFormat="1" ht="15" customHeight="1" x14ac:dyDescent="0.25">
      <c r="A7169" s="803" t="s">
        <v>16348</v>
      </c>
      <c r="B7169" s="803" t="s">
        <v>16248</v>
      </c>
      <c r="C7169" s="803" t="s">
        <v>16248</v>
      </c>
      <c r="D7169" s="803" t="s">
        <v>16350</v>
      </c>
      <c r="E7169" s="803">
        <v>160</v>
      </c>
      <c r="F7169" s="850">
        <v>134</v>
      </c>
      <c r="G7169" s="202" t="str">
        <f t="shared" si="111"/>
        <v/>
      </c>
    </row>
    <row r="7170" spans="1:7" s="172" customFormat="1" ht="15" customHeight="1" x14ac:dyDescent="0.25">
      <c r="A7170" s="803" t="s">
        <v>16351</v>
      </c>
      <c r="B7170" s="803" t="s">
        <v>16248</v>
      </c>
      <c r="C7170" s="803" t="s">
        <v>16248</v>
      </c>
      <c r="D7170" s="803" t="s">
        <v>16352</v>
      </c>
      <c r="E7170" s="803">
        <v>63</v>
      </c>
      <c r="F7170" s="850">
        <v>7</v>
      </c>
      <c r="G7170" s="202" t="str">
        <f t="shared" si="111"/>
        <v/>
      </c>
    </row>
    <row r="7171" spans="1:7" s="172" customFormat="1" ht="15" customHeight="1" x14ac:dyDescent="0.25">
      <c r="A7171" s="803" t="s">
        <v>16353</v>
      </c>
      <c r="B7171" s="803" t="s">
        <v>16248</v>
      </c>
      <c r="C7171" s="803" t="s">
        <v>16248</v>
      </c>
      <c r="D7171" s="803" t="s">
        <v>16354</v>
      </c>
      <c r="E7171" s="803">
        <v>100</v>
      </c>
      <c r="F7171" s="850">
        <v>16</v>
      </c>
      <c r="G7171" s="202" t="str">
        <f t="shared" si="111"/>
        <v/>
      </c>
    </row>
    <row r="7172" spans="1:7" s="172" customFormat="1" ht="15" customHeight="1" x14ac:dyDescent="0.25">
      <c r="A7172" s="803" t="s">
        <v>16355</v>
      </c>
      <c r="B7172" s="803" t="s">
        <v>16248</v>
      </c>
      <c r="C7172" s="803" t="s">
        <v>16248</v>
      </c>
      <c r="D7172" s="803" t="s">
        <v>16356</v>
      </c>
      <c r="E7172" s="803">
        <v>250</v>
      </c>
      <c r="F7172" s="850">
        <v>201</v>
      </c>
      <c r="G7172" s="202" t="str">
        <f t="shared" si="111"/>
        <v/>
      </c>
    </row>
    <row r="7173" spans="1:7" s="172" customFormat="1" ht="15" customHeight="1" x14ac:dyDescent="0.25">
      <c r="A7173" s="803" t="s">
        <v>16250</v>
      </c>
      <c r="B7173" s="803" t="s">
        <v>16248</v>
      </c>
      <c r="C7173" s="803" t="s">
        <v>16248</v>
      </c>
      <c r="D7173" s="803" t="s">
        <v>4495</v>
      </c>
      <c r="E7173" s="803">
        <v>250</v>
      </c>
      <c r="F7173" s="850">
        <v>181</v>
      </c>
      <c r="G7173" s="202" t="str">
        <f t="shared" si="111"/>
        <v/>
      </c>
    </row>
    <row r="7174" spans="1:7" s="172" customFormat="1" ht="15" customHeight="1" x14ac:dyDescent="0.25">
      <c r="A7174" s="803" t="s">
        <v>16250</v>
      </c>
      <c r="B7174" s="803" t="s">
        <v>16248</v>
      </c>
      <c r="C7174" s="803" t="s">
        <v>16248</v>
      </c>
      <c r="D7174" s="803" t="s">
        <v>16357</v>
      </c>
      <c r="E7174" s="803">
        <v>400</v>
      </c>
      <c r="F7174" s="850">
        <v>0</v>
      </c>
      <c r="G7174" s="202" t="str">
        <f t="shared" si="111"/>
        <v/>
      </c>
    </row>
    <row r="7175" spans="1:7" s="172" customFormat="1" ht="15" customHeight="1" x14ac:dyDescent="0.25">
      <c r="A7175" s="803" t="s">
        <v>16250</v>
      </c>
      <c r="B7175" s="803" t="s">
        <v>16248</v>
      </c>
      <c r="C7175" s="803" t="s">
        <v>16248</v>
      </c>
      <c r="D7175" s="803" t="s">
        <v>16358</v>
      </c>
      <c r="E7175" s="803">
        <v>160</v>
      </c>
      <c r="F7175" s="850">
        <v>0</v>
      </c>
      <c r="G7175" s="202" t="str">
        <f t="shared" si="111"/>
        <v/>
      </c>
    </row>
    <row r="7176" spans="1:7" s="172" customFormat="1" ht="15" customHeight="1" x14ac:dyDescent="0.25">
      <c r="A7176" s="803" t="s">
        <v>16250</v>
      </c>
      <c r="B7176" s="803" t="s">
        <v>16248</v>
      </c>
      <c r="C7176" s="803" t="s">
        <v>16248</v>
      </c>
      <c r="D7176" s="803" t="s">
        <v>16359</v>
      </c>
      <c r="E7176" s="803">
        <v>160</v>
      </c>
      <c r="F7176" s="850">
        <v>7</v>
      </c>
      <c r="G7176" s="202" t="str">
        <f t="shared" si="111"/>
        <v/>
      </c>
    </row>
    <row r="7177" spans="1:7" s="172" customFormat="1" ht="15" customHeight="1" x14ac:dyDescent="0.25">
      <c r="A7177" s="803" t="s">
        <v>16250</v>
      </c>
      <c r="B7177" s="803" t="s">
        <v>16248</v>
      </c>
      <c r="C7177" s="803" t="s">
        <v>16248</v>
      </c>
      <c r="D7177" s="803" t="s">
        <v>16360</v>
      </c>
      <c r="E7177" s="803">
        <v>100</v>
      </c>
      <c r="F7177" s="850">
        <v>0</v>
      </c>
      <c r="G7177" s="202" t="str">
        <f t="shared" si="111"/>
        <v/>
      </c>
    </row>
    <row r="7178" spans="1:7" s="172" customFormat="1" ht="15" customHeight="1" x14ac:dyDescent="0.25">
      <c r="A7178" s="803" t="s">
        <v>16250</v>
      </c>
      <c r="B7178" s="803" t="s">
        <v>16248</v>
      </c>
      <c r="C7178" s="803" t="s">
        <v>16248</v>
      </c>
      <c r="D7178" s="803" t="s">
        <v>16361</v>
      </c>
      <c r="E7178" s="803">
        <v>100</v>
      </c>
      <c r="F7178" s="850">
        <v>44</v>
      </c>
      <c r="G7178" s="202" t="str">
        <f t="shared" si="111"/>
        <v/>
      </c>
    </row>
    <row r="7179" spans="1:7" s="172" customFormat="1" ht="15" customHeight="1" x14ac:dyDescent="0.25">
      <c r="A7179" s="803" t="s">
        <v>16250</v>
      </c>
      <c r="B7179" s="803" t="s">
        <v>16248</v>
      </c>
      <c r="C7179" s="803" t="s">
        <v>16248</v>
      </c>
      <c r="D7179" s="803" t="s">
        <v>16362</v>
      </c>
      <c r="E7179" s="803">
        <v>400</v>
      </c>
      <c r="F7179" s="850">
        <v>320</v>
      </c>
      <c r="G7179" s="202" t="str">
        <f t="shared" si="111"/>
        <v/>
      </c>
    </row>
    <row r="7180" spans="1:7" s="172" customFormat="1" ht="15" customHeight="1" x14ac:dyDescent="0.25">
      <c r="A7180" s="803" t="s">
        <v>7651</v>
      </c>
      <c r="B7180" s="803" t="s">
        <v>16248</v>
      </c>
      <c r="C7180" s="803" t="s">
        <v>16248</v>
      </c>
      <c r="D7180" s="803" t="s">
        <v>16363</v>
      </c>
      <c r="E7180" s="803">
        <v>63</v>
      </c>
      <c r="F7180" s="850">
        <v>0</v>
      </c>
      <c r="G7180" s="202" t="str">
        <f t="shared" si="111"/>
        <v/>
      </c>
    </row>
    <row r="7181" spans="1:7" s="172" customFormat="1" ht="15" customHeight="1" x14ac:dyDescent="0.25">
      <c r="A7181" s="803" t="s">
        <v>16364</v>
      </c>
      <c r="B7181" s="803" t="s">
        <v>16248</v>
      </c>
      <c r="C7181" s="803" t="s">
        <v>16248</v>
      </c>
      <c r="D7181" s="803" t="s">
        <v>16365</v>
      </c>
      <c r="E7181" s="803">
        <v>400</v>
      </c>
      <c r="F7181" s="850">
        <v>342</v>
      </c>
      <c r="G7181" s="202" t="str">
        <f t="shared" si="111"/>
        <v/>
      </c>
    </row>
    <row r="7182" spans="1:7" s="172" customFormat="1" ht="15" customHeight="1" x14ac:dyDescent="0.25">
      <c r="A7182" s="803" t="s">
        <v>16364</v>
      </c>
      <c r="B7182" s="803" t="s">
        <v>16248</v>
      </c>
      <c r="C7182" s="803" t="s">
        <v>16248</v>
      </c>
      <c r="D7182" s="803" t="s">
        <v>16366</v>
      </c>
      <c r="E7182" s="803">
        <v>400</v>
      </c>
      <c r="F7182" s="850">
        <v>360</v>
      </c>
      <c r="G7182" s="202" t="str">
        <f t="shared" si="111"/>
        <v/>
      </c>
    </row>
    <row r="7183" spans="1:7" s="172" customFormat="1" ht="15" customHeight="1" x14ac:dyDescent="0.25">
      <c r="A7183" s="803" t="s">
        <v>12608</v>
      </c>
      <c r="B7183" s="803" t="s">
        <v>16248</v>
      </c>
      <c r="C7183" s="803" t="s">
        <v>16248</v>
      </c>
      <c r="D7183" s="803" t="s">
        <v>16367</v>
      </c>
      <c r="E7183" s="803">
        <v>160</v>
      </c>
      <c r="F7183" s="850">
        <v>117</v>
      </c>
      <c r="G7183" s="202" t="str">
        <f t="shared" si="111"/>
        <v/>
      </c>
    </row>
    <row r="7184" spans="1:7" s="172" customFormat="1" ht="15" customHeight="1" x14ac:dyDescent="0.25">
      <c r="A7184" s="803" t="s">
        <v>12608</v>
      </c>
      <c r="B7184" s="803" t="s">
        <v>16248</v>
      </c>
      <c r="C7184" s="803" t="s">
        <v>16248</v>
      </c>
      <c r="D7184" s="803" t="s">
        <v>16368</v>
      </c>
      <c r="E7184" s="803">
        <v>100</v>
      </c>
      <c r="F7184" s="850">
        <v>74</v>
      </c>
      <c r="G7184" s="202" t="str">
        <f t="shared" si="111"/>
        <v/>
      </c>
    </row>
    <row r="7185" spans="1:7" s="172" customFormat="1" ht="15" customHeight="1" x14ac:dyDescent="0.25">
      <c r="A7185" s="803" t="s">
        <v>16369</v>
      </c>
      <c r="B7185" s="803" t="s">
        <v>16248</v>
      </c>
      <c r="C7185" s="803" t="s">
        <v>16248</v>
      </c>
      <c r="D7185" s="803" t="s">
        <v>16370</v>
      </c>
      <c r="E7185" s="803">
        <v>40</v>
      </c>
      <c r="F7185" s="850">
        <v>0</v>
      </c>
      <c r="G7185" s="202" t="str">
        <f t="shared" si="111"/>
        <v/>
      </c>
    </row>
    <row r="7186" spans="1:7" s="172" customFormat="1" ht="15" customHeight="1" x14ac:dyDescent="0.25">
      <c r="A7186" s="803" t="s">
        <v>16371</v>
      </c>
      <c r="B7186" s="803" t="s">
        <v>16248</v>
      </c>
      <c r="C7186" s="803" t="s">
        <v>16248</v>
      </c>
      <c r="D7186" s="803" t="s">
        <v>16372</v>
      </c>
      <c r="E7186" s="803">
        <v>30</v>
      </c>
      <c r="F7186" s="850">
        <v>0</v>
      </c>
      <c r="G7186" s="202" t="str">
        <f t="shared" si="111"/>
        <v/>
      </c>
    </row>
    <row r="7187" spans="1:7" s="172" customFormat="1" ht="15" customHeight="1" x14ac:dyDescent="0.25">
      <c r="A7187" s="803" t="s">
        <v>16373</v>
      </c>
      <c r="B7187" s="803" t="s">
        <v>16248</v>
      </c>
      <c r="C7187" s="803" t="s">
        <v>16248</v>
      </c>
      <c r="D7187" s="803" t="s">
        <v>16374</v>
      </c>
      <c r="E7187" s="803">
        <v>250</v>
      </c>
      <c r="F7187" s="850">
        <v>231</v>
      </c>
      <c r="G7187" s="202" t="str">
        <f t="shared" si="111"/>
        <v/>
      </c>
    </row>
    <row r="7188" spans="1:7" s="172" customFormat="1" ht="15" customHeight="1" x14ac:dyDescent="0.25">
      <c r="A7188" s="803" t="s">
        <v>4851</v>
      </c>
      <c r="B7188" s="803" t="s">
        <v>16248</v>
      </c>
      <c r="C7188" s="803" t="s">
        <v>16248</v>
      </c>
      <c r="D7188" s="803" t="s">
        <v>4850</v>
      </c>
      <c r="E7188" s="803">
        <v>30</v>
      </c>
      <c r="F7188" s="850">
        <v>0</v>
      </c>
      <c r="G7188" s="202" t="str">
        <f t="shared" si="111"/>
        <v/>
      </c>
    </row>
    <row r="7189" spans="1:7" s="172" customFormat="1" ht="15" customHeight="1" x14ac:dyDescent="0.25">
      <c r="A7189" s="803" t="s">
        <v>16375</v>
      </c>
      <c r="B7189" s="803" t="s">
        <v>16248</v>
      </c>
      <c r="C7189" s="803" t="s">
        <v>16248</v>
      </c>
      <c r="D7189" s="803" t="s">
        <v>16376</v>
      </c>
      <c r="E7189" s="803">
        <v>30</v>
      </c>
      <c r="F7189" s="850">
        <v>0</v>
      </c>
      <c r="G7189" s="202" t="str">
        <f t="shared" si="111"/>
        <v/>
      </c>
    </row>
    <row r="7190" spans="1:7" s="172" customFormat="1" ht="15" customHeight="1" x14ac:dyDescent="0.25">
      <c r="A7190" s="803" t="s">
        <v>16377</v>
      </c>
      <c r="B7190" s="803" t="s">
        <v>16248</v>
      </c>
      <c r="C7190" s="803" t="s">
        <v>16248</v>
      </c>
      <c r="D7190" s="803" t="s">
        <v>16378</v>
      </c>
      <c r="E7190" s="803">
        <v>30</v>
      </c>
      <c r="F7190" s="850">
        <v>0</v>
      </c>
      <c r="G7190" s="202" t="str">
        <f t="shared" si="111"/>
        <v/>
      </c>
    </row>
    <row r="7191" spans="1:7" s="172" customFormat="1" ht="15" customHeight="1" x14ac:dyDescent="0.25">
      <c r="A7191" s="803" t="s">
        <v>7678</v>
      </c>
      <c r="B7191" s="803" t="s">
        <v>16248</v>
      </c>
      <c r="C7191" s="803" t="s">
        <v>16248</v>
      </c>
      <c r="D7191" s="803" t="s">
        <v>16379</v>
      </c>
      <c r="E7191" s="803">
        <v>63</v>
      </c>
      <c r="F7191" s="850">
        <v>0</v>
      </c>
      <c r="G7191" s="202" t="str">
        <f t="shared" si="111"/>
        <v/>
      </c>
    </row>
    <row r="7192" spans="1:7" s="172" customFormat="1" ht="15" customHeight="1" x14ac:dyDescent="0.25">
      <c r="A7192" s="803" t="s">
        <v>16380</v>
      </c>
      <c r="B7192" s="803" t="s">
        <v>16248</v>
      </c>
      <c r="C7192" s="803" t="s">
        <v>16248</v>
      </c>
      <c r="D7192" s="803" t="s">
        <v>16381</v>
      </c>
      <c r="E7192" s="803">
        <v>250</v>
      </c>
      <c r="F7192" s="850">
        <v>61</v>
      </c>
      <c r="G7192" s="202" t="str">
        <f t="shared" si="111"/>
        <v/>
      </c>
    </row>
    <row r="7193" spans="1:7" s="172" customFormat="1" ht="15" customHeight="1" x14ac:dyDescent="0.25">
      <c r="A7193" s="803" t="s">
        <v>16380</v>
      </c>
      <c r="B7193" s="803" t="s">
        <v>16248</v>
      </c>
      <c r="C7193" s="803" t="s">
        <v>16248</v>
      </c>
      <c r="D7193" s="803" t="s">
        <v>16382</v>
      </c>
      <c r="E7193" s="803">
        <v>100</v>
      </c>
      <c r="F7193" s="850">
        <v>0</v>
      </c>
      <c r="G7193" s="202" t="str">
        <f t="shared" si="111"/>
        <v/>
      </c>
    </row>
    <row r="7194" spans="1:7" s="172" customFormat="1" ht="15" customHeight="1" x14ac:dyDescent="0.25">
      <c r="A7194" s="803" t="s">
        <v>16383</v>
      </c>
      <c r="B7194" s="803" t="s">
        <v>16248</v>
      </c>
      <c r="C7194" s="803" t="s">
        <v>16248</v>
      </c>
      <c r="D7194" s="803" t="s">
        <v>16384</v>
      </c>
      <c r="E7194" s="803">
        <v>160</v>
      </c>
      <c r="F7194" s="850">
        <v>0</v>
      </c>
      <c r="G7194" s="202" t="str">
        <f t="shared" si="111"/>
        <v/>
      </c>
    </row>
    <row r="7195" spans="1:7" s="172" customFormat="1" ht="15" customHeight="1" x14ac:dyDescent="0.25">
      <c r="A7195" s="803" t="s">
        <v>16383</v>
      </c>
      <c r="B7195" s="803" t="s">
        <v>16248</v>
      </c>
      <c r="C7195" s="803" t="s">
        <v>16248</v>
      </c>
      <c r="D7195" s="803" t="s">
        <v>16385</v>
      </c>
      <c r="E7195" s="803">
        <v>160</v>
      </c>
      <c r="F7195" s="850">
        <v>102</v>
      </c>
      <c r="G7195" s="202" t="str">
        <f t="shared" si="111"/>
        <v/>
      </c>
    </row>
    <row r="7196" spans="1:7" s="172" customFormat="1" ht="15" customHeight="1" x14ac:dyDescent="0.25">
      <c r="A7196" s="803" t="s">
        <v>16386</v>
      </c>
      <c r="B7196" s="803" t="s">
        <v>16248</v>
      </c>
      <c r="C7196" s="803" t="s">
        <v>16248</v>
      </c>
      <c r="D7196" s="803" t="s">
        <v>16387</v>
      </c>
      <c r="E7196" s="803">
        <v>60</v>
      </c>
      <c r="F7196" s="850">
        <v>4</v>
      </c>
      <c r="G7196" s="202" t="str">
        <f t="shared" si="111"/>
        <v/>
      </c>
    </row>
    <row r="7197" spans="1:7" s="172" customFormat="1" ht="15" customHeight="1" x14ac:dyDescent="0.25">
      <c r="A7197" s="803" t="s">
        <v>16388</v>
      </c>
      <c r="B7197" s="803" t="s">
        <v>16248</v>
      </c>
      <c r="C7197" s="803" t="s">
        <v>16248</v>
      </c>
      <c r="D7197" s="803" t="s">
        <v>16389</v>
      </c>
      <c r="E7197" s="803">
        <v>30</v>
      </c>
      <c r="F7197" s="850">
        <v>0</v>
      </c>
      <c r="G7197" s="202" t="str">
        <f t="shared" si="111"/>
        <v/>
      </c>
    </row>
    <row r="7198" spans="1:7" s="172" customFormat="1" ht="15" customHeight="1" x14ac:dyDescent="0.25">
      <c r="A7198" s="803" t="s">
        <v>16390</v>
      </c>
      <c r="B7198" s="803" t="s">
        <v>16248</v>
      </c>
      <c r="C7198" s="803" t="s">
        <v>16248</v>
      </c>
      <c r="D7198" s="803" t="s">
        <v>16391</v>
      </c>
      <c r="E7198" s="803">
        <v>60</v>
      </c>
      <c r="F7198" s="850">
        <v>0</v>
      </c>
      <c r="G7198" s="202" t="str">
        <f t="shared" ref="G7198:G7261" si="112">IF(E7198=F7198,"не загружен","")</f>
        <v/>
      </c>
    </row>
    <row r="7199" spans="1:7" s="172" customFormat="1" ht="15" customHeight="1" x14ac:dyDescent="0.25">
      <c r="A7199" s="803" t="s">
        <v>16392</v>
      </c>
      <c r="B7199" s="803" t="s">
        <v>16248</v>
      </c>
      <c r="C7199" s="803" t="s">
        <v>16248</v>
      </c>
      <c r="D7199" s="803" t="s">
        <v>16393</v>
      </c>
      <c r="E7199" s="803">
        <v>60</v>
      </c>
      <c r="F7199" s="850">
        <v>0</v>
      </c>
      <c r="G7199" s="202" t="str">
        <f t="shared" si="112"/>
        <v/>
      </c>
    </row>
    <row r="7200" spans="1:7" s="172" customFormat="1" ht="15" customHeight="1" x14ac:dyDescent="0.25">
      <c r="A7200" s="803" t="s">
        <v>16394</v>
      </c>
      <c r="B7200" s="803" t="s">
        <v>16248</v>
      </c>
      <c r="C7200" s="803" t="s">
        <v>16248</v>
      </c>
      <c r="D7200" s="803" t="s">
        <v>16395</v>
      </c>
      <c r="E7200" s="803">
        <v>60</v>
      </c>
      <c r="F7200" s="850">
        <v>0</v>
      </c>
      <c r="G7200" s="202" t="str">
        <f t="shared" si="112"/>
        <v/>
      </c>
    </row>
    <row r="7201" spans="1:7" s="172" customFormat="1" ht="15" customHeight="1" x14ac:dyDescent="0.25">
      <c r="A7201" s="803" t="s">
        <v>13096</v>
      </c>
      <c r="B7201" s="803" t="s">
        <v>16248</v>
      </c>
      <c r="C7201" s="803" t="s">
        <v>16248</v>
      </c>
      <c r="D7201" s="803" t="s">
        <v>19168</v>
      </c>
      <c r="E7201" s="803">
        <v>100</v>
      </c>
      <c r="F7201" s="850">
        <v>50</v>
      </c>
      <c r="G7201" s="202" t="str">
        <f t="shared" si="112"/>
        <v/>
      </c>
    </row>
    <row r="7202" spans="1:7" s="172" customFormat="1" ht="15" customHeight="1" x14ac:dyDescent="0.25">
      <c r="A7202" s="803" t="s">
        <v>13096</v>
      </c>
      <c r="B7202" s="803" t="s">
        <v>16248</v>
      </c>
      <c r="C7202" s="803" t="s">
        <v>16248</v>
      </c>
      <c r="D7202" s="803" t="s">
        <v>4529</v>
      </c>
      <c r="E7202" s="803">
        <v>60</v>
      </c>
      <c r="F7202" s="850">
        <v>0</v>
      </c>
      <c r="G7202" s="202" t="str">
        <f t="shared" si="112"/>
        <v/>
      </c>
    </row>
    <row r="7203" spans="1:7" s="172" customFormat="1" ht="15" customHeight="1" x14ac:dyDescent="0.25">
      <c r="A7203" s="803" t="s">
        <v>16396</v>
      </c>
      <c r="B7203" s="803" t="s">
        <v>16248</v>
      </c>
      <c r="C7203" s="803" t="s">
        <v>16248</v>
      </c>
      <c r="D7203" s="803" t="s">
        <v>16397</v>
      </c>
      <c r="E7203" s="803">
        <v>100</v>
      </c>
      <c r="F7203" s="850">
        <v>19</v>
      </c>
      <c r="G7203" s="202" t="str">
        <f t="shared" si="112"/>
        <v/>
      </c>
    </row>
    <row r="7204" spans="1:7" s="172" customFormat="1" ht="15" customHeight="1" x14ac:dyDescent="0.25">
      <c r="A7204" s="803" t="s">
        <v>16392</v>
      </c>
      <c r="B7204" s="803" t="s">
        <v>16248</v>
      </c>
      <c r="C7204" s="803" t="s">
        <v>16248</v>
      </c>
      <c r="D7204" s="803" t="s">
        <v>16398</v>
      </c>
      <c r="E7204" s="803">
        <v>160</v>
      </c>
      <c r="F7204" s="850">
        <v>68</v>
      </c>
      <c r="G7204" s="202" t="str">
        <f t="shared" si="112"/>
        <v/>
      </c>
    </row>
    <row r="7205" spans="1:7" s="172" customFormat="1" ht="15" customHeight="1" x14ac:dyDescent="0.25">
      <c r="A7205" s="803" t="s">
        <v>16392</v>
      </c>
      <c r="B7205" s="803" t="s">
        <v>16248</v>
      </c>
      <c r="C7205" s="803" t="s">
        <v>16248</v>
      </c>
      <c r="D7205" s="803" t="s">
        <v>16399</v>
      </c>
      <c r="E7205" s="803">
        <v>160</v>
      </c>
      <c r="F7205" s="850">
        <v>0</v>
      </c>
      <c r="G7205" s="202" t="str">
        <f t="shared" si="112"/>
        <v/>
      </c>
    </row>
    <row r="7206" spans="1:7" s="172" customFormat="1" ht="15" customHeight="1" x14ac:dyDescent="0.25">
      <c r="A7206" s="803" t="s">
        <v>4814</v>
      </c>
      <c r="B7206" s="803" t="s">
        <v>16248</v>
      </c>
      <c r="C7206" s="803" t="s">
        <v>16248</v>
      </c>
      <c r="D7206" s="803" t="s">
        <v>13374</v>
      </c>
      <c r="E7206" s="803">
        <v>250</v>
      </c>
      <c r="F7206" s="850">
        <v>170</v>
      </c>
      <c r="G7206" s="202" t="str">
        <f t="shared" si="112"/>
        <v/>
      </c>
    </row>
    <row r="7207" spans="1:7" s="172" customFormat="1" ht="15" customHeight="1" x14ac:dyDescent="0.25">
      <c r="A7207" s="803" t="s">
        <v>16400</v>
      </c>
      <c r="B7207" s="803" t="s">
        <v>16248</v>
      </c>
      <c r="C7207" s="803" t="s">
        <v>16248</v>
      </c>
      <c r="D7207" s="803" t="s">
        <v>16401</v>
      </c>
      <c r="E7207" s="803">
        <v>250</v>
      </c>
      <c r="F7207" s="850">
        <v>121</v>
      </c>
      <c r="G7207" s="202" t="str">
        <f t="shared" si="112"/>
        <v/>
      </c>
    </row>
    <row r="7208" spans="1:7" s="172" customFormat="1" ht="15" customHeight="1" x14ac:dyDescent="0.25">
      <c r="A7208" s="803" t="s">
        <v>3462</v>
      </c>
      <c r="B7208" s="803" t="s">
        <v>16248</v>
      </c>
      <c r="C7208" s="803" t="s">
        <v>16248</v>
      </c>
      <c r="D7208" s="803" t="s">
        <v>16402</v>
      </c>
      <c r="E7208" s="803">
        <v>60</v>
      </c>
      <c r="F7208" s="850">
        <v>0</v>
      </c>
      <c r="G7208" s="202" t="str">
        <f t="shared" si="112"/>
        <v/>
      </c>
    </row>
    <row r="7209" spans="1:7" s="172" customFormat="1" ht="15" customHeight="1" x14ac:dyDescent="0.25">
      <c r="A7209" s="803" t="s">
        <v>16392</v>
      </c>
      <c r="B7209" s="803" t="s">
        <v>16248</v>
      </c>
      <c r="C7209" s="803" t="s">
        <v>16248</v>
      </c>
      <c r="D7209" s="803" t="s">
        <v>16403</v>
      </c>
      <c r="E7209" s="803">
        <v>60</v>
      </c>
      <c r="F7209" s="850">
        <v>0</v>
      </c>
      <c r="G7209" s="202" t="str">
        <f t="shared" si="112"/>
        <v/>
      </c>
    </row>
    <row r="7210" spans="1:7" s="172" customFormat="1" ht="15" customHeight="1" x14ac:dyDescent="0.25">
      <c r="A7210" s="803" t="s">
        <v>16392</v>
      </c>
      <c r="B7210" s="803" t="s">
        <v>16248</v>
      </c>
      <c r="C7210" s="803" t="s">
        <v>16248</v>
      </c>
      <c r="D7210" s="803" t="s">
        <v>16404</v>
      </c>
      <c r="E7210" s="803">
        <v>100</v>
      </c>
      <c r="F7210" s="850">
        <v>0</v>
      </c>
      <c r="G7210" s="202" t="str">
        <f t="shared" si="112"/>
        <v/>
      </c>
    </row>
    <row r="7211" spans="1:7" s="172" customFormat="1" ht="15" customHeight="1" x14ac:dyDescent="0.25">
      <c r="A7211" s="803" t="s">
        <v>8816</v>
      </c>
      <c r="B7211" s="803" t="s">
        <v>16248</v>
      </c>
      <c r="C7211" s="803" t="s">
        <v>16248</v>
      </c>
      <c r="D7211" s="803" t="s">
        <v>16405</v>
      </c>
      <c r="E7211" s="803">
        <v>100</v>
      </c>
      <c r="F7211" s="850">
        <v>27</v>
      </c>
      <c r="G7211" s="202" t="str">
        <f t="shared" si="112"/>
        <v/>
      </c>
    </row>
    <row r="7212" spans="1:7" s="172" customFormat="1" ht="15" customHeight="1" x14ac:dyDescent="0.25">
      <c r="A7212" s="803" t="s">
        <v>16406</v>
      </c>
      <c r="B7212" s="803" t="s">
        <v>16248</v>
      </c>
      <c r="C7212" s="803" t="s">
        <v>16248</v>
      </c>
      <c r="D7212" s="803" t="s">
        <v>16407</v>
      </c>
      <c r="E7212" s="803">
        <v>25</v>
      </c>
      <c r="F7212" s="850">
        <v>0</v>
      </c>
      <c r="G7212" s="202" t="str">
        <f t="shared" si="112"/>
        <v/>
      </c>
    </row>
    <row r="7213" spans="1:7" s="172" customFormat="1" ht="15" customHeight="1" x14ac:dyDescent="0.25">
      <c r="A7213" s="803" t="s">
        <v>16408</v>
      </c>
      <c r="B7213" s="803" t="s">
        <v>16248</v>
      </c>
      <c r="C7213" s="803" t="s">
        <v>16248</v>
      </c>
      <c r="D7213" s="803" t="s">
        <v>16409</v>
      </c>
      <c r="E7213" s="803">
        <v>60</v>
      </c>
      <c r="F7213" s="850">
        <v>0</v>
      </c>
      <c r="G7213" s="202" t="str">
        <f t="shared" si="112"/>
        <v/>
      </c>
    </row>
    <row r="7214" spans="1:7" s="172" customFormat="1" ht="15" customHeight="1" x14ac:dyDescent="0.25">
      <c r="A7214" s="803" t="s">
        <v>3940</v>
      </c>
      <c r="B7214" s="803" t="s">
        <v>16248</v>
      </c>
      <c r="C7214" s="803" t="s">
        <v>16248</v>
      </c>
      <c r="D7214" s="803" t="s">
        <v>16410</v>
      </c>
      <c r="E7214" s="803">
        <v>160</v>
      </c>
      <c r="F7214" s="850">
        <v>11</v>
      </c>
      <c r="G7214" s="202" t="str">
        <f t="shared" si="112"/>
        <v/>
      </c>
    </row>
    <row r="7215" spans="1:7" s="172" customFormat="1" ht="15" customHeight="1" x14ac:dyDescent="0.25">
      <c r="A7215" s="803" t="s">
        <v>3940</v>
      </c>
      <c r="B7215" s="803" t="s">
        <v>16248</v>
      </c>
      <c r="C7215" s="803" t="s">
        <v>16248</v>
      </c>
      <c r="D7215" s="803" t="s">
        <v>16411</v>
      </c>
      <c r="E7215" s="803">
        <v>100</v>
      </c>
      <c r="F7215" s="850">
        <v>100</v>
      </c>
      <c r="G7215" s="202" t="str">
        <f t="shared" si="112"/>
        <v>не загружен</v>
      </c>
    </row>
    <row r="7216" spans="1:7" s="172" customFormat="1" ht="15" customHeight="1" x14ac:dyDescent="0.25">
      <c r="A7216" s="803" t="s">
        <v>16412</v>
      </c>
      <c r="B7216" s="803" t="s">
        <v>16248</v>
      </c>
      <c r="C7216" s="803" t="s">
        <v>16248</v>
      </c>
      <c r="D7216" s="803" t="s">
        <v>16413</v>
      </c>
      <c r="E7216" s="803">
        <v>400</v>
      </c>
      <c r="F7216" s="850">
        <v>400</v>
      </c>
      <c r="G7216" s="202" t="str">
        <f t="shared" si="112"/>
        <v>не загружен</v>
      </c>
    </row>
    <row r="7217" spans="1:7" s="172" customFormat="1" ht="15" customHeight="1" x14ac:dyDescent="0.25">
      <c r="A7217" s="803" t="s">
        <v>16412</v>
      </c>
      <c r="B7217" s="803" t="s">
        <v>16248</v>
      </c>
      <c r="C7217" s="803" t="s">
        <v>16248</v>
      </c>
      <c r="D7217" s="803" t="s">
        <v>16414</v>
      </c>
      <c r="E7217" s="803">
        <v>100</v>
      </c>
      <c r="F7217" s="850">
        <v>82</v>
      </c>
      <c r="G7217" s="202" t="str">
        <f t="shared" si="112"/>
        <v/>
      </c>
    </row>
    <row r="7218" spans="1:7" s="172" customFormat="1" ht="15" customHeight="1" x14ac:dyDescent="0.25">
      <c r="A7218" s="803" t="s">
        <v>16412</v>
      </c>
      <c r="B7218" s="803" t="s">
        <v>16248</v>
      </c>
      <c r="C7218" s="803" t="s">
        <v>16248</v>
      </c>
      <c r="D7218" s="803" t="s">
        <v>16415</v>
      </c>
      <c r="E7218" s="803">
        <v>100</v>
      </c>
      <c r="F7218" s="850">
        <v>0</v>
      </c>
      <c r="G7218" s="202" t="str">
        <f t="shared" si="112"/>
        <v/>
      </c>
    </row>
    <row r="7219" spans="1:7" s="172" customFormat="1" ht="15" customHeight="1" x14ac:dyDescent="0.25">
      <c r="A7219" s="803" t="s">
        <v>16412</v>
      </c>
      <c r="B7219" s="803" t="s">
        <v>16248</v>
      </c>
      <c r="C7219" s="803" t="s">
        <v>16248</v>
      </c>
      <c r="D7219" s="803" t="s">
        <v>16416</v>
      </c>
      <c r="E7219" s="803">
        <v>100</v>
      </c>
      <c r="F7219" s="850">
        <v>82</v>
      </c>
      <c r="G7219" s="202" t="str">
        <f t="shared" si="112"/>
        <v/>
      </c>
    </row>
    <row r="7220" spans="1:7" s="172" customFormat="1" ht="15" customHeight="1" x14ac:dyDescent="0.25">
      <c r="A7220" s="803" t="s">
        <v>16412</v>
      </c>
      <c r="B7220" s="803" t="s">
        <v>16248</v>
      </c>
      <c r="C7220" s="803" t="s">
        <v>16248</v>
      </c>
      <c r="D7220" s="803" t="s">
        <v>16417</v>
      </c>
      <c r="E7220" s="803">
        <v>160</v>
      </c>
      <c r="F7220" s="850">
        <v>137</v>
      </c>
      <c r="G7220" s="202" t="str">
        <f t="shared" si="112"/>
        <v/>
      </c>
    </row>
    <row r="7221" spans="1:7" s="172" customFormat="1" ht="15" customHeight="1" x14ac:dyDescent="0.25">
      <c r="A7221" s="803" t="s">
        <v>16412</v>
      </c>
      <c r="B7221" s="803" t="s">
        <v>16248</v>
      </c>
      <c r="C7221" s="803" t="s">
        <v>16248</v>
      </c>
      <c r="D7221" s="803" t="s">
        <v>16418</v>
      </c>
      <c r="E7221" s="803">
        <v>250</v>
      </c>
      <c r="F7221" s="850">
        <v>24</v>
      </c>
      <c r="G7221" s="202" t="str">
        <f t="shared" si="112"/>
        <v/>
      </c>
    </row>
    <row r="7222" spans="1:7" s="172" customFormat="1" ht="15" customHeight="1" x14ac:dyDescent="0.25">
      <c r="A7222" s="803" t="s">
        <v>13209</v>
      </c>
      <c r="B7222" s="803" t="s">
        <v>16248</v>
      </c>
      <c r="C7222" s="803" t="s">
        <v>16248</v>
      </c>
      <c r="D7222" s="803" t="s">
        <v>16419</v>
      </c>
      <c r="E7222" s="803">
        <v>60</v>
      </c>
      <c r="F7222" s="850">
        <v>14</v>
      </c>
      <c r="G7222" s="202" t="str">
        <f t="shared" si="112"/>
        <v/>
      </c>
    </row>
    <row r="7223" spans="1:7" s="172" customFormat="1" ht="15" customHeight="1" x14ac:dyDescent="0.25">
      <c r="A7223" s="803" t="s">
        <v>16420</v>
      </c>
      <c r="B7223" s="803" t="s">
        <v>16248</v>
      </c>
      <c r="C7223" s="803" t="s">
        <v>16248</v>
      </c>
      <c r="D7223" s="803" t="s">
        <v>16421</v>
      </c>
      <c r="E7223" s="803">
        <v>30</v>
      </c>
      <c r="F7223" s="850">
        <v>27</v>
      </c>
      <c r="G7223" s="202" t="str">
        <f t="shared" si="112"/>
        <v/>
      </c>
    </row>
    <row r="7224" spans="1:7" s="172" customFormat="1" ht="15" customHeight="1" x14ac:dyDescent="0.25">
      <c r="A7224" s="803" t="s">
        <v>16422</v>
      </c>
      <c r="B7224" s="803" t="s">
        <v>16248</v>
      </c>
      <c r="C7224" s="803" t="s">
        <v>16248</v>
      </c>
      <c r="D7224" s="803" t="s">
        <v>16423</v>
      </c>
      <c r="E7224" s="803">
        <v>160</v>
      </c>
      <c r="F7224" s="850">
        <v>74</v>
      </c>
      <c r="G7224" s="202" t="str">
        <f t="shared" si="112"/>
        <v/>
      </c>
    </row>
    <row r="7225" spans="1:7" s="172" customFormat="1" ht="15" customHeight="1" x14ac:dyDescent="0.25">
      <c r="A7225" s="803" t="s">
        <v>16412</v>
      </c>
      <c r="B7225" s="803" t="s">
        <v>16248</v>
      </c>
      <c r="C7225" s="803" t="s">
        <v>16248</v>
      </c>
      <c r="D7225" s="803" t="s">
        <v>16424</v>
      </c>
      <c r="E7225" s="803">
        <v>160</v>
      </c>
      <c r="F7225" s="850">
        <v>102</v>
      </c>
      <c r="G7225" s="202" t="str">
        <f t="shared" si="112"/>
        <v/>
      </c>
    </row>
    <row r="7226" spans="1:7" s="172" customFormat="1" ht="15" customHeight="1" x14ac:dyDescent="0.25">
      <c r="A7226" s="803" t="s">
        <v>16425</v>
      </c>
      <c r="B7226" s="803" t="s">
        <v>16248</v>
      </c>
      <c r="C7226" s="803" t="s">
        <v>16248</v>
      </c>
      <c r="D7226" s="803" t="s">
        <v>16426</v>
      </c>
      <c r="E7226" s="803">
        <v>60</v>
      </c>
      <c r="F7226" s="850">
        <v>0</v>
      </c>
      <c r="G7226" s="202" t="str">
        <f t="shared" si="112"/>
        <v/>
      </c>
    </row>
    <row r="7227" spans="1:7" s="172" customFormat="1" ht="15" customHeight="1" x14ac:dyDescent="0.25">
      <c r="A7227" s="803" t="s">
        <v>16427</v>
      </c>
      <c r="B7227" s="803" t="s">
        <v>16248</v>
      </c>
      <c r="C7227" s="803" t="s">
        <v>16248</v>
      </c>
      <c r="D7227" s="803" t="s">
        <v>16428</v>
      </c>
      <c r="E7227" s="803">
        <v>400</v>
      </c>
      <c r="F7227" s="850">
        <v>361</v>
      </c>
      <c r="G7227" s="202" t="str">
        <f t="shared" si="112"/>
        <v/>
      </c>
    </row>
    <row r="7228" spans="1:7" s="172" customFormat="1" ht="15" customHeight="1" x14ac:dyDescent="0.25">
      <c r="A7228" s="803" t="s">
        <v>16429</v>
      </c>
      <c r="B7228" s="803" t="s">
        <v>16248</v>
      </c>
      <c r="C7228" s="803" t="s">
        <v>16248</v>
      </c>
      <c r="D7228" s="803" t="s">
        <v>16430</v>
      </c>
      <c r="E7228" s="803">
        <v>100</v>
      </c>
      <c r="F7228" s="850">
        <v>0</v>
      </c>
      <c r="G7228" s="202" t="str">
        <f t="shared" si="112"/>
        <v/>
      </c>
    </row>
    <row r="7229" spans="1:7" s="172" customFormat="1" ht="15" customHeight="1" x14ac:dyDescent="0.25">
      <c r="A7229" s="803" t="s">
        <v>16431</v>
      </c>
      <c r="B7229" s="803" t="s">
        <v>16248</v>
      </c>
      <c r="C7229" s="803" t="s">
        <v>16248</v>
      </c>
      <c r="D7229" s="803" t="s">
        <v>16432</v>
      </c>
      <c r="E7229" s="803">
        <v>25</v>
      </c>
      <c r="F7229" s="850">
        <v>0</v>
      </c>
      <c r="G7229" s="202" t="str">
        <f t="shared" si="112"/>
        <v/>
      </c>
    </row>
    <row r="7230" spans="1:7" s="172" customFormat="1" ht="15" customHeight="1" x14ac:dyDescent="0.25">
      <c r="A7230" s="803" t="s">
        <v>5120</v>
      </c>
      <c r="B7230" s="803" t="s">
        <v>16248</v>
      </c>
      <c r="C7230" s="803" t="s">
        <v>16248</v>
      </c>
      <c r="D7230" s="803" t="s">
        <v>16433</v>
      </c>
      <c r="E7230" s="803">
        <v>30</v>
      </c>
      <c r="F7230" s="850">
        <v>0</v>
      </c>
      <c r="G7230" s="202" t="str">
        <f t="shared" si="112"/>
        <v/>
      </c>
    </row>
    <row r="7231" spans="1:7" s="172" customFormat="1" ht="15" customHeight="1" x14ac:dyDescent="0.25">
      <c r="A7231" s="803" t="s">
        <v>16434</v>
      </c>
      <c r="B7231" s="803" t="s">
        <v>16248</v>
      </c>
      <c r="C7231" s="803" t="s">
        <v>16248</v>
      </c>
      <c r="D7231" s="803" t="s">
        <v>16435</v>
      </c>
      <c r="E7231" s="803">
        <v>160</v>
      </c>
      <c r="F7231" s="850">
        <v>160</v>
      </c>
      <c r="G7231" s="202" t="str">
        <f t="shared" si="112"/>
        <v>не загружен</v>
      </c>
    </row>
    <row r="7232" spans="1:7" s="172" customFormat="1" ht="15" customHeight="1" x14ac:dyDescent="0.25">
      <c r="A7232" s="803" t="s">
        <v>16436</v>
      </c>
      <c r="B7232" s="803" t="s">
        <v>16248</v>
      </c>
      <c r="C7232" s="803" t="s">
        <v>16248</v>
      </c>
      <c r="D7232" s="803" t="s">
        <v>16437</v>
      </c>
      <c r="E7232" s="803">
        <v>63</v>
      </c>
      <c r="F7232" s="850">
        <v>0</v>
      </c>
      <c r="G7232" s="202" t="str">
        <f t="shared" si="112"/>
        <v/>
      </c>
    </row>
    <row r="7233" spans="1:7" s="172" customFormat="1" ht="15" customHeight="1" x14ac:dyDescent="0.25">
      <c r="A7233" s="803" t="s">
        <v>16438</v>
      </c>
      <c r="B7233" s="803" t="s">
        <v>16248</v>
      </c>
      <c r="C7233" s="803" t="s">
        <v>16248</v>
      </c>
      <c r="D7233" s="803" t="s">
        <v>16439</v>
      </c>
      <c r="E7233" s="803">
        <v>250</v>
      </c>
      <c r="F7233" s="850">
        <v>63</v>
      </c>
      <c r="G7233" s="202" t="str">
        <f t="shared" si="112"/>
        <v/>
      </c>
    </row>
    <row r="7234" spans="1:7" s="172" customFormat="1" ht="15" customHeight="1" x14ac:dyDescent="0.25">
      <c r="A7234" s="803" t="s">
        <v>16438</v>
      </c>
      <c r="B7234" s="803" t="s">
        <v>16248</v>
      </c>
      <c r="C7234" s="803" t="s">
        <v>16248</v>
      </c>
      <c r="D7234" s="803" t="s">
        <v>16440</v>
      </c>
      <c r="E7234" s="803">
        <v>100</v>
      </c>
      <c r="F7234" s="850">
        <v>100</v>
      </c>
      <c r="G7234" s="202" t="str">
        <f t="shared" si="112"/>
        <v>не загружен</v>
      </c>
    </row>
    <row r="7235" spans="1:7" s="172" customFormat="1" ht="15" customHeight="1" x14ac:dyDescent="0.25">
      <c r="A7235" s="803" t="s">
        <v>16438</v>
      </c>
      <c r="B7235" s="803" t="s">
        <v>16248</v>
      </c>
      <c r="C7235" s="803" t="s">
        <v>16248</v>
      </c>
      <c r="D7235" s="803" t="s">
        <v>16441</v>
      </c>
      <c r="E7235" s="803">
        <v>160</v>
      </c>
      <c r="F7235" s="850">
        <v>81</v>
      </c>
      <c r="G7235" s="202" t="str">
        <f t="shared" si="112"/>
        <v/>
      </c>
    </row>
    <row r="7236" spans="1:7" s="172" customFormat="1" ht="15" customHeight="1" x14ac:dyDescent="0.25">
      <c r="A7236" s="803" t="s">
        <v>16442</v>
      </c>
      <c r="B7236" s="803" t="s">
        <v>16248</v>
      </c>
      <c r="C7236" s="803" t="s">
        <v>16248</v>
      </c>
      <c r="D7236" s="803" t="s">
        <v>16443</v>
      </c>
      <c r="E7236" s="803">
        <v>30</v>
      </c>
      <c r="F7236" s="850">
        <v>0</v>
      </c>
      <c r="G7236" s="202" t="str">
        <f t="shared" si="112"/>
        <v/>
      </c>
    </row>
    <row r="7237" spans="1:7" s="172" customFormat="1" ht="15" customHeight="1" x14ac:dyDescent="0.25">
      <c r="A7237" s="803" t="s">
        <v>16444</v>
      </c>
      <c r="B7237" s="803" t="s">
        <v>16248</v>
      </c>
      <c r="C7237" s="803" t="s">
        <v>16248</v>
      </c>
      <c r="D7237" s="803" t="s">
        <v>16445</v>
      </c>
      <c r="E7237" s="803">
        <v>63</v>
      </c>
      <c r="F7237" s="850">
        <v>0</v>
      </c>
      <c r="G7237" s="202" t="str">
        <f t="shared" si="112"/>
        <v/>
      </c>
    </row>
    <row r="7238" spans="1:7" s="172" customFormat="1" ht="15" customHeight="1" x14ac:dyDescent="0.25">
      <c r="A7238" s="803" t="s">
        <v>16446</v>
      </c>
      <c r="B7238" s="803" t="s">
        <v>16248</v>
      </c>
      <c r="C7238" s="803" t="s">
        <v>16248</v>
      </c>
      <c r="D7238" s="803" t="s">
        <v>16447</v>
      </c>
      <c r="E7238" s="803">
        <v>30</v>
      </c>
      <c r="F7238" s="850">
        <v>27</v>
      </c>
      <c r="G7238" s="202" t="str">
        <f t="shared" si="112"/>
        <v/>
      </c>
    </row>
    <row r="7239" spans="1:7" s="172" customFormat="1" ht="15" customHeight="1" x14ac:dyDescent="0.25">
      <c r="A7239" s="803" t="s">
        <v>16448</v>
      </c>
      <c r="B7239" s="803" t="s">
        <v>16248</v>
      </c>
      <c r="C7239" s="803" t="s">
        <v>16248</v>
      </c>
      <c r="D7239" s="803" t="s">
        <v>16449</v>
      </c>
      <c r="E7239" s="803">
        <v>25</v>
      </c>
      <c r="F7239" s="850">
        <v>0</v>
      </c>
      <c r="G7239" s="202" t="str">
        <f t="shared" si="112"/>
        <v/>
      </c>
    </row>
    <row r="7240" spans="1:7" s="172" customFormat="1" ht="15" customHeight="1" x14ac:dyDescent="0.25">
      <c r="A7240" s="803" t="s">
        <v>13958</v>
      </c>
      <c r="B7240" s="803" t="s">
        <v>16248</v>
      </c>
      <c r="C7240" s="803" t="s">
        <v>16248</v>
      </c>
      <c r="D7240" s="803" t="s">
        <v>16450</v>
      </c>
      <c r="E7240" s="803">
        <v>100</v>
      </c>
      <c r="F7240" s="850">
        <v>52</v>
      </c>
      <c r="G7240" s="202" t="str">
        <f t="shared" si="112"/>
        <v/>
      </c>
    </row>
    <row r="7241" spans="1:7" s="172" customFormat="1" ht="15" customHeight="1" x14ac:dyDescent="0.25">
      <c r="A7241" s="803" t="s">
        <v>16250</v>
      </c>
      <c r="B7241" s="803" t="s">
        <v>16248</v>
      </c>
      <c r="C7241" s="803" t="s">
        <v>16248</v>
      </c>
      <c r="D7241" s="803" t="s">
        <v>16451</v>
      </c>
      <c r="E7241" s="803">
        <v>250</v>
      </c>
      <c r="F7241" s="850">
        <v>58</v>
      </c>
      <c r="G7241" s="202" t="str">
        <f t="shared" si="112"/>
        <v/>
      </c>
    </row>
    <row r="7242" spans="1:7" s="172" customFormat="1" ht="15" customHeight="1" x14ac:dyDescent="0.25">
      <c r="A7242" s="803" t="s">
        <v>16250</v>
      </c>
      <c r="B7242" s="803" t="s">
        <v>16248</v>
      </c>
      <c r="C7242" s="803" t="s">
        <v>16248</v>
      </c>
      <c r="D7242" s="803" t="s">
        <v>16452</v>
      </c>
      <c r="E7242" s="803">
        <v>160</v>
      </c>
      <c r="F7242" s="850">
        <v>131</v>
      </c>
      <c r="G7242" s="202" t="str">
        <f t="shared" si="112"/>
        <v/>
      </c>
    </row>
    <row r="7243" spans="1:7" s="172" customFormat="1" ht="15" customHeight="1" x14ac:dyDescent="0.25">
      <c r="A7243" s="803" t="s">
        <v>16453</v>
      </c>
      <c r="B7243" s="803" t="s">
        <v>16248</v>
      </c>
      <c r="C7243" s="803" t="s">
        <v>16248</v>
      </c>
      <c r="D7243" s="803" t="s">
        <v>16453</v>
      </c>
      <c r="E7243" s="803">
        <v>250</v>
      </c>
      <c r="F7243" s="850">
        <v>111</v>
      </c>
      <c r="G7243" s="202" t="str">
        <f t="shared" si="112"/>
        <v/>
      </c>
    </row>
    <row r="7244" spans="1:7" s="172" customFormat="1" ht="15" customHeight="1" x14ac:dyDescent="0.25">
      <c r="A7244" s="803" t="s">
        <v>16454</v>
      </c>
      <c r="B7244" s="803" t="s">
        <v>16248</v>
      </c>
      <c r="C7244" s="803" t="s">
        <v>16248</v>
      </c>
      <c r="D7244" s="803" t="s">
        <v>16454</v>
      </c>
      <c r="E7244" s="803">
        <v>100</v>
      </c>
      <c r="F7244" s="850">
        <v>0</v>
      </c>
      <c r="G7244" s="202" t="str">
        <f t="shared" si="112"/>
        <v/>
      </c>
    </row>
    <row r="7245" spans="1:7" s="172" customFormat="1" ht="15" customHeight="1" x14ac:dyDescent="0.25">
      <c r="A7245" s="803" t="s">
        <v>16455</v>
      </c>
      <c r="B7245" s="803" t="s">
        <v>16248</v>
      </c>
      <c r="C7245" s="803" t="s">
        <v>16248</v>
      </c>
      <c r="D7245" s="803" t="s">
        <v>16455</v>
      </c>
      <c r="E7245" s="803">
        <v>160</v>
      </c>
      <c r="F7245" s="850">
        <v>127</v>
      </c>
      <c r="G7245" s="202" t="str">
        <f t="shared" si="112"/>
        <v/>
      </c>
    </row>
    <row r="7246" spans="1:7" s="172" customFormat="1" ht="15" customHeight="1" x14ac:dyDescent="0.25">
      <c r="A7246" s="803" t="s">
        <v>16456</v>
      </c>
      <c r="B7246" s="803" t="s">
        <v>16248</v>
      </c>
      <c r="C7246" s="803" t="s">
        <v>16248</v>
      </c>
      <c r="D7246" s="803" t="s">
        <v>16456</v>
      </c>
      <c r="E7246" s="803">
        <v>160</v>
      </c>
      <c r="F7246" s="850">
        <v>42</v>
      </c>
      <c r="G7246" s="202" t="str">
        <f t="shared" si="112"/>
        <v/>
      </c>
    </row>
    <row r="7247" spans="1:7" s="172" customFormat="1" ht="15" customHeight="1" x14ac:dyDescent="0.25">
      <c r="A7247" s="803" t="s">
        <v>16457</v>
      </c>
      <c r="B7247" s="803" t="s">
        <v>16248</v>
      </c>
      <c r="C7247" s="803" t="s">
        <v>16248</v>
      </c>
      <c r="D7247" s="803" t="s">
        <v>16457</v>
      </c>
      <c r="E7247" s="803">
        <v>60</v>
      </c>
      <c r="F7247" s="850">
        <v>0</v>
      </c>
      <c r="G7247" s="202" t="str">
        <f t="shared" si="112"/>
        <v/>
      </c>
    </row>
    <row r="7248" spans="1:7" s="172" customFormat="1" ht="15" customHeight="1" x14ac:dyDescent="0.25">
      <c r="A7248" s="803" t="s">
        <v>16250</v>
      </c>
      <c r="B7248" s="803" t="s">
        <v>16248</v>
      </c>
      <c r="C7248" s="803" t="s">
        <v>16248</v>
      </c>
      <c r="D7248" s="803" t="s">
        <v>16458</v>
      </c>
      <c r="E7248" s="803">
        <v>630</v>
      </c>
      <c r="F7248" s="850">
        <v>620</v>
      </c>
      <c r="G7248" s="202" t="str">
        <f t="shared" si="112"/>
        <v/>
      </c>
    </row>
    <row r="7249" spans="1:7" s="172" customFormat="1" ht="15" customHeight="1" x14ac:dyDescent="0.25">
      <c r="A7249" s="803" t="s">
        <v>16250</v>
      </c>
      <c r="B7249" s="803" t="s">
        <v>16248</v>
      </c>
      <c r="C7249" s="803" t="s">
        <v>16248</v>
      </c>
      <c r="D7249" s="803" t="s">
        <v>19169</v>
      </c>
      <c r="E7249" s="803">
        <v>25</v>
      </c>
      <c r="F7249" s="850">
        <v>0</v>
      </c>
      <c r="G7249" s="202" t="str">
        <f t="shared" si="112"/>
        <v/>
      </c>
    </row>
    <row r="7250" spans="1:7" s="172" customFormat="1" ht="15" customHeight="1" x14ac:dyDescent="0.25">
      <c r="A7250" s="803" t="s">
        <v>16250</v>
      </c>
      <c r="B7250" s="803" t="s">
        <v>16248</v>
      </c>
      <c r="C7250" s="803" t="s">
        <v>16248</v>
      </c>
      <c r="D7250" s="803" t="s">
        <v>16460</v>
      </c>
      <c r="E7250" s="803">
        <v>250</v>
      </c>
      <c r="F7250" s="850">
        <v>0</v>
      </c>
      <c r="G7250" s="202" t="str">
        <f t="shared" si="112"/>
        <v/>
      </c>
    </row>
    <row r="7251" spans="1:7" s="172" customFormat="1" ht="15" customHeight="1" x14ac:dyDescent="0.25">
      <c r="A7251" s="803" t="s">
        <v>16250</v>
      </c>
      <c r="B7251" s="803" t="s">
        <v>16248</v>
      </c>
      <c r="C7251" s="803" t="s">
        <v>16248</v>
      </c>
      <c r="D7251" s="803" t="s">
        <v>16461</v>
      </c>
      <c r="E7251" s="803">
        <v>160</v>
      </c>
      <c r="F7251" s="850">
        <v>0</v>
      </c>
      <c r="G7251" s="202" t="str">
        <f t="shared" si="112"/>
        <v/>
      </c>
    </row>
    <row r="7252" spans="1:7" s="172" customFormat="1" ht="15" customHeight="1" x14ac:dyDescent="0.25">
      <c r="A7252" s="803" t="s">
        <v>16250</v>
      </c>
      <c r="B7252" s="803" t="s">
        <v>16248</v>
      </c>
      <c r="C7252" s="803" t="s">
        <v>16248</v>
      </c>
      <c r="D7252" s="803" t="s">
        <v>16462</v>
      </c>
      <c r="E7252" s="803">
        <v>250</v>
      </c>
      <c r="F7252" s="850">
        <v>93</v>
      </c>
      <c r="G7252" s="202" t="str">
        <f t="shared" si="112"/>
        <v/>
      </c>
    </row>
    <row r="7253" spans="1:7" s="172" customFormat="1" ht="15" customHeight="1" x14ac:dyDescent="0.25">
      <c r="A7253" s="803" t="s">
        <v>16463</v>
      </c>
      <c r="B7253" s="803" t="s">
        <v>16248</v>
      </c>
      <c r="C7253" s="803" t="s">
        <v>16248</v>
      </c>
      <c r="D7253" s="803" t="s">
        <v>16463</v>
      </c>
      <c r="E7253" s="803">
        <v>160</v>
      </c>
      <c r="F7253" s="850">
        <v>160</v>
      </c>
      <c r="G7253" s="202" t="str">
        <f t="shared" si="112"/>
        <v>не загружен</v>
      </c>
    </row>
    <row r="7254" spans="1:7" s="172" customFormat="1" ht="15" customHeight="1" x14ac:dyDescent="0.25">
      <c r="A7254" s="803" t="s">
        <v>16250</v>
      </c>
      <c r="B7254" s="803" t="s">
        <v>16248</v>
      </c>
      <c r="C7254" s="803" t="s">
        <v>16248</v>
      </c>
      <c r="D7254" s="803" t="s">
        <v>16464</v>
      </c>
      <c r="E7254" s="803">
        <v>100</v>
      </c>
      <c r="F7254" s="850">
        <v>47</v>
      </c>
      <c r="G7254" s="202" t="str">
        <f t="shared" si="112"/>
        <v/>
      </c>
    </row>
    <row r="7255" spans="1:7" s="172" customFormat="1" ht="15" customHeight="1" x14ac:dyDescent="0.25">
      <c r="A7255" s="803" t="s">
        <v>16250</v>
      </c>
      <c r="B7255" s="803" t="s">
        <v>16248</v>
      </c>
      <c r="C7255" s="803" t="s">
        <v>16248</v>
      </c>
      <c r="D7255" s="803" t="s">
        <v>16465</v>
      </c>
      <c r="E7255" s="803">
        <v>250</v>
      </c>
      <c r="F7255" s="850">
        <v>0</v>
      </c>
      <c r="G7255" s="202" t="str">
        <f t="shared" si="112"/>
        <v/>
      </c>
    </row>
    <row r="7256" spans="1:7" s="172" customFormat="1" ht="15" customHeight="1" x14ac:dyDescent="0.25">
      <c r="A7256" s="803" t="s">
        <v>16250</v>
      </c>
      <c r="B7256" s="803" t="s">
        <v>16248</v>
      </c>
      <c r="C7256" s="803" t="s">
        <v>16248</v>
      </c>
      <c r="D7256" s="803" t="s">
        <v>16459</v>
      </c>
      <c r="E7256" s="803">
        <v>160</v>
      </c>
      <c r="F7256" s="850">
        <v>57</v>
      </c>
      <c r="G7256" s="202" t="str">
        <f t="shared" si="112"/>
        <v/>
      </c>
    </row>
    <row r="7257" spans="1:7" s="172" customFormat="1" ht="15" customHeight="1" x14ac:dyDescent="0.25">
      <c r="A7257" s="803" t="s">
        <v>16250</v>
      </c>
      <c r="B7257" s="803" t="s">
        <v>16248</v>
      </c>
      <c r="C7257" s="803" t="s">
        <v>16248</v>
      </c>
      <c r="D7257" s="803" t="s">
        <v>16466</v>
      </c>
      <c r="E7257" s="803">
        <v>400</v>
      </c>
      <c r="F7257" s="850">
        <v>0</v>
      </c>
      <c r="G7257" s="202" t="str">
        <f t="shared" si="112"/>
        <v/>
      </c>
    </row>
    <row r="7258" spans="1:7" s="172" customFormat="1" ht="15" customHeight="1" x14ac:dyDescent="0.25">
      <c r="A7258" s="803" t="s">
        <v>16250</v>
      </c>
      <c r="B7258" s="803" t="s">
        <v>16248</v>
      </c>
      <c r="C7258" s="803" t="s">
        <v>16248</v>
      </c>
      <c r="D7258" s="803" t="s">
        <v>16467</v>
      </c>
      <c r="E7258" s="803">
        <v>30</v>
      </c>
      <c r="F7258" s="850">
        <v>11</v>
      </c>
      <c r="G7258" s="202" t="str">
        <f t="shared" si="112"/>
        <v/>
      </c>
    </row>
    <row r="7259" spans="1:7" s="172" customFormat="1" ht="15" customHeight="1" x14ac:dyDescent="0.25">
      <c r="A7259" s="803" t="s">
        <v>16250</v>
      </c>
      <c r="B7259" s="803" t="s">
        <v>16248</v>
      </c>
      <c r="C7259" s="803" t="s">
        <v>16248</v>
      </c>
      <c r="D7259" s="803" t="s">
        <v>16468</v>
      </c>
      <c r="E7259" s="803">
        <v>160</v>
      </c>
      <c r="F7259" s="850">
        <v>0</v>
      </c>
      <c r="G7259" s="202" t="str">
        <f t="shared" si="112"/>
        <v/>
      </c>
    </row>
    <row r="7260" spans="1:7" s="172" customFormat="1" ht="15" customHeight="1" x14ac:dyDescent="0.25">
      <c r="A7260" s="803" t="s">
        <v>16250</v>
      </c>
      <c r="B7260" s="803" t="s">
        <v>16248</v>
      </c>
      <c r="C7260" s="803" t="s">
        <v>16248</v>
      </c>
      <c r="D7260" s="803" t="s">
        <v>16469</v>
      </c>
      <c r="E7260" s="803">
        <v>630</v>
      </c>
      <c r="F7260" s="850">
        <v>271</v>
      </c>
      <c r="G7260" s="202" t="str">
        <f t="shared" si="112"/>
        <v/>
      </c>
    </row>
    <row r="7261" spans="1:7" s="172" customFormat="1" ht="15" customHeight="1" x14ac:dyDescent="0.25">
      <c r="A7261" s="803"/>
      <c r="B7261" s="803" t="s">
        <v>16248</v>
      </c>
      <c r="C7261" s="803" t="s">
        <v>16248</v>
      </c>
      <c r="D7261" s="803"/>
      <c r="E7261" s="803">
        <v>250</v>
      </c>
      <c r="F7261" s="850">
        <v>68</v>
      </c>
      <c r="G7261" s="202" t="str">
        <f t="shared" si="112"/>
        <v/>
      </c>
    </row>
    <row r="7262" spans="1:7" s="172" customFormat="1" ht="15" customHeight="1" x14ac:dyDescent="0.25">
      <c r="A7262" s="803" t="s">
        <v>16250</v>
      </c>
      <c r="B7262" s="803" t="s">
        <v>16248</v>
      </c>
      <c r="C7262" s="803" t="s">
        <v>16248</v>
      </c>
      <c r="D7262" s="803" t="s">
        <v>16470</v>
      </c>
      <c r="E7262" s="803">
        <v>63</v>
      </c>
      <c r="F7262" s="850">
        <v>0</v>
      </c>
      <c r="G7262" s="202" t="str">
        <f t="shared" ref="G7262:G7325" si="113">IF(E7262=F7262,"не загружен","")</f>
        <v/>
      </c>
    </row>
    <row r="7263" spans="1:7" s="172" customFormat="1" ht="15" customHeight="1" x14ac:dyDescent="0.25">
      <c r="A7263" s="803" t="s">
        <v>16250</v>
      </c>
      <c r="B7263" s="803" t="s">
        <v>16248</v>
      </c>
      <c r="C7263" s="803" t="s">
        <v>16248</v>
      </c>
      <c r="D7263" s="803" t="s">
        <v>16471</v>
      </c>
      <c r="E7263" s="803">
        <v>160</v>
      </c>
      <c r="F7263" s="850">
        <v>0</v>
      </c>
      <c r="G7263" s="202" t="str">
        <f t="shared" si="113"/>
        <v/>
      </c>
    </row>
    <row r="7264" spans="1:7" s="172" customFormat="1" ht="15" customHeight="1" x14ac:dyDescent="0.25">
      <c r="A7264" s="803" t="s">
        <v>16250</v>
      </c>
      <c r="B7264" s="803" t="s">
        <v>16248</v>
      </c>
      <c r="C7264" s="803" t="s">
        <v>16248</v>
      </c>
      <c r="D7264" s="803" t="s">
        <v>16472</v>
      </c>
      <c r="E7264" s="803">
        <v>160</v>
      </c>
      <c r="F7264" s="850">
        <v>0</v>
      </c>
      <c r="G7264" s="202" t="str">
        <f t="shared" si="113"/>
        <v/>
      </c>
    </row>
    <row r="7265" spans="1:7" s="172" customFormat="1" ht="15" customHeight="1" x14ac:dyDescent="0.25">
      <c r="A7265" s="803" t="s">
        <v>16250</v>
      </c>
      <c r="B7265" s="803" t="s">
        <v>16248</v>
      </c>
      <c r="C7265" s="803" t="s">
        <v>16248</v>
      </c>
      <c r="D7265" s="803" t="s">
        <v>16473</v>
      </c>
      <c r="E7265" s="803">
        <v>250</v>
      </c>
      <c r="F7265" s="850">
        <v>0</v>
      </c>
      <c r="G7265" s="202" t="str">
        <f t="shared" si="113"/>
        <v/>
      </c>
    </row>
    <row r="7266" spans="1:7" s="172" customFormat="1" ht="15" customHeight="1" x14ac:dyDescent="0.25">
      <c r="A7266" s="803" t="s">
        <v>2922</v>
      </c>
      <c r="B7266" s="803" t="s">
        <v>16248</v>
      </c>
      <c r="C7266" s="803" t="s">
        <v>16248</v>
      </c>
      <c r="D7266" s="803" t="s">
        <v>5165</v>
      </c>
      <c r="E7266" s="803">
        <v>63</v>
      </c>
      <c r="F7266" s="850">
        <v>0</v>
      </c>
      <c r="G7266" s="202" t="str">
        <f t="shared" si="113"/>
        <v/>
      </c>
    </row>
    <row r="7267" spans="1:7" s="172" customFormat="1" ht="15" customHeight="1" x14ac:dyDescent="0.25">
      <c r="A7267" s="803" t="s">
        <v>16474</v>
      </c>
      <c r="B7267" s="803" t="s">
        <v>16248</v>
      </c>
      <c r="C7267" s="803" t="s">
        <v>16248</v>
      </c>
      <c r="D7267" s="803" t="s">
        <v>16475</v>
      </c>
      <c r="E7267" s="803">
        <v>63</v>
      </c>
      <c r="F7267" s="850">
        <v>0</v>
      </c>
      <c r="G7267" s="202" t="str">
        <f t="shared" si="113"/>
        <v/>
      </c>
    </row>
    <row r="7268" spans="1:7" s="172" customFormat="1" ht="15" customHeight="1" x14ac:dyDescent="0.25">
      <c r="A7268" s="803" t="s">
        <v>16476</v>
      </c>
      <c r="B7268" s="803" t="s">
        <v>16248</v>
      </c>
      <c r="C7268" s="803" t="s">
        <v>16248</v>
      </c>
      <c r="D7268" s="803" t="s">
        <v>16477</v>
      </c>
      <c r="E7268" s="803">
        <v>100</v>
      </c>
      <c r="F7268" s="850">
        <v>69</v>
      </c>
      <c r="G7268" s="202" t="str">
        <f t="shared" si="113"/>
        <v/>
      </c>
    </row>
    <row r="7269" spans="1:7" s="172" customFormat="1" ht="15" customHeight="1" x14ac:dyDescent="0.25">
      <c r="A7269" s="803" t="s">
        <v>16476</v>
      </c>
      <c r="B7269" s="803" t="s">
        <v>16248</v>
      </c>
      <c r="C7269" s="803" t="s">
        <v>16248</v>
      </c>
      <c r="D7269" s="803" t="s">
        <v>16478</v>
      </c>
      <c r="E7269" s="803">
        <v>160</v>
      </c>
      <c r="F7269" s="850">
        <v>24</v>
      </c>
      <c r="G7269" s="202" t="str">
        <f t="shared" si="113"/>
        <v/>
      </c>
    </row>
    <row r="7270" spans="1:7" s="172" customFormat="1" ht="15" customHeight="1" x14ac:dyDescent="0.25">
      <c r="A7270" s="803" t="s">
        <v>16479</v>
      </c>
      <c r="B7270" s="803" t="s">
        <v>16248</v>
      </c>
      <c r="C7270" s="803" t="s">
        <v>16248</v>
      </c>
      <c r="D7270" s="803" t="s">
        <v>16480</v>
      </c>
      <c r="E7270" s="803">
        <v>250</v>
      </c>
      <c r="F7270" s="850">
        <v>72</v>
      </c>
      <c r="G7270" s="202" t="str">
        <f t="shared" si="113"/>
        <v/>
      </c>
    </row>
    <row r="7271" spans="1:7" s="172" customFormat="1" ht="15" customHeight="1" x14ac:dyDescent="0.25">
      <c r="A7271" s="803" t="s">
        <v>16479</v>
      </c>
      <c r="B7271" s="803" t="s">
        <v>16248</v>
      </c>
      <c r="C7271" s="803" t="s">
        <v>16248</v>
      </c>
      <c r="D7271" s="803" t="s">
        <v>16481</v>
      </c>
      <c r="E7271" s="803">
        <v>250</v>
      </c>
      <c r="F7271" s="850">
        <v>80</v>
      </c>
      <c r="G7271" s="202" t="str">
        <f t="shared" si="113"/>
        <v/>
      </c>
    </row>
    <row r="7272" spans="1:7" s="172" customFormat="1" ht="15" customHeight="1" x14ac:dyDescent="0.25">
      <c r="A7272" s="803" t="s">
        <v>16479</v>
      </c>
      <c r="B7272" s="803" t="s">
        <v>16248</v>
      </c>
      <c r="C7272" s="803" t="s">
        <v>16248</v>
      </c>
      <c r="D7272" s="803" t="s">
        <v>16482</v>
      </c>
      <c r="E7272" s="803">
        <v>160</v>
      </c>
      <c r="F7272" s="850">
        <v>0</v>
      </c>
      <c r="G7272" s="202" t="str">
        <f t="shared" si="113"/>
        <v/>
      </c>
    </row>
    <row r="7273" spans="1:7" s="172" customFormat="1" ht="15" customHeight="1" x14ac:dyDescent="0.25">
      <c r="A7273" s="803" t="s">
        <v>16479</v>
      </c>
      <c r="B7273" s="803" t="s">
        <v>16248</v>
      </c>
      <c r="C7273" s="803" t="s">
        <v>16248</v>
      </c>
      <c r="D7273" s="803" t="s">
        <v>16483</v>
      </c>
      <c r="E7273" s="803">
        <v>100</v>
      </c>
      <c r="F7273" s="850">
        <v>0</v>
      </c>
      <c r="G7273" s="202" t="str">
        <f t="shared" si="113"/>
        <v/>
      </c>
    </row>
    <row r="7274" spans="1:7" s="172" customFormat="1" ht="15" customHeight="1" x14ac:dyDescent="0.25">
      <c r="A7274" s="803" t="s">
        <v>16484</v>
      </c>
      <c r="B7274" s="803" t="s">
        <v>16248</v>
      </c>
      <c r="C7274" s="803" t="s">
        <v>16248</v>
      </c>
      <c r="D7274" s="803" t="s">
        <v>16485</v>
      </c>
      <c r="E7274" s="803">
        <v>60</v>
      </c>
      <c r="F7274" s="850">
        <v>0</v>
      </c>
      <c r="G7274" s="202" t="str">
        <f t="shared" si="113"/>
        <v/>
      </c>
    </row>
    <row r="7275" spans="1:7" s="172" customFormat="1" ht="15" customHeight="1" x14ac:dyDescent="0.25">
      <c r="A7275" s="803" t="s">
        <v>16484</v>
      </c>
      <c r="B7275" s="803" t="s">
        <v>16248</v>
      </c>
      <c r="C7275" s="803" t="s">
        <v>16248</v>
      </c>
      <c r="D7275" s="803" t="s">
        <v>16486</v>
      </c>
      <c r="E7275" s="803">
        <v>63</v>
      </c>
      <c r="F7275" s="850">
        <v>0</v>
      </c>
      <c r="G7275" s="202" t="str">
        <f t="shared" si="113"/>
        <v/>
      </c>
    </row>
    <row r="7276" spans="1:7" s="172" customFormat="1" ht="15" customHeight="1" x14ac:dyDescent="0.25">
      <c r="A7276" s="803" t="s">
        <v>16479</v>
      </c>
      <c r="B7276" s="803" t="s">
        <v>16248</v>
      </c>
      <c r="C7276" s="803" t="s">
        <v>16248</v>
      </c>
      <c r="D7276" s="803" t="s">
        <v>16487</v>
      </c>
      <c r="E7276" s="803">
        <v>160</v>
      </c>
      <c r="F7276" s="850">
        <v>0</v>
      </c>
      <c r="G7276" s="202" t="str">
        <f t="shared" si="113"/>
        <v/>
      </c>
    </row>
    <row r="7277" spans="1:7" s="172" customFormat="1" ht="15" customHeight="1" x14ac:dyDescent="0.25">
      <c r="A7277" s="803" t="s">
        <v>16479</v>
      </c>
      <c r="B7277" s="803" t="s">
        <v>16248</v>
      </c>
      <c r="C7277" s="803" t="s">
        <v>16248</v>
      </c>
      <c r="D7277" s="803" t="s">
        <v>16488</v>
      </c>
      <c r="E7277" s="803">
        <v>100</v>
      </c>
      <c r="F7277" s="850">
        <v>0</v>
      </c>
      <c r="G7277" s="202" t="str">
        <f t="shared" si="113"/>
        <v/>
      </c>
    </row>
    <row r="7278" spans="1:7" s="172" customFormat="1" ht="15" customHeight="1" x14ac:dyDescent="0.25">
      <c r="A7278" s="803" t="s">
        <v>16479</v>
      </c>
      <c r="B7278" s="803" t="s">
        <v>16248</v>
      </c>
      <c r="C7278" s="803" t="s">
        <v>16248</v>
      </c>
      <c r="D7278" s="803" t="s">
        <v>16489</v>
      </c>
      <c r="E7278" s="803">
        <v>160</v>
      </c>
      <c r="F7278" s="850">
        <v>19</v>
      </c>
      <c r="G7278" s="202" t="str">
        <f t="shared" si="113"/>
        <v/>
      </c>
    </row>
    <row r="7279" spans="1:7" s="172" customFormat="1" ht="15" customHeight="1" x14ac:dyDescent="0.25">
      <c r="A7279" s="803" t="s">
        <v>16479</v>
      </c>
      <c r="B7279" s="803" t="s">
        <v>16248</v>
      </c>
      <c r="C7279" s="803" t="s">
        <v>16248</v>
      </c>
      <c r="D7279" s="803" t="s">
        <v>16490</v>
      </c>
      <c r="E7279" s="803">
        <v>250</v>
      </c>
      <c r="F7279" s="850">
        <v>21</v>
      </c>
      <c r="G7279" s="202" t="str">
        <f t="shared" si="113"/>
        <v/>
      </c>
    </row>
    <row r="7280" spans="1:7" s="172" customFormat="1" ht="15" customHeight="1" x14ac:dyDescent="0.25">
      <c r="A7280" s="803" t="s">
        <v>16479</v>
      </c>
      <c r="B7280" s="803" t="s">
        <v>16248</v>
      </c>
      <c r="C7280" s="803" t="s">
        <v>16248</v>
      </c>
      <c r="D7280" s="803" t="s">
        <v>16491</v>
      </c>
      <c r="E7280" s="803">
        <v>400</v>
      </c>
      <c r="F7280" s="850">
        <v>117</v>
      </c>
      <c r="G7280" s="202" t="str">
        <f t="shared" si="113"/>
        <v/>
      </c>
    </row>
    <row r="7281" spans="1:7" s="172" customFormat="1" ht="15" customHeight="1" x14ac:dyDescent="0.25">
      <c r="A7281" s="803" t="s">
        <v>16479</v>
      </c>
      <c r="B7281" s="803" t="s">
        <v>16248</v>
      </c>
      <c r="C7281" s="803" t="s">
        <v>16248</v>
      </c>
      <c r="D7281" s="803" t="s">
        <v>16492</v>
      </c>
      <c r="E7281" s="803">
        <v>100</v>
      </c>
      <c r="F7281" s="850">
        <v>0</v>
      </c>
      <c r="G7281" s="202" t="str">
        <f t="shared" si="113"/>
        <v/>
      </c>
    </row>
    <row r="7282" spans="1:7" s="172" customFormat="1" ht="15" customHeight="1" x14ac:dyDescent="0.25">
      <c r="A7282" s="803" t="s">
        <v>16479</v>
      </c>
      <c r="B7282" s="803" t="s">
        <v>16248</v>
      </c>
      <c r="C7282" s="803" t="s">
        <v>16248</v>
      </c>
      <c r="D7282" s="803" t="s">
        <v>16493</v>
      </c>
      <c r="E7282" s="803">
        <v>250</v>
      </c>
      <c r="F7282" s="850">
        <v>68</v>
      </c>
      <c r="G7282" s="202" t="str">
        <f t="shared" si="113"/>
        <v/>
      </c>
    </row>
    <row r="7283" spans="1:7" s="172" customFormat="1" ht="15" customHeight="1" x14ac:dyDescent="0.25">
      <c r="A7283" s="803" t="s">
        <v>16494</v>
      </c>
      <c r="B7283" s="803" t="s">
        <v>16248</v>
      </c>
      <c r="C7283" s="803" t="s">
        <v>16248</v>
      </c>
      <c r="D7283" s="803" t="s">
        <v>11435</v>
      </c>
      <c r="E7283" s="803">
        <v>160</v>
      </c>
      <c r="F7283" s="850">
        <v>37</v>
      </c>
      <c r="G7283" s="202" t="str">
        <f t="shared" si="113"/>
        <v/>
      </c>
    </row>
    <row r="7284" spans="1:7" s="172" customFormat="1" ht="15" customHeight="1" x14ac:dyDescent="0.25">
      <c r="A7284" s="803" t="s">
        <v>16495</v>
      </c>
      <c r="B7284" s="803" t="s">
        <v>10501</v>
      </c>
      <c r="C7284" s="803" t="s">
        <v>16248</v>
      </c>
      <c r="D7284" s="803" t="s">
        <v>16496</v>
      </c>
      <c r="E7284" s="803">
        <v>250</v>
      </c>
      <c r="F7284" s="850">
        <v>51</v>
      </c>
      <c r="G7284" s="202" t="str">
        <f t="shared" si="113"/>
        <v/>
      </c>
    </row>
    <row r="7285" spans="1:7" s="172" customFormat="1" ht="15" customHeight="1" x14ac:dyDescent="0.25">
      <c r="A7285" s="803" t="s">
        <v>16495</v>
      </c>
      <c r="B7285" s="803" t="s">
        <v>10501</v>
      </c>
      <c r="C7285" s="803" t="s">
        <v>16248</v>
      </c>
      <c r="D7285" s="803" t="s">
        <v>16497</v>
      </c>
      <c r="E7285" s="803">
        <v>250</v>
      </c>
      <c r="F7285" s="850">
        <v>73</v>
      </c>
      <c r="G7285" s="202" t="str">
        <f t="shared" si="113"/>
        <v/>
      </c>
    </row>
    <row r="7286" spans="1:7" s="172" customFormat="1" ht="15" customHeight="1" x14ac:dyDescent="0.25">
      <c r="A7286" s="803" t="s">
        <v>16495</v>
      </c>
      <c r="B7286" s="803" t="s">
        <v>10501</v>
      </c>
      <c r="C7286" s="803" t="s">
        <v>16248</v>
      </c>
      <c r="D7286" s="803" t="s">
        <v>16498</v>
      </c>
      <c r="E7286" s="803">
        <v>400</v>
      </c>
      <c r="F7286" s="850">
        <v>21</v>
      </c>
      <c r="G7286" s="202" t="str">
        <f t="shared" si="113"/>
        <v/>
      </c>
    </row>
    <row r="7287" spans="1:7" s="172" customFormat="1" ht="15" customHeight="1" x14ac:dyDescent="0.25">
      <c r="A7287" s="803" t="s">
        <v>16495</v>
      </c>
      <c r="B7287" s="803" t="s">
        <v>10501</v>
      </c>
      <c r="C7287" s="803" t="s">
        <v>16248</v>
      </c>
      <c r="D7287" s="803" t="s">
        <v>18582</v>
      </c>
      <c r="E7287" s="803">
        <v>63</v>
      </c>
      <c r="F7287" s="850">
        <v>20</v>
      </c>
      <c r="G7287" s="202" t="str">
        <f t="shared" si="113"/>
        <v/>
      </c>
    </row>
    <row r="7288" spans="1:7" s="172" customFormat="1" ht="15" customHeight="1" x14ac:dyDescent="0.25">
      <c r="A7288" s="803" t="s">
        <v>16495</v>
      </c>
      <c r="B7288" s="803" t="s">
        <v>10501</v>
      </c>
      <c r="C7288" s="803" t="s">
        <v>16248</v>
      </c>
      <c r="D7288" s="803" t="s">
        <v>16499</v>
      </c>
      <c r="E7288" s="803">
        <v>250</v>
      </c>
      <c r="F7288" s="850">
        <v>0</v>
      </c>
      <c r="G7288" s="202" t="str">
        <f t="shared" si="113"/>
        <v/>
      </c>
    </row>
    <row r="7289" spans="1:7" s="172" customFormat="1" ht="15" customHeight="1" x14ac:dyDescent="0.25">
      <c r="A7289" s="803" t="s">
        <v>16495</v>
      </c>
      <c r="B7289" s="803" t="s">
        <v>10501</v>
      </c>
      <c r="C7289" s="803" t="s">
        <v>16248</v>
      </c>
      <c r="D7289" s="803" t="s">
        <v>16500</v>
      </c>
      <c r="E7289" s="803">
        <v>100</v>
      </c>
      <c r="F7289" s="850">
        <v>0</v>
      </c>
      <c r="G7289" s="202" t="str">
        <f t="shared" si="113"/>
        <v/>
      </c>
    </row>
    <row r="7290" spans="1:7" s="172" customFormat="1" ht="15" customHeight="1" x14ac:dyDescent="0.25">
      <c r="A7290" s="803" t="s">
        <v>16501</v>
      </c>
      <c r="B7290" s="803" t="s">
        <v>10501</v>
      </c>
      <c r="C7290" s="803" t="s">
        <v>16248</v>
      </c>
      <c r="D7290" s="803" t="s">
        <v>16502</v>
      </c>
      <c r="E7290" s="803">
        <v>30</v>
      </c>
      <c r="F7290" s="850">
        <v>0</v>
      </c>
      <c r="G7290" s="202" t="str">
        <f t="shared" si="113"/>
        <v/>
      </c>
    </row>
    <row r="7291" spans="1:7" s="172" customFormat="1" ht="15" customHeight="1" x14ac:dyDescent="0.25">
      <c r="A7291" s="803" t="s">
        <v>3491</v>
      </c>
      <c r="B7291" s="803" t="s">
        <v>10501</v>
      </c>
      <c r="C7291" s="803" t="s">
        <v>16248</v>
      </c>
      <c r="D7291" s="803" t="s">
        <v>11103</v>
      </c>
      <c r="E7291" s="803">
        <v>160</v>
      </c>
      <c r="F7291" s="850">
        <v>58</v>
      </c>
      <c r="G7291" s="202" t="str">
        <f t="shared" si="113"/>
        <v/>
      </c>
    </row>
    <row r="7292" spans="1:7" s="172" customFormat="1" ht="15" customHeight="1" x14ac:dyDescent="0.25">
      <c r="A7292" s="803" t="s">
        <v>16503</v>
      </c>
      <c r="B7292" s="803" t="s">
        <v>10501</v>
      </c>
      <c r="C7292" s="803" t="s">
        <v>16248</v>
      </c>
      <c r="D7292" s="803" t="s">
        <v>16504</v>
      </c>
      <c r="E7292" s="803">
        <v>100</v>
      </c>
      <c r="F7292" s="850">
        <v>0</v>
      </c>
      <c r="G7292" s="202" t="str">
        <f t="shared" si="113"/>
        <v/>
      </c>
    </row>
    <row r="7293" spans="1:7" s="172" customFormat="1" ht="15" customHeight="1" x14ac:dyDescent="0.25">
      <c r="A7293" s="803" t="s">
        <v>16505</v>
      </c>
      <c r="B7293" s="803" t="s">
        <v>10501</v>
      </c>
      <c r="C7293" s="803" t="s">
        <v>16248</v>
      </c>
      <c r="D7293" s="803" t="s">
        <v>16506</v>
      </c>
      <c r="E7293" s="803">
        <v>20</v>
      </c>
      <c r="F7293" s="850">
        <v>0</v>
      </c>
      <c r="G7293" s="202" t="str">
        <f t="shared" si="113"/>
        <v/>
      </c>
    </row>
    <row r="7294" spans="1:7" s="172" customFormat="1" ht="15" customHeight="1" x14ac:dyDescent="0.25">
      <c r="A7294" s="803" t="s">
        <v>16503</v>
      </c>
      <c r="B7294" s="803" t="s">
        <v>10501</v>
      </c>
      <c r="C7294" s="803" t="s">
        <v>16248</v>
      </c>
      <c r="D7294" s="803" t="s">
        <v>16507</v>
      </c>
      <c r="E7294" s="803">
        <v>400</v>
      </c>
      <c r="F7294" s="850">
        <v>19</v>
      </c>
      <c r="G7294" s="202" t="str">
        <f t="shared" si="113"/>
        <v/>
      </c>
    </row>
    <row r="7295" spans="1:7" s="172" customFormat="1" ht="15" customHeight="1" x14ac:dyDescent="0.25">
      <c r="A7295" s="803" t="s">
        <v>16508</v>
      </c>
      <c r="B7295" s="803" t="s">
        <v>10501</v>
      </c>
      <c r="C7295" s="803" t="s">
        <v>16248</v>
      </c>
      <c r="D7295" s="803" t="s">
        <v>16509</v>
      </c>
      <c r="E7295" s="803">
        <v>20</v>
      </c>
      <c r="F7295" s="850">
        <v>0</v>
      </c>
      <c r="G7295" s="202" t="str">
        <f t="shared" si="113"/>
        <v/>
      </c>
    </row>
    <row r="7296" spans="1:7" s="172" customFormat="1" ht="15" customHeight="1" x14ac:dyDescent="0.25">
      <c r="A7296" s="803" t="s">
        <v>16503</v>
      </c>
      <c r="B7296" s="803" t="s">
        <v>10501</v>
      </c>
      <c r="C7296" s="803" t="s">
        <v>16248</v>
      </c>
      <c r="D7296" s="803" t="s">
        <v>16510</v>
      </c>
      <c r="E7296" s="803">
        <v>250</v>
      </c>
      <c r="F7296" s="850">
        <v>0</v>
      </c>
      <c r="G7296" s="202" t="str">
        <f t="shared" si="113"/>
        <v/>
      </c>
    </row>
    <row r="7297" spans="1:7" s="172" customFormat="1" ht="15" customHeight="1" x14ac:dyDescent="0.25">
      <c r="A7297" s="803" t="s">
        <v>16503</v>
      </c>
      <c r="B7297" s="803" t="s">
        <v>10501</v>
      </c>
      <c r="C7297" s="803" t="s">
        <v>16248</v>
      </c>
      <c r="D7297" s="803" t="s">
        <v>16511</v>
      </c>
      <c r="E7297" s="803">
        <v>250</v>
      </c>
      <c r="F7297" s="850">
        <v>61</v>
      </c>
      <c r="G7297" s="202" t="str">
        <f t="shared" si="113"/>
        <v/>
      </c>
    </row>
    <row r="7298" spans="1:7" s="172" customFormat="1" ht="15" customHeight="1" x14ac:dyDescent="0.25">
      <c r="A7298" s="803" t="s">
        <v>7770</v>
      </c>
      <c r="B7298" s="803" t="s">
        <v>10501</v>
      </c>
      <c r="C7298" s="803" t="s">
        <v>16248</v>
      </c>
      <c r="D7298" s="803" t="s">
        <v>16512</v>
      </c>
      <c r="E7298" s="803">
        <v>160</v>
      </c>
      <c r="F7298" s="850">
        <v>84</v>
      </c>
      <c r="G7298" s="202" t="str">
        <f t="shared" si="113"/>
        <v/>
      </c>
    </row>
    <row r="7299" spans="1:7" s="172" customFormat="1" ht="15" customHeight="1" x14ac:dyDescent="0.25">
      <c r="A7299" s="803" t="s">
        <v>16513</v>
      </c>
      <c r="B7299" s="803" t="s">
        <v>10501</v>
      </c>
      <c r="C7299" s="803" t="s">
        <v>16248</v>
      </c>
      <c r="D7299" s="803" t="s">
        <v>16514</v>
      </c>
      <c r="E7299" s="803">
        <v>63</v>
      </c>
      <c r="F7299" s="850">
        <v>0</v>
      </c>
      <c r="G7299" s="202" t="str">
        <f t="shared" si="113"/>
        <v/>
      </c>
    </row>
    <row r="7300" spans="1:7" s="172" customFormat="1" ht="15" customHeight="1" x14ac:dyDescent="0.25">
      <c r="A7300" s="803" t="s">
        <v>16513</v>
      </c>
      <c r="B7300" s="803" t="s">
        <v>10501</v>
      </c>
      <c r="C7300" s="803" t="s">
        <v>16248</v>
      </c>
      <c r="D7300" s="803" t="s">
        <v>20156</v>
      </c>
      <c r="E7300" s="803">
        <v>160</v>
      </c>
      <c r="F7300" s="850">
        <v>100</v>
      </c>
      <c r="G7300" s="202" t="str">
        <f t="shared" si="113"/>
        <v/>
      </c>
    </row>
    <row r="7301" spans="1:7" s="172" customFormat="1" ht="15" customHeight="1" x14ac:dyDescent="0.25">
      <c r="A7301" s="803" t="s">
        <v>6369</v>
      </c>
      <c r="B7301" s="803" t="s">
        <v>10501</v>
      </c>
      <c r="C7301" s="803" t="s">
        <v>16248</v>
      </c>
      <c r="D7301" s="803" t="s">
        <v>5231</v>
      </c>
      <c r="E7301" s="803">
        <v>63</v>
      </c>
      <c r="F7301" s="850">
        <v>0</v>
      </c>
      <c r="G7301" s="202" t="str">
        <f t="shared" si="113"/>
        <v/>
      </c>
    </row>
    <row r="7302" spans="1:7" s="172" customFormat="1" ht="15" customHeight="1" x14ac:dyDescent="0.25">
      <c r="A7302" s="803" t="s">
        <v>2751</v>
      </c>
      <c r="B7302" s="803" t="s">
        <v>10501</v>
      </c>
      <c r="C7302" s="803" t="s">
        <v>16248</v>
      </c>
      <c r="D7302" s="803" t="s">
        <v>16515</v>
      </c>
      <c r="E7302" s="803">
        <v>30</v>
      </c>
      <c r="F7302" s="850">
        <v>0</v>
      </c>
      <c r="G7302" s="202" t="str">
        <f t="shared" si="113"/>
        <v/>
      </c>
    </row>
    <row r="7303" spans="1:7" s="172" customFormat="1" ht="15" customHeight="1" x14ac:dyDescent="0.25">
      <c r="A7303" s="803" t="s">
        <v>16516</v>
      </c>
      <c r="B7303" s="803" t="s">
        <v>10501</v>
      </c>
      <c r="C7303" s="803" t="s">
        <v>16248</v>
      </c>
      <c r="D7303" s="803" t="s">
        <v>16517</v>
      </c>
      <c r="E7303" s="803">
        <v>30</v>
      </c>
      <c r="F7303" s="850">
        <v>0</v>
      </c>
      <c r="G7303" s="202" t="str">
        <f t="shared" si="113"/>
        <v/>
      </c>
    </row>
    <row r="7304" spans="1:7" s="172" customFormat="1" ht="15" customHeight="1" x14ac:dyDescent="0.25">
      <c r="A7304" s="803" t="s">
        <v>16518</v>
      </c>
      <c r="B7304" s="803" t="s">
        <v>10501</v>
      </c>
      <c r="C7304" s="803" t="s">
        <v>16248</v>
      </c>
      <c r="D7304" s="803" t="s">
        <v>16519</v>
      </c>
      <c r="E7304" s="803">
        <v>20</v>
      </c>
      <c r="F7304" s="850">
        <v>0</v>
      </c>
      <c r="G7304" s="202" t="str">
        <f t="shared" si="113"/>
        <v/>
      </c>
    </row>
    <row r="7305" spans="1:7" s="172" customFormat="1" ht="15" customHeight="1" x14ac:dyDescent="0.25">
      <c r="A7305" s="803" t="s">
        <v>3057</v>
      </c>
      <c r="B7305" s="803" t="s">
        <v>10501</v>
      </c>
      <c r="C7305" s="803" t="s">
        <v>16248</v>
      </c>
      <c r="D7305" s="803" t="s">
        <v>16520</v>
      </c>
      <c r="E7305" s="803">
        <v>60</v>
      </c>
      <c r="F7305" s="850">
        <v>0</v>
      </c>
      <c r="G7305" s="202" t="str">
        <f t="shared" si="113"/>
        <v/>
      </c>
    </row>
    <row r="7306" spans="1:7" s="172" customFormat="1" ht="15" customHeight="1" x14ac:dyDescent="0.25">
      <c r="A7306" s="803" t="s">
        <v>16479</v>
      </c>
      <c r="B7306" s="803" t="s">
        <v>16248</v>
      </c>
      <c r="C7306" s="803" t="s">
        <v>16248</v>
      </c>
      <c r="D7306" s="803" t="s">
        <v>16521</v>
      </c>
      <c r="E7306" s="803">
        <v>100</v>
      </c>
      <c r="F7306" s="850">
        <v>0</v>
      </c>
      <c r="G7306" s="202" t="str">
        <f t="shared" si="113"/>
        <v/>
      </c>
    </row>
    <row r="7307" spans="1:7" s="172" customFormat="1" ht="15" customHeight="1" x14ac:dyDescent="0.25">
      <c r="A7307" s="803" t="s">
        <v>4815</v>
      </c>
      <c r="B7307" s="803" t="s">
        <v>16248</v>
      </c>
      <c r="C7307" s="803" t="s">
        <v>16248</v>
      </c>
      <c r="D7307" s="803" t="s">
        <v>4469</v>
      </c>
      <c r="E7307" s="803">
        <v>100</v>
      </c>
      <c r="F7307" s="850">
        <v>0</v>
      </c>
      <c r="G7307" s="202" t="str">
        <f t="shared" si="113"/>
        <v/>
      </c>
    </row>
    <row r="7308" spans="1:7" s="172" customFormat="1" ht="15" customHeight="1" x14ac:dyDescent="0.25">
      <c r="A7308" s="803" t="s">
        <v>4815</v>
      </c>
      <c r="B7308" s="803" t="s">
        <v>16248</v>
      </c>
      <c r="C7308" s="803" t="s">
        <v>16248</v>
      </c>
      <c r="D7308" s="803" t="s">
        <v>20157</v>
      </c>
      <c r="E7308" s="803">
        <v>63</v>
      </c>
      <c r="F7308" s="850">
        <v>30</v>
      </c>
      <c r="G7308" s="202" t="str">
        <f t="shared" si="113"/>
        <v/>
      </c>
    </row>
    <row r="7309" spans="1:7" s="172" customFormat="1" ht="15" customHeight="1" x14ac:dyDescent="0.25">
      <c r="A7309" s="803" t="s">
        <v>16522</v>
      </c>
      <c r="B7309" s="803" t="s">
        <v>16248</v>
      </c>
      <c r="C7309" s="803" t="s">
        <v>16248</v>
      </c>
      <c r="D7309" s="803" t="s">
        <v>16523</v>
      </c>
      <c r="E7309" s="803">
        <v>30</v>
      </c>
      <c r="F7309" s="850">
        <v>0</v>
      </c>
      <c r="G7309" s="202" t="str">
        <f t="shared" si="113"/>
        <v/>
      </c>
    </row>
    <row r="7310" spans="1:7" s="172" customFormat="1" ht="15" customHeight="1" x14ac:dyDescent="0.25">
      <c r="A7310" s="803" t="s">
        <v>16524</v>
      </c>
      <c r="B7310" s="803" t="s">
        <v>16248</v>
      </c>
      <c r="C7310" s="803" t="s">
        <v>16248</v>
      </c>
      <c r="D7310" s="803" t="s">
        <v>16525</v>
      </c>
      <c r="E7310" s="803">
        <v>250</v>
      </c>
      <c r="F7310" s="850">
        <v>47</v>
      </c>
      <c r="G7310" s="202" t="str">
        <f t="shared" si="113"/>
        <v/>
      </c>
    </row>
    <row r="7311" spans="1:7" s="172" customFormat="1" ht="15" customHeight="1" x14ac:dyDescent="0.25">
      <c r="A7311" s="803" t="s">
        <v>16524</v>
      </c>
      <c r="B7311" s="803" t="s">
        <v>16248</v>
      </c>
      <c r="C7311" s="803" t="s">
        <v>16248</v>
      </c>
      <c r="D7311" s="803" t="s">
        <v>16526</v>
      </c>
      <c r="E7311" s="803">
        <v>250</v>
      </c>
      <c r="F7311" s="850">
        <v>34</v>
      </c>
      <c r="G7311" s="202" t="str">
        <f t="shared" si="113"/>
        <v/>
      </c>
    </row>
    <row r="7312" spans="1:7" s="172" customFormat="1" ht="15" customHeight="1" x14ac:dyDescent="0.25">
      <c r="A7312" s="803" t="s">
        <v>16524</v>
      </c>
      <c r="B7312" s="803" t="s">
        <v>16248</v>
      </c>
      <c r="C7312" s="803" t="s">
        <v>16248</v>
      </c>
      <c r="D7312" s="803" t="s">
        <v>16527</v>
      </c>
      <c r="E7312" s="803">
        <v>250</v>
      </c>
      <c r="F7312" s="850">
        <v>120</v>
      </c>
      <c r="G7312" s="202" t="str">
        <f t="shared" si="113"/>
        <v/>
      </c>
    </row>
    <row r="7313" spans="1:7" s="172" customFormat="1" ht="15" customHeight="1" x14ac:dyDescent="0.25">
      <c r="A7313" s="803" t="s">
        <v>16524</v>
      </c>
      <c r="B7313" s="803" t="s">
        <v>16248</v>
      </c>
      <c r="C7313" s="803" t="s">
        <v>16248</v>
      </c>
      <c r="D7313" s="803" t="s">
        <v>16528</v>
      </c>
      <c r="E7313" s="803">
        <v>250</v>
      </c>
      <c r="F7313" s="850">
        <v>117</v>
      </c>
      <c r="G7313" s="202" t="str">
        <f t="shared" si="113"/>
        <v/>
      </c>
    </row>
    <row r="7314" spans="1:7" s="172" customFormat="1" ht="15" customHeight="1" x14ac:dyDescent="0.25">
      <c r="A7314" s="803" t="s">
        <v>16524</v>
      </c>
      <c r="B7314" s="803" t="s">
        <v>16248</v>
      </c>
      <c r="C7314" s="803" t="s">
        <v>16248</v>
      </c>
      <c r="D7314" s="803" t="s">
        <v>16529</v>
      </c>
      <c r="E7314" s="803">
        <v>250</v>
      </c>
      <c r="F7314" s="850">
        <v>250</v>
      </c>
      <c r="G7314" s="202" t="str">
        <f t="shared" si="113"/>
        <v>не загружен</v>
      </c>
    </row>
    <row r="7315" spans="1:7" s="172" customFormat="1" ht="15" customHeight="1" x14ac:dyDescent="0.25">
      <c r="A7315" s="803" t="s">
        <v>16524</v>
      </c>
      <c r="B7315" s="803" t="s">
        <v>16248</v>
      </c>
      <c r="C7315" s="803" t="s">
        <v>16248</v>
      </c>
      <c r="D7315" s="803" t="s">
        <v>16530</v>
      </c>
      <c r="E7315" s="803">
        <v>160</v>
      </c>
      <c r="F7315" s="850">
        <v>160</v>
      </c>
      <c r="G7315" s="202" t="str">
        <f t="shared" si="113"/>
        <v>не загружен</v>
      </c>
    </row>
    <row r="7316" spans="1:7" s="172" customFormat="1" ht="15" customHeight="1" x14ac:dyDescent="0.25">
      <c r="A7316" s="803" t="s">
        <v>6480</v>
      </c>
      <c r="B7316" s="803" t="s">
        <v>16248</v>
      </c>
      <c r="C7316" s="803" t="s">
        <v>16248</v>
      </c>
      <c r="D7316" s="803" t="s">
        <v>10876</v>
      </c>
      <c r="E7316" s="803">
        <v>100</v>
      </c>
      <c r="F7316" s="850">
        <v>0</v>
      </c>
      <c r="G7316" s="202" t="str">
        <f t="shared" si="113"/>
        <v/>
      </c>
    </row>
    <row r="7317" spans="1:7" s="172" customFormat="1" ht="15" customHeight="1" x14ac:dyDescent="0.25">
      <c r="A7317" s="803" t="s">
        <v>4841</v>
      </c>
      <c r="B7317" s="803" t="s">
        <v>16248</v>
      </c>
      <c r="C7317" s="803" t="s">
        <v>16248</v>
      </c>
      <c r="D7317" s="803" t="s">
        <v>4556</v>
      </c>
      <c r="E7317" s="803">
        <v>20</v>
      </c>
      <c r="F7317" s="850">
        <v>0</v>
      </c>
      <c r="G7317" s="202" t="str">
        <f t="shared" si="113"/>
        <v/>
      </c>
    </row>
    <row r="7318" spans="1:7" s="172" customFormat="1" ht="15" customHeight="1" x14ac:dyDescent="0.25">
      <c r="A7318" s="803" t="s">
        <v>10020</v>
      </c>
      <c r="B7318" s="803" t="s">
        <v>16248</v>
      </c>
      <c r="C7318" s="803" t="s">
        <v>16248</v>
      </c>
      <c r="D7318" s="803" t="s">
        <v>4397</v>
      </c>
      <c r="E7318" s="803">
        <v>30</v>
      </c>
      <c r="F7318" s="850">
        <v>0</v>
      </c>
      <c r="G7318" s="202" t="str">
        <f t="shared" si="113"/>
        <v/>
      </c>
    </row>
    <row r="7319" spans="1:7" s="172" customFormat="1" ht="15" customHeight="1" x14ac:dyDescent="0.25">
      <c r="A7319" s="803" t="s">
        <v>12234</v>
      </c>
      <c r="B7319" s="803" t="s">
        <v>16248</v>
      </c>
      <c r="C7319" s="803" t="s">
        <v>16248</v>
      </c>
      <c r="D7319" s="803" t="s">
        <v>19170</v>
      </c>
      <c r="E7319" s="803">
        <v>63</v>
      </c>
      <c r="F7319" s="850">
        <v>30</v>
      </c>
      <c r="G7319" s="202" t="str">
        <f t="shared" si="113"/>
        <v/>
      </c>
    </row>
    <row r="7320" spans="1:7" s="172" customFormat="1" ht="15" customHeight="1" x14ac:dyDescent="0.25">
      <c r="A7320" s="803" t="s">
        <v>16531</v>
      </c>
      <c r="B7320" s="803" t="s">
        <v>16248</v>
      </c>
      <c r="C7320" s="803" t="s">
        <v>16248</v>
      </c>
      <c r="D7320" s="803" t="s">
        <v>16532</v>
      </c>
      <c r="E7320" s="803">
        <v>30</v>
      </c>
      <c r="F7320" s="850">
        <v>5</v>
      </c>
      <c r="G7320" s="202" t="str">
        <f t="shared" si="113"/>
        <v/>
      </c>
    </row>
    <row r="7321" spans="1:7" s="172" customFormat="1" ht="15" customHeight="1" x14ac:dyDescent="0.25">
      <c r="A7321" s="803" t="s">
        <v>16400</v>
      </c>
      <c r="B7321" s="803" t="s">
        <v>16248</v>
      </c>
      <c r="C7321" s="803" t="s">
        <v>16248</v>
      </c>
      <c r="D7321" s="803" t="s">
        <v>16401</v>
      </c>
      <c r="E7321" s="803">
        <v>160</v>
      </c>
      <c r="F7321" s="850">
        <v>43</v>
      </c>
      <c r="G7321" s="202" t="str">
        <f t="shared" si="113"/>
        <v/>
      </c>
    </row>
    <row r="7322" spans="1:7" s="172" customFormat="1" ht="15" customHeight="1" x14ac:dyDescent="0.25">
      <c r="A7322" s="803" t="s">
        <v>16533</v>
      </c>
      <c r="B7322" s="803" t="s">
        <v>16248</v>
      </c>
      <c r="C7322" s="803" t="s">
        <v>16248</v>
      </c>
      <c r="D7322" s="803" t="s">
        <v>11108</v>
      </c>
      <c r="E7322" s="803">
        <v>30</v>
      </c>
      <c r="F7322" s="850">
        <v>4</v>
      </c>
      <c r="G7322" s="202" t="str">
        <f t="shared" si="113"/>
        <v/>
      </c>
    </row>
    <row r="7323" spans="1:7" s="172" customFormat="1" ht="15" customHeight="1" x14ac:dyDescent="0.25">
      <c r="A7323" s="803" t="s">
        <v>16534</v>
      </c>
      <c r="B7323" s="803" t="s">
        <v>16248</v>
      </c>
      <c r="C7323" s="803" t="s">
        <v>16248</v>
      </c>
      <c r="D7323" s="803" t="s">
        <v>16535</v>
      </c>
      <c r="E7323" s="803">
        <v>20</v>
      </c>
      <c r="F7323" s="850">
        <v>0</v>
      </c>
      <c r="G7323" s="202" t="str">
        <f t="shared" si="113"/>
        <v/>
      </c>
    </row>
    <row r="7324" spans="1:7" s="172" customFormat="1" ht="15" customHeight="1" x14ac:dyDescent="0.25">
      <c r="A7324" s="803" t="s">
        <v>16536</v>
      </c>
      <c r="B7324" s="803" t="s">
        <v>16248</v>
      </c>
      <c r="C7324" s="803" t="s">
        <v>16248</v>
      </c>
      <c r="D7324" s="803" t="s">
        <v>16537</v>
      </c>
      <c r="E7324" s="803">
        <v>20</v>
      </c>
      <c r="F7324" s="850">
        <v>0</v>
      </c>
      <c r="G7324" s="202" t="str">
        <f t="shared" si="113"/>
        <v/>
      </c>
    </row>
    <row r="7325" spans="1:7" s="172" customFormat="1" ht="15" customHeight="1" x14ac:dyDescent="0.25">
      <c r="A7325" s="803" t="s">
        <v>11939</v>
      </c>
      <c r="B7325" s="803" t="s">
        <v>16248</v>
      </c>
      <c r="C7325" s="803" t="s">
        <v>16248</v>
      </c>
      <c r="D7325" s="803" t="s">
        <v>4436</v>
      </c>
      <c r="E7325" s="803">
        <v>40</v>
      </c>
      <c r="F7325" s="850">
        <v>27</v>
      </c>
      <c r="G7325" s="202" t="str">
        <f t="shared" si="113"/>
        <v/>
      </c>
    </row>
    <row r="7326" spans="1:7" s="172" customFormat="1" ht="15" customHeight="1" x14ac:dyDescent="0.25">
      <c r="A7326" s="803" t="s">
        <v>10377</v>
      </c>
      <c r="B7326" s="803" t="s">
        <v>16248</v>
      </c>
      <c r="C7326" s="803" t="s">
        <v>16248</v>
      </c>
      <c r="D7326" s="803" t="s">
        <v>16538</v>
      </c>
      <c r="E7326" s="803">
        <v>40</v>
      </c>
      <c r="F7326" s="850">
        <v>0</v>
      </c>
      <c r="G7326" s="202" t="str">
        <f t="shared" ref="G7326:G7389" si="114">IF(E7326=F7326,"не загружен","")</f>
        <v/>
      </c>
    </row>
    <row r="7327" spans="1:7" s="172" customFormat="1" ht="15" customHeight="1" x14ac:dyDescent="0.25">
      <c r="A7327" s="803" t="s">
        <v>16479</v>
      </c>
      <c r="B7327" s="803" t="s">
        <v>16248</v>
      </c>
      <c r="C7327" s="803" t="s">
        <v>16248</v>
      </c>
      <c r="D7327" s="803" t="s">
        <v>16539</v>
      </c>
      <c r="E7327" s="803">
        <v>250</v>
      </c>
      <c r="F7327" s="850">
        <v>92</v>
      </c>
      <c r="G7327" s="202" t="str">
        <f t="shared" si="114"/>
        <v/>
      </c>
    </row>
    <row r="7328" spans="1:7" s="172" customFormat="1" ht="15" customHeight="1" x14ac:dyDescent="0.25">
      <c r="A7328" s="803" t="s">
        <v>16479</v>
      </c>
      <c r="B7328" s="803" t="s">
        <v>16248</v>
      </c>
      <c r="C7328" s="803" t="s">
        <v>16248</v>
      </c>
      <c r="D7328" s="803" t="s">
        <v>16540</v>
      </c>
      <c r="E7328" s="803">
        <v>30</v>
      </c>
      <c r="F7328" s="850">
        <v>9</v>
      </c>
      <c r="G7328" s="202" t="str">
        <f t="shared" si="114"/>
        <v/>
      </c>
    </row>
    <row r="7329" spans="1:7" s="172" customFormat="1" ht="15" customHeight="1" x14ac:dyDescent="0.25">
      <c r="A7329" s="803" t="s">
        <v>16479</v>
      </c>
      <c r="B7329" s="803" t="s">
        <v>16248</v>
      </c>
      <c r="C7329" s="803" t="s">
        <v>16248</v>
      </c>
      <c r="D7329" s="803" t="s">
        <v>16541</v>
      </c>
      <c r="E7329" s="803">
        <v>100</v>
      </c>
      <c r="F7329" s="850">
        <v>0</v>
      </c>
      <c r="G7329" s="202" t="str">
        <f t="shared" si="114"/>
        <v/>
      </c>
    </row>
    <row r="7330" spans="1:7" s="172" customFormat="1" ht="15" customHeight="1" x14ac:dyDescent="0.25">
      <c r="A7330" s="803" t="s">
        <v>16479</v>
      </c>
      <c r="B7330" s="803" t="s">
        <v>16248</v>
      </c>
      <c r="C7330" s="803" t="s">
        <v>16248</v>
      </c>
      <c r="D7330" s="803" t="s">
        <v>16542</v>
      </c>
      <c r="E7330" s="803">
        <v>250</v>
      </c>
      <c r="F7330" s="850">
        <v>250</v>
      </c>
      <c r="G7330" s="202" t="str">
        <f t="shared" si="114"/>
        <v>не загружен</v>
      </c>
    </row>
    <row r="7331" spans="1:7" s="172" customFormat="1" ht="15" customHeight="1" x14ac:dyDescent="0.25">
      <c r="A7331" s="803" t="s">
        <v>16479</v>
      </c>
      <c r="B7331" s="803" t="s">
        <v>16248</v>
      </c>
      <c r="C7331" s="803" t="s">
        <v>16248</v>
      </c>
      <c r="D7331" s="803" t="s">
        <v>16543</v>
      </c>
      <c r="E7331" s="803">
        <v>250</v>
      </c>
      <c r="F7331" s="850">
        <v>164</v>
      </c>
      <c r="G7331" s="202" t="str">
        <f t="shared" si="114"/>
        <v/>
      </c>
    </row>
    <row r="7332" spans="1:7" s="172" customFormat="1" ht="15" customHeight="1" x14ac:dyDescent="0.25">
      <c r="A7332" s="803" t="s">
        <v>9982</v>
      </c>
      <c r="B7332" s="803" t="s">
        <v>16248</v>
      </c>
      <c r="C7332" s="803" t="s">
        <v>16248</v>
      </c>
      <c r="D7332" s="803" t="s">
        <v>16544</v>
      </c>
      <c r="E7332" s="803">
        <v>63</v>
      </c>
      <c r="F7332" s="850">
        <v>0</v>
      </c>
      <c r="G7332" s="202" t="str">
        <f t="shared" si="114"/>
        <v/>
      </c>
    </row>
    <row r="7333" spans="1:7" s="172" customFormat="1" ht="15" customHeight="1" x14ac:dyDescent="0.25">
      <c r="A7333" s="803" t="s">
        <v>4095</v>
      </c>
      <c r="B7333" s="803" t="s">
        <v>16248</v>
      </c>
      <c r="C7333" s="803" t="s">
        <v>16248</v>
      </c>
      <c r="D7333" s="803" t="s">
        <v>16545</v>
      </c>
      <c r="E7333" s="803">
        <v>30</v>
      </c>
      <c r="F7333" s="850">
        <v>0</v>
      </c>
      <c r="G7333" s="202" t="str">
        <f t="shared" si="114"/>
        <v/>
      </c>
    </row>
    <row r="7334" spans="1:7" s="172" customFormat="1" ht="15" customHeight="1" x14ac:dyDescent="0.25">
      <c r="A7334" s="803" t="s">
        <v>16546</v>
      </c>
      <c r="B7334" s="803" t="s">
        <v>16248</v>
      </c>
      <c r="C7334" s="803" t="s">
        <v>16248</v>
      </c>
      <c r="D7334" s="803" t="s">
        <v>16547</v>
      </c>
      <c r="E7334" s="803">
        <v>250</v>
      </c>
      <c r="F7334" s="850">
        <v>194</v>
      </c>
      <c r="G7334" s="202" t="str">
        <f t="shared" si="114"/>
        <v/>
      </c>
    </row>
    <row r="7335" spans="1:7" s="172" customFormat="1" ht="15" customHeight="1" x14ac:dyDescent="0.25">
      <c r="A7335" s="803" t="s">
        <v>16546</v>
      </c>
      <c r="B7335" s="803" t="s">
        <v>16248</v>
      </c>
      <c r="C7335" s="803" t="s">
        <v>16248</v>
      </c>
      <c r="D7335" s="803" t="s">
        <v>16548</v>
      </c>
      <c r="E7335" s="803">
        <v>160</v>
      </c>
      <c r="F7335" s="850">
        <v>160</v>
      </c>
      <c r="G7335" s="202" t="str">
        <f t="shared" si="114"/>
        <v>не загружен</v>
      </c>
    </row>
    <row r="7336" spans="1:7" s="172" customFormat="1" ht="15" customHeight="1" x14ac:dyDescent="0.25">
      <c r="A7336" s="803" t="s">
        <v>16546</v>
      </c>
      <c r="B7336" s="803" t="s">
        <v>16248</v>
      </c>
      <c r="C7336" s="803" t="s">
        <v>16248</v>
      </c>
      <c r="D7336" s="803" t="s">
        <v>16549</v>
      </c>
      <c r="E7336" s="803">
        <v>160</v>
      </c>
      <c r="F7336" s="850">
        <v>21</v>
      </c>
      <c r="G7336" s="202" t="str">
        <f t="shared" si="114"/>
        <v/>
      </c>
    </row>
    <row r="7337" spans="1:7" s="172" customFormat="1" ht="15" customHeight="1" x14ac:dyDescent="0.25">
      <c r="A7337" s="803" t="s">
        <v>16546</v>
      </c>
      <c r="B7337" s="803" t="s">
        <v>16248</v>
      </c>
      <c r="C7337" s="803" t="s">
        <v>16248</v>
      </c>
      <c r="D7337" s="803" t="s">
        <v>16550</v>
      </c>
      <c r="E7337" s="803">
        <v>320</v>
      </c>
      <c r="F7337" s="850">
        <v>63</v>
      </c>
      <c r="G7337" s="202" t="str">
        <f t="shared" si="114"/>
        <v/>
      </c>
    </row>
    <row r="7338" spans="1:7" s="172" customFormat="1" ht="15" customHeight="1" x14ac:dyDescent="0.25">
      <c r="A7338" s="803" t="s">
        <v>16551</v>
      </c>
      <c r="B7338" s="803" t="s">
        <v>16248</v>
      </c>
      <c r="C7338" s="803" t="s">
        <v>16248</v>
      </c>
      <c r="D7338" s="803" t="s">
        <v>16552</v>
      </c>
      <c r="E7338" s="803">
        <v>160</v>
      </c>
      <c r="F7338" s="850">
        <v>29</v>
      </c>
      <c r="G7338" s="202" t="str">
        <f t="shared" si="114"/>
        <v/>
      </c>
    </row>
    <row r="7339" spans="1:7" s="172" customFormat="1" ht="15" customHeight="1" x14ac:dyDescent="0.25">
      <c r="A7339" s="803" t="s">
        <v>16551</v>
      </c>
      <c r="B7339" s="803" t="s">
        <v>16248</v>
      </c>
      <c r="C7339" s="803" t="s">
        <v>16248</v>
      </c>
      <c r="D7339" s="803" t="s">
        <v>16553</v>
      </c>
      <c r="E7339" s="803">
        <v>400</v>
      </c>
      <c r="F7339" s="850">
        <v>91</v>
      </c>
      <c r="G7339" s="202" t="str">
        <f t="shared" si="114"/>
        <v/>
      </c>
    </row>
    <row r="7340" spans="1:7" s="172" customFormat="1" ht="15" customHeight="1" x14ac:dyDescent="0.25">
      <c r="A7340" s="803" t="s">
        <v>16551</v>
      </c>
      <c r="B7340" s="803" t="s">
        <v>16248</v>
      </c>
      <c r="C7340" s="803" t="s">
        <v>16248</v>
      </c>
      <c r="D7340" s="803" t="s">
        <v>16554</v>
      </c>
      <c r="E7340" s="803">
        <v>100</v>
      </c>
      <c r="F7340" s="850">
        <v>0</v>
      </c>
      <c r="G7340" s="202" t="str">
        <f t="shared" si="114"/>
        <v/>
      </c>
    </row>
    <row r="7341" spans="1:7" s="172" customFormat="1" ht="15" customHeight="1" x14ac:dyDescent="0.25">
      <c r="A7341" s="803" t="s">
        <v>16555</v>
      </c>
      <c r="B7341" s="803" t="s">
        <v>16248</v>
      </c>
      <c r="C7341" s="803" t="s">
        <v>16248</v>
      </c>
      <c r="D7341" s="803" t="s">
        <v>16556</v>
      </c>
      <c r="E7341" s="803">
        <v>30</v>
      </c>
      <c r="F7341" s="850">
        <v>0</v>
      </c>
      <c r="G7341" s="202" t="str">
        <f t="shared" si="114"/>
        <v/>
      </c>
    </row>
    <row r="7342" spans="1:7" s="172" customFormat="1" ht="15" customHeight="1" x14ac:dyDescent="0.25">
      <c r="A7342" s="803" t="s">
        <v>16557</v>
      </c>
      <c r="B7342" s="803" t="s">
        <v>16248</v>
      </c>
      <c r="C7342" s="803" t="s">
        <v>16248</v>
      </c>
      <c r="D7342" s="803" t="s">
        <v>16558</v>
      </c>
      <c r="E7342" s="803">
        <v>30</v>
      </c>
      <c r="F7342" s="850">
        <v>0</v>
      </c>
      <c r="G7342" s="202" t="str">
        <f t="shared" si="114"/>
        <v/>
      </c>
    </row>
    <row r="7343" spans="1:7" s="172" customFormat="1" ht="15" customHeight="1" x14ac:dyDescent="0.25">
      <c r="A7343" s="803" t="s">
        <v>12990</v>
      </c>
      <c r="B7343" s="803" t="s">
        <v>16248</v>
      </c>
      <c r="C7343" s="803" t="s">
        <v>16248</v>
      </c>
      <c r="D7343" s="803" t="s">
        <v>16559</v>
      </c>
      <c r="E7343" s="803">
        <v>30</v>
      </c>
      <c r="F7343" s="850">
        <v>0</v>
      </c>
      <c r="G7343" s="202" t="str">
        <f t="shared" si="114"/>
        <v/>
      </c>
    </row>
    <row r="7344" spans="1:7" s="172" customFormat="1" ht="15" customHeight="1" x14ac:dyDescent="0.25">
      <c r="A7344" s="803" t="s">
        <v>2440</v>
      </c>
      <c r="B7344" s="803" t="s">
        <v>16248</v>
      </c>
      <c r="C7344" s="803" t="s">
        <v>16248</v>
      </c>
      <c r="D7344" s="803" t="s">
        <v>16560</v>
      </c>
      <c r="E7344" s="803">
        <v>63</v>
      </c>
      <c r="F7344" s="850">
        <v>0</v>
      </c>
      <c r="G7344" s="202" t="str">
        <f t="shared" si="114"/>
        <v/>
      </c>
    </row>
    <row r="7345" spans="1:7" s="172" customFormat="1" ht="15" customHeight="1" x14ac:dyDescent="0.25">
      <c r="A7345" s="803" t="s">
        <v>16479</v>
      </c>
      <c r="B7345" s="803" t="s">
        <v>16248</v>
      </c>
      <c r="C7345" s="803" t="s">
        <v>16248</v>
      </c>
      <c r="D7345" s="803" t="s">
        <v>16561</v>
      </c>
      <c r="E7345" s="803">
        <v>63</v>
      </c>
      <c r="F7345" s="850">
        <v>0</v>
      </c>
      <c r="G7345" s="202" t="str">
        <f t="shared" si="114"/>
        <v/>
      </c>
    </row>
    <row r="7346" spans="1:7" s="172" customFormat="1" ht="15" customHeight="1" x14ac:dyDescent="0.25">
      <c r="A7346" s="803" t="s">
        <v>16479</v>
      </c>
      <c r="B7346" s="803" t="s">
        <v>16248</v>
      </c>
      <c r="C7346" s="803" t="s">
        <v>16248</v>
      </c>
      <c r="D7346" s="803" t="s">
        <v>16562</v>
      </c>
      <c r="E7346" s="803">
        <v>100</v>
      </c>
      <c r="F7346" s="850">
        <v>0</v>
      </c>
      <c r="G7346" s="202" t="str">
        <f t="shared" si="114"/>
        <v/>
      </c>
    </row>
    <row r="7347" spans="1:7" s="172" customFormat="1" ht="15" customHeight="1" x14ac:dyDescent="0.25">
      <c r="A7347" s="803" t="s">
        <v>16494</v>
      </c>
      <c r="B7347" s="803" t="s">
        <v>16248</v>
      </c>
      <c r="C7347" s="803" t="s">
        <v>16248</v>
      </c>
      <c r="D7347" s="803" t="s">
        <v>11435</v>
      </c>
      <c r="E7347" s="803">
        <v>40</v>
      </c>
      <c r="F7347" s="850">
        <v>0</v>
      </c>
      <c r="G7347" s="202" t="str">
        <f t="shared" si="114"/>
        <v/>
      </c>
    </row>
    <row r="7348" spans="1:7" s="172" customFormat="1" ht="15" customHeight="1" x14ac:dyDescent="0.25">
      <c r="A7348" s="803" t="s">
        <v>16563</v>
      </c>
      <c r="B7348" s="803" t="s">
        <v>16248</v>
      </c>
      <c r="C7348" s="803" t="s">
        <v>16248</v>
      </c>
      <c r="D7348" s="803" t="s">
        <v>16564</v>
      </c>
      <c r="E7348" s="803">
        <v>100</v>
      </c>
      <c r="F7348" s="850">
        <v>0</v>
      </c>
      <c r="G7348" s="202" t="str">
        <f t="shared" si="114"/>
        <v/>
      </c>
    </row>
    <row r="7349" spans="1:7" s="172" customFormat="1" ht="15" customHeight="1" x14ac:dyDescent="0.25">
      <c r="A7349" s="803" t="s">
        <v>2938</v>
      </c>
      <c r="B7349" s="803" t="s">
        <v>16248</v>
      </c>
      <c r="C7349" s="803" t="s">
        <v>16248</v>
      </c>
      <c r="D7349" s="803" t="s">
        <v>16565</v>
      </c>
      <c r="E7349" s="803">
        <v>63</v>
      </c>
      <c r="F7349" s="850">
        <v>0</v>
      </c>
      <c r="G7349" s="202" t="str">
        <f t="shared" si="114"/>
        <v/>
      </c>
    </row>
    <row r="7350" spans="1:7" s="172" customFormat="1" ht="15" customHeight="1" x14ac:dyDescent="0.25">
      <c r="A7350" s="803" t="s">
        <v>16479</v>
      </c>
      <c r="B7350" s="803" t="s">
        <v>16248</v>
      </c>
      <c r="C7350" s="803" t="s">
        <v>16248</v>
      </c>
      <c r="D7350" s="803" t="s">
        <v>16566</v>
      </c>
      <c r="E7350" s="803">
        <v>100</v>
      </c>
      <c r="F7350" s="850">
        <v>0</v>
      </c>
      <c r="G7350" s="202" t="str">
        <f t="shared" si="114"/>
        <v/>
      </c>
    </row>
    <row r="7351" spans="1:7" s="172" customFormat="1" ht="15" customHeight="1" x14ac:dyDescent="0.25">
      <c r="A7351" s="803" t="s">
        <v>9849</v>
      </c>
      <c r="B7351" s="803" t="s">
        <v>16248</v>
      </c>
      <c r="C7351" s="803" t="s">
        <v>16248</v>
      </c>
      <c r="D7351" s="803" t="s">
        <v>16567</v>
      </c>
      <c r="E7351" s="803">
        <v>250</v>
      </c>
      <c r="F7351" s="850">
        <v>144</v>
      </c>
      <c r="G7351" s="202" t="str">
        <f t="shared" si="114"/>
        <v/>
      </c>
    </row>
    <row r="7352" spans="1:7" s="172" customFormat="1" ht="15" customHeight="1" x14ac:dyDescent="0.25">
      <c r="A7352" s="803" t="s">
        <v>16568</v>
      </c>
      <c r="B7352" s="803" t="s">
        <v>16248</v>
      </c>
      <c r="C7352" s="803" t="s">
        <v>16248</v>
      </c>
      <c r="D7352" s="803" t="s">
        <v>16569</v>
      </c>
      <c r="E7352" s="803">
        <v>100</v>
      </c>
      <c r="F7352" s="850">
        <v>0</v>
      </c>
      <c r="G7352" s="202" t="str">
        <f t="shared" si="114"/>
        <v/>
      </c>
    </row>
    <row r="7353" spans="1:7" s="172" customFormat="1" ht="15" customHeight="1" x14ac:dyDescent="0.25">
      <c r="A7353" s="803" t="s">
        <v>16570</v>
      </c>
      <c r="B7353" s="803" t="s">
        <v>16248</v>
      </c>
      <c r="C7353" s="803" t="s">
        <v>16248</v>
      </c>
      <c r="D7353" s="803" t="s">
        <v>16571</v>
      </c>
      <c r="E7353" s="803">
        <v>400</v>
      </c>
      <c r="F7353" s="850">
        <v>321</v>
      </c>
      <c r="G7353" s="202" t="str">
        <f t="shared" si="114"/>
        <v/>
      </c>
    </row>
    <row r="7354" spans="1:7" s="172" customFormat="1" ht="15" customHeight="1" x14ac:dyDescent="0.25">
      <c r="A7354" s="803" t="s">
        <v>7738</v>
      </c>
      <c r="B7354" s="803" t="s">
        <v>16248</v>
      </c>
      <c r="C7354" s="803" t="s">
        <v>16248</v>
      </c>
      <c r="D7354" s="803" t="s">
        <v>16572</v>
      </c>
      <c r="E7354" s="803">
        <v>40</v>
      </c>
      <c r="F7354" s="850">
        <v>0</v>
      </c>
      <c r="G7354" s="202" t="str">
        <f t="shared" si="114"/>
        <v/>
      </c>
    </row>
    <row r="7355" spans="1:7" s="172" customFormat="1" ht="15" customHeight="1" x14ac:dyDescent="0.25">
      <c r="A7355" s="803" t="s">
        <v>6531</v>
      </c>
      <c r="B7355" s="803" t="s">
        <v>16248</v>
      </c>
      <c r="C7355" s="803" t="s">
        <v>16248</v>
      </c>
      <c r="D7355" s="803" t="s">
        <v>16573</v>
      </c>
      <c r="E7355" s="803">
        <v>100</v>
      </c>
      <c r="F7355" s="850">
        <v>44</v>
      </c>
      <c r="G7355" s="202" t="str">
        <f t="shared" si="114"/>
        <v/>
      </c>
    </row>
    <row r="7356" spans="1:7" s="172" customFormat="1" ht="15" customHeight="1" x14ac:dyDescent="0.25">
      <c r="A7356" s="803" t="s">
        <v>16574</v>
      </c>
      <c r="B7356" s="803" t="s">
        <v>16248</v>
      </c>
      <c r="C7356" s="803" t="s">
        <v>16248</v>
      </c>
      <c r="D7356" s="803" t="s">
        <v>16575</v>
      </c>
      <c r="E7356" s="803">
        <v>100</v>
      </c>
      <c r="F7356" s="850">
        <v>11</v>
      </c>
      <c r="G7356" s="202" t="str">
        <f t="shared" si="114"/>
        <v/>
      </c>
    </row>
    <row r="7357" spans="1:7" s="172" customFormat="1" ht="15" customHeight="1" x14ac:dyDescent="0.25">
      <c r="A7357" s="803" t="s">
        <v>16574</v>
      </c>
      <c r="B7357" s="803" t="s">
        <v>16248</v>
      </c>
      <c r="C7357" s="803" t="s">
        <v>16248</v>
      </c>
      <c r="D7357" s="803" t="s">
        <v>16576</v>
      </c>
      <c r="E7357" s="803">
        <v>250</v>
      </c>
      <c r="F7357" s="850">
        <v>109</v>
      </c>
      <c r="G7357" s="202" t="str">
        <f t="shared" si="114"/>
        <v/>
      </c>
    </row>
    <row r="7358" spans="1:7" s="172" customFormat="1" ht="15" customHeight="1" x14ac:dyDescent="0.25">
      <c r="A7358" s="803" t="s">
        <v>16577</v>
      </c>
      <c r="B7358" s="803" t="s">
        <v>16248</v>
      </c>
      <c r="C7358" s="803" t="s">
        <v>16248</v>
      </c>
      <c r="D7358" s="803" t="s">
        <v>16578</v>
      </c>
      <c r="E7358" s="803">
        <v>40</v>
      </c>
      <c r="F7358" s="850">
        <v>7</v>
      </c>
      <c r="G7358" s="202" t="str">
        <f t="shared" si="114"/>
        <v/>
      </c>
    </row>
    <row r="7359" spans="1:7" s="172" customFormat="1" ht="15" customHeight="1" x14ac:dyDescent="0.25">
      <c r="A7359" s="803" t="s">
        <v>12911</v>
      </c>
      <c r="B7359" s="803" t="s">
        <v>16248</v>
      </c>
      <c r="C7359" s="803" t="s">
        <v>16248</v>
      </c>
      <c r="D7359" s="803" t="s">
        <v>16579</v>
      </c>
      <c r="E7359" s="803">
        <v>10</v>
      </c>
      <c r="F7359" s="850">
        <v>0</v>
      </c>
      <c r="G7359" s="202" t="str">
        <f t="shared" si="114"/>
        <v/>
      </c>
    </row>
    <row r="7360" spans="1:7" s="172" customFormat="1" ht="15" customHeight="1" x14ac:dyDescent="0.25">
      <c r="A7360" s="803" t="s">
        <v>12651</v>
      </c>
      <c r="B7360" s="803" t="s">
        <v>16248</v>
      </c>
      <c r="C7360" s="803" t="s">
        <v>16248</v>
      </c>
      <c r="D7360" s="803" t="s">
        <v>12648</v>
      </c>
      <c r="E7360" s="803">
        <v>160</v>
      </c>
      <c r="F7360" s="850">
        <v>113</v>
      </c>
      <c r="G7360" s="202" t="str">
        <f t="shared" si="114"/>
        <v/>
      </c>
    </row>
    <row r="7361" spans="1:7" s="172" customFormat="1" ht="15" customHeight="1" x14ac:dyDescent="0.25">
      <c r="A7361" s="803" t="s">
        <v>9302</v>
      </c>
      <c r="B7361" s="803" t="s">
        <v>16248</v>
      </c>
      <c r="C7361" s="803" t="s">
        <v>16248</v>
      </c>
      <c r="D7361" s="803" t="s">
        <v>16580</v>
      </c>
      <c r="E7361" s="803">
        <v>100</v>
      </c>
      <c r="F7361" s="850">
        <v>32</v>
      </c>
      <c r="G7361" s="202" t="str">
        <f t="shared" si="114"/>
        <v/>
      </c>
    </row>
    <row r="7362" spans="1:7" s="172" customFormat="1" ht="15" customHeight="1" x14ac:dyDescent="0.25">
      <c r="A7362" s="803" t="s">
        <v>16581</v>
      </c>
      <c r="B7362" s="803" t="s">
        <v>16248</v>
      </c>
      <c r="C7362" s="803" t="s">
        <v>16248</v>
      </c>
      <c r="D7362" s="803" t="s">
        <v>16582</v>
      </c>
      <c r="E7362" s="803">
        <v>250</v>
      </c>
      <c r="F7362" s="850">
        <v>82</v>
      </c>
      <c r="G7362" s="202" t="str">
        <f t="shared" si="114"/>
        <v/>
      </c>
    </row>
    <row r="7363" spans="1:7" s="172" customFormat="1" ht="15" customHeight="1" x14ac:dyDescent="0.25">
      <c r="A7363" s="803" t="s">
        <v>5699</v>
      </c>
      <c r="B7363" s="803" t="s">
        <v>16248</v>
      </c>
      <c r="C7363" s="803" t="s">
        <v>16248</v>
      </c>
      <c r="D7363" s="803" t="s">
        <v>16583</v>
      </c>
      <c r="E7363" s="803">
        <v>100</v>
      </c>
      <c r="F7363" s="850">
        <v>47</v>
      </c>
      <c r="G7363" s="202" t="str">
        <f t="shared" si="114"/>
        <v/>
      </c>
    </row>
    <row r="7364" spans="1:7" s="172" customFormat="1" ht="15" customHeight="1" x14ac:dyDescent="0.25">
      <c r="A7364" s="803" t="s">
        <v>16584</v>
      </c>
      <c r="B7364" s="803" t="s">
        <v>16248</v>
      </c>
      <c r="C7364" s="803" t="s">
        <v>16248</v>
      </c>
      <c r="D7364" s="803" t="s">
        <v>16585</v>
      </c>
      <c r="E7364" s="803">
        <v>100</v>
      </c>
      <c r="F7364" s="850">
        <v>63</v>
      </c>
      <c r="G7364" s="202" t="str">
        <f t="shared" si="114"/>
        <v/>
      </c>
    </row>
    <row r="7365" spans="1:7" s="172" customFormat="1" ht="15" customHeight="1" x14ac:dyDescent="0.25">
      <c r="A7365" s="803" t="s">
        <v>4017</v>
      </c>
      <c r="B7365" s="803" t="s">
        <v>16248</v>
      </c>
      <c r="C7365" s="803" t="s">
        <v>16248</v>
      </c>
      <c r="D7365" s="803" t="s">
        <v>16586</v>
      </c>
      <c r="E7365" s="803">
        <v>160</v>
      </c>
      <c r="F7365" s="850">
        <v>78</v>
      </c>
      <c r="G7365" s="202" t="str">
        <f t="shared" si="114"/>
        <v/>
      </c>
    </row>
    <row r="7366" spans="1:7" s="172" customFormat="1" ht="15" customHeight="1" x14ac:dyDescent="0.25">
      <c r="A7366" s="803" t="s">
        <v>3249</v>
      </c>
      <c r="B7366" s="803" t="s">
        <v>16248</v>
      </c>
      <c r="C7366" s="803" t="s">
        <v>16248</v>
      </c>
      <c r="D7366" s="803" t="s">
        <v>16587</v>
      </c>
      <c r="E7366" s="803">
        <v>30</v>
      </c>
      <c r="F7366" s="850">
        <v>15</v>
      </c>
      <c r="G7366" s="202" t="str">
        <f t="shared" si="114"/>
        <v/>
      </c>
    </row>
    <row r="7367" spans="1:7" s="172" customFormat="1" ht="15" customHeight="1" x14ac:dyDescent="0.25">
      <c r="A7367" s="803" t="s">
        <v>16588</v>
      </c>
      <c r="B7367" s="803" t="s">
        <v>16248</v>
      </c>
      <c r="C7367" s="803" t="s">
        <v>16248</v>
      </c>
      <c r="D7367" s="803" t="s">
        <v>16589</v>
      </c>
      <c r="E7367" s="803">
        <v>160</v>
      </c>
      <c r="F7367" s="850">
        <v>94</v>
      </c>
      <c r="G7367" s="202" t="str">
        <f t="shared" si="114"/>
        <v/>
      </c>
    </row>
    <row r="7368" spans="1:7" s="172" customFormat="1" ht="15" customHeight="1" x14ac:dyDescent="0.25">
      <c r="A7368" s="803" t="s">
        <v>2922</v>
      </c>
      <c r="B7368" s="803" t="s">
        <v>16248</v>
      </c>
      <c r="C7368" s="803" t="s">
        <v>16248</v>
      </c>
      <c r="D7368" s="803" t="s">
        <v>2922</v>
      </c>
      <c r="E7368" s="803">
        <v>30</v>
      </c>
      <c r="F7368" s="850">
        <v>0</v>
      </c>
      <c r="G7368" s="202" t="str">
        <f t="shared" si="114"/>
        <v/>
      </c>
    </row>
    <row r="7369" spans="1:7" s="172" customFormat="1" ht="15" customHeight="1" x14ac:dyDescent="0.25">
      <c r="A7369" s="803" t="s">
        <v>16348</v>
      </c>
      <c r="B7369" s="803" t="s">
        <v>16248</v>
      </c>
      <c r="C7369" s="803" t="s">
        <v>16248</v>
      </c>
      <c r="D7369" s="803" t="s">
        <v>16590</v>
      </c>
      <c r="E7369" s="803">
        <v>160</v>
      </c>
      <c r="F7369" s="850">
        <v>11</v>
      </c>
      <c r="G7369" s="202" t="str">
        <f t="shared" si="114"/>
        <v/>
      </c>
    </row>
    <row r="7370" spans="1:7" s="172" customFormat="1" ht="15" customHeight="1" x14ac:dyDescent="0.25">
      <c r="A7370" s="803" t="s">
        <v>18583</v>
      </c>
      <c r="B7370" s="803" t="s">
        <v>16248</v>
      </c>
      <c r="C7370" s="803" t="s">
        <v>16248</v>
      </c>
      <c r="D7370" s="803" t="s">
        <v>18584</v>
      </c>
      <c r="E7370" s="803">
        <v>40</v>
      </c>
      <c r="F7370" s="850">
        <v>20</v>
      </c>
      <c r="G7370" s="202" t="str">
        <f t="shared" si="114"/>
        <v/>
      </c>
    </row>
    <row r="7371" spans="1:7" s="172" customFormat="1" ht="15" customHeight="1" x14ac:dyDescent="0.25">
      <c r="A7371" s="803" t="s">
        <v>6305</v>
      </c>
      <c r="B7371" s="803" t="s">
        <v>16248</v>
      </c>
      <c r="C7371" s="803" t="s">
        <v>16248</v>
      </c>
      <c r="D7371" s="803" t="s">
        <v>6305</v>
      </c>
      <c r="E7371" s="803">
        <v>60</v>
      </c>
      <c r="F7371" s="850">
        <v>0</v>
      </c>
      <c r="G7371" s="202" t="str">
        <f t="shared" si="114"/>
        <v/>
      </c>
    </row>
    <row r="7372" spans="1:7" s="172" customFormat="1" ht="15" customHeight="1" x14ac:dyDescent="0.25">
      <c r="A7372" s="803" t="s">
        <v>2535</v>
      </c>
      <c r="B7372" s="803" t="s">
        <v>16248</v>
      </c>
      <c r="C7372" s="803" t="s">
        <v>16248</v>
      </c>
      <c r="D7372" s="803" t="s">
        <v>2535</v>
      </c>
      <c r="E7372" s="803">
        <v>60</v>
      </c>
      <c r="F7372" s="850">
        <v>0</v>
      </c>
      <c r="G7372" s="202" t="str">
        <f t="shared" si="114"/>
        <v/>
      </c>
    </row>
    <row r="7373" spans="1:7" s="172" customFormat="1" ht="15" customHeight="1" x14ac:dyDescent="0.25">
      <c r="A7373" s="803" t="s">
        <v>16591</v>
      </c>
      <c r="B7373" s="803" t="s">
        <v>16248</v>
      </c>
      <c r="C7373" s="803" t="s">
        <v>16248</v>
      </c>
      <c r="D7373" s="803" t="s">
        <v>16591</v>
      </c>
      <c r="E7373" s="803">
        <v>30</v>
      </c>
      <c r="F7373" s="850">
        <v>7</v>
      </c>
      <c r="G7373" s="202" t="str">
        <f t="shared" si="114"/>
        <v/>
      </c>
    </row>
    <row r="7374" spans="1:7" s="172" customFormat="1" ht="15" customHeight="1" x14ac:dyDescent="0.25">
      <c r="A7374" s="803" t="s">
        <v>16592</v>
      </c>
      <c r="B7374" s="803" t="s">
        <v>16248</v>
      </c>
      <c r="C7374" s="803" t="s">
        <v>16248</v>
      </c>
      <c r="D7374" s="803" t="s">
        <v>16593</v>
      </c>
      <c r="E7374" s="803">
        <v>250</v>
      </c>
      <c r="F7374" s="850">
        <v>250</v>
      </c>
      <c r="G7374" s="202" t="str">
        <f t="shared" si="114"/>
        <v>не загружен</v>
      </c>
    </row>
    <row r="7375" spans="1:7" s="172" customFormat="1" ht="15" customHeight="1" x14ac:dyDescent="0.25">
      <c r="A7375" s="803"/>
      <c r="B7375" s="803" t="s">
        <v>16248</v>
      </c>
      <c r="C7375" s="803" t="s">
        <v>16248</v>
      </c>
      <c r="D7375" s="803"/>
      <c r="E7375" s="803">
        <v>250</v>
      </c>
      <c r="F7375" s="850">
        <v>94</v>
      </c>
      <c r="G7375" s="202" t="str">
        <f t="shared" si="114"/>
        <v/>
      </c>
    </row>
    <row r="7376" spans="1:7" s="172" customFormat="1" ht="15" customHeight="1" x14ac:dyDescent="0.25">
      <c r="A7376" s="803" t="s">
        <v>16592</v>
      </c>
      <c r="B7376" s="803" t="s">
        <v>16248</v>
      </c>
      <c r="C7376" s="803" t="s">
        <v>16248</v>
      </c>
      <c r="D7376" s="803" t="s">
        <v>16594</v>
      </c>
      <c r="E7376" s="803">
        <v>160</v>
      </c>
      <c r="F7376" s="850">
        <v>0</v>
      </c>
      <c r="G7376" s="202" t="str">
        <f t="shared" si="114"/>
        <v/>
      </c>
    </row>
    <row r="7377" spans="1:7" s="172" customFormat="1" ht="15" customHeight="1" x14ac:dyDescent="0.25">
      <c r="A7377" s="803" t="s">
        <v>16592</v>
      </c>
      <c r="B7377" s="803" t="s">
        <v>16248</v>
      </c>
      <c r="C7377" s="803" t="s">
        <v>16248</v>
      </c>
      <c r="D7377" s="803" t="s">
        <v>4494</v>
      </c>
      <c r="E7377" s="803">
        <v>60</v>
      </c>
      <c r="F7377" s="850">
        <v>0</v>
      </c>
      <c r="G7377" s="202" t="str">
        <f t="shared" si="114"/>
        <v/>
      </c>
    </row>
    <row r="7378" spans="1:7" s="172" customFormat="1" ht="15" customHeight="1" x14ac:dyDescent="0.25">
      <c r="A7378" s="803" t="s">
        <v>16595</v>
      </c>
      <c r="B7378" s="803" t="s">
        <v>16248</v>
      </c>
      <c r="C7378" s="803" t="s">
        <v>16248</v>
      </c>
      <c r="D7378" s="803" t="s">
        <v>16596</v>
      </c>
      <c r="E7378" s="803">
        <v>30</v>
      </c>
      <c r="F7378" s="850">
        <v>16</v>
      </c>
      <c r="G7378" s="202" t="str">
        <f t="shared" si="114"/>
        <v/>
      </c>
    </row>
    <row r="7379" spans="1:7" s="172" customFormat="1" ht="15" customHeight="1" x14ac:dyDescent="0.25">
      <c r="A7379" s="803" t="s">
        <v>16597</v>
      </c>
      <c r="B7379" s="803" t="s">
        <v>16248</v>
      </c>
      <c r="C7379" s="803" t="s">
        <v>16248</v>
      </c>
      <c r="D7379" s="803" t="s">
        <v>16598</v>
      </c>
      <c r="E7379" s="803">
        <v>250</v>
      </c>
      <c r="F7379" s="850">
        <v>164</v>
      </c>
      <c r="G7379" s="202" t="str">
        <f t="shared" si="114"/>
        <v/>
      </c>
    </row>
    <row r="7380" spans="1:7" s="172" customFormat="1" ht="15" customHeight="1" x14ac:dyDescent="0.25">
      <c r="A7380" s="803" t="s">
        <v>16597</v>
      </c>
      <c r="B7380" s="803" t="s">
        <v>16248</v>
      </c>
      <c r="C7380" s="803" t="s">
        <v>16248</v>
      </c>
      <c r="D7380" s="803" t="s">
        <v>16599</v>
      </c>
      <c r="E7380" s="803">
        <v>100</v>
      </c>
      <c r="F7380" s="850">
        <v>0</v>
      </c>
      <c r="G7380" s="202" t="str">
        <f t="shared" si="114"/>
        <v/>
      </c>
    </row>
    <row r="7381" spans="1:7" s="172" customFormat="1" ht="15" customHeight="1" x14ac:dyDescent="0.25">
      <c r="A7381" s="803" t="s">
        <v>16600</v>
      </c>
      <c r="B7381" s="803" t="s">
        <v>16248</v>
      </c>
      <c r="C7381" s="803" t="s">
        <v>16248</v>
      </c>
      <c r="D7381" s="803" t="s">
        <v>16601</v>
      </c>
      <c r="E7381" s="803">
        <v>250</v>
      </c>
      <c r="F7381" s="850">
        <v>82</v>
      </c>
      <c r="G7381" s="202" t="str">
        <f t="shared" si="114"/>
        <v/>
      </c>
    </row>
    <row r="7382" spans="1:7" s="172" customFormat="1" ht="15" customHeight="1" x14ac:dyDescent="0.25">
      <c r="A7382" s="803" t="s">
        <v>3424</v>
      </c>
      <c r="B7382" s="803" t="s">
        <v>16248</v>
      </c>
      <c r="C7382" s="803" t="s">
        <v>16248</v>
      </c>
      <c r="D7382" s="803" t="s">
        <v>12147</v>
      </c>
      <c r="E7382" s="803">
        <v>100</v>
      </c>
      <c r="F7382" s="850">
        <v>55</v>
      </c>
      <c r="G7382" s="202" t="str">
        <f t="shared" si="114"/>
        <v/>
      </c>
    </row>
    <row r="7383" spans="1:7" s="172" customFormat="1" ht="15" customHeight="1" x14ac:dyDescent="0.25">
      <c r="A7383" s="803" t="s">
        <v>16600</v>
      </c>
      <c r="B7383" s="803" t="s">
        <v>16248</v>
      </c>
      <c r="C7383" s="803" t="s">
        <v>16248</v>
      </c>
      <c r="D7383" s="803" t="s">
        <v>16602</v>
      </c>
      <c r="E7383" s="803">
        <v>100</v>
      </c>
      <c r="F7383" s="850">
        <v>0</v>
      </c>
      <c r="G7383" s="202" t="str">
        <f t="shared" si="114"/>
        <v/>
      </c>
    </row>
    <row r="7384" spans="1:7" s="172" customFormat="1" ht="15" customHeight="1" x14ac:dyDescent="0.25">
      <c r="A7384" s="803" t="s">
        <v>16592</v>
      </c>
      <c r="B7384" s="803" t="s">
        <v>16248</v>
      </c>
      <c r="C7384" s="803" t="s">
        <v>16248</v>
      </c>
      <c r="D7384" s="803" t="s">
        <v>16603</v>
      </c>
      <c r="E7384" s="803">
        <v>160</v>
      </c>
      <c r="F7384" s="850">
        <v>74</v>
      </c>
      <c r="G7384" s="202" t="str">
        <f t="shared" si="114"/>
        <v/>
      </c>
    </row>
    <row r="7385" spans="1:7" s="172" customFormat="1" ht="15" customHeight="1" x14ac:dyDescent="0.25">
      <c r="A7385" s="803" t="s">
        <v>16592</v>
      </c>
      <c r="B7385" s="803" t="s">
        <v>16248</v>
      </c>
      <c r="C7385" s="803" t="s">
        <v>16248</v>
      </c>
      <c r="D7385" s="803" t="s">
        <v>16604</v>
      </c>
      <c r="E7385" s="803">
        <v>100</v>
      </c>
      <c r="F7385" s="850">
        <v>0</v>
      </c>
      <c r="G7385" s="202" t="str">
        <f t="shared" si="114"/>
        <v/>
      </c>
    </row>
    <row r="7386" spans="1:7" s="172" customFormat="1" ht="15" customHeight="1" x14ac:dyDescent="0.25">
      <c r="A7386" s="803" t="s">
        <v>16592</v>
      </c>
      <c r="B7386" s="803" t="s">
        <v>16248</v>
      </c>
      <c r="C7386" s="803" t="s">
        <v>16248</v>
      </c>
      <c r="D7386" s="803" t="s">
        <v>16605</v>
      </c>
      <c r="E7386" s="803">
        <v>250</v>
      </c>
      <c r="F7386" s="850">
        <v>104</v>
      </c>
      <c r="G7386" s="202" t="str">
        <f t="shared" si="114"/>
        <v/>
      </c>
    </row>
    <row r="7387" spans="1:7" s="172" customFormat="1" ht="15" customHeight="1" x14ac:dyDescent="0.25">
      <c r="A7387" s="803" t="s">
        <v>16606</v>
      </c>
      <c r="B7387" s="803" t="s">
        <v>16248</v>
      </c>
      <c r="C7387" s="803" t="s">
        <v>16248</v>
      </c>
      <c r="D7387" s="803" t="s">
        <v>12352</v>
      </c>
      <c r="E7387" s="803">
        <v>30</v>
      </c>
      <c r="F7387" s="850">
        <v>0</v>
      </c>
      <c r="G7387" s="202" t="str">
        <f t="shared" si="114"/>
        <v/>
      </c>
    </row>
    <row r="7388" spans="1:7" s="172" customFormat="1" ht="15" customHeight="1" x14ac:dyDescent="0.25">
      <c r="A7388" s="803" t="s">
        <v>6219</v>
      </c>
      <c r="B7388" s="803" t="s">
        <v>16248</v>
      </c>
      <c r="C7388" s="803" t="s">
        <v>16248</v>
      </c>
      <c r="D7388" s="803" t="s">
        <v>4413</v>
      </c>
      <c r="E7388" s="803">
        <v>60</v>
      </c>
      <c r="F7388" s="850">
        <v>45</v>
      </c>
      <c r="G7388" s="202" t="str">
        <f t="shared" si="114"/>
        <v/>
      </c>
    </row>
    <row r="7389" spans="1:7" s="172" customFormat="1" ht="15" customHeight="1" x14ac:dyDescent="0.25">
      <c r="A7389" s="803" t="s">
        <v>7850</v>
      </c>
      <c r="B7389" s="803" t="s">
        <v>16248</v>
      </c>
      <c r="C7389" s="803" t="s">
        <v>16248</v>
      </c>
      <c r="D7389" s="803" t="s">
        <v>16607</v>
      </c>
      <c r="E7389" s="803">
        <v>50</v>
      </c>
      <c r="F7389" s="850">
        <v>0</v>
      </c>
      <c r="G7389" s="202" t="str">
        <f t="shared" si="114"/>
        <v/>
      </c>
    </row>
    <row r="7390" spans="1:7" s="172" customFormat="1" ht="15" customHeight="1" x14ac:dyDescent="0.25">
      <c r="A7390" s="803" t="s">
        <v>5715</v>
      </c>
      <c r="B7390" s="803" t="s">
        <v>16248</v>
      </c>
      <c r="C7390" s="803" t="s">
        <v>16248</v>
      </c>
      <c r="D7390" s="803" t="s">
        <v>16608</v>
      </c>
      <c r="E7390" s="803">
        <v>30</v>
      </c>
      <c r="F7390" s="850">
        <v>6</v>
      </c>
      <c r="G7390" s="202" t="str">
        <f t="shared" ref="G7390:G7453" si="115">IF(E7390=F7390,"не загружен","")</f>
        <v/>
      </c>
    </row>
    <row r="7391" spans="1:7" s="172" customFormat="1" ht="15" customHeight="1" x14ac:dyDescent="0.25">
      <c r="A7391" s="803" t="s">
        <v>16609</v>
      </c>
      <c r="B7391" s="803" t="s">
        <v>16248</v>
      </c>
      <c r="C7391" s="803" t="s">
        <v>16248</v>
      </c>
      <c r="D7391" s="803" t="s">
        <v>16610</v>
      </c>
      <c r="E7391" s="803">
        <v>30</v>
      </c>
      <c r="F7391" s="850">
        <v>0</v>
      </c>
      <c r="G7391" s="202" t="str">
        <f t="shared" si="115"/>
        <v/>
      </c>
    </row>
    <row r="7392" spans="1:7" s="172" customFormat="1" ht="15" customHeight="1" x14ac:dyDescent="0.25">
      <c r="A7392" s="803" t="s">
        <v>7803</v>
      </c>
      <c r="B7392" s="803" t="s">
        <v>16248</v>
      </c>
      <c r="C7392" s="803" t="s">
        <v>16248</v>
      </c>
      <c r="D7392" s="803" t="s">
        <v>16611</v>
      </c>
      <c r="E7392" s="803">
        <v>30</v>
      </c>
      <c r="F7392" s="850">
        <v>0</v>
      </c>
      <c r="G7392" s="202" t="str">
        <f t="shared" si="115"/>
        <v/>
      </c>
    </row>
    <row r="7393" spans="1:7" s="172" customFormat="1" ht="15" customHeight="1" x14ac:dyDescent="0.25">
      <c r="A7393" s="803" t="s">
        <v>13231</v>
      </c>
      <c r="B7393" s="803" t="s">
        <v>16248</v>
      </c>
      <c r="C7393" s="803" t="s">
        <v>16248</v>
      </c>
      <c r="D7393" s="803" t="s">
        <v>16612</v>
      </c>
      <c r="E7393" s="803">
        <v>160</v>
      </c>
      <c r="F7393" s="850">
        <v>160</v>
      </c>
      <c r="G7393" s="202" t="str">
        <f t="shared" si="115"/>
        <v>не загружен</v>
      </c>
    </row>
    <row r="7394" spans="1:7" s="172" customFormat="1" ht="15" customHeight="1" x14ac:dyDescent="0.25">
      <c r="A7394" s="803" t="s">
        <v>13231</v>
      </c>
      <c r="B7394" s="803" t="s">
        <v>16248</v>
      </c>
      <c r="C7394" s="803" t="s">
        <v>16248</v>
      </c>
      <c r="D7394" s="803" t="s">
        <v>16613</v>
      </c>
      <c r="E7394" s="803">
        <v>100</v>
      </c>
      <c r="F7394" s="850">
        <v>0</v>
      </c>
      <c r="G7394" s="202" t="str">
        <f t="shared" si="115"/>
        <v/>
      </c>
    </row>
    <row r="7395" spans="1:7" s="172" customFormat="1" ht="15" customHeight="1" x14ac:dyDescent="0.25">
      <c r="A7395" s="803" t="s">
        <v>13231</v>
      </c>
      <c r="B7395" s="803" t="s">
        <v>16248</v>
      </c>
      <c r="C7395" s="803" t="s">
        <v>16248</v>
      </c>
      <c r="D7395" s="803" t="s">
        <v>16614</v>
      </c>
      <c r="E7395" s="803">
        <v>160</v>
      </c>
      <c r="F7395" s="850">
        <v>160</v>
      </c>
      <c r="G7395" s="202" t="str">
        <f t="shared" si="115"/>
        <v>не загружен</v>
      </c>
    </row>
    <row r="7396" spans="1:7" s="172" customFormat="1" ht="15" customHeight="1" x14ac:dyDescent="0.25">
      <c r="A7396" s="803" t="s">
        <v>16615</v>
      </c>
      <c r="B7396" s="803" t="s">
        <v>16248</v>
      </c>
      <c r="C7396" s="803" t="s">
        <v>16248</v>
      </c>
      <c r="D7396" s="803" t="s">
        <v>16616</v>
      </c>
      <c r="E7396" s="803">
        <v>250</v>
      </c>
      <c r="F7396" s="850">
        <v>232</v>
      </c>
      <c r="G7396" s="202" t="str">
        <f t="shared" si="115"/>
        <v/>
      </c>
    </row>
    <row r="7397" spans="1:7" s="172" customFormat="1" ht="15" customHeight="1" x14ac:dyDescent="0.25">
      <c r="A7397" s="803" t="s">
        <v>16617</v>
      </c>
      <c r="B7397" s="803" t="s">
        <v>16248</v>
      </c>
      <c r="C7397" s="803" t="s">
        <v>16248</v>
      </c>
      <c r="D7397" s="803" t="s">
        <v>16618</v>
      </c>
      <c r="E7397" s="803">
        <v>30</v>
      </c>
      <c r="F7397" s="850">
        <v>12</v>
      </c>
      <c r="G7397" s="202" t="str">
        <f t="shared" si="115"/>
        <v/>
      </c>
    </row>
    <row r="7398" spans="1:7" s="172" customFormat="1" ht="15" customHeight="1" x14ac:dyDescent="0.25">
      <c r="A7398" s="803" t="s">
        <v>5800</v>
      </c>
      <c r="B7398" s="803" t="s">
        <v>16248</v>
      </c>
      <c r="C7398" s="803" t="s">
        <v>16248</v>
      </c>
      <c r="D7398" s="803" t="s">
        <v>5224</v>
      </c>
      <c r="E7398" s="803">
        <v>30</v>
      </c>
      <c r="F7398" s="850">
        <v>0</v>
      </c>
      <c r="G7398" s="202" t="str">
        <f t="shared" si="115"/>
        <v/>
      </c>
    </row>
    <row r="7399" spans="1:7" s="172" customFormat="1" ht="15" customHeight="1" x14ac:dyDescent="0.25">
      <c r="A7399" s="803" t="s">
        <v>14186</v>
      </c>
      <c r="B7399" s="803" t="s">
        <v>16248</v>
      </c>
      <c r="C7399" s="803" t="s">
        <v>16248</v>
      </c>
      <c r="D7399" s="803" t="s">
        <v>16619</v>
      </c>
      <c r="E7399" s="803">
        <v>160</v>
      </c>
      <c r="F7399" s="850">
        <v>106</v>
      </c>
      <c r="G7399" s="202" t="str">
        <f t="shared" si="115"/>
        <v/>
      </c>
    </row>
    <row r="7400" spans="1:7" s="172" customFormat="1" ht="15" customHeight="1" x14ac:dyDescent="0.25">
      <c r="A7400" s="803" t="s">
        <v>16620</v>
      </c>
      <c r="B7400" s="803" t="s">
        <v>16248</v>
      </c>
      <c r="C7400" s="803" t="s">
        <v>16248</v>
      </c>
      <c r="D7400" s="803" t="s">
        <v>16621</v>
      </c>
      <c r="E7400" s="803">
        <v>160</v>
      </c>
      <c r="F7400" s="850">
        <v>0</v>
      </c>
      <c r="G7400" s="202" t="str">
        <f t="shared" si="115"/>
        <v/>
      </c>
    </row>
    <row r="7401" spans="1:7" s="172" customFormat="1" ht="15" customHeight="1" x14ac:dyDescent="0.25">
      <c r="A7401" s="803" t="s">
        <v>8062</v>
      </c>
      <c r="B7401" s="803" t="s">
        <v>16248</v>
      </c>
      <c r="C7401" s="803" t="s">
        <v>16248</v>
      </c>
      <c r="D7401" s="803" t="s">
        <v>16622</v>
      </c>
      <c r="E7401" s="803">
        <v>30</v>
      </c>
      <c r="F7401" s="850">
        <v>0</v>
      </c>
      <c r="G7401" s="202" t="str">
        <f t="shared" si="115"/>
        <v/>
      </c>
    </row>
    <row r="7402" spans="1:7" s="172" customFormat="1" ht="15" customHeight="1" x14ac:dyDescent="0.25">
      <c r="A7402" s="803" t="s">
        <v>16592</v>
      </c>
      <c r="B7402" s="803" t="s">
        <v>16248</v>
      </c>
      <c r="C7402" s="803" t="s">
        <v>16248</v>
      </c>
      <c r="D7402" s="803" t="s">
        <v>16623</v>
      </c>
      <c r="E7402" s="803">
        <v>100</v>
      </c>
      <c r="F7402" s="850">
        <v>91</v>
      </c>
      <c r="G7402" s="202" t="str">
        <f t="shared" si="115"/>
        <v/>
      </c>
    </row>
    <row r="7403" spans="1:7" s="172" customFormat="1" ht="15" customHeight="1" x14ac:dyDescent="0.25">
      <c r="A7403" s="803" t="s">
        <v>16624</v>
      </c>
      <c r="B7403" s="803" t="s">
        <v>16248</v>
      </c>
      <c r="C7403" s="803" t="s">
        <v>16248</v>
      </c>
      <c r="D7403" s="803" t="s">
        <v>16625</v>
      </c>
      <c r="E7403" s="803">
        <v>100</v>
      </c>
      <c r="F7403" s="850">
        <v>0</v>
      </c>
      <c r="G7403" s="202" t="str">
        <f t="shared" si="115"/>
        <v/>
      </c>
    </row>
    <row r="7404" spans="1:7" s="172" customFormat="1" ht="15" customHeight="1" x14ac:dyDescent="0.25">
      <c r="A7404" s="803" t="s">
        <v>16626</v>
      </c>
      <c r="B7404" s="803" t="s">
        <v>16248</v>
      </c>
      <c r="C7404" s="803" t="s">
        <v>16248</v>
      </c>
      <c r="D7404" s="803" t="s">
        <v>16627</v>
      </c>
      <c r="E7404" s="803">
        <v>60</v>
      </c>
      <c r="F7404" s="850">
        <v>39</v>
      </c>
      <c r="G7404" s="202" t="str">
        <f t="shared" si="115"/>
        <v/>
      </c>
    </row>
    <row r="7405" spans="1:7" s="172" customFormat="1" ht="15" customHeight="1" x14ac:dyDescent="0.25">
      <c r="A7405" s="803" t="s">
        <v>2689</v>
      </c>
      <c r="B7405" s="803" t="s">
        <v>16248</v>
      </c>
      <c r="C7405" s="803" t="s">
        <v>16248</v>
      </c>
      <c r="D7405" s="803" t="s">
        <v>16342</v>
      </c>
      <c r="E7405" s="803">
        <v>20</v>
      </c>
      <c r="F7405" s="850">
        <v>0</v>
      </c>
      <c r="G7405" s="202" t="str">
        <f t="shared" si="115"/>
        <v/>
      </c>
    </row>
    <row r="7406" spans="1:7" s="172" customFormat="1" ht="15" customHeight="1" x14ac:dyDescent="0.25">
      <c r="A7406" s="803" t="s">
        <v>16628</v>
      </c>
      <c r="B7406" s="803" t="s">
        <v>16248</v>
      </c>
      <c r="C7406" s="803" t="s">
        <v>16248</v>
      </c>
      <c r="D7406" s="803" t="s">
        <v>16629</v>
      </c>
      <c r="E7406" s="803">
        <v>160</v>
      </c>
      <c r="F7406" s="850">
        <v>56</v>
      </c>
      <c r="G7406" s="202" t="str">
        <f t="shared" si="115"/>
        <v/>
      </c>
    </row>
    <row r="7407" spans="1:7" s="172" customFormat="1" ht="15" customHeight="1" x14ac:dyDescent="0.25">
      <c r="A7407" s="803" t="s">
        <v>16600</v>
      </c>
      <c r="B7407" s="803" t="s">
        <v>16248</v>
      </c>
      <c r="C7407" s="803" t="s">
        <v>16248</v>
      </c>
      <c r="D7407" s="803" t="s">
        <v>16630</v>
      </c>
      <c r="E7407" s="803">
        <v>160</v>
      </c>
      <c r="F7407" s="850">
        <v>0</v>
      </c>
      <c r="G7407" s="202" t="str">
        <f t="shared" si="115"/>
        <v/>
      </c>
    </row>
    <row r="7408" spans="1:7" s="172" customFormat="1" ht="15" customHeight="1" x14ac:dyDescent="0.25">
      <c r="A7408" s="803" t="s">
        <v>16631</v>
      </c>
      <c r="B7408" s="803" t="s">
        <v>16248</v>
      </c>
      <c r="C7408" s="803" t="s">
        <v>16248</v>
      </c>
      <c r="D7408" s="803" t="s">
        <v>16632</v>
      </c>
      <c r="E7408" s="803">
        <v>60</v>
      </c>
      <c r="F7408" s="850">
        <v>24</v>
      </c>
      <c r="G7408" s="202" t="str">
        <f t="shared" si="115"/>
        <v/>
      </c>
    </row>
    <row r="7409" spans="1:7" s="172" customFormat="1" ht="15" customHeight="1" x14ac:dyDescent="0.25">
      <c r="A7409" s="803" t="s">
        <v>16633</v>
      </c>
      <c r="B7409" s="803" t="s">
        <v>16248</v>
      </c>
      <c r="C7409" s="803" t="s">
        <v>16248</v>
      </c>
      <c r="D7409" s="803" t="s">
        <v>16634</v>
      </c>
      <c r="E7409" s="803">
        <v>30</v>
      </c>
      <c r="F7409" s="850">
        <v>21</v>
      </c>
      <c r="G7409" s="202" t="str">
        <f t="shared" si="115"/>
        <v/>
      </c>
    </row>
    <row r="7410" spans="1:7" s="172" customFormat="1" ht="15" customHeight="1" x14ac:dyDescent="0.25">
      <c r="A7410" s="803" t="s">
        <v>16635</v>
      </c>
      <c r="B7410" s="803" t="s">
        <v>16248</v>
      </c>
      <c r="C7410" s="803" t="s">
        <v>16248</v>
      </c>
      <c r="D7410" s="803" t="s">
        <v>16636</v>
      </c>
      <c r="E7410" s="803">
        <v>40</v>
      </c>
      <c r="F7410" s="850">
        <v>0</v>
      </c>
      <c r="G7410" s="202" t="str">
        <f t="shared" si="115"/>
        <v/>
      </c>
    </row>
    <row r="7411" spans="1:7" s="172" customFormat="1" ht="15" customHeight="1" x14ac:dyDescent="0.25">
      <c r="A7411" s="803" t="s">
        <v>5701</v>
      </c>
      <c r="B7411" s="803" t="s">
        <v>16248</v>
      </c>
      <c r="C7411" s="803" t="s">
        <v>16248</v>
      </c>
      <c r="D7411" s="803" t="s">
        <v>4498</v>
      </c>
      <c r="E7411" s="803">
        <v>30</v>
      </c>
      <c r="F7411" s="850">
        <v>0</v>
      </c>
      <c r="G7411" s="202" t="str">
        <f t="shared" si="115"/>
        <v/>
      </c>
    </row>
    <row r="7412" spans="1:7" s="172" customFormat="1" ht="15" customHeight="1" x14ac:dyDescent="0.25">
      <c r="A7412" s="803" t="s">
        <v>12761</v>
      </c>
      <c r="B7412" s="803" t="s">
        <v>16248</v>
      </c>
      <c r="C7412" s="803" t="s">
        <v>16248</v>
      </c>
      <c r="D7412" s="803" t="s">
        <v>11231</v>
      </c>
      <c r="E7412" s="803">
        <v>30</v>
      </c>
      <c r="F7412" s="850">
        <v>0</v>
      </c>
      <c r="G7412" s="202" t="str">
        <f t="shared" si="115"/>
        <v/>
      </c>
    </row>
    <row r="7413" spans="1:7" s="172" customFormat="1" ht="15" customHeight="1" x14ac:dyDescent="0.25">
      <c r="A7413" s="803" t="s">
        <v>16637</v>
      </c>
      <c r="B7413" s="803" t="s">
        <v>16248</v>
      </c>
      <c r="C7413" s="803" t="s">
        <v>16248</v>
      </c>
      <c r="D7413" s="803" t="s">
        <v>16638</v>
      </c>
      <c r="E7413" s="803">
        <v>30</v>
      </c>
      <c r="F7413" s="850">
        <v>0</v>
      </c>
      <c r="G7413" s="202" t="str">
        <f t="shared" si="115"/>
        <v/>
      </c>
    </row>
    <row r="7414" spans="1:7" s="172" customFormat="1" ht="15" customHeight="1" x14ac:dyDescent="0.25">
      <c r="A7414" s="803" t="s">
        <v>8812</v>
      </c>
      <c r="B7414" s="803" t="s">
        <v>16248</v>
      </c>
      <c r="C7414" s="803" t="s">
        <v>16248</v>
      </c>
      <c r="D7414" s="803" t="s">
        <v>16639</v>
      </c>
      <c r="E7414" s="803">
        <v>63</v>
      </c>
      <c r="F7414" s="850">
        <v>0</v>
      </c>
      <c r="G7414" s="202" t="str">
        <f t="shared" si="115"/>
        <v/>
      </c>
    </row>
    <row r="7415" spans="1:7" s="172" customFormat="1" ht="15" customHeight="1" x14ac:dyDescent="0.25">
      <c r="A7415" s="803" t="s">
        <v>16640</v>
      </c>
      <c r="B7415" s="803" t="s">
        <v>16248</v>
      </c>
      <c r="C7415" s="803" t="s">
        <v>16248</v>
      </c>
      <c r="D7415" s="803" t="s">
        <v>16641</v>
      </c>
      <c r="E7415" s="803">
        <v>160</v>
      </c>
      <c r="F7415" s="850">
        <v>132</v>
      </c>
      <c r="G7415" s="202" t="str">
        <f t="shared" si="115"/>
        <v/>
      </c>
    </row>
    <row r="7416" spans="1:7" s="172" customFormat="1" ht="15" customHeight="1" x14ac:dyDescent="0.25">
      <c r="A7416" s="803" t="s">
        <v>16640</v>
      </c>
      <c r="B7416" s="803" t="s">
        <v>16248</v>
      </c>
      <c r="C7416" s="803" t="s">
        <v>16248</v>
      </c>
      <c r="D7416" s="803" t="s">
        <v>16642</v>
      </c>
      <c r="E7416" s="803">
        <v>100</v>
      </c>
      <c r="F7416" s="850">
        <v>0</v>
      </c>
      <c r="G7416" s="202" t="str">
        <f t="shared" si="115"/>
        <v/>
      </c>
    </row>
    <row r="7417" spans="1:7" s="172" customFormat="1" ht="15" customHeight="1" x14ac:dyDescent="0.25">
      <c r="A7417" s="803" t="s">
        <v>16640</v>
      </c>
      <c r="B7417" s="803" t="s">
        <v>16248</v>
      </c>
      <c r="C7417" s="803" t="s">
        <v>16248</v>
      </c>
      <c r="D7417" s="803" t="s">
        <v>16643</v>
      </c>
      <c r="E7417" s="803">
        <v>160</v>
      </c>
      <c r="F7417" s="850">
        <v>160</v>
      </c>
      <c r="G7417" s="202" t="str">
        <f t="shared" si="115"/>
        <v>не загружен</v>
      </c>
    </row>
    <row r="7418" spans="1:7" s="172" customFormat="1" ht="15" customHeight="1" x14ac:dyDescent="0.25">
      <c r="A7418" s="803" t="s">
        <v>16640</v>
      </c>
      <c r="B7418" s="803" t="s">
        <v>16248</v>
      </c>
      <c r="C7418" s="803" t="s">
        <v>16248</v>
      </c>
      <c r="D7418" s="803" t="s">
        <v>16644</v>
      </c>
      <c r="E7418" s="803">
        <v>100</v>
      </c>
      <c r="F7418" s="850">
        <v>100</v>
      </c>
      <c r="G7418" s="202" t="str">
        <f t="shared" si="115"/>
        <v>не загружен</v>
      </c>
    </row>
    <row r="7419" spans="1:7" s="172" customFormat="1" ht="15" customHeight="1" x14ac:dyDescent="0.25">
      <c r="A7419" s="803" t="s">
        <v>16645</v>
      </c>
      <c r="B7419" s="803" t="s">
        <v>16248</v>
      </c>
      <c r="C7419" s="803" t="s">
        <v>16248</v>
      </c>
      <c r="D7419" s="803" t="s">
        <v>16646</v>
      </c>
      <c r="E7419" s="803">
        <v>100</v>
      </c>
      <c r="F7419" s="850">
        <v>61</v>
      </c>
      <c r="G7419" s="202" t="str">
        <f t="shared" si="115"/>
        <v/>
      </c>
    </row>
    <row r="7420" spans="1:7" s="172" customFormat="1" ht="15" customHeight="1" x14ac:dyDescent="0.25">
      <c r="A7420" s="803" t="s">
        <v>16647</v>
      </c>
      <c r="B7420" s="803" t="s">
        <v>16248</v>
      </c>
      <c r="C7420" s="803" t="s">
        <v>16248</v>
      </c>
      <c r="D7420" s="803" t="s">
        <v>16648</v>
      </c>
      <c r="E7420" s="803">
        <v>100</v>
      </c>
      <c r="F7420" s="850">
        <v>0</v>
      </c>
      <c r="G7420" s="202" t="str">
        <f t="shared" si="115"/>
        <v/>
      </c>
    </row>
    <row r="7421" spans="1:7" s="172" customFormat="1" ht="15" customHeight="1" x14ac:dyDescent="0.25">
      <c r="A7421" s="803" t="s">
        <v>16649</v>
      </c>
      <c r="B7421" s="803" t="s">
        <v>16248</v>
      </c>
      <c r="C7421" s="803" t="s">
        <v>16248</v>
      </c>
      <c r="D7421" s="803" t="s">
        <v>16650</v>
      </c>
      <c r="E7421" s="803">
        <v>60</v>
      </c>
      <c r="F7421" s="850">
        <v>9</v>
      </c>
      <c r="G7421" s="202" t="str">
        <f t="shared" si="115"/>
        <v/>
      </c>
    </row>
    <row r="7422" spans="1:7" s="172" customFormat="1" ht="15" customHeight="1" x14ac:dyDescent="0.25">
      <c r="A7422" s="803" t="s">
        <v>16651</v>
      </c>
      <c r="B7422" s="803" t="s">
        <v>16248</v>
      </c>
      <c r="C7422" s="803" t="s">
        <v>16248</v>
      </c>
      <c r="D7422" s="803" t="s">
        <v>16652</v>
      </c>
      <c r="E7422" s="803">
        <v>100</v>
      </c>
      <c r="F7422" s="850">
        <v>0</v>
      </c>
      <c r="G7422" s="202" t="str">
        <f t="shared" si="115"/>
        <v/>
      </c>
    </row>
    <row r="7423" spans="1:7" s="172" customFormat="1" ht="15" customHeight="1" x14ac:dyDescent="0.25">
      <c r="A7423" s="803" t="s">
        <v>16653</v>
      </c>
      <c r="B7423" s="803" t="s">
        <v>16248</v>
      </c>
      <c r="C7423" s="803" t="s">
        <v>16248</v>
      </c>
      <c r="D7423" s="803" t="s">
        <v>16654</v>
      </c>
      <c r="E7423" s="803">
        <v>60</v>
      </c>
      <c r="F7423" s="850">
        <v>0</v>
      </c>
      <c r="G7423" s="202" t="str">
        <f t="shared" si="115"/>
        <v/>
      </c>
    </row>
    <row r="7424" spans="1:7" s="172" customFormat="1" ht="15" customHeight="1" x14ac:dyDescent="0.25">
      <c r="A7424" s="803" t="s">
        <v>16655</v>
      </c>
      <c r="B7424" s="803" t="s">
        <v>16248</v>
      </c>
      <c r="C7424" s="803" t="s">
        <v>16248</v>
      </c>
      <c r="D7424" s="803" t="s">
        <v>16656</v>
      </c>
      <c r="E7424" s="803">
        <v>60</v>
      </c>
      <c r="F7424" s="850">
        <v>47</v>
      </c>
      <c r="G7424" s="202" t="str">
        <f t="shared" si="115"/>
        <v/>
      </c>
    </row>
    <row r="7425" spans="1:7" s="172" customFormat="1" ht="15" customHeight="1" x14ac:dyDescent="0.25">
      <c r="A7425" s="803" t="s">
        <v>16657</v>
      </c>
      <c r="B7425" s="803" t="s">
        <v>16248</v>
      </c>
      <c r="C7425" s="803" t="s">
        <v>16248</v>
      </c>
      <c r="D7425" s="803" t="s">
        <v>16658</v>
      </c>
      <c r="E7425" s="803">
        <v>100</v>
      </c>
      <c r="F7425" s="850">
        <v>100</v>
      </c>
      <c r="G7425" s="202" t="str">
        <f t="shared" si="115"/>
        <v>не загружен</v>
      </c>
    </row>
    <row r="7426" spans="1:7" s="172" customFormat="1" ht="15" customHeight="1" x14ac:dyDescent="0.25">
      <c r="A7426" s="803" t="s">
        <v>16659</v>
      </c>
      <c r="B7426" s="803" t="s">
        <v>16248</v>
      </c>
      <c r="C7426" s="803" t="s">
        <v>16248</v>
      </c>
      <c r="D7426" s="803" t="s">
        <v>16660</v>
      </c>
      <c r="E7426" s="803">
        <v>20</v>
      </c>
      <c r="F7426" s="850">
        <v>0</v>
      </c>
      <c r="G7426" s="202" t="str">
        <f t="shared" si="115"/>
        <v/>
      </c>
    </row>
    <row r="7427" spans="1:7" s="172" customFormat="1" ht="15" customHeight="1" x14ac:dyDescent="0.25">
      <c r="A7427" s="803" t="s">
        <v>6578</v>
      </c>
      <c r="B7427" s="803" t="s">
        <v>16248</v>
      </c>
      <c r="C7427" s="803" t="s">
        <v>16248</v>
      </c>
      <c r="D7427" s="803" t="s">
        <v>4524</v>
      </c>
      <c r="E7427" s="803">
        <v>250</v>
      </c>
      <c r="F7427" s="850">
        <v>136</v>
      </c>
      <c r="G7427" s="202" t="str">
        <f t="shared" si="115"/>
        <v/>
      </c>
    </row>
    <row r="7428" spans="1:7" s="172" customFormat="1" ht="15" customHeight="1" x14ac:dyDescent="0.25">
      <c r="A7428" s="803" t="s">
        <v>16661</v>
      </c>
      <c r="B7428" s="803" t="s">
        <v>16248</v>
      </c>
      <c r="C7428" s="803" t="s">
        <v>16248</v>
      </c>
      <c r="D7428" s="803" t="s">
        <v>16662</v>
      </c>
      <c r="E7428" s="803">
        <v>160</v>
      </c>
      <c r="F7428" s="850">
        <v>124</v>
      </c>
      <c r="G7428" s="202" t="str">
        <f t="shared" si="115"/>
        <v/>
      </c>
    </row>
    <row r="7429" spans="1:7" s="172" customFormat="1" ht="15" customHeight="1" x14ac:dyDescent="0.25">
      <c r="A7429" s="803" t="s">
        <v>16663</v>
      </c>
      <c r="B7429" s="803" t="s">
        <v>16248</v>
      </c>
      <c r="C7429" s="803" t="s">
        <v>16248</v>
      </c>
      <c r="D7429" s="803" t="s">
        <v>16664</v>
      </c>
      <c r="E7429" s="803">
        <v>250</v>
      </c>
      <c r="F7429" s="850">
        <v>184</v>
      </c>
      <c r="G7429" s="202" t="str">
        <f t="shared" si="115"/>
        <v/>
      </c>
    </row>
    <row r="7430" spans="1:7" s="172" customFormat="1" ht="15" customHeight="1" x14ac:dyDescent="0.25">
      <c r="A7430" s="803" t="s">
        <v>16665</v>
      </c>
      <c r="B7430" s="803" t="s">
        <v>16248</v>
      </c>
      <c r="C7430" s="803" t="s">
        <v>16248</v>
      </c>
      <c r="D7430" s="803" t="s">
        <v>16666</v>
      </c>
      <c r="E7430" s="803">
        <v>400</v>
      </c>
      <c r="F7430" s="850">
        <v>400</v>
      </c>
      <c r="G7430" s="202" t="str">
        <f t="shared" si="115"/>
        <v>не загружен</v>
      </c>
    </row>
    <row r="7431" spans="1:7" s="172" customFormat="1" ht="15" customHeight="1" x14ac:dyDescent="0.25">
      <c r="A7431" s="803"/>
      <c r="B7431" s="803" t="s">
        <v>16248</v>
      </c>
      <c r="C7431" s="803" t="s">
        <v>16248</v>
      </c>
      <c r="D7431" s="803"/>
      <c r="E7431" s="803">
        <v>400</v>
      </c>
      <c r="F7431" s="850">
        <v>27</v>
      </c>
      <c r="G7431" s="202" t="str">
        <f t="shared" si="115"/>
        <v/>
      </c>
    </row>
    <row r="7432" spans="1:7" s="172" customFormat="1" ht="15" customHeight="1" x14ac:dyDescent="0.25">
      <c r="A7432" s="803" t="s">
        <v>16665</v>
      </c>
      <c r="B7432" s="803" t="s">
        <v>16248</v>
      </c>
      <c r="C7432" s="803" t="s">
        <v>16248</v>
      </c>
      <c r="D7432" s="803" t="s">
        <v>16667</v>
      </c>
      <c r="E7432" s="803">
        <v>60</v>
      </c>
      <c r="F7432" s="850">
        <v>0</v>
      </c>
      <c r="G7432" s="202" t="str">
        <f t="shared" si="115"/>
        <v/>
      </c>
    </row>
    <row r="7433" spans="1:7" s="172" customFormat="1" ht="15" customHeight="1" x14ac:dyDescent="0.25">
      <c r="A7433" s="803" t="s">
        <v>16665</v>
      </c>
      <c r="B7433" s="803" t="s">
        <v>16248</v>
      </c>
      <c r="C7433" s="803" t="s">
        <v>16248</v>
      </c>
      <c r="D7433" s="803" t="s">
        <v>16668</v>
      </c>
      <c r="E7433" s="803">
        <v>250</v>
      </c>
      <c r="F7433" s="850">
        <v>126</v>
      </c>
      <c r="G7433" s="202" t="str">
        <f t="shared" si="115"/>
        <v/>
      </c>
    </row>
    <row r="7434" spans="1:7" s="172" customFormat="1" ht="15" customHeight="1" x14ac:dyDescent="0.25">
      <c r="A7434" s="803" t="s">
        <v>16669</v>
      </c>
      <c r="B7434" s="803" t="s">
        <v>16248</v>
      </c>
      <c r="C7434" s="803" t="s">
        <v>16248</v>
      </c>
      <c r="D7434" s="803" t="s">
        <v>16670</v>
      </c>
      <c r="E7434" s="803">
        <v>100</v>
      </c>
      <c r="F7434" s="850">
        <v>0</v>
      </c>
      <c r="G7434" s="202" t="str">
        <f t="shared" si="115"/>
        <v/>
      </c>
    </row>
    <row r="7435" spans="1:7" s="172" customFormat="1" ht="15" customHeight="1" x14ac:dyDescent="0.25">
      <c r="A7435" s="803" t="s">
        <v>16669</v>
      </c>
      <c r="B7435" s="803" t="s">
        <v>16248</v>
      </c>
      <c r="C7435" s="803" t="s">
        <v>16248</v>
      </c>
      <c r="D7435" s="803" t="s">
        <v>16671</v>
      </c>
      <c r="E7435" s="803">
        <v>63</v>
      </c>
      <c r="F7435" s="850">
        <v>0</v>
      </c>
      <c r="G7435" s="202" t="str">
        <f t="shared" si="115"/>
        <v/>
      </c>
    </row>
    <row r="7436" spans="1:7" s="172" customFormat="1" ht="15" customHeight="1" x14ac:dyDescent="0.25">
      <c r="A7436" s="803" t="s">
        <v>16672</v>
      </c>
      <c r="B7436" s="803" t="s">
        <v>16248</v>
      </c>
      <c r="C7436" s="803" t="s">
        <v>16248</v>
      </c>
      <c r="D7436" s="803" t="s">
        <v>16673</v>
      </c>
      <c r="E7436" s="803">
        <v>60</v>
      </c>
      <c r="F7436" s="850">
        <v>0</v>
      </c>
      <c r="G7436" s="202" t="str">
        <f t="shared" si="115"/>
        <v/>
      </c>
    </row>
    <row r="7437" spans="1:7" s="172" customFormat="1" ht="15" customHeight="1" x14ac:dyDescent="0.25">
      <c r="A7437" s="803" t="s">
        <v>16672</v>
      </c>
      <c r="B7437" s="803" t="s">
        <v>16248</v>
      </c>
      <c r="C7437" s="803" t="s">
        <v>16248</v>
      </c>
      <c r="D7437" s="803" t="s">
        <v>16674</v>
      </c>
      <c r="E7437" s="803">
        <v>100</v>
      </c>
      <c r="F7437" s="850">
        <v>100</v>
      </c>
      <c r="G7437" s="202" t="str">
        <f t="shared" si="115"/>
        <v>не загружен</v>
      </c>
    </row>
    <row r="7438" spans="1:7" s="172" customFormat="1" ht="15" customHeight="1" x14ac:dyDescent="0.25">
      <c r="A7438" s="803" t="s">
        <v>16672</v>
      </c>
      <c r="B7438" s="803" t="s">
        <v>16248</v>
      </c>
      <c r="C7438" s="803" t="s">
        <v>16248</v>
      </c>
      <c r="D7438" s="803" t="s">
        <v>16675</v>
      </c>
      <c r="E7438" s="803">
        <v>60</v>
      </c>
      <c r="F7438" s="850">
        <v>60</v>
      </c>
      <c r="G7438" s="202" t="str">
        <f t="shared" si="115"/>
        <v>не загружен</v>
      </c>
    </row>
    <row r="7439" spans="1:7" s="172" customFormat="1" ht="15" customHeight="1" x14ac:dyDescent="0.25">
      <c r="A7439" s="803" t="s">
        <v>3130</v>
      </c>
      <c r="B7439" s="803" t="s">
        <v>16248</v>
      </c>
      <c r="C7439" s="803" t="s">
        <v>16248</v>
      </c>
      <c r="D7439" s="803" t="s">
        <v>4646</v>
      </c>
      <c r="E7439" s="803">
        <v>63</v>
      </c>
      <c r="F7439" s="850">
        <v>0</v>
      </c>
      <c r="G7439" s="202" t="str">
        <f t="shared" si="115"/>
        <v/>
      </c>
    </row>
    <row r="7440" spans="1:7" s="172" customFormat="1" ht="15" customHeight="1" x14ac:dyDescent="0.25">
      <c r="A7440" s="803" t="s">
        <v>16676</v>
      </c>
      <c r="B7440" s="803" t="s">
        <v>16248</v>
      </c>
      <c r="C7440" s="803" t="s">
        <v>16248</v>
      </c>
      <c r="D7440" s="803" t="s">
        <v>16677</v>
      </c>
      <c r="E7440" s="803">
        <v>160</v>
      </c>
      <c r="F7440" s="850">
        <v>124</v>
      </c>
      <c r="G7440" s="202" t="str">
        <f t="shared" si="115"/>
        <v/>
      </c>
    </row>
    <row r="7441" spans="1:7" s="172" customFormat="1" ht="15" customHeight="1" x14ac:dyDescent="0.25">
      <c r="A7441" s="803" t="s">
        <v>16678</v>
      </c>
      <c r="B7441" s="803" t="s">
        <v>16248</v>
      </c>
      <c r="C7441" s="803" t="s">
        <v>16248</v>
      </c>
      <c r="D7441" s="803" t="s">
        <v>16679</v>
      </c>
      <c r="E7441" s="803">
        <v>63</v>
      </c>
      <c r="F7441" s="850">
        <v>14</v>
      </c>
      <c r="G7441" s="202" t="str">
        <f t="shared" si="115"/>
        <v/>
      </c>
    </row>
    <row r="7442" spans="1:7" s="172" customFormat="1" ht="15" customHeight="1" x14ac:dyDescent="0.25">
      <c r="A7442" s="803" t="s">
        <v>3424</v>
      </c>
      <c r="B7442" s="803" t="s">
        <v>16248</v>
      </c>
      <c r="C7442" s="803" t="s">
        <v>16248</v>
      </c>
      <c r="D7442" s="803" t="s">
        <v>12147</v>
      </c>
      <c r="E7442" s="803">
        <v>100</v>
      </c>
      <c r="F7442" s="850">
        <v>0</v>
      </c>
      <c r="G7442" s="202" t="str">
        <f t="shared" si="115"/>
        <v/>
      </c>
    </row>
    <row r="7443" spans="1:7" s="172" customFormat="1" ht="15" customHeight="1" x14ac:dyDescent="0.25">
      <c r="A7443" s="803" t="s">
        <v>16680</v>
      </c>
      <c r="B7443" s="803" t="s">
        <v>16248</v>
      </c>
      <c r="C7443" s="803" t="s">
        <v>16248</v>
      </c>
      <c r="D7443" s="803" t="s">
        <v>16681</v>
      </c>
      <c r="E7443" s="803">
        <v>100</v>
      </c>
      <c r="F7443" s="850">
        <v>51</v>
      </c>
      <c r="G7443" s="202" t="str">
        <f t="shared" si="115"/>
        <v/>
      </c>
    </row>
    <row r="7444" spans="1:7" s="172" customFormat="1" ht="15" customHeight="1" x14ac:dyDescent="0.25">
      <c r="A7444" s="803" t="s">
        <v>12506</v>
      </c>
      <c r="B7444" s="803" t="s">
        <v>16248</v>
      </c>
      <c r="C7444" s="803" t="s">
        <v>16248</v>
      </c>
      <c r="D7444" s="803" t="s">
        <v>16682</v>
      </c>
      <c r="E7444" s="803">
        <v>50</v>
      </c>
      <c r="F7444" s="850">
        <v>0</v>
      </c>
      <c r="G7444" s="202" t="str">
        <f t="shared" si="115"/>
        <v/>
      </c>
    </row>
    <row r="7445" spans="1:7" s="172" customFormat="1" ht="15" customHeight="1" x14ac:dyDescent="0.25">
      <c r="A7445" s="803" t="s">
        <v>3006</v>
      </c>
      <c r="B7445" s="803" t="s">
        <v>16248</v>
      </c>
      <c r="C7445" s="803" t="s">
        <v>16248</v>
      </c>
      <c r="D7445" s="803" t="s">
        <v>4858</v>
      </c>
      <c r="E7445" s="803">
        <v>63</v>
      </c>
      <c r="F7445" s="850">
        <v>0</v>
      </c>
      <c r="G7445" s="202" t="str">
        <f t="shared" si="115"/>
        <v/>
      </c>
    </row>
    <row r="7446" spans="1:7" s="172" customFormat="1" ht="15" customHeight="1" x14ac:dyDescent="0.25">
      <c r="A7446" s="803" t="s">
        <v>16683</v>
      </c>
      <c r="B7446" s="803" t="s">
        <v>16248</v>
      </c>
      <c r="C7446" s="803" t="s">
        <v>16248</v>
      </c>
      <c r="D7446" s="803" t="s">
        <v>16684</v>
      </c>
      <c r="E7446" s="803">
        <v>250</v>
      </c>
      <c r="F7446" s="850">
        <v>201</v>
      </c>
      <c r="G7446" s="202" t="str">
        <f t="shared" si="115"/>
        <v/>
      </c>
    </row>
    <row r="7447" spans="1:7" s="172" customFormat="1" ht="15" customHeight="1" x14ac:dyDescent="0.25">
      <c r="A7447" s="803" t="s">
        <v>18585</v>
      </c>
      <c r="B7447" s="803" t="s">
        <v>16248</v>
      </c>
      <c r="C7447" s="803" t="s">
        <v>16248</v>
      </c>
      <c r="D7447" s="803" t="s">
        <v>18586</v>
      </c>
      <c r="E7447" s="803">
        <v>30</v>
      </c>
      <c r="F7447" s="850">
        <v>5</v>
      </c>
      <c r="G7447" s="202" t="str">
        <f t="shared" si="115"/>
        <v/>
      </c>
    </row>
    <row r="7448" spans="1:7" s="172" customFormat="1" ht="15" customHeight="1" x14ac:dyDescent="0.25">
      <c r="A7448" s="803" t="s">
        <v>16683</v>
      </c>
      <c r="B7448" s="803" t="s">
        <v>16248</v>
      </c>
      <c r="C7448" s="803" t="s">
        <v>16248</v>
      </c>
      <c r="D7448" s="803" t="s">
        <v>16685</v>
      </c>
      <c r="E7448" s="803">
        <v>100</v>
      </c>
      <c r="F7448" s="850">
        <v>17</v>
      </c>
      <c r="G7448" s="202" t="str">
        <f t="shared" si="115"/>
        <v/>
      </c>
    </row>
    <row r="7449" spans="1:7" s="172" customFormat="1" ht="15" customHeight="1" x14ac:dyDescent="0.25">
      <c r="A7449" s="803" t="s">
        <v>16683</v>
      </c>
      <c r="B7449" s="803" t="s">
        <v>16248</v>
      </c>
      <c r="C7449" s="803" t="s">
        <v>16248</v>
      </c>
      <c r="D7449" s="803" t="s">
        <v>16686</v>
      </c>
      <c r="E7449" s="803">
        <v>250</v>
      </c>
      <c r="F7449" s="850">
        <v>119</v>
      </c>
      <c r="G7449" s="202" t="str">
        <f t="shared" si="115"/>
        <v/>
      </c>
    </row>
    <row r="7450" spans="1:7" s="172" customFormat="1" ht="15" customHeight="1" x14ac:dyDescent="0.25">
      <c r="A7450" s="803" t="s">
        <v>16635</v>
      </c>
      <c r="B7450" s="803" t="s">
        <v>16248</v>
      </c>
      <c r="C7450" s="803" t="s">
        <v>16248</v>
      </c>
      <c r="D7450" s="803" t="s">
        <v>16636</v>
      </c>
      <c r="E7450" s="803">
        <v>30</v>
      </c>
      <c r="F7450" s="850">
        <v>6</v>
      </c>
      <c r="G7450" s="202" t="str">
        <f t="shared" si="115"/>
        <v/>
      </c>
    </row>
    <row r="7451" spans="1:7" s="172" customFormat="1" ht="15" customHeight="1" x14ac:dyDescent="0.25">
      <c r="A7451" s="803" t="s">
        <v>16687</v>
      </c>
      <c r="B7451" s="803" t="s">
        <v>16248</v>
      </c>
      <c r="C7451" s="803" t="s">
        <v>16248</v>
      </c>
      <c r="D7451" s="803" t="s">
        <v>16688</v>
      </c>
      <c r="E7451" s="803">
        <v>100</v>
      </c>
      <c r="F7451" s="850">
        <v>0</v>
      </c>
      <c r="G7451" s="202" t="str">
        <f t="shared" si="115"/>
        <v/>
      </c>
    </row>
    <row r="7452" spans="1:7" s="172" customFormat="1" ht="15" customHeight="1" x14ac:dyDescent="0.25">
      <c r="A7452" s="803" t="s">
        <v>3135</v>
      </c>
      <c r="B7452" s="803" t="s">
        <v>16248</v>
      </c>
      <c r="C7452" s="803" t="s">
        <v>16248</v>
      </c>
      <c r="D7452" s="803" t="s">
        <v>12148</v>
      </c>
      <c r="E7452" s="803">
        <v>100</v>
      </c>
      <c r="F7452" s="850">
        <v>0</v>
      </c>
      <c r="G7452" s="202" t="str">
        <f t="shared" si="115"/>
        <v/>
      </c>
    </row>
    <row r="7453" spans="1:7" s="172" customFormat="1" ht="15" customHeight="1" x14ac:dyDescent="0.25">
      <c r="A7453" s="803" t="s">
        <v>3135</v>
      </c>
      <c r="B7453" s="803" t="s">
        <v>16248</v>
      </c>
      <c r="C7453" s="803" t="s">
        <v>16248</v>
      </c>
      <c r="D7453" s="803" t="s">
        <v>16689</v>
      </c>
      <c r="E7453" s="803">
        <v>250</v>
      </c>
      <c r="F7453" s="850">
        <v>182</v>
      </c>
      <c r="G7453" s="202" t="str">
        <f t="shared" si="115"/>
        <v/>
      </c>
    </row>
    <row r="7454" spans="1:7" s="172" customFormat="1" ht="15" customHeight="1" x14ac:dyDescent="0.25">
      <c r="A7454" s="803" t="s">
        <v>3135</v>
      </c>
      <c r="B7454" s="803" t="s">
        <v>16248</v>
      </c>
      <c r="C7454" s="803" t="s">
        <v>16248</v>
      </c>
      <c r="D7454" s="803" t="s">
        <v>16690</v>
      </c>
      <c r="E7454" s="803">
        <v>100</v>
      </c>
      <c r="F7454" s="850">
        <v>32</v>
      </c>
      <c r="G7454" s="202" t="str">
        <f t="shared" ref="G7454:G7517" si="116">IF(E7454=F7454,"не загружен","")</f>
        <v/>
      </c>
    </row>
    <row r="7455" spans="1:7" s="172" customFormat="1" ht="15" customHeight="1" x14ac:dyDescent="0.25">
      <c r="A7455" s="803" t="s">
        <v>3135</v>
      </c>
      <c r="B7455" s="803" t="s">
        <v>16248</v>
      </c>
      <c r="C7455" s="803" t="s">
        <v>16248</v>
      </c>
      <c r="D7455" s="803" t="s">
        <v>16691</v>
      </c>
      <c r="E7455" s="803">
        <v>400</v>
      </c>
      <c r="F7455" s="850">
        <v>400</v>
      </c>
      <c r="G7455" s="202" t="str">
        <f t="shared" si="116"/>
        <v>не загружен</v>
      </c>
    </row>
    <row r="7456" spans="1:7" s="172" customFormat="1" ht="15" customHeight="1" x14ac:dyDescent="0.25">
      <c r="A7456" s="803" t="s">
        <v>3135</v>
      </c>
      <c r="B7456" s="803" t="s">
        <v>16248</v>
      </c>
      <c r="C7456" s="803" t="s">
        <v>16248</v>
      </c>
      <c r="D7456" s="803" t="s">
        <v>16692</v>
      </c>
      <c r="E7456" s="803">
        <v>100</v>
      </c>
      <c r="F7456" s="850">
        <v>100</v>
      </c>
      <c r="G7456" s="202" t="str">
        <f t="shared" si="116"/>
        <v>не загружен</v>
      </c>
    </row>
    <row r="7457" spans="1:7" s="172" customFormat="1" ht="15" customHeight="1" x14ac:dyDescent="0.25">
      <c r="A7457" s="803" t="s">
        <v>16693</v>
      </c>
      <c r="B7457" s="803" t="s">
        <v>16248</v>
      </c>
      <c r="C7457" s="803" t="s">
        <v>16248</v>
      </c>
      <c r="D7457" s="803" t="s">
        <v>16694</v>
      </c>
      <c r="E7457" s="803">
        <v>30</v>
      </c>
      <c r="F7457" s="850">
        <v>0</v>
      </c>
      <c r="G7457" s="202" t="str">
        <f t="shared" si="116"/>
        <v/>
      </c>
    </row>
    <row r="7458" spans="1:7" s="172" customFormat="1" ht="15" customHeight="1" x14ac:dyDescent="0.25">
      <c r="A7458" s="803" t="s">
        <v>19171</v>
      </c>
      <c r="B7458" s="803" t="s">
        <v>16248</v>
      </c>
      <c r="C7458" s="803" t="s">
        <v>16248</v>
      </c>
      <c r="D7458" s="803" t="s">
        <v>19172</v>
      </c>
      <c r="E7458" s="803">
        <v>63</v>
      </c>
      <c r="F7458" s="850">
        <v>15</v>
      </c>
      <c r="G7458" s="202" t="str">
        <f t="shared" si="116"/>
        <v/>
      </c>
    </row>
    <row r="7459" spans="1:7" s="172" customFormat="1" ht="15" customHeight="1" x14ac:dyDescent="0.25">
      <c r="A7459" s="803" t="s">
        <v>2463</v>
      </c>
      <c r="B7459" s="803" t="s">
        <v>16248</v>
      </c>
      <c r="C7459" s="803" t="s">
        <v>16248</v>
      </c>
      <c r="D7459" s="803" t="s">
        <v>4844</v>
      </c>
      <c r="E7459" s="803">
        <v>50</v>
      </c>
      <c r="F7459" s="850">
        <v>10</v>
      </c>
      <c r="G7459" s="202" t="str">
        <f t="shared" si="116"/>
        <v/>
      </c>
    </row>
    <row r="7460" spans="1:7" s="172" customFormat="1" ht="15" customHeight="1" x14ac:dyDescent="0.25">
      <c r="A7460" s="803" t="s">
        <v>8583</v>
      </c>
      <c r="B7460" s="803" t="s">
        <v>16248</v>
      </c>
      <c r="C7460" s="803" t="s">
        <v>16248</v>
      </c>
      <c r="D7460" s="803" t="s">
        <v>10938</v>
      </c>
      <c r="E7460" s="803">
        <v>63</v>
      </c>
      <c r="F7460" s="850">
        <v>0</v>
      </c>
      <c r="G7460" s="202" t="str">
        <f t="shared" si="116"/>
        <v/>
      </c>
    </row>
    <row r="7461" spans="1:7" s="172" customFormat="1" ht="15" customHeight="1" x14ac:dyDescent="0.25">
      <c r="A7461" s="803" t="s">
        <v>16695</v>
      </c>
      <c r="B7461" s="803" t="s">
        <v>16248</v>
      </c>
      <c r="C7461" s="803" t="s">
        <v>16248</v>
      </c>
      <c r="D7461" s="803" t="s">
        <v>16696</v>
      </c>
      <c r="E7461" s="803">
        <v>100</v>
      </c>
      <c r="F7461" s="850">
        <v>10</v>
      </c>
      <c r="G7461" s="202" t="str">
        <f t="shared" si="116"/>
        <v/>
      </c>
    </row>
    <row r="7462" spans="1:7" s="172" customFormat="1" ht="15" customHeight="1" x14ac:dyDescent="0.25">
      <c r="A7462" s="803" t="s">
        <v>4837</v>
      </c>
      <c r="B7462" s="803" t="s">
        <v>16248</v>
      </c>
      <c r="C7462" s="803" t="s">
        <v>16248</v>
      </c>
      <c r="D7462" s="803" t="s">
        <v>4836</v>
      </c>
      <c r="E7462" s="803">
        <v>30</v>
      </c>
      <c r="F7462" s="850">
        <v>0</v>
      </c>
      <c r="G7462" s="202" t="str">
        <f t="shared" si="116"/>
        <v/>
      </c>
    </row>
    <row r="7463" spans="1:7" s="172" customFormat="1" ht="15" customHeight="1" x14ac:dyDescent="0.25">
      <c r="A7463" s="803" t="s">
        <v>16697</v>
      </c>
      <c r="B7463" s="803" t="s">
        <v>16248</v>
      </c>
      <c r="C7463" s="803" t="s">
        <v>16248</v>
      </c>
      <c r="D7463" s="803" t="s">
        <v>16698</v>
      </c>
      <c r="E7463" s="803">
        <v>30</v>
      </c>
      <c r="F7463" s="850">
        <v>0</v>
      </c>
      <c r="G7463" s="202" t="str">
        <f t="shared" si="116"/>
        <v/>
      </c>
    </row>
    <row r="7464" spans="1:7" s="172" customFormat="1" ht="15" customHeight="1" x14ac:dyDescent="0.25">
      <c r="A7464" s="803" t="s">
        <v>16699</v>
      </c>
      <c r="B7464" s="803" t="s">
        <v>16248</v>
      </c>
      <c r="C7464" s="803" t="s">
        <v>16248</v>
      </c>
      <c r="D7464" s="803" t="s">
        <v>16700</v>
      </c>
      <c r="E7464" s="803">
        <v>63</v>
      </c>
      <c r="F7464" s="850">
        <v>9</v>
      </c>
      <c r="G7464" s="202" t="str">
        <f t="shared" si="116"/>
        <v/>
      </c>
    </row>
    <row r="7465" spans="1:7" s="172" customFormat="1" ht="15" customHeight="1" x14ac:dyDescent="0.25">
      <c r="A7465" s="803" t="s">
        <v>13198</v>
      </c>
      <c r="B7465" s="803" t="s">
        <v>16248</v>
      </c>
      <c r="C7465" s="803" t="s">
        <v>16248</v>
      </c>
      <c r="D7465" s="803" t="s">
        <v>16701</v>
      </c>
      <c r="E7465" s="803">
        <v>100</v>
      </c>
      <c r="F7465" s="850">
        <v>31</v>
      </c>
      <c r="G7465" s="202" t="str">
        <f t="shared" si="116"/>
        <v/>
      </c>
    </row>
    <row r="7466" spans="1:7" s="172" customFormat="1" ht="15" customHeight="1" x14ac:dyDescent="0.25">
      <c r="A7466" s="803" t="s">
        <v>16702</v>
      </c>
      <c r="B7466" s="803" t="s">
        <v>16248</v>
      </c>
      <c r="C7466" s="803" t="s">
        <v>16248</v>
      </c>
      <c r="D7466" s="803" t="s">
        <v>16703</v>
      </c>
      <c r="E7466" s="803">
        <v>20</v>
      </c>
      <c r="F7466" s="850">
        <v>0</v>
      </c>
      <c r="G7466" s="202" t="str">
        <f t="shared" si="116"/>
        <v/>
      </c>
    </row>
    <row r="7467" spans="1:7" s="172" customFormat="1" ht="15" customHeight="1" x14ac:dyDescent="0.25">
      <c r="A7467" s="803" t="s">
        <v>4820</v>
      </c>
      <c r="B7467" s="803" t="s">
        <v>16248</v>
      </c>
      <c r="C7467" s="803" t="s">
        <v>16248</v>
      </c>
      <c r="D7467" s="803" t="s">
        <v>12149</v>
      </c>
      <c r="E7467" s="803">
        <v>63</v>
      </c>
      <c r="F7467" s="850">
        <v>0</v>
      </c>
      <c r="G7467" s="202" t="str">
        <f t="shared" si="116"/>
        <v/>
      </c>
    </row>
    <row r="7468" spans="1:7" s="172" customFormat="1" ht="15" customHeight="1" x14ac:dyDescent="0.25">
      <c r="A7468" s="803" t="s">
        <v>16704</v>
      </c>
      <c r="B7468" s="803" t="s">
        <v>16248</v>
      </c>
      <c r="C7468" s="803" t="s">
        <v>16248</v>
      </c>
      <c r="D7468" s="803" t="s">
        <v>16705</v>
      </c>
      <c r="E7468" s="803">
        <v>400</v>
      </c>
      <c r="F7468" s="850">
        <v>317</v>
      </c>
      <c r="G7468" s="202" t="str">
        <f t="shared" si="116"/>
        <v/>
      </c>
    </row>
    <row r="7469" spans="1:7" s="172" customFormat="1" ht="15" customHeight="1" x14ac:dyDescent="0.25">
      <c r="A7469" s="803" t="s">
        <v>16706</v>
      </c>
      <c r="B7469" s="803" t="s">
        <v>16248</v>
      </c>
      <c r="C7469" s="803" t="s">
        <v>16248</v>
      </c>
      <c r="D7469" s="803" t="s">
        <v>16707</v>
      </c>
      <c r="E7469" s="803">
        <v>100</v>
      </c>
      <c r="F7469" s="850">
        <v>0</v>
      </c>
      <c r="G7469" s="202" t="str">
        <f t="shared" si="116"/>
        <v/>
      </c>
    </row>
    <row r="7470" spans="1:7" s="172" customFormat="1" ht="15" customHeight="1" x14ac:dyDescent="0.25">
      <c r="A7470" s="803" t="s">
        <v>16708</v>
      </c>
      <c r="B7470" s="803" t="s">
        <v>16248</v>
      </c>
      <c r="C7470" s="803" t="s">
        <v>16248</v>
      </c>
      <c r="D7470" s="803" t="s">
        <v>16709</v>
      </c>
      <c r="E7470" s="803">
        <v>40</v>
      </c>
      <c r="F7470" s="850">
        <v>40</v>
      </c>
      <c r="G7470" s="202" t="str">
        <f t="shared" si="116"/>
        <v>не загружен</v>
      </c>
    </row>
    <row r="7471" spans="1:7" s="172" customFormat="1" ht="15" customHeight="1" x14ac:dyDescent="0.25">
      <c r="A7471" s="803" t="s">
        <v>16710</v>
      </c>
      <c r="B7471" s="803" t="s">
        <v>16248</v>
      </c>
      <c r="C7471" s="803" t="s">
        <v>16248</v>
      </c>
      <c r="D7471" s="803" t="s">
        <v>16711</v>
      </c>
      <c r="E7471" s="803">
        <v>30</v>
      </c>
      <c r="F7471" s="850">
        <v>0</v>
      </c>
      <c r="G7471" s="202" t="str">
        <f t="shared" si="116"/>
        <v/>
      </c>
    </row>
    <row r="7472" spans="1:7" s="172" customFormat="1" ht="15" customHeight="1" x14ac:dyDescent="0.25">
      <c r="A7472" s="803" t="s">
        <v>16712</v>
      </c>
      <c r="B7472" s="803" t="s">
        <v>16248</v>
      </c>
      <c r="C7472" s="803" t="s">
        <v>16248</v>
      </c>
      <c r="D7472" s="803" t="s">
        <v>16713</v>
      </c>
      <c r="E7472" s="803">
        <v>30</v>
      </c>
      <c r="F7472" s="850">
        <v>0</v>
      </c>
      <c r="G7472" s="202" t="str">
        <f t="shared" si="116"/>
        <v/>
      </c>
    </row>
    <row r="7473" spans="1:7" s="172" customFormat="1" ht="15" customHeight="1" x14ac:dyDescent="0.25">
      <c r="A7473" s="803" t="s">
        <v>16714</v>
      </c>
      <c r="B7473" s="803" t="s">
        <v>16248</v>
      </c>
      <c r="C7473" s="803" t="s">
        <v>16248</v>
      </c>
      <c r="D7473" s="803" t="s">
        <v>16715</v>
      </c>
      <c r="E7473" s="803">
        <v>250</v>
      </c>
      <c r="F7473" s="850">
        <v>111</v>
      </c>
      <c r="G7473" s="202" t="str">
        <f t="shared" si="116"/>
        <v/>
      </c>
    </row>
    <row r="7474" spans="1:7" s="172" customFormat="1" ht="15" customHeight="1" x14ac:dyDescent="0.25">
      <c r="A7474" s="803" t="s">
        <v>16716</v>
      </c>
      <c r="B7474" s="803" t="s">
        <v>16248</v>
      </c>
      <c r="C7474" s="803" t="s">
        <v>16248</v>
      </c>
      <c r="D7474" s="803" t="s">
        <v>16717</v>
      </c>
      <c r="E7474" s="803">
        <v>250</v>
      </c>
      <c r="F7474" s="850">
        <v>186</v>
      </c>
      <c r="G7474" s="202" t="str">
        <f t="shared" si="116"/>
        <v/>
      </c>
    </row>
    <row r="7475" spans="1:7" s="172" customFormat="1" ht="15" customHeight="1" x14ac:dyDescent="0.25">
      <c r="A7475" s="803" t="s">
        <v>16716</v>
      </c>
      <c r="B7475" s="803" t="s">
        <v>16248</v>
      </c>
      <c r="C7475" s="803" t="s">
        <v>16248</v>
      </c>
      <c r="D7475" s="803" t="s">
        <v>16718</v>
      </c>
      <c r="E7475" s="803">
        <v>250</v>
      </c>
      <c r="F7475" s="850">
        <v>150</v>
      </c>
      <c r="G7475" s="202" t="str">
        <f t="shared" si="116"/>
        <v/>
      </c>
    </row>
    <row r="7476" spans="1:7" s="172" customFormat="1" ht="15" customHeight="1" x14ac:dyDescent="0.25">
      <c r="A7476" s="803" t="s">
        <v>16716</v>
      </c>
      <c r="B7476" s="803" t="s">
        <v>16248</v>
      </c>
      <c r="C7476" s="803" t="s">
        <v>16248</v>
      </c>
      <c r="D7476" s="803" t="s">
        <v>16719</v>
      </c>
      <c r="E7476" s="803">
        <v>250</v>
      </c>
      <c r="F7476" s="850">
        <v>147</v>
      </c>
      <c r="G7476" s="202" t="str">
        <f t="shared" si="116"/>
        <v/>
      </c>
    </row>
    <row r="7477" spans="1:7" s="172" customFormat="1" ht="15" customHeight="1" x14ac:dyDescent="0.25">
      <c r="A7477" s="803" t="s">
        <v>16716</v>
      </c>
      <c r="B7477" s="803" t="s">
        <v>16248</v>
      </c>
      <c r="C7477" s="803" t="s">
        <v>16248</v>
      </c>
      <c r="D7477" s="803" t="s">
        <v>16720</v>
      </c>
      <c r="E7477" s="803">
        <v>400</v>
      </c>
      <c r="F7477" s="850">
        <v>257</v>
      </c>
      <c r="G7477" s="202" t="str">
        <f t="shared" si="116"/>
        <v/>
      </c>
    </row>
    <row r="7478" spans="1:7" s="172" customFormat="1" ht="15" customHeight="1" x14ac:dyDescent="0.25">
      <c r="A7478" s="803" t="s">
        <v>16716</v>
      </c>
      <c r="B7478" s="803" t="s">
        <v>16248</v>
      </c>
      <c r="C7478" s="803" t="s">
        <v>16248</v>
      </c>
      <c r="D7478" s="803" t="s">
        <v>16721</v>
      </c>
      <c r="E7478" s="803">
        <v>160</v>
      </c>
      <c r="F7478" s="850">
        <v>17</v>
      </c>
      <c r="G7478" s="202" t="str">
        <f t="shared" si="116"/>
        <v/>
      </c>
    </row>
    <row r="7479" spans="1:7" s="172" customFormat="1" ht="15" customHeight="1" x14ac:dyDescent="0.25">
      <c r="A7479" s="803" t="s">
        <v>16722</v>
      </c>
      <c r="B7479" s="803" t="s">
        <v>16248</v>
      </c>
      <c r="C7479" s="803" t="s">
        <v>16248</v>
      </c>
      <c r="D7479" s="803" t="s">
        <v>16723</v>
      </c>
      <c r="E7479" s="803">
        <v>40</v>
      </c>
      <c r="F7479" s="850">
        <v>0</v>
      </c>
      <c r="G7479" s="202" t="str">
        <f t="shared" si="116"/>
        <v/>
      </c>
    </row>
    <row r="7480" spans="1:7" s="172" customFormat="1" ht="15" customHeight="1" x14ac:dyDescent="0.25">
      <c r="A7480" s="803" t="s">
        <v>16724</v>
      </c>
      <c r="B7480" s="803" t="s">
        <v>16248</v>
      </c>
      <c r="C7480" s="803" t="s">
        <v>16248</v>
      </c>
      <c r="D7480" s="803" t="s">
        <v>16725</v>
      </c>
      <c r="E7480" s="803">
        <v>40</v>
      </c>
      <c r="F7480" s="850">
        <v>10</v>
      </c>
      <c r="G7480" s="202" t="str">
        <f t="shared" si="116"/>
        <v/>
      </c>
    </row>
    <row r="7481" spans="1:7" s="172" customFormat="1" ht="15" customHeight="1" x14ac:dyDescent="0.25">
      <c r="A7481" s="803" t="s">
        <v>16726</v>
      </c>
      <c r="B7481" s="803" t="s">
        <v>16248</v>
      </c>
      <c r="C7481" s="803" t="s">
        <v>16248</v>
      </c>
      <c r="D7481" s="803" t="s">
        <v>16727</v>
      </c>
      <c r="E7481" s="803">
        <v>30</v>
      </c>
      <c r="F7481" s="850">
        <v>0</v>
      </c>
      <c r="G7481" s="202" t="str">
        <f t="shared" si="116"/>
        <v/>
      </c>
    </row>
    <row r="7482" spans="1:7" s="172" customFormat="1" ht="15" customHeight="1" x14ac:dyDescent="0.25">
      <c r="A7482" s="803" t="s">
        <v>16728</v>
      </c>
      <c r="B7482" s="803" t="s">
        <v>16248</v>
      </c>
      <c r="C7482" s="803" t="s">
        <v>16248</v>
      </c>
      <c r="D7482" s="803" t="s">
        <v>16729</v>
      </c>
      <c r="E7482" s="803">
        <v>250</v>
      </c>
      <c r="F7482" s="850">
        <v>250</v>
      </c>
      <c r="G7482" s="202" t="str">
        <f t="shared" si="116"/>
        <v>не загружен</v>
      </c>
    </row>
    <row r="7483" spans="1:7" s="172" customFormat="1" ht="15" customHeight="1" x14ac:dyDescent="0.25">
      <c r="A7483" s="803" t="s">
        <v>16728</v>
      </c>
      <c r="B7483" s="803" t="s">
        <v>16248</v>
      </c>
      <c r="C7483" s="803" t="s">
        <v>16248</v>
      </c>
      <c r="D7483" s="803" t="s">
        <v>16730</v>
      </c>
      <c r="E7483" s="803">
        <v>100</v>
      </c>
      <c r="F7483" s="850">
        <v>0</v>
      </c>
      <c r="G7483" s="202" t="str">
        <f t="shared" si="116"/>
        <v/>
      </c>
    </row>
    <row r="7484" spans="1:7" s="172" customFormat="1" ht="15" customHeight="1" x14ac:dyDescent="0.25">
      <c r="A7484" s="803" t="s">
        <v>16728</v>
      </c>
      <c r="B7484" s="803" t="s">
        <v>16248</v>
      </c>
      <c r="C7484" s="803" t="s">
        <v>16248</v>
      </c>
      <c r="D7484" s="803" t="s">
        <v>16731</v>
      </c>
      <c r="E7484" s="803">
        <v>250</v>
      </c>
      <c r="F7484" s="850">
        <v>67</v>
      </c>
      <c r="G7484" s="202" t="str">
        <f t="shared" si="116"/>
        <v/>
      </c>
    </row>
    <row r="7485" spans="1:7" s="172" customFormat="1" ht="15" customHeight="1" x14ac:dyDescent="0.25">
      <c r="A7485" s="803" t="s">
        <v>16728</v>
      </c>
      <c r="B7485" s="803" t="s">
        <v>16248</v>
      </c>
      <c r="C7485" s="803" t="s">
        <v>16248</v>
      </c>
      <c r="D7485" s="803" t="s">
        <v>16732</v>
      </c>
      <c r="E7485" s="803">
        <v>160</v>
      </c>
      <c r="F7485" s="850">
        <v>34</v>
      </c>
      <c r="G7485" s="202" t="str">
        <f t="shared" si="116"/>
        <v/>
      </c>
    </row>
    <row r="7486" spans="1:7" s="172" customFormat="1" ht="15" customHeight="1" x14ac:dyDescent="0.25">
      <c r="A7486" s="803" t="s">
        <v>16733</v>
      </c>
      <c r="B7486" s="803" t="s">
        <v>16248</v>
      </c>
      <c r="C7486" s="803" t="s">
        <v>16248</v>
      </c>
      <c r="D7486" s="803" t="s">
        <v>16734</v>
      </c>
      <c r="E7486" s="803">
        <v>60</v>
      </c>
      <c r="F7486" s="850">
        <v>0</v>
      </c>
      <c r="G7486" s="202" t="str">
        <f t="shared" si="116"/>
        <v/>
      </c>
    </row>
    <row r="7487" spans="1:7" s="172" customFormat="1" ht="15" customHeight="1" x14ac:dyDescent="0.25">
      <c r="A7487" s="803" t="s">
        <v>16728</v>
      </c>
      <c r="B7487" s="803" t="s">
        <v>16248</v>
      </c>
      <c r="C7487" s="803" t="s">
        <v>16248</v>
      </c>
      <c r="D7487" s="803" t="s">
        <v>16735</v>
      </c>
      <c r="E7487" s="803">
        <v>250</v>
      </c>
      <c r="F7487" s="850">
        <v>184</v>
      </c>
      <c r="G7487" s="202" t="str">
        <f t="shared" si="116"/>
        <v/>
      </c>
    </row>
    <row r="7488" spans="1:7" s="172" customFormat="1" ht="15" customHeight="1" x14ac:dyDescent="0.25">
      <c r="A7488" s="803" t="s">
        <v>16728</v>
      </c>
      <c r="B7488" s="803" t="s">
        <v>16248</v>
      </c>
      <c r="C7488" s="803" t="s">
        <v>16248</v>
      </c>
      <c r="D7488" s="803" t="s">
        <v>16736</v>
      </c>
      <c r="E7488" s="803">
        <v>160</v>
      </c>
      <c r="F7488" s="850">
        <v>120</v>
      </c>
      <c r="G7488" s="202" t="str">
        <f t="shared" si="116"/>
        <v/>
      </c>
    </row>
    <row r="7489" spans="1:7" s="172" customFormat="1" ht="15" customHeight="1" x14ac:dyDescent="0.25">
      <c r="A7489" s="803" t="s">
        <v>16737</v>
      </c>
      <c r="B7489" s="803" t="s">
        <v>16248</v>
      </c>
      <c r="C7489" s="803" t="s">
        <v>16248</v>
      </c>
      <c r="D7489" s="803" t="s">
        <v>16738</v>
      </c>
      <c r="E7489" s="803">
        <v>100</v>
      </c>
      <c r="F7489" s="850">
        <v>31</v>
      </c>
      <c r="G7489" s="202" t="str">
        <f t="shared" si="116"/>
        <v/>
      </c>
    </row>
    <row r="7490" spans="1:7" s="172" customFormat="1" ht="15" customHeight="1" x14ac:dyDescent="0.25">
      <c r="A7490" s="803" t="s">
        <v>16739</v>
      </c>
      <c r="B7490" s="803" t="s">
        <v>16248</v>
      </c>
      <c r="C7490" s="803" t="s">
        <v>16248</v>
      </c>
      <c r="D7490" s="803" t="s">
        <v>16740</v>
      </c>
      <c r="E7490" s="803">
        <v>100</v>
      </c>
      <c r="F7490" s="850">
        <v>0</v>
      </c>
      <c r="G7490" s="202" t="str">
        <f t="shared" si="116"/>
        <v/>
      </c>
    </row>
    <row r="7491" spans="1:7" s="172" customFormat="1" ht="15" customHeight="1" x14ac:dyDescent="0.25">
      <c r="A7491" s="803" t="s">
        <v>16741</v>
      </c>
      <c r="B7491" s="803" t="s">
        <v>16248</v>
      </c>
      <c r="C7491" s="803" t="s">
        <v>16248</v>
      </c>
      <c r="D7491" s="803" t="s">
        <v>16742</v>
      </c>
      <c r="E7491" s="803">
        <v>30</v>
      </c>
      <c r="F7491" s="850">
        <v>0</v>
      </c>
      <c r="G7491" s="202" t="str">
        <f t="shared" si="116"/>
        <v/>
      </c>
    </row>
    <row r="7492" spans="1:7" s="172" customFormat="1" ht="15" customHeight="1" x14ac:dyDescent="0.25">
      <c r="A7492" s="803" t="s">
        <v>9252</v>
      </c>
      <c r="B7492" s="803" t="s">
        <v>16248</v>
      </c>
      <c r="C7492" s="803" t="s">
        <v>16248</v>
      </c>
      <c r="D7492" s="803" t="s">
        <v>16743</v>
      </c>
      <c r="E7492" s="803">
        <v>100</v>
      </c>
      <c r="F7492" s="850">
        <v>0</v>
      </c>
      <c r="G7492" s="202" t="str">
        <f t="shared" si="116"/>
        <v/>
      </c>
    </row>
    <row r="7493" spans="1:7" s="172" customFormat="1" ht="15" customHeight="1" x14ac:dyDescent="0.25">
      <c r="A7493" s="803" t="s">
        <v>16744</v>
      </c>
      <c r="B7493" s="803" t="s">
        <v>16248</v>
      </c>
      <c r="C7493" s="803" t="s">
        <v>16248</v>
      </c>
      <c r="D7493" s="803" t="s">
        <v>16745</v>
      </c>
      <c r="E7493" s="803">
        <v>63</v>
      </c>
      <c r="F7493" s="850">
        <v>52</v>
      </c>
      <c r="G7493" s="202" t="str">
        <f t="shared" si="116"/>
        <v/>
      </c>
    </row>
    <row r="7494" spans="1:7" s="172" customFormat="1" ht="15" customHeight="1" x14ac:dyDescent="0.25">
      <c r="A7494" s="803" t="s">
        <v>16746</v>
      </c>
      <c r="B7494" s="803" t="s">
        <v>16248</v>
      </c>
      <c r="C7494" s="803" t="s">
        <v>16248</v>
      </c>
      <c r="D7494" s="803" t="s">
        <v>16747</v>
      </c>
      <c r="E7494" s="803">
        <v>160</v>
      </c>
      <c r="F7494" s="850">
        <v>74</v>
      </c>
      <c r="G7494" s="202" t="str">
        <f t="shared" si="116"/>
        <v/>
      </c>
    </row>
    <row r="7495" spans="1:7" s="172" customFormat="1" ht="15" customHeight="1" x14ac:dyDescent="0.25">
      <c r="A7495" s="803" t="s">
        <v>16748</v>
      </c>
      <c r="B7495" s="803" t="s">
        <v>16248</v>
      </c>
      <c r="C7495" s="803" t="s">
        <v>16248</v>
      </c>
      <c r="D7495" s="803" t="s">
        <v>16749</v>
      </c>
      <c r="E7495" s="803">
        <v>160</v>
      </c>
      <c r="F7495" s="850">
        <v>160</v>
      </c>
      <c r="G7495" s="202" t="str">
        <f t="shared" si="116"/>
        <v>не загружен</v>
      </c>
    </row>
    <row r="7496" spans="1:7" s="172" customFormat="1" ht="15" customHeight="1" x14ac:dyDescent="0.25">
      <c r="A7496" s="803" t="s">
        <v>11810</v>
      </c>
      <c r="B7496" s="803" t="s">
        <v>16248</v>
      </c>
      <c r="C7496" s="803" t="s">
        <v>16248</v>
      </c>
      <c r="D7496" s="803" t="s">
        <v>16750</v>
      </c>
      <c r="E7496" s="803">
        <v>30</v>
      </c>
      <c r="F7496" s="850">
        <v>0</v>
      </c>
      <c r="G7496" s="202" t="str">
        <f t="shared" si="116"/>
        <v/>
      </c>
    </row>
    <row r="7497" spans="1:7" s="172" customFormat="1" ht="15" customHeight="1" x14ac:dyDescent="0.25">
      <c r="A7497" s="803" t="s">
        <v>16751</v>
      </c>
      <c r="B7497" s="803" t="s">
        <v>16248</v>
      </c>
      <c r="C7497" s="803" t="s">
        <v>16248</v>
      </c>
      <c r="D7497" s="803" t="s">
        <v>16752</v>
      </c>
      <c r="E7497" s="803">
        <v>100</v>
      </c>
      <c r="F7497" s="850">
        <v>34</v>
      </c>
      <c r="G7497" s="202" t="str">
        <f t="shared" si="116"/>
        <v/>
      </c>
    </row>
    <row r="7498" spans="1:7" s="172" customFormat="1" ht="15" customHeight="1" x14ac:dyDescent="0.25">
      <c r="A7498" s="803" t="s">
        <v>16494</v>
      </c>
      <c r="B7498" s="803" t="s">
        <v>16248</v>
      </c>
      <c r="C7498" s="803" t="s">
        <v>16248</v>
      </c>
      <c r="D7498" s="803" t="s">
        <v>11435</v>
      </c>
      <c r="E7498" s="803">
        <v>100</v>
      </c>
      <c r="F7498" s="850">
        <v>67</v>
      </c>
      <c r="G7498" s="202" t="str">
        <f t="shared" si="116"/>
        <v/>
      </c>
    </row>
    <row r="7499" spans="1:7" s="172" customFormat="1" ht="15" customHeight="1" x14ac:dyDescent="0.25">
      <c r="A7499" s="803" t="s">
        <v>16753</v>
      </c>
      <c r="B7499" s="803" t="s">
        <v>16248</v>
      </c>
      <c r="C7499" s="803" t="s">
        <v>16248</v>
      </c>
      <c r="D7499" s="803" t="s">
        <v>16754</v>
      </c>
      <c r="E7499" s="803">
        <v>30</v>
      </c>
      <c r="F7499" s="850">
        <v>0</v>
      </c>
      <c r="G7499" s="202" t="str">
        <f t="shared" si="116"/>
        <v/>
      </c>
    </row>
    <row r="7500" spans="1:7" s="172" customFormat="1" ht="15" customHeight="1" x14ac:dyDescent="0.25">
      <c r="A7500" s="803" t="s">
        <v>16755</v>
      </c>
      <c r="B7500" s="803" t="s">
        <v>16248</v>
      </c>
      <c r="C7500" s="803" t="s">
        <v>16248</v>
      </c>
      <c r="D7500" s="803" t="s">
        <v>16756</v>
      </c>
      <c r="E7500" s="803">
        <v>100</v>
      </c>
      <c r="F7500" s="850">
        <v>73</v>
      </c>
      <c r="G7500" s="202" t="str">
        <f t="shared" si="116"/>
        <v/>
      </c>
    </row>
    <row r="7501" spans="1:7" s="172" customFormat="1" ht="15" customHeight="1" x14ac:dyDescent="0.25">
      <c r="A7501" s="803" t="s">
        <v>16757</v>
      </c>
      <c r="B7501" s="803" t="s">
        <v>10501</v>
      </c>
      <c r="C7501" s="803" t="s">
        <v>16248</v>
      </c>
      <c r="D7501" s="803" t="s">
        <v>16758</v>
      </c>
      <c r="E7501" s="803">
        <v>400</v>
      </c>
      <c r="F7501" s="850">
        <v>326</v>
      </c>
      <c r="G7501" s="202" t="str">
        <f t="shared" si="116"/>
        <v/>
      </c>
    </row>
    <row r="7502" spans="1:7" s="172" customFormat="1" ht="15" customHeight="1" x14ac:dyDescent="0.25">
      <c r="A7502" s="803" t="s">
        <v>16757</v>
      </c>
      <c r="B7502" s="803" t="s">
        <v>10501</v>
      </c>
      <c r="C7502" s="803" t="s">
        <v>16248</v>
      </c>
      <c r="D7502" s="803" t="s">
        <v>18587</v>
      </c>
      <c r="E7502" s="803">
        <v>160</v>
      </c>
      <c r="F7502" s="850">
        <v>100</v>
      </c>
      <c r="G7502" s="202" t="str">
        <f t="shared" si="116"/>
        <v/>
      </c>
    </row>
    <row r="7503" spans="1:7" s="172" customFormat="1" ht="15" customHeight="1" x14ac:dyDescent="0.25">
      <c r="A7503" s="803" t="s">
        <v>16757</v>
      </c>
      <c r="B7503" s="803" t="s">
        <v>10501</v>
      </c>
      <c r="C7503" s="803" t="s">
        <v>16248</v>
      </c>
      <c r="D7503" s="803" t="s">
        <v>20158</v>
      </c>
      <c r="E7503" s="803">
        <v>63</v>
      </c>
      <c r="F7503" s="850">
        <v>40</v>
      </c>
      <c r="G7503" s="202" t="str">
        <f t="shared" si="116"/>
        <v/>
      </c>
    </row>
    <row r="7504" spans="1:7" s="172" customFormat="1" ht="15" customHeight="1" x14ac:dyDescent="0.25">
      <c r="A7504" s="803" t="s">
        <v>2975</v>
      </c>
      <c r="B7504" s="803" t="s">
        <v>10501</v>
      </c>
      <c r="C7504" s="803" t="s">
        <v>16248</v>
      </c>
      <c r="D7504" s="803" t="s">
        <v>2975</v>
      </c>
      <c r="E7504" s="803">
        <v>40</v>
      </c>
      <c r="F7504" s="850">
        <v>0</v>
      </c>
      <c r="G7504" s="202" t="str">
        <f t="shared" si="116"/>
        <v/>
      </c>
    </row>
    <row r="7505" spans="1:7" s="172" customFormat="1" ht="15" customHeight="1" x14ac:dyDescent="0.25">
      <c r="A7505" s="803" t="s">
        <v>16759</v>
      </c>
      <c r="B7505" s="803" t="s">
        <v>10501</v>
      </c>
      <c r="C7505" s="803" t="s">
        <v>16248</v>
      </c>
      <c r="D7505" s="803" t="s">
        <v>16759</v>
      </c>
      <c r="E7505" s="803">
        <v>30</v>
      </c>
      <c r="F7505" s="850">
        <v>0</v>
      </c>
      <c r="G7505" s="202" t="str">
        <f t="shared" si="116"/>
        <v/>
      </c>
    </row>
    <row r="7506" spans="1:7" s="172" customFormat="1" ht="15" customHeight="1" x14ac:dyDescent="0.25">
      <c r="A7506" s="803" t="s">
        <v>4857</v>
      </c>
      <c r="B7506" s="803" t="s">
        <v>10501</v>
      </c>
      <c r="C7506" s="803" t="s">
        <v>16248</v>
      </c>
      <c r="D7506" s="803" t="s">
        <v>4857</v>
      </c>
      <c r="E7506" s="803">
        <v>63</v>
      </c>
      <c r="F7506" s="850">
        <v>26</v>
      </c>
      <c r="G7506" s="202" t="str">
        <f t="shared" si="116"/>
        <v/>
      </c>
    </row>
    <row r="7507" spans="1:7" s="172" customFormat="1" ht="15" customHeight="1" x14ac:dyDescent="0.25">
      <c r="A7507" s="803" t="s">
        <v>16760</v>
      </c>
      <c r="B7507" s="803" t="s">
        <v>10501</v>
      </c>
      <c r="C7507" s="803" t="s">
        <v>16248</v>
      </c>
      <c r="D7507" s="803" t="s">
        <v>16761</v>
      </c>
      <c r="E7507" s="803">
        <v>160</v>
      </c>
      <c r="F7507" s="850">
        <v>0</v>
      </c>
      <c r="G7507" s="202" t="str">
        <f t="shared" si="116"/>
        <v/>
      </c>
    </row>
    <row r="7508" spans="1:7" s="172" customFormat="1" ht="15" customHeight="1" x14ac:dyDescent="0.25">
      <c r="A7508" s="803" t="s">
        <v>16757</v>
      </c>
      <c r="B7508" s="803" t="s">
        <v>10501</v>
      </c>
      <c r="C7508" s="803" t="s">
        <v>16248</v>
      </c>
      <c r="D7508" s="803" t="s">
        <v>16762</v>
      </c>
      <c r="E7508" s="803">
        <v>160</v>
      </c>
      <c r="F7508" s="850">
        <v>24</v>
      </c>
      <c r="G7508" s="202" t="str">
        <f t="shared" si="116"/>
        <v/>
      </c>
    </row>
    <row r="7509" spans="1:7" s="172" customFormat="1" ht="15" customHeight="1" x14ac:dyDescent="0.25">
      <c r="A7509" s="803" t="s">
        <v>16757</v>
      </c>
      <c r="B7509" s="803" t="s">
        <v>10501</v>
      </c>
      <c r="C7509" s="803" t="s">
        <v>16248</v>
      </c>
      <c r="D7509" s="803" t="s">
        <v>16763</v>
      </c>
      <c r="E7509" s="803">
        <v>250</v>
      </c>
      <c r="F7509" s="850">
        <v>94</v>
      </c>
      <c r="G7509" s="202" t="str">
        <f t="shared" si="116"/>
        <v/>
      </c>
    </row>
    <row r="7510" spans="1:7" s="172" customFormat="1" ht="15" customHeight="1" x14ac:dyDescent="0.25">
      <c r="A7510" s="803" t="s">
        <v>16757</v>
      </c>
      <c r="B7510" s="803" t="s">
        <v>10501</v>
      </c>
      <c r="C7510" s="803" t="s">
        <v>16248</v>
      </c>
      <c r="D7510" s="803" t="s">
        <v>16764</v>
      </c>
      <c r="E7510" s="803">
        <v>400</v>
      </c>
      <c r="F7510" s="850">
        <v>136</v>
      </c>
      <c r="G7510" s="202" t="str">
        <f t="shared" si="116"/>
        <v/>
      </c>
    </row>
    <row r="7511" spans="1:7" s="172" customFormat="1" ht="15" customHeight="1" x14ac:dyDescent="0.25">
      <c r="A7511" s="803" t="s">
        <v>16757</v>
      </c>
      <c r="B7511" s="803" t="s">
        <v>10501</v>
      </c>
      <c r="C7511" s="803" t="s">
        <v>16248</v>
      </c>
      <c r="D7511" s="803" t="s">
        <v>16765</v>
      </c>
      <c r="E7511" s="803">
        <v>160</v>
      </c>
      <c r="F7511" s="850">
        <v>0</v>
      </c>
      <c r="G7511" s="202" t="str">
        <f t="shared" si="116"/>
        <v/>
      </c>
    </row>
    <row r="7512" spans="1:7" s="172" customFormat="1" ht="15" customHeight="1" x14ac:dyDescent="0.25">
      <c r="A7512" s="803" t="s">
        <v>16757</v>
      </c>
      <c r="B7512" s="803" t="s">
        <v>10501</v>
      </c>
      <c r="C7512" s="803" t="s">
        <v>16248</v>
      </c>
      <c r="D7512" s="803" t="s">
        <v>16766</v>
      </c>
      <c r="E7512" s="803">
        <v>250</v>
      </c>
      <c r="F7512" s="850">
        <v>68</v>
      </c>
      <c r="G7512" s="202" t="str">
        <f t="shared" si="116"/>
        <v/>
      </c>
    </row>
    <row r="7513" spans="1:7" s="172" customFormat="1" ht="15" customHeight="1" x14ac:dyDescent="0.25">
      <c r="A7513" s="803" t="s">
        <v>13128</v>
      </c>
      <c r="B7513" s="803" t="s">
        <v>10501</v>
      </c>
      <c r="C7513" s="803" t="s">
        <v>16248</v>
      </c>
      <c r="D7513" s="803" t="s">
        <v>11238</v>
      </c>
      <c r="E7513" s="803">
        <v>30</v>
      </c>
      <c r="F7513" s="850">
        <v>9</v>
      </c>
      <c r="G7513" s="202" t="str">
        <f t="shared" si="116"/>
        <v/>
      </c>
    </row>
    <row r="7514" spans="1:7" s="172" customFormat="1" ht="15" customHeight="1" x14ac:dyDescent="0.25">
      <c r="A7514" s="803" t="s">
        <v>16400</v>
      </c>
      <c r="B7514" s="803" t="s">
        <v>10501</v>
      </c>
      <c r="C7514" s="803" t="s">
        <v>16248</v>
      </c>
      <c r="D7514" s="803" t="s">
        <v>16401</v>
      </c>
      <c r="E7514" s="803">
        <v>20</v>
      </c>
      <c r="F7514" s="850">
        <v>0</v>
      </c>
      <c r="G7514" s="202" t="str">
        <f t="shared" si="116"/>
        <v/>
      </c>
    </row>
    <row r="7515" spans="1:7" s="172" customFormat="1" ht="15" customHeight="1" x14ac:dyDescent="0.25">
      <c r="A7515" s="803" t="s">
        <v>16767</v>
      </c>
      <c r="B7515" s="803" t="s">
        <v>10501</v>
      </c>
      <c r="C7515" s="803" t="s">
        <v>16248</v>
      </c>
      <c r="D7515" s="803" t="s">
        <v>16768</v>
      </c>
      <c r="E7515" s="803">
        <v>63</v>
      </c>
      <c r="F7515" s="850">
        <v>0</v>
      </c>
      <c r="G7515" s="202" t="str">
        <f t="shared" si="116"/>
        <v/>
      </c>
    </row>
    <row r="7516" spans="1:7" s="172" customFormat="1" ht="15" customHeight="1" x14ac:dyDescent="0.25">
      <c r="A7516" s="803" t="s">
        <v>16757</v>
      </c>
      <c r="B7516" s="803" t="s">
        <v>10501</v>
      </c>
      <c r="C7516" s="803" t="s">
        <v>16248</v>
      </c>
      <c r="D7516" s="803" t="s">
        <v>19173</v>
      </c>
      <c r="E7516" s="803">
        <v>100</v>
      </c>
      <c r="F7516" s="850">
        <v>90</v>
      </c>
      <c r="G7516" s="202" t="str">
        <f t="shared" si="116"/>
        <v/>
      </c>
    </row>
    <row r="7517" spans="1:7" s="172" customFormat="1" ht="15" customHeight="1" x14ac:dyDescent="0.25">
      <c r="A7517" s="803" t="s">
        <v>16757</v>
      </c>
      <c r="B7517" s="803" t="s">
        <v>10501</v>
      </c>
      <c r="C7517" s="803" t="s">
        <v>16248</v>
      </c>
      <c r="D7517" s="803" t="s">
        <v>19174</v>
      </c>
      <c r="E7517" s="803">
        <v>63</v>
      </c>
      <c r="F7517" s="850">
        <v>50</v>
      </c>
      <c r="G7517" s="202" t="str">
        <f t="shared" si="116"/>
        <v/>
      </c>
    </row>
    <row r="7518" spans="1:7" s="172" customFormat="1" ht="15" customHeight="1" x14ac:dyDescent="0.25">
      <c r="A7518" s="803" t="s">
        <v>16757</v>
      </c>
      <c r="B7518" s="803" t="s">
        <v>10501</v>
      </c>
      <c r="C7518" s="803" t="s">
        <v>16248</v>
      </c>
      <c r="D7518" s="803" t="s">
        <v>19175</v>
      </c>
      <c r="E7518" s="803">
        <v>100</v>
      </c>
      <c r="F7518" s="850">
        <v>90</v>
      </c>
      <c r="G7518" s="202" t="str">
        <f t="shared" ref="G7518:G7581" si="117">IF(E7518=F7518,"не загружен","")</f>
        <v/>
      </c>
    </row>
    <row r="7519" spans="1:7" s="172" customFormat="1" ht="15" customHeight="1" x14ac:dyDescent="0.25">
      <c r="A7519" s="803" t="s">
        <v>18588</v>
      </c>
      <c r="B7519" s="803" t="s">
        <v>10501</v>
      </c>
      <c r="C7519" s="803" t="s">
        <v>16248</v>
      </c>
      <c r="D7519" s="803" t="s">
        <v>18589</v>
      </c>
      <c r="E7519" s="803">
        <v>100</v>
      </c>
      <c r="F7519" s="850">
        <v>50</v>
      </c>
      <c r="G7519" s="202" t="str">
        <f t="shared" si="117"/>
        <v/>
      </c>
    </row>
    <row r="7520" spans="1:7" s="172" customFormat="1" ht="15" customHeight="1" x14ac:dyDescent="0.25">
      <c r="A7520" s="803" t="s">
        <v>3284</v>
      </c>
      <c r="B7520" s="803" t="s">
        <v>10501</v>
      </c>
      <c r="C7520" s="803" t="s">
        <v>16248</v>
      </c>
      <c r="D7520" s="803" t="s">
        <v>16769</v>
      </c>
      <c r="E7520" s="803">
        <v>160</v>
      </c>
      <c r="F7520" s="850">
        <v>56</v>
      </c>
      <c r="G7520" s="202" t="str">
        <f t="shared" si="117"/>
        <v/>
      </c>
    </row>
    <row r="7521" spans="1:7" s="172" customFormat="1" ht="15" customHeight="1" x14ac:dyDescent="0.25">
      <c r="A7521" s="803" t="s">
        <v>3131</v>
      </c>
      <c r="B7521" s="803" t="s">
        <v>10501</v>
      </c>
      <c r="C7521" s="803" t="s">
        <v>16248</v>
      </c>
      <c r="D7521" s="803" t="s">
        <v>16770</v>
      </c>
      <c r="E7521" s="803">
        <v>30</v>
      </c>
      <c r="F7521" s="850">
        <v>0</v>
      </c>
      <c r="G7521" s="202" t="str">
        <f t="shared" si="117"/>
        <v/>
      </c>
    </row>
    <row r="7522" spans="1:7" s="172" customFormat="1" ht="15" customHeight="1" x14ac:dyDescent="0.25">
      <c r="A7522" s="803" t="s">
        <v>16771</v>
      </c>
      <c r="B7522" s="803" t="s">
        <v>10501</v>
      </c>
      <c r="C7522" s="803" t="s">
        <v>16248</v>
      </c>
      <c r="D7522" s="803" t="s">
        <v>16772</v>
      </c>
      <c r="E7522" s="803">
        <v>100</v>
      </c>
      <c r="F7522" s="850">
        <v>52</v>
      </c>
      <c r="G7522" s="202" t="str">
        <f t="shared" si="117"/>
        <v/>
      </c>
    </row>
    <row r="7523" spans="1:7" s="172" customFormat="1" ht="15" customHeight="1" x14ac:dyDescent="0.25">
      <c r="A7523" s="803" t="s">
        <v>16773</v>
      </c>
      <c r="B7523" s="803" t="s">
        <v>10501</v>
      </c>
      <c r="C7523" s="803" t="s">
        <v>16248</v>
      </c>
      <c r="D7523" s="803" t="s">
        <v>16774</v>
      </c>
      <c r="E7523" s="803">
        <v>160</v>
      </c>
      <c r="F7523" s="850">
        <v>0</v>
      </c>
      <c r="G7523" s="202" t="str">
        <f t="shared" si="117"/>
        <v/>
      </c>
    </row>
    <row r="7524" spans="1:7" s="172" customFormat="1" ht="15" customHeight="1" x14ac:dyDescent="0.25">
      <c r="A7524" s="803" t="s">
        <v>16775</v>
      </c>
      <c r="B7524" s="803" t="s">
        <v>10501</v>
      </c>
      <c r="C7524" s="803" t="s">
        <v>16248</v>
      </c>
      <c r="D7524" s="803" t="s">
        <v>16776</v>
      </c>
      <c r="E7524" s="803">
        <v>160</v>
      </c>
      <c r="F7524" s="850">
        <v>11</v>
      </c>
      <c r="G7524" s="202" t="str">
        <f t="shared" si="117"/>
        <v/>
      </c>
    </row>
    <row r="7525" spans="1:7" s="172" customFormat="1" ht="15" customHeight="1" x14ac:dyDescent="0.25">
      <c r="A7525" s="803" t="s">
        <v>16777</v>
      </c>
      <c r="B7525" s="803" t="s">
        <v>10501</v>
      </c>
      <c r="C7525" s="803" t="s">
        <v>16248</v>
      </c>
      <c r="D7525" s="803" t="s">
        <v>16778</v>
      </c>
      <c r="E7525" s="803">
        <v>60</v>
      </c>
      <c r="F7525" s="850">
        <v>0</v>
      </c>
      <c r="G7525" s="202" t="str">
        <f t="shared" si="117"/>
        <v/>
      </c>
    </row>
    <row r="7526" spans="1:7" s="172" customFormat="1" ht="15" customHeight="1" x14ac:dyDescent="0.25">
      <c r="A7526" s="803" t="s">
        <v>13781</v>
      </c>
      <c r="B7526" s="803" t="s">
        <v>10501</v>
      </c>
      <c r="C7526" s="803" t="s">
        <v>16248</v>
      </c>
      <c r="D7526" s="803" t="s">
        <v>16779</v>
      </c>
      <c r="E7526" s="803">
        <v>20</v>
      </c>
      <c r="F7526" s="850">
        <v>0</v>
      </c>
      <c r="G7526" s="202" t="str">
        <f t="shared" si="117"/>
        <v/>
      </c>
    </row>
    <row r="7527" spans="1:7" s="172" customFormat="1" ht="15" customHeight="1" x14ac:dyDescent="0.25">
      <c r="A7527" s="803" t="s">
        <v>13674</v>
      </c>
      <c r="B7527" s="803" t="s">
        <v>10501</v>
      </c>
      <c r="C7527" s="803" t="s">
        <v>16248</v>
      </c>
      <c r="D7527" s="803" t="s">
        <v>16780</v>
      </c>
      <c r="E7527" s="803">
        <v>100</v>
      </c>
      <c r="F7527" s="850">
        <v>11</v>
      </c>
      <c r="G7527" s="202" t="str">
        <f t="shared" si="117"/>
        <v/>
      </c>
    </row>
    <row r="7528" spans="1:7" s="172" customFormat="1" ht="15" customHeight="1" x14ac:dyDescent="0.25">
      <c r="A7528" s="803" t="s">
        <v>16781</v>
      </c>
      <c r="B7528" s="803" t="s">
        <v>10501</v>
      </c>
      <c r="C7528" s="803" t="s">
        <v>16248</v>
      </c>
      <c r="D7528" s="803" t="s">
        <v>16782</v>
      </c>
      <c r="E7528" s="803">
        <v>20</v>
      </c>
      <c r="F7528" s="850">
        <v>0</v>
      </c>
      <c r="G7528" s="202" t="str">
        <f t="shared" si="117"/>
        <v/>
      </c>
    </row>
    <row r="7529" spans="1:7" s="172" customFormat="1" ht="15" customHeight="1" x14ac:dyDescent="0.25">
      <c r="A7529" s="803" t="s">
        <v>16783</v>
      </c>
      <c r="B7529" s="803" t="s">
        <v>10501</v>
      </c>
      <c r="C7529" s="803" t="s">
        <v>16248</v>
      </c>
      <c r="D7529" s="803" t="s">
        <v>16784</v>
      </c>
      <c r="E7529" s="803">
        <v>20</v>
      </c>
      <c r="F7529" s="850">
        <v>0</v>
      </c>
      <c r="G7529" s="202" t="str">
        <f t="shared" si="117"/>
        <v/>
      </c>
    </row>
    <row r="7530" spans="1:7" s="172" customFormat="1" ht="15" customHeight="1" x14ac:dyDescent="0.25">
      <c r="A7530" s="803" t="s">
        <v>2693</v>
      </c>
      <c r="B7530" s="803" t="s">
        <v>10501</v>
      </c>
      <c r="C7530" s="803" t="s">
        <v>16248</v>
      </c>
      <c r="D7530" s="803" t="s">
        <v>16785</v>
      </c>
      <c r="E7530" s="803">
        <v>30</v>
      </c>
      <c r="F7530" s="850">
        <v>0</v>
      </c>
      <c r="G7530" s="202" t="str">
        <f t="shared" si="117"/>
        <v/>
      </c>
    </row>
    <row r="7531" spans="1:7" s="172" customFormat="1" ht="15" customHeight="1" x14ac:dyDescent="0.25">
      <c r="A7531" s="803" t="s">
        <v>16786</v>
      </c>
      <c r="B7531" s="803" t="s">
        <v>10501</v>
      </c>
      <c r="C7531" s="803" t="s">
        <v>16248</v>
      </c>
      <c r="D7531" s="803" t="s">
        <v>16787</v>
      </c>
      <c r="E7531" s="803">
        <v>30</v>
      </c>
      <c r="F7531" s="850">
        <v>0</v>
      </c>
      <c r="G7531" s="202" t="str">
        <f t="shared" si="117"/>
        <v/>
      </c>
    </row>
    <row r="7532" spans="1:7" s="172" customFormat="1" ht="15" customHeight="1" x14ac:dyDescent="0.25">
      <c r="A7532" s="803" t="s">
        <v>5570</v>
      </c>
      <c r="B7532" s="803" t="s">
        <v>10501</v>
      </c>
      <c r="C7532" s="803" t="s">
        <v>16248</v>
      </c>
      <c r="D7532" s="803" t="s">
        <v>16265</v>
      </c>
      <c r="E7532" s="803">
        <v>30</v>
      </c>
      <c r="F7532" s="850">
        <v>0</v>
      </c>
      <c r="G7532" s="202" t="str">
        <f t="shared" si="117"/>
        <v/>
      </c>
    </row>
    <row r="7533" spans="1:7" s="172" customFormat="1" ht="15" customHeight="1" x14ac:dyDescent="0.25">
      <c r="A7533" s="803" t="s">
        <v>7878</v>
      </c>
      <c r="B7533" s="803" t="s">
        <v>16248</v>
      </c>
      <c r="C7533" s="803" t="s">
        <v>16248</v>
      </c>
      <c r="D7533" s="803" t="s">
        <v>16788</v>
      </c>
      <c r="E7533" s="803">
        <v>63</v>
      </c>
      <c r="F7533" s="850">
        <v>30</v>
      </c>
      <c r="G7533" s="202" t="str">
        <f t="shared" si="117"/>
        <v/>
      </c>
    </row>
    <row r="7534" spans="1:7" s="172" customFormat="1" ht="15" customHeight="1" x14ac:dyDescent="0.25">
      <c r="A7534" s="803" t="s">
        <v>16386</v>
      </c>
      <c r="B7534" s="803" t="s">
        <v>16248</v>
      </c>
      <c r="C7534" s="803" t="s">
        <v>16248</v>
      </c>
      <c r="D7534" s="803" t="s">
        <v>16387</v>
      </c>
      <c r="E7534" s="803">
        <v>63</v>
      </c>
      <c r="F7534" s="850">
        <v>33</v>
      </c>
      <c r="G7534" s="202" t="str">
        <f t="shared" si="117"/>
        <v/>
      </c>
    </row>
    <row r="7535" spans="1:7" s="172" customFormat="1" ht="15" customHeight="1" x14ac:dyDescent="0.25">
      <c r="A7535" s="803" t="s">
        <v>16789</v>
      </c>
      <c r="B7535" s="803" t="s">
        <v>16248</v>
      </c>
      <c r="C7535" s="803" t="s">
        <v>16248</v>
      </c>
      <c r="D7535" s="803" t="s">
        <v>16790</v>
      </c>
      <c r="E7535" s="803">
        <v>100</v>
      </c>
      <c r="F7535" s="850">
        <v>19</v>
      </c>
      <c r="G7535" s="202" t="str">
        <f t="shared" si="117"/>
        <v/>
      </c>
    </row>
    <row r="7536" spans="1:7" s="172" customFormat="1" ht="15" customHeight="1" x14ac:dyDescent="0.25">
      <c r="A7536" s="803" t="s">
        <v>11931</v>
      </c>
      <c r="B7536" s="803" t="s">
        <v>16248</v>
      </c>
      <c r="C7536" s="803" t="s">
        <v>16248</v>
      </c>
      <c r="D7536" s="803" t="s">
        <v>16791</v>
      </c>
      <c r="E7536" s="803">
        <v>30</v>
      </c>
      <c r="F7536" s="850">
        <v>0</v>
      </c>
      <c r="G7536" s="202" t="str">
        <f t="shared" si="117"/>
        <v/>
      </c>
    </row>
    <row r="7537" spans="1:7" s="172" customFormat="1" ht="15" customHeight="1" x14ac:dyDescent="0.25">
      <c r="A7537" s="803" t="s">
        <v>16792</v>
      </c>
      <c r="B7537" s="803" t="s">
        <v>16248</v>
      </c>
      <c r="C7537" s="803" t="s">
        <v>16248</v>
      </c>
      <c r="D7537" s="803" t="s">
        <v>16793</v>
      </c>
      <c r="E7537" s="803">
        <v>400</v>
      </c>
      <c r="F7537" s="850">
        <v>327</v>
      </c>
      <c r="G7537" s="202" t="str">
        <f t="shared" si="117"/>
        <v/>
      </c>
    </row>
    <row r="7538" spans="1:7" s="172" customFormat="1" ht="15" customHeight="1" x14ac:dyDescent="0.25">
      <c r="A7538" s="803" t="s">
        <v>16792</v>
      </c>
      <c r="B7538" s="803" t="s">
        <v>16248</v>
      </c>
      <c r="C7538" s="803" t="s">
        <v>16248</v>
      </c>
      <c r="D7538" s="803" t="s">
        <v>16794</v>
      </c>
      <c r="E7538" s="803">
        <v>400</v>
      </c>
      <c r="F7538" s="850">
        <v>111</v>
      </c>
      <c r="G7538" s="202" t="str">
        <f t="shared" si="117"/>
        <v/>
      </c>
    </row>
    <row r="7539" spans="1:7" s="172" customFormat="1" ht="15" customHeight="1" x14ac:dyDescent="0.25">
      <c r="A7539" s="803" t="s">
        <v>16795</v>
      </c>
      <c r="B7539" s="803" t="s">
        <v>16248</v>
      </c>
      <c r="C7539" s="803" t="s">
        <v>16248</v>
      </c>
      <c r="D7539" s="803" t="s">
        <v>16796</v>
      </c>
      <c r="E7539" s="803">
        <v>30</v>
      </c>
      <c r="F7539" s="850">
        <v>8</v>
      </c>
      <c r="G7539" s="202" t="str">
        <f t="shared" si="117"/>
        <v/>
      </c>
    </row>
    <row r="7540" spans="1:7" s="172" customFormat="1" ht="15" customHeight="1" x14ac:dyDescent="0.25">
      <c r="A7540" s="803" t="s">
        <v>16797</v>
      </c>
      <c r="B7540" s="803" t="s">
        <v>16248</v>
      </c>
      <c r="C7540" s="803" t="s">
        <v>16248</v>
      </c>
      <c r="D7540" s="803" t="s">
        <v>16798</v>
      </c>
      <c r="E7540" s="803">
        <v>63</v>
      </c>
      <c r="F7540" s="850">
        <v>0</v>
      </c>
      <c r="G7540" s="202" t="str">
        <f t="shared" si="117"/>
        <v/>
      </c>
    </row>
    <row r="7541" spans="1:7" s="172" customFormat="1" ht="15" customHeight="1" x14ac:dyDescent="0.25">
      <c r="A7541" s="803" t="s">
        <v>16799</v>
      </c>
      <c r="B7541" s="803" t="s">
        <v>16248</v>
      </c>
      <c r="C7541" s="803" t="s">
        <v>16248</v>
      </c>
      <c r="D7541" s="803" t="s">
        <v>16800</v>
      </c>
      <c r="E7541" s="803">
        <v>60</v>
      </c>
      <c r="F7541" s="850">
        <v>27</v>
      </c>
      <c r="G7541" s="202" t="str">
        <f t="shared" si="117"/>
        <v/>
      </c>
    </row>
    <row r="7542" spans="1:7" s="172" customFormat="1" ht="15" customHeight="1" x14ac:dyDescent="0.25">
      <c r="A7542" s="803" t="s">
        <v>16801</v>
      </c>
      <c r="B7542" s="803" t="s">
        <v>16248</v>
      </c>
      <c r="C7542" s="803" t="s">
        <v>16248</v>
      </c>
      <c r="D7542" s="803" t="s">
        <v>16802</v>
      </c>
      <c r="E7542" s="803">
        <v>30</v>
      </c>
      <c r="F7542" s="850">
        <v>30</v>
      </c>
      <c r="G7542" s="202" t="str">
        <f t="shared" si="117"/>
        <v>не загружен</v>
      </c>
    </row>
    <row r="7543" spans="1:7" s="172" customFormat="1" ht="15" customHeight="1" x14ac:dyDescent="0.25">
      <c r="A7543" s="803" t="s">
        <v>16803</v>
      </c>
      <c r="B7543" s="803" t="s">
        <v>16248</v>
      </c>
      <c r="C7543" s="803" t="s">
        <v>16248</v>
      </c>
      <c r="D7543" s="803" t="s">
        <v>16804</v>
      </c>
      <c r="E7543" s="803">
        <v>30</v>
      </c>
      <c r="F7543" s="850">
        <v>12</v>
      </c>
      <c r="G7543" s="202" t="str">
        <f t="shared" si="117"/>
        <v/>
      </c>
    </row>
    <row r="7544" spans="1:7" s="172" customFormat="1" ht="15" customHeight="1" x14ac:dyDescent="0.25">
      <c r="A7544" s="803" t="s">
        <v>16805</v>
      </c>
      <c r="B7544" s="803" t="s">
        <v>16248</v>
      </c>
      <c r="C7544" s="803" t="s">
        <v>16248</v>
      </c>
      <c r="D7544" s="803" t="s">
        <v>16806</v>
      </c>
      <c r="E7544" s="803">
        <v>30</v>
      </c>
      <c r="F7544" s="850">
        <v>0</v>
      </c>
      <c r="G7544" s="202" t="str">
        <f t="shared" si="117"/>
        <v/>
      </c>
    </row>
    <row r="7545" spans="1:7" s="172" customFormat="1" ht="15" customHeight="1" x14ac:dyDescent="0.25">
      <c r="A7545" s="803" t="s">
        <v>6578</v>
      </c>
      <c r="B7545" s="803" t="s">
        <v>16248</v>
      </c>
      <c r="C7545" s="803" t="s">
        <v>16248</v>
      </c>
      <c r="D7545" s="803" t="s">
        <v>4524</v>
      </c>
      <c r="E7545" s="803">
        <v>100</v>
      </c>
      <c r="F7545" s="850">
        <v>32</v>
      </c>
      <c r="G7545" s="202" t="str">
        <f t="shared" si="117"/>
        <v/>
      </c>
    </row>
    <row r="7546" spans="1:7" s="172" customFormat="1" ht="15" customHeight="1" x14ac:dyDescent="0.25">
      <c r="A7546" s="803" t="s">
        <v>16807</v>
      </c>
      <c r="B7546" s="803" t="s">
        <v>16248</v>
      </c>
      <c r="C7546" s="803" t="s">
        <v>16248</v>
      </c>
      <c r="D7546" s="803" t="s">
        <v>16808</v>
      </c>
      <c r="E7546" s="803">
        <v>160</v>
      </c>
      <c r="F7546" s="850">
        <v>0</v>
      </c>
      <c r="G7546" s="202" t="str">
        <f t="shared" si="117"/>
        <v/>
      </c>
    </row>
    <row r="7547" spans="1:7" s="172" customFormat="1" ht="15" customHeight="1" x14ac:dyDescent="0.25">
      <c r="A7547" s="803" t="s">
        <v>16807</v>
      </c>
      <c r="B7547" s="803" t="s">
        <v>16248</v>
      </c>
      <c r="C7547" s="803" t="s">
        <v>16248</v>
      </c>
      <c r="D7547" s="803" t="s">
        <v>16809</v>
      </c>
      <c r="E7547" s="803">
        <v>250</v>
      </c>
      <c r="F7547" s="850">
        <v>117</v>
      </c>
      <c r="G7547" s="202" t="str">
        <f t="shared" si="117"/>
        <v/>
      </c>
    </row>
    <row r="7548" spans="1:7" s="172" customFormat="1" ht="15" customHeight="1" x14ac:dyDescent="0.25">
      <c r="A7548" s="803" t="s">
        <v>16807</v>
      </c>
      <c r="B7548" s="803" t="s">
        <v>16248</v>
      </c>
      <c r="C7548" s="803" t="s">
        <v>16248</v>
      </c>
      <c r="D7548" s="803" t="s">
        <v>16810</v>
      </c>
      <c r="E7548" s="803">
        <v>160</v>
      </c>
      <c r="F7548" s="850">
        <v>52</v>
      </c>
      <c r="G7548" s="202" t="str">
        <f t="shared" si="117"/>
        <v/>
      </c>
    </row>
    <row r="7549" spans="1:7" s="172" customFormat="1" ht="15" customHeight="1" x14ac:dyDescent="0.25">
      <c r="A7549" s="803" t="s">
        <v>3545</v>
      </c>
      <c r="B7549" s="803" t="s">
        <v>3753</v>
      </c>
      <c r="C7549" s="803" t="s">
        <v>3753</v>
      </c>
      <c r="D7549" s="803" t="s">
        <v>3754</v>
      </c>
      <c r="E7549" s="803">
        <v>40</v>
      </c>
      <c r="F7549" s="850">
        <v>5</v>
      </c>
      <c r="G7549" s="202" t="str">
        <f t="shared" si="117"/>
        <v/>
      </c>
    </row>
    <row r="7550" spans="1:7" s="172" customFormat="1" ht="15" customHeight="1" x14ac:dyDescent="0.25">
      <c r="A7550" s="803" t="s">
        <v>12727</v>
      </c>
      <c r="B7550" s="803" t="s">
        <v>3753</v>
      </c>
      <c r="C7550" s="803" t="s">
        <v>3753</v>
      </c>
      <c r="D7550" s="803" t="s">
        <v>3755</v>
      </c>
      <c r="E7550" s="803">
        <v>250</v>
      </c>
      <c r="F7550" s="850">
        <v>150</v>
      </c>
      <c r="G7550" s="202" t="str">
        <f t="shared" si="117"/>
        <v/>
      </c>
    </row>
    <row r="7551" spans="1:7" s="172" customFormat="1" ht="15" customHeight="1" x14ac:dyDescent="0.25">
      <c r="A7551" s="803" t="s">
        <v>3756</v>
      </c>
      <c r="B7551" s="803" t="s">
        <v>3753</v>
      </c>
      <c r="C7551" s="803" t="s">
        <v>3753</v>
      </c>
      <c r="D7551" s="803" t="s">
        <v>3757</v>
      </c>
      <c r="E7551" s="803">
        <v>100</v>
      </c>
      <c r="F7551" s="850">
        <v>10</v>
      </c>
      <c r="G7551" s="202" t="str">
        <f t="shared" si="117"/>
        <v/>
      </c>
    </row>
    <row r="7552" spans="1:7" s="172" customFormat="1" ht="15" customHeight="1" x14ac:dyDescent="0.25">
      <c r="A7552" s="803" t="s">
        <v>4861</v>
      </c>
      <c r="B7552" s="803" t="s">
        <v>3753</v>
      </c>
      <c r="C7552" s="803" t="s">
        <v>3753</v>
      </c>
      <c r="D7552" s="803" t="s">
        <v>3758</v>
      </c>
      <c r="E7552" s="803">
        <v>60</v>
      </c>
      <c r="F7552" s="850">
        <v>20</v>
      </c>
      <c r="G7552" s="202" t="str">
        <f t="shared" si="117"/>
        <v/>
      </c>
    </row>
    <row r="7553" spans="1:7" s="172" customFormat="1" ht="15" customHeight="1" x14ac:dyDescent="0.25">
      <c r="A7553" s="803" t="s">
        <v>12728</v>
      </c>
      <c r="B7553" s="803" t="s">
        <v>3753</v>
      </c>
      <c r="C7553" s="803" t="s">
        <v>3753</v>
      </c>
      <c r="D7553" s="803" t="s">
        <v>3759</v>
      </c>
      <c r="E7553" s="803">
        <v>20</v>
      </c>
      <c r="F7553" s="850">
        <v>5</v>
      </c>
      <c r="G7553" s="202" t="str">
        <f t="shared" si="117"/>
        <v/>
      </c>
    </row>
    <row r="7554" spans="1:7" s="172" customFormat="1" ht="15" customHeight="1" x14ac:dyDescent="0.25">
      <c r="A7554" s="803" t="s">
        <v>4825</v>
      </c>
      <c r="B7554" s="803" t="s">
        <v>3753</v>
      </c>
      <c r="C7554" s="803" t="s">
        <v>3753</v>
      </c>
      <c r="D7554" s="803" t="s">
        <v>3760</v>
      </c>
      <c r="E7554" s="803">
        <v>100</v>
      </c>
      <c r="F7554" s="850">
        <v>30</v>
      </c>
      <c r="G7554" s="202" t="str">
        <f t="shared" si="117"/>
        <v/>
      </c>
    </row>
    <row r="7555" spans="1:7" s="172" customFormat="1" ht="15" customHeight="1" x14ac:dyDescent="0.25">
      <c r="A7555" s="803" t="s">
        <v>4825</v>
      </c>
      <c r="B7555" s="803" t="s">
        <v>3753</v>
      </c>
      <c r="C7555" s="803" t="s">
        <v>3753</v>
      </c>
      <c r="D7555" s="803" t="s">
        <v>3761</v>
      </c>
      <c r="E7555" s="803">
        <v>400</v>
      </c>
      <c r="F7555" s="850">
        <v>250</v>
      </c>
      <c r="G7555" s="202" t="str">
        <f t="shared" si="117"/>
        <v/>
      </c>
    </row>
    <row r="7556" spans="1:7" s="172" customFormat="1" ht="15" customHeight="1" x14ac:dyDescent="0.25">
      <c r="A7556" s="803" t="s">
        <v>3762</v>
      </c>
      <c r="B7556" s="803" t="s">
        <v>3753</v>
      </c>
      <c r="C7556" s="803" t="s">
        <v>3753</v>
      </c>
      <c r="D7556" s="803" t="s">
        <v>3763</v>
      </c>
      <c r="E7556" s="803">
        <v>63</v>
      </c>
      <c r="F7556" s="850">
        <v>25</v>
      </c>
      <c r="G7556" s="202" t="str">
        <f t="shared" si="117"/>
        <v/>
      </c>
    </row>
    <row r="7557" spans="1:7" s="172" customFormat="1" ht="15" customHeight="1" x14ac:dyDescent="0.25">
      <c r="A7557" s="803" t="s">
        <v>5028</v>
      </c>
      <c r="B7557" s="803" t="s">
        <v>3753</v>
      </c>
      <c r="C7557" s="803" t="s">
        <v>3753</v>
      </c>
      <c r="D7557" s="803" t="s">
        <v>3764</v>
      </c>
      <c r="E7557" s="803">
        <v>63</v>
      </c>
      <c r="F7557" s="850">
        <v>40</v>
      </c>
      <c r="G7557" s="202" t="str">
        <f t="shared" si="117"/>
        <v/>
      </c>
    </row>
    <row r="7558" spans="1:7" s="172" customFormat="1" ht="15" customHeight="1" x14ac:dyDescent="0.25">
      <c r="A7558" s="803" t="s">
        <v>4825</v>
      </c>
      <c r="B7558" s="803" t="s">
        <v>3753</v>
      </c>
      <c r="C7558" s="803" t="s">
        <v>3753</v>
      </c>
      <c r="D7558" s="803" t="s">
        <v>3765</v>
      </c>
      <c r="E7558" s="803">
        <v>160</v>
      </c>
      <c r="F7558" s="850">
        <v>100</v>
      </c>
      <c r="G7558" s="202" t="str">
        <f t="shared" si="117"/>
        <v/>
      </c>
    </row>
    <row r="7559" spans="1:7" s="172" customFormat="1" ht="15" customHeight="1" x14ac:dyDescent="0.25">
      <c r="A7559" s="803" t="s">
        <v>4825</v>
      </c>
      <c r="B7559" s="803" t="s">
        <v>3753</v>
      </c>
      <c r="C7559" s="803" t="s">
        <v>3753</v>
      </c>
      <c r="D7559" s="803" t="s">
        <v>3766</v>
      </c>
      <c r="E7559" s="803">
        <v>180</v>
      </c>
      <c r="F7559" s="850">
        <v>120</v>
      </c>
      <c r="G7559" s="202" t="str">
        <f t="shared" si="117"/>
        <v/>
      </c>
    </row>
    <row r="7560" spans="1:7" s="172" customFormat="1" ht="15" customHeight="1" x14ac:dyDescent="0.25">
      <c r="A7560" s="803" t="s">
        <v>12729</v>
      </c>
      <c r="B7560" s="803" t="s">
        <v>3753</v>
      </c>
      <c r="C7560" s="803" t="s">
        <v>3753</v>
      </c>
      <c r="D7560" s="803" t="s">
        <v>3767</v>
      </c>
      <c r="E7560" s="803">
        <v>250</v>
      </c>
      <c r="F7560" s="850">
        <v>60</v>
      </c>
      <c r="G7560" s="202" t="str">
        <f t="shared" si="117"/>
        <v/>
      </c>
    </row>
    <row r="7561" spans="1:7" s="172" customFormat="1" ht="15" customHeight="1" x14ac:dyDescent="0.25">
      <c r="A7561" s="803" t="s">
        <v>12729</v>
      </c>
      <c r="B7561" s="803" t="s">
        <v>3753</v>
      </c>
      <c r="C7561" s="803" t="s">
        <v>3753</v>
      </c>
      <c r="D7561" s="803" t="s">
        <v>3768</v>
      </c>
      <c r="E7561" s="803">
        <v>250</v>
      </c>
      <c r="F7561" s="850">
        <v>60</v>
      </c>
      <c r="G7561" s="202" t="str">
        <f t="shared" si="117"/>
        <v/>
      </c>
    </row>
    <row r="7562" spans="1:7" s="172" customFormat="1" ht="15" customHeight="1" x14ac:dyDescent="0.25">
      <c r="A7562" s="803" t="s">
        <v>12729</v>
      </c>
      <c r="B7562" s="803" t="s">
        <v>3753</v>
      </c>
      <c r="C7562" s="803" t="s">
        <v>3753</v>
      </c>
      <c r="D7562" s="803" t="s">
        <v>3769</v>
      </c>
      <c r="E7562" s="803">
        <v>160</v>
      </c>
      <c r="F7562" s="850">
        <v>60</v>
      </c>
      <c r="G7562" s="202" t="str">
        <f t="shared" si="117"/>
        <v/>
      </c>
    </row>
    <row r="7563" spans="1:7" s="172" customFormat="1" ht="15" customHeight="1" x14ac:dyDescent="0.25">
      <c r="A7563" s="803" t="s">
        <v>12729</v>
      </c>
      <c r="B7563" s="803" t="s">
        <v>3753</v>
      </c>
      <c r="C7563" s="803" t="s">
        <v>3753</v>
      </c>
      <c r="D7563" s="803" t="s">
        <v>3770</v>
      </c>
      <c r="E7563" s="803">
        <v>400</v>
      </c>
      <c r="F7563" s="850">
        <v>300</v>
      </c>
      <c r="G7563" s="202" t="str">
        <f t="shared" si="117"/>
        <v/>
      </c>
    </row>
    <row r="7564" spans="1:7" s="172" customFormat="1" ht="15" customHeight="1" x14ac:dyDescent="0.25">
      <c r="A7564" s="803" t="s">
        <v>12730</v>
      </c>
      <c r="B7564" s="803" t="s">
        <v>3753</v>
      </c>
      <c r="C7564" s="803" t="s">
        <v>3753</v>
      </c>
      <c r="D7564" s="803" t="s">
        <v>3771</v>
      </c>
      <c r="E7564" s="803">
        <v>160</v>
      </c>
      <c r="F7564" s="850">
        <v>60</v>
      </c>
      <c r="G7564" s="202" t="str">
        <f t="shared" si="117"/>
        <v/>
      </c>
    </row>
    <row r="7565" spans="1:7" s="172" customFormat="1" ht="15" customHeight="1" x14ac:dyDescent="0.25">
      <c r="A7565" s="803" t="s">
        <v>3772</v>
      </c>
      <c r="B7565" s="803" t="s">
        <v>3753</v>
      </c>
      <c r="C7565" s="803" t="s">
        <v>3753</v>
      </c>
      <c r="D7565" s="803" t="s">
        <v>3773</v>
      </c>
      <c r="E7565" s="803">
        <v>60</v>
      </c>
      <c r="F7565" s="850">
        <v>30</v>
      </c>
      <c r="G7565" s="202" t="str">
        <f t="shared" si="117"/>
        <v/>
      </c>
    </row>
    <row r="7566" spans="1:7" s="172" customFormat="1" ht="15" customHeight="1" x14ac:dyDescent="0.25">
      <c r="A7566" s="803" t="s">
        <v>3774</v>
      </c>
      <c r="B7566" s="803" t="s">
        <v>3753</v>
      </c>
      <c r="C7566" s="803" t="s">
        <v>3753</v>
      </c>
      <c r="D7566" s="803" t="s">
        <v>3775</v>
      </c>
      <c r="E7566" s="803">
        <v>100</v>
      </c>
      <c r="F7566" s="850">
        <v>55</v>
      </c>
      <c r="G7566" s="202" t="str">
        <f t="shared" si="117"/>
        <v/>
      </c>
    </row>
    <row r="7567" spans="1:7" s="172" customFormat="1" ht="15" customHeight="1" x14ac:dyDescent="0.25">
      <c r="A7567" s="803" t="s">
        <v>3210</v>
      </c>
      <c r="B7567" s="803" t="s">
        <v>3753</v>
      </c>
      <c r="C7567" s="803" t="s">
        <v>3753</v>
      </c>
      <c r="D7567" s="803" t="s">
        <v>3776</v>
      </c>
      <c r="E7567" s="803">
        <v>60</v>
      </c>
      <c r="F7567" s="850">
        <v>30</v>
      </c>
      <c r="G7567" s="202" t="str">
        <f t="shared" si="117"/>
        <v/>
      </c>
    </row>
    <row r="7568" spans="1:7" s="172" customFormat="1" ht="15" customHeight="1" x14ac:dyDescent="0.25">
      <c r="A7568" s="803" t="s">
        <v>12731</v>
      </c>
      <c r="B7568" s="803" t="s">
        <v>3753</v>
      </c>
      <c r="C7568" s="803" t="s">
        <v>3753</v>
      </c>
      <c r="D7568" s="803" t="s">
        <v>3777</v>
      </c>
      <c r="E7568" s="803">
        <v>20</v>
      </c>
      <c r="F7568" s="850">
        <v>10</v>
      </c>
      <c r="G7568" s="202" t="str">
        <f t="shared" si="117"/>
        <v/>
      </c>
    </row>
    <row r="7569" spans="1:7" s="172" customFormat="1" ht="15" customHeight="1" x14ac:dyDescent="0.25">
      <c r="A7569" s="803" t="s">
        <v>12732</v>
      </c>
      <c r="B7569" s="803" t="s">
        <v>3753</v>
      </c>
      <c r="C7569" s="803" t="s">
        <v>3753</v>
      </c>
      <c r="D7569" s="803" t="s">
        <v>3778</v>
      </c>
      <c r="E7569" s="803">
        <v>63</v>
      </c>
      <c r="F7569" s="850">
        <v>5</v>
      </c>
      <c r="G7569" s="202" t="str">
        <f t="shared" si="117"/>
        <v/>
      </c>
    </row>
    <row r="7570" spans="1:7" s="172" customFormat="1" ht="15" customHeight="1" x14ac:dyDescent="0.25">
      <c r="A7570" s="803" t="s">
        <v>12733</v>
      </c>
      <c r="B7570" s="803" t="s">
        <v>3753</v>
      </c>
      <c r="C7570" s="803" t="s">
        <v>3753</v>
      </c>
      <c r="D7570" s="803" t="s">
        <v>3779</v>
      </c>
      <c r="E7570" s="803">
        <v>63</v>
      </c>
      <c r="F7570" s="850">
        <v>20</v>
      </c>
      <c r="G7570" s="202" t="str">
        <f t="shared" si="117"/>
        <v/>
      </c>
    </row>
    <row r="7571" spans="1:7" s="172" customFormat="1" ht="15" customHeight="1" x14ac:dyDescent="0.25">
      <c r="A7571" s="803" t="s">
        <v>12734</v>
      </c>
      <c r="B7571" s="803" t="s">
        <v>3753</v>
      </c>
      <c r="C7571" s="803" t="s">
        <v>3753</v>
      </c>
      <c r="D7571" s="803" t="s">
        <v>3780</v>
      </c>
      <c r="E7571" s="803">
        <v>160</v>
      </c>
      <c r="F7571" s="850">
        <v>70</v>
      </c>
      <c r="G7571" s="202" t="str">
        <f t="shared" si="117"/>
        <v/>
      </c>
    </row>
    <row r="7572" spans="1:7" s="172" customFormat="1" ht="15" customHeight="1" x14ac:dyDescent="0.25">
      <c r="A7572" s="803" t="s">
        <v>12735</v>
      </c>
      <c r="B7572" s="803" t="s">
        <v>3753</v>
      </c>
      <c r="C7572" s="803" t="s">
        <v>3753</v>
      </c>
      <c r="D7572" s="803" t="s">
        <v>3781</v>
      </c>
      <c r="E7572" s="803">
        <v>100</v>
      </c>
      <c r="F7572" s="850">
        <v>40</v>
      </c>
      <c r="G7572" s="202" t="str">
        <f t="shared" si="117"/>
        <v/>
      </c>
    </row>
    <row r="7573" spans="1:7" s="172" customFormat="1" ht="15" customHeight="1" x14ac:dyDescent="0.25">
      <c r="A7573" s="803" t="s">
        <v>12736</v>
      </c>
      <c r="B7573" s="803" t="s">
        <v>3753</v>
      </c>
      <c r="C7573" s="803" t="s">
        <v>3753</v>
      </c>
      <c r="D7573" s="803" t="s">
        <v>3782</v>
      </c>
      <c r="E7573" s="803">
        <v>100</v>
      </c>
      <c r="F7573" s="850">
        <v>30</v>
      </c>
      <c r="G7573" s="202" t="str">
        <f t="shared" si="117"/>
        <v/>
      </c>
    </row>
    <row r="7574" spans="1:7" s="172" customFormat="1" ht="15" customHeight="1" x14ac:dyDescent="0.25">
      <c r="A7574" s="803" t="s">
        <v>12737</v>
      </c>
      <c r="B7574" s="803" t="s">
        <v>3753</v>
      </c>
      <c r="C7574" s="803" t="s">
        <v>3753</v>
      </c>
      <c r="D7574" s="803" t="s">
        <v>3783</v>
      </c>
      <c r="E7574" s="803">
        <v>100</v>
      </c>
      <c r="F7574" s="850">
        <v>30</v>
      </c>
      <c r="G7574" s="202" t="str">
        <f t="shared" si="117"/>
        <v/>
      </c>
    </row>
    <row r="7575" spans="1:7" s="172" customFormat="1" ht="15" customHeight="1" x14ac:dyDescent="0.25">
      <c r="A7575" s="803" t="s">
        <v>12738</v>
      </c>
      <c r="B7575" s="803" t="s">
        <v>3753</v>
      </c>
      <c r="C7575" s="803" t="s">
        <v>3753</v>
      </c>
      <c r="D7575" s="803" t="s">
        <v>3784</v>
      </c>
      <c r="E7575" s="803">
        <v>20</v>
      </c>
      <c r="F7575" s="850">
        <v>5</v>
      </c>
      <c r="G7575" s="202" t="str">
        <f t="shared" si="117"/>
        <v/>
      </c>
    </row>
    <row r="7576" spans="1:7" s="172" customFormat="1" ht="15" customHeight="1" x14ac:dyDescent="0.25">
      <c r="A7576" s="803" t="s">
        <v>3788</v>
      </c>
      <c r="B7576" s="803" t="s">
        <v>3753</v>
      </c>
      <c r="C7576" s="803" t="s">
        <v>3753</v>
      </c>
      <c r="D7576" s="803" t="s">
        <v>3785</v>
      </c>
      <c r="E7576" s="803">
        <v>250</v>
      </c>
      <c r="F7576" s="850">
        <v>150</v>
      </c>
      <c r="G7576" s="202" t="str">
        <f t="shared" si="117"/>
        <v/>
      </c>
    </row>
    <row r="7577" spans="1:7" s="172" customFormat="1" ht="15" customHeight="1" x14ac:dyDescent="0.25">
      <c r="A7577" s="803" t="s">
        <v>3786</v>
      </c>
      <c r="B7577" s="803" t="s">
        <v>3753</v>
      </c>
      <c r="C7577" s="803" t="s">
        <v>3753</v>
      </c>
      <c r="D7577" s="803" t="s">
        <v>3787</v>
      </c>
      <c r="E7577" s="803">
        <v>60</v>
      </c>
      <c r="F7577" s="850">
        <v>25</v>
      </c>
      <c r="G7577" s="202" t="str">
        <f t="shared" si="117"/>
        <v/>
      </c>
    </row>
    <row r="7578" spans="1:7" s="172" customFormat="1" ht="15" customHeight="1" x14ac:dyDescent="0.25">
      <c r="A7578" s="803" t="s">
        <v>3788</v>
      </c>
      <c r="B7578" s="803" t="s">
        <v>3753</v>
      </c>
      <c r="C7578" s="803" t="s">
        <v>3753</v>
      </c>
      <c r="D7578" s="803" t="s">
        <v>3789</v>
      </c>
      <c r="E7578" s="803">
        <v>160</v>
      </c>
      <c r="F7578" s="850">
        <v>55</v>
      </c>
      <c r="G7578" s="202" t="str">
        <f t="shared" si="117"/>
        <v/>
      </c>
    </row>
    <row r="7579" spans="1:7" s="172" customFormat="1" ht="15" customHeight="1" x14ac:dyDescent="0.25">
      <c r="A7579" s="803" t="s">
        <v>12739</v>
      </c>
      <c r="B7579" s="803" t="s">
        <v>3753</v>
      </c>
      <c r="C7579" s="803" t="s">
        <v>3753</v>
      </c>
      <c r="D7579" s="803" t="s">
        <v>3790</v>
      </c>
      <c r="E7579" s="803">
        <v>60</v>
      </c>
      <c r="F7579" s="850">
        <v>35</v>
      </c>
      <c r="G7579" s="202" t="str">
        <f t="shared" si="117"/>
        <v/>
      </c>
    </row>
    <row r="7580" spans="1:7" s="172" customFormat="1" ht="15" customHeight="1" x14ac:dyDescent="0.25">
      <c r="A7580" s="803" t="s">
        <v>12740</v>
      </c>
      <c r="B7580" s="803" t="s">
        <v>3753</v>
      </c>
      <c r="C7580" s="803" t="s">
        <v>3753</v>
      </c>
      <c r="D7580" s="803" t="s">
        <v>3791</v>
      </c>
      <c r="E7580" s="803">
        <v>30</v>
      </c>
      <c r="F7580" s="850">
        <v>10</v>
      </c>
      <c r="G7580" s="202" t="str">
        <f t="shared" si="117"/>
        <v/>
      </c>
    </row>
    <row r="7581" spans="1:7" s="172" customFormat="1" ht="15" customHeight="1" x14ac:dyDescent="0.25">
      <c r="A7581" s="803" t="s">
        <v>5736</v>
      </c>
      <c r="B7581" s="803" t="s">
        <v>3753</v>
      </c>
      <c r="C7581" s="803" t="s">
        <v>3753</v>
      </c>
      <c r="D7581" s="803" t="s">
        <v>3792</v>
      </c>
      <c r="E7581" s="803">
        <v>63</v>
      </c>
      <c r="F7581" s="850">
        <v>0</v>
      </c>
      <c r="G7581" s="202" t="str">
        <f t="shared" si="117"/>
        <v/>
      </c>
    </row>
    <row r="7582" spans="1:7" s="172" customFormat="1" ht="15" customHeight="1" x14ac:dyDescent="0.25">
      <c r="A7582" s="803" t="s">
        <v>12741</v>
      </c>
      <c r="B7582" s="803" t="s">
        <v>3753</v>
      </c>
      <c r="C7582" s="803" t="s">
        <v>3753</v>
      </c>
      <c r="D7582" s="803" t="s">
        <v>3793</v>
      </c>
      <c r="E7582" s="803">
        <v>100</v>
      </c>
      <c r="F7582" s="850">
        <v>5</v>
      </c>
      <c r="G7582" s="202" t="str">
        <f t="shared" ref="G7582:G7645" si="118">IF(E7582=F7582,"не загружен","")</f>
        <v/>
      </c>
    </row>
    <row r="7583" spans="1:7" s="172" customFormat="1" ht="15" customHeight="1" x14ac:dyDescent="0.25">
      <c r="A7583" s="803" t="s">
        <v>7895</v>
      </c>
      <c r="B7583" s="803" t="s">
        <v>3753</v>
      </c>
      <c r="C7583" s="803" t="s">
        <v>3753</v>
      </c>
      <c r="D7583" s="803" t="s">
        <v>3794</v>
      </c>
      <c r="E7583" s="803">
        <v>160</v>
      </c>
      <c r="F7583" s="850">
        <v>100</v>
      </c>
      <c r="G7583" s="202" t="str">
        <f t="shared" si="118"/>
        <v/>
      </c>
    </row>
    <row r="7584" spans="1:7" s="172" customFormat="1" ht="15" customHeight="1" x14ac:dyDescent="0.25">
      <c r="A7584" s="803" t="s">
        <v>10000</v>
      </c>
      <c r="B7584" s="803" t="s">
        <v>3753</v>
      </c>
      <c r="C7584" s="803" t="s">
        <v>3753</v>
      </c>
      <c r="D7584" s="803" t="s">
        <v>3795</v>
      </c>
      <c r="E7584" s="803">
        <v>63</v>
      </c>
      <c r="F7584" s="850">
        <v>20</v>
      </c>
      <c r="G7584" s="202" t="str">
        <f t="shared" si="118"/>
        <v/>
      </c>
    </row>
    <row r="7585" spans="1:7" s="172" customFormat="1" ht="15" customHeight="1" x14ac:dyDescent="0.25">
      <c r="A7585" s="803" t="s">
        <v>12742</v>
      </c>
      <c r="B7585" s="803" t="s">
        <v>3753</v>
      </c>
      <c r="C7585" s="803" t="s">
        <v>3753</v>
      </c>
      <c r="D7585" s="803" t="s">
        <v>3796</v>
      </c>
      <c r="E7585" s="803">
        <v>30</v>
      </c>
      <c r="F7585" s="850">
        <v>10</v>
      </c>
      <c r="G7585" s="202" t="str">
        <f t="shared" si="118"/>
        <v/>
      </c>
    </row>
    <row r="7586" spans="1:7" s="172" customFormat="1" ht="15" customHeight="1" x14ac:dyDescent="0.25">
      <c r="A7586" s="803" t="s">
        <v>12743</v>
      </c>
      <c r="B7586" s="803" t="s">
        <v>3753</v>
      </c>
      <c r="C7586" s="803" t="s">
        <v>3753</v>
      </c>
      <c r="D7586" s="803" t="s">
        <v>3797</v>
      </c>
      <c r="E7586" s="803">
        <v>30</v>
      </c>
      <c r="F7586" s="850">
        <v>10</v>
      </c>
      <c r="G7586" s="202" t="str">
        <f t="shared" si="118"/>
        <v/>
      </c>
    </row>
    <row r="7587" spans="1:7" s="172" customFormat="1" ht="15" customHeight="1" x14ac:dyDescent="0.25">
      <c r="A7587" s="803" t="s">
        <v>12744</v>
      </c>
      <c r="B7587" s="803" t="s">
        <v>3753</v>
      </c>
      <c r="C7587" s="803" t="s">
        <v>3753</v>
      </c>
      <c r="D7587" s="803" t="s">
        <v>3798</v>
      </c>
      <c r="E7587" s="803">
        <v>160</v>
      </c>
      <c r="F7587" s="850">
        <v>60</v>
      </c>
      <c r="G7587" s="202" t="str">
        <f t="shared" si="118"/>
        <v/>
      </c>
    </row>
    <row r="7588" spans="1:7" s="172" customFormat="1" ht="15" customHeight="1" x14ac:dyDescent="0.25">
      <c r="A7588" s="803" t="s">
        <v>3799</v>
      </c>
      <c r="B7588" s="803" t="s">
        <v>3753</v>
      </c>
      <c r="C7588" s="803" t="s">
        <v>3753</v>
      </c>
      <c r="D7588" s="803" t="s">
        <v>3800</v>
      </c>
      <c r="E7588" s="803">
        <v>63</v>
      </c>
      <c r="F7588" s="850">
        <v>20</v>
      </c>
      <c r="G7588" s="202" t="str">
        <f t="shared" si="118"/>
        <v/>
      </c>
    </row>
    <row r="7589" spans="1:7" s="172" customFormat="1" ht="15" customHeight="1" x14ac:dyDescent="0.25">
      <c r="A7589" s="803" t="s">
        <v>3799</v>
      </c>
      <c r="B7589" s="803" t="s">
        <v>3753</v>
      </c>
      <c r="C7589" s="803" t="s">
        <v>3753</v>
      </c>
      <c r="D7589" s="803" t="s">
        <v>3801</v>
      </c>
      <c r="E7589" s="803">
        <v>250</v>
      </c>
      <c r="F7589" s="850">
        <v>100</v>
      </c>
      <c r="G7589" s="202" t="str">
        <f t="shared" si="118"/>
        <v/>
      </c>
    </row>
    <row r="7590" spans="1:7" s="172" customFormat="1" ht="15" customHeight="1" x14ac:dyDescent="0.25">
      <c r="A7590" s="803" t="s">
        <v>3802</v>
      </c>
      <c r="B7590" s="803" t="s">
        <v>3753</v>
      </c>
      <c r="C7590" s="803" t="s">
        <v>3753</v>
      </c>
      <c r="D7590" s="803" t="s">
        <v>3803</v>
      </c>
      <c r="E7590" s="803">
        <v>100</v>
      </c>
      <c r="F7590" s="850">
        <v>40</v>
      </c>
      <c r="G7590" s="202" t="str">
        <f t="shared" si="118"/>
        <v/>
      </c>
    </row>
    <row r="7591" spans="1:7" s="172" customFormat="1" ht="15" customHeight="1" x14ac:dyDescent="0.25">
      <c r="A7591" s="803" t="s">
        <v>3242</v>
      </c>
      <c r="B7591" s="803" t="s">
        <v>3753</v>
      </c>
      <c r="C7591" s="803" t="s">
        <v>3753</v>
      </c>
      <c r="D7591" s="803" t="s">
        <v>3804</v>
      </c>
      <c r="E7591" s="803">
        <v>160</v>
      </c>
      <c r="F7591" s="850">
        <v>0</v>
      </c>
      <c r="G7591" s="202" t="str">
        <f t="shared" si="118"/>
        <v/>
      </c>
    </row>
    <row r="7592" spans="1:7" s="172" customFormat="1" ht="15" customHeight="1" x14ac:dyDescent="0.25">
      <c r="A7592" s="803" t="s">
        <v>12745</v>
      </c>
      <c r="B7592" s="803" t="s">
        <v>3753</v>
      </c>
      <c r="C7592" s="803" t="s">
        <v>3753</v>
      </c>
      <c r="D7592" s="803" t="s">
        <v>3805</v>
      </c>
      <c r="E7592" s="803">
        <v>160</v>
      </c>
      <c r="F7592" s="850">
        <v>100</v>
      </c>
      <c r="G7592" s="202" t="str">
        <f t="shared" si="118"/>
        <v/>
      </c>
    </row>
    <row r="7593" spans="1:7" s="172" customFormat="1" ht="15" customHeight="1" x14ac:dyDescent="0.25">
      <c r="A7593" s="803" t="s">
        <v>12746</v>
      </c>
      <c r="B7593" s="803" t="s">
        <v>3753</v>
      </c>
      <c r="C7593" s="803" t="s">
        <v>3753</v>
      </c>
      <c r="D7593" s="803" t="s">
        <v>3806</v>
      </c>
      <c r="E7593" s="803">
        <v>30</v>
      </c>
      <c r="F7593" s="850">
        <v>10</v>
      </c>
      <c r="G7593" s="202" t="str">
        <f t="shared" si="118"/>
        <v/>
      </c>
    </row>
    <row r="7594" spans="1:7" s="172" customFormat="1" ht="15" customHeight="1" x14ac:dyDescent="0.25">
      <c r="A7594" s="803" t="s">
        <v>12241</v>
      </c>
      <c r="B7594" s="803" t="s">
        <v>3753</v>
      </c>
      <c r="C7594" s="803" t="s">
        <v>3753</v>
      </c>
      <c r="D7594" s="803" t="s">
        <v>3807</v>
      </c>
      <c r="E7594" s="803">
        <v>40</v>
      </c>
      <c r="F7594" s="850">
        <v>20</v>
      </c>
      <c r="G7594" s="202" t="str">
        <f t="shared" si="118"/>
        <v/>
      </c>
    </row>
    <row r="7595" spans="1:7" s="172" customFormat="1" ht="15" customHeight="1" x14ac:dyDescent="0.25">
      <c r="A7595" s="803" t="s">
        <v>12747</v>
      </c>
      <c r="B7595" s="803" t="s">
        <v>3753</v>
      </c>
      <c r="C7595" s="803" t="s">
        <v>3753</v>
      </c>
      <c r="D7595" s="803" t="s">
        <v>3808</v>
      </c>
      <c r="E7595" s="803">
        <v>400</v>
      </c>
      <c r="F7595" s="850">
        <v>235</v>
      </c>
      <c r="G7595" s="202" t="str">
        <f t="shared" si="118"/>
        <v/>
      </c>
    </row>
    <row r="7596" spans="1:7" s="172" customFormat="1" ht="15" customHeight="1" x14ac:dyDescent="0.25">
      <c r="A7596" s="803" t="s">
        <v>12748</v>
      </c>
      <c r="B7596" s="803" t="s">
        <v>3753</v>
      </c>
      <c r="C7596" s="803" t="s">
        <v>3753</v>
      </c>
      <c r="D7596" s="803" t="s">
        <v>3809</v>
      </c>
      <c r="E7596" s="803">
        <v>250</v>
      </c>
      <c r="F7596" s="850">
        <v>10</v>
      </c>
      <c r="G7596" s="202" t="str">
        <f t="shared" si="118"/>
        <v/>
      </c>
    </row>
    <row r="7597" spans="1:7" s="172" customFormat="1" ht="15" customHeight="1" x14ac:dyDescent="0.25">
      <c r="A7597" s="803" t="s">
        <v>12748</v>
      </c>
      <c r="B7597" s="803" t="s">
        <v>3753</v>
      </c>
      <c r="C7597" s="803" t="s">
        <v>3753</v>
      </c>
      <c r="D7597" s="803" t="s">
        <v>3810</v>
      </c>
      <c r="E7597" s="803">
        <v>250</v>
      </c>
      <c r="F7597" s="850">
        <v>25</v>
      </c>
      <c r="G7597" s="202" t="str">
        <f t="shared" si="118"/>
        <v/>
      </c>
    </row>
    <row r="7598" spans="1:7" s="172" customFormat="1" ht="15" customHeight="1" x14ac:dyDescent="0.25">
      <c r="A7598" s="803" t="s">
        <v>3126</v>
      </c>
      <c r="B7598" s="803" t="s">
        <v>3753</v>
      </c>
      <c r="C7598" s="803" t="s">
        <v>3753</v>
      </c>
      <c r="D7598" s="803" t="s">
        <v>3811</v>
      </c>
      <c r="E7598" s="803">
        <v>25</v>
      </c>
      <c r="F7598" s="850">
        <v>5</v>
      </c>
      <c r="G7598" s="202" t="str">
        <f t="shared" si="118"/>
        <v/>
      </c>
    </row>
    <row r="7599" spans="1:7" s="172" customFormat="1" ht="15" customHeight="1" x14ac:dyDescent="0.25">
      <c r="A7599" s="803" t="s">
        <v>12749</v>
      </c>
      <c r="B7599" s="803" t="s">
        <v>3753</v>
      </c>
      <c r="C7599" s="803" t="s">
        <v>3753</v>
      </c>
      <c r="D7599" s="803" t="s">
        <v>3812</v>
      </c>
      <c r="E7599" s="803">
        <v>400</v>
      </c>
      <c r="F7599" s="850">
        <v>300</v>
      </c>
      <c r="G7599" s="202" t="str">
        <f t="shared" si="118"/>
        <v/>
      </c>
    </row>
    <row r="7600" spans="1:7" s="172" customFormat="1" ht="15" customHeight="1" x14ac:dyDescent="0.25">
      <c r="A7600" s="803" t="s">
        <v>12749</v>
      </c>
      <c r="B7600" s="803" t="s">
        <v>3753</v>
      </c>
      <c r="C7600" s="803" t="s">
        <v>3753</v>
      </c>
      <c r="D7600" s="803" t="s">
        <v>3813</v>
      </c>
      <c r="E7600" s="803">
        <v>160</v>
      </c>
      <c r="F7600" s="850">
        <v>40</v>
      </c>
      <c r="G7600" s="202" t="str">
        <f t="shared" si="118"/>
        <v/>
      </c>
    </row>
    <row r="7601" spans="1:7" s="172" customFormat="1" ht="15" customHeight="1" x14ac:dyDescent="0.25">
      <c r="A7601" s="803" t="s">
        <v>12750</v>
      </c>
      <c r="B7601" s="803" t="s">
        <v>3753</v>
      </c>
      <c r="C7601" s="803" t="s">
        <v>3753</v>
      </c>
      <c r="D7601" s="803" t="s">
        <v>3814</v>
      </c>
      <c r="E7601" s="803">
        <v>100</v>
      </c>
      <c r="F7601" s="850">
        <v>20</v>
      </c>
      <c r="G7601" s="202" t="str">
        <f t="shared" si="118"/>
        <v/>
      </c>
    </row>
    <row r="7602" spans="1:7" s="172" customFormat="1" ht="15" customHeight="1" x14ac:dyDescent="0.25">
      <c r="A7602" s="803" t="s">
        <v>12750</v>
      </c>
      <c r="B7602" s="803" t="s">
        <v>3753</v>
      </c>
      <c r="C7602" s="803" t="s">
        <v>3753</v>
      </c>
      <c r="D7602" s="803" t="s">
        <v>3815</v>
      </c>
      <c r="E7602" s="803">
        <v>250</v>
      </c>
      <c r="F7602" s="850">
        <v>40</v>
      </c>
      <c r="G7602" s="202" t="str">
        <f t="shared" si="118"/>
        <v/>
      </c>
    </row>
    <row r="7603" spans="1:7" s="172" customFormat="1" ht="15" customHeight="1" x14ac:dyDescent="0.25">
      <c r="A7603" s="803" t="s">
        <v>12751</v>
      </c>
      <c r="B7603" s="803" t="s">
        <v>3753</v>
      </c>
      <c r="C7603" s="803" t="s">
        <v>3753</v>
      </c>
      <c r="D7603" s="803" t="s">
        <v>3816</v>
      </c>
      <c r="E7603" s="803">
        <v>20</v>
      </c>
      <c r="F7603" s="850">
        <v>5</v>
      </c>
      <c r="G7603" s="202" t="str">
        <f t="shared" si="118"/>
        <v/>
      </c>
    </row>
    <row r="7604" spans="1:7" s="172" customFormat="1" ht="15" customHeight="1" x14ac:dyDescent="0.25">
      <c r="A7604" s="803" t="s">
        <v>12753</v>
      </c>
      <c r="B7604" s="803" t="s">
        <v>3753</v>
      </c>
      <c r="C7604" s="803" t="s">
        <v>3753</v>
      </c>
      <c r="D7604" s="803" t="s">
        <v>3817</v>
      </c>
      <c r="E7604" s="803">
        <v>100</v>
      </c>
      <c r="F7604" s="850">
        <v>30</v>
      </c>
      <c r="G7604" s="202" t="str">
        <f t="shared" si="118"/>
        <v/>
      </c>
    </row>
    <row r="7605" spans="1:7" s="172" customFormat="1" ht="15" customHeight="1" x14ac:dyDescent="0.25">
      <c r="A7605" s="803" t="s">
        <v>12752</v>
      </c>
      <c r="B7605" s="803" t="s">
        <v>3753</v>
      </c>
      <c r="C7605" s="803" t="s">
        <v>3753</v>
      </c>
      <c r="D7605" s="803" t="s">
        <v>3818</v>
      </c>
      <c r="E7605" s="803">
        <v>250</v>
      </c>
      <c r="F7605" s="850">
        <v>50</v>
      </c>
      <c r="G7605" s="202" t="str">
        <f t="shared" si="118"/>
        <v/>
      </c>
    </row>
    <row r="7606" spans="1:7" s="172" customFormat="1" ht="15" customHeight="1" x14ac:dyDescent="0.25">
      <c r="A7606" s="803" t="s">
        <v>3131</v>
      </c>
      <c r="B7606" s="803" t="s">
        <v>3753</v>
      </c>
      <c r="C7606" s="803" t="s">
        <v>3753</v>
      </c>
      <c r="D7606" s="803" t="s">
        <v>3819</v>
      </c>
      <c r="E7606" s="803">
        <v>30</v>
      </c>
      <c r="F7606" s="850">
        <v>15</v>
      </c>
      <c r="G7606" s="202" t="str">
        <f t="shared" si="118"/>
        <v/>
      </c>
    </row>
    <row r="7607" spans="1:7" s="172" customFormat="1" ht="15" customHeight="1" x14ac:dyDescent="0.25">
      <c r="A7607" s="803" t="s">
        <v>6397</v>
      </c>
      <c r="B7607" s="803" t="s">
        <v>3753</v>
      </c>
      <c r="C7607" s="803" t="s">
        <v>3753</v>
      </c>
      <c r="D7607" s="803" t="s">
        <v>3820</v>
      </c>
      <c r="E7607" s="803">
        <v>100</v>
      </c>
      <c r="F7607" s="850">
        <v>70</v>
      </c>
      <c r="G7607" s="202" t="str">
        <f t="shared" si="118"/>
        <v/>
      </c>
    </row>
    <row r="7608" spans="1:7" s="172" customFormat="1" ht="15" customHeight="1" x14ac:dyDescent="0.25">
      <c r="A7608" s="803" t="s">
        <v>2589</v>
      </c>
      <c r="B7608" s="803" t="s">
        <v>3753</v>
      </c>
      <c r="C7608" s="803" t="s">
        <v>3753</v>
      </c>
      <c r="D7608" s="803" t="s">
        <v>3821</v>
      </c>
      <c r="E7608" s="803">
        <v>100</v>
      </c>
      <c r="F7608" s="850">
        <v>50</v>
      </c>
      <c r="G7608" s="202" t="str">
        <f t="shared" si="118"/>
        <v/>
      </c>
    </row>
    <row r="7609" spans="1:7" s="172" customFormat="1" ht="15" customHeight="1" x14ac:dyDescent="0.25">
      <c r="A7609" s="803" t="s">
        <v>3823</v>
      </c>
      <c r="B7609" s="803" t="s">
        <v>3753</v>
      </c>
      <c r="C7609" s="803" t="s">
        <v>3753</v>
      </c>
      <c r="D7609" s="803" t="s">
        <v>3822</v>
      </c>
      <c r="E7609" s="803">
        <v>160</v>
      </c>
      <c r="F7609" s="850">
        <v>40</v>
      </c>
      <c r="G7609" s="202" t="str">
        <f t="shared" si="118"/>
        <v/>
      </c>
    </row>
    <row r="7610" spans="1:7" s="172" customFormat="1" ht="15" customHeight="1" x14ac:dyDescent="0.25">
      <c r="A7610" s="803" t="s">
        <v>3823</v>
      </c>
      <c r="B7610" s="803" t="s">
        <v>3753</v>
      </c>
      <c r="C7610" s="803" t="s">
        <v>3753</v>
      </c>
      <c r="D7610" s="803" t="s">
        <v>3824</v>
      </c>
      <c r="E7610" s="803">
        <v>100</v>
      </c>
      <c r="F7610" s="850">
        <v>40</v>
      </c>
      <c r="G7610" s="202" t="str">
        <f t="shared" si="118"/>
        <v/>
      </c>
    </row>
    <row r="7611" spans="1:7" s="172" customFormat="1" ht="15" customHeight="1" x14ac:dyDescent="0.25">
      <c r="A7611" s="803" t="s">
        <v>3825</v>
      </c>
      <c r="B7611" s="803" t="s">
        <v>3753</v>
      </c>
      <c r="C7611" s="803" t="s">
        <v>3753</v>
      </c>
      <c r="D7611" s="803" t="s">
        <v>3826</v>
      </c>
      <c r="E7611" s="803">
        <v>160</v>
      </c>
      <c r="F7611" s="850">
        <v>50</v>
      </c>
      <c r="G7611" s="202" t="str">
        <f t="shared" si="118"/>
        <v/>
      </c>
    </row>
    <row r="7612" spans="1:7" s="172" customFormat="1" ht="15" customHeight="1" x14ac:dyDescent="0.25">
      <c r="A7612" s="803" t="s">
        <v>12754</v>
      </c>
      <c r="B7612" s="803" t="s">
        <v>3753</v>
      </c>
      <c r="C7612" s="803" t="s">
        <v>3753</v>
      </c>
      <c r="D7612" s="803" t="s">
        <v>3827</v>
      </c>
      <c r="E7612" s="803">
        <v>30</v>
      </c>
      <c r="F7612" s="850">
        <v>5</v>
      </c>
      <c r="G7612" s="202" t="str">
        <f t="shared" si="118"/>
        <v/>
      </c>
    </row>
    <row r="7613" spans="1:7" s="172" customFormat="1" ht="15" customHeight="1" x14ac:dyDescent="0.25">
      <c r="A7613" s="803" t="s">
        <v>12755</v>
      </c>
      <c r="B7613" s="803" t="s">
        <v>3753</v>
      </c>
      <c r="C7613" s="803" t="s">
        <v>3753</v>
      </c>
      <c r="D7613" s="803" t="s">
        <v>3828</v>
      </c>
      <c r="E7613" s="803">
        <v>250</v>
      </c>
      <c r="F7613" s="850">
        <v>40</v>
      </c>
      <c r="G7613" s="202" t="str">
        <f t="shared" si="118"/>
        <v/>
      </c>
    </row>
    <row r="7614" spans="1:7" s="172" customFormat="1" ht="15" customHeight="1" x14ac:dyDescent="0.25">
      <c r="A7614" s="803" t="s">
        <v>12755</v>
      </c>
      <c r="B7614" s="803" t="s">
        <v>3753</v>
      </c>
      <c r="C7614" s="803" t="s">
        <v>3753</v>
      </c>
      <c r="D7614" s="803" t="s">
        <v>3829</v>
      </c>
      <c r="E7614" s="803">
        <v>160</v>
      </c>
      <c r="F7614" s="850">
        <v>50</v>
      </c>
      <c r="G7614" s="202" t="str">
        <f t="shared" si="118"/>
        <v/>
      </c>
    </row>
    <row r="7615" spans="1:7" s="172" customFormat="1" ht="15" customHeight="1" x14ac:dyDescent="0.25">
      <c r="A7615" s="803" t="s">
        <v>12755</v>
      </c>
      <c r="B7615" s="803" t="s">
        <v>3753</v>
      </c>
      <c r="C7615" s="803" t="s">
        <v>3753</v>
      </c>
      <c r="D7615" s="803" t="s">
        <v>3830</v>
      </c>
      <c r="E7615" s="803">
        <v>100</v>
      </c>
      <c r="F7615" s="850">
        <v>20</v>
      </c>
      <c r="G7615" s="202" t="str">
        <f t="shared" si="118"/>
        <v/>
      </c>
    </row>
    <row r="7616" spans="1:7" s="172" customFormat="1" ht="15" customHeight="1" x14ac:dyDescent="0.25">
      <c r="A7616" s="803" t="s">
        <v>12755</v>
      </c>
      <c r="B7616" s="803" t="s">
        <v>3753</v>
      </c>
      <c r="C7616" s="803" t="s">
        <v>3753</v>
      </c>
      <c r="D7616" s="803" t="s">
        <v>3831</v>
      </c>
      <c r="E7616" s="803">
        <v>160</v>
      </c>
      <c r="F7616" s="850">
        <v>20</v>
      </c>
      <c r="G7616" s="202" t="str">
        <f t="shared" si="118"/>
        <v/>
      </c>
    </row>
    <row r="7617" spans="1:7" s="172" customFormat="1" ht="15" customHeight="1" x14ac:dyDescent="0.25">
      <c r="A7617" s="803" t="s">
        <v>12756</v>
      </c>
      <c r="B7617" s="803" t="s">
        <v>3753</v>
      </c>
      <c r="C7617" s="803" t="s">
        <v>3753</v>
      </c>
      <c r="D7617" s="803" t="s">
        <v>3832</v>
      </c>
      <c r="E7617" s="803">
        <v>160</v>
      </c>
      <c r="F7617" s="850">
        <v>15</v>
      </c>
      <c r="G7617" s="202" t="str">
        <f t="shared" si="118"/>
        <v/>
      </c>
    </row>
    <row r="7618" spans="1:7" s="172" customFormat="1" ht="15" customHeight="1" x14ac:dyDescent="0.25">
      <c r="A7618" s="803" t="s">
        <v>12755</v>
      </c>
      <c r="B7618" s="803" t="s">
        <v>3753</v>
      </c>
      <c r="C7618" s="803" t="s">
        <v>3753</v>
      </c>
      <c r="D7618" s="803" t="s">
        <v>3833</v>
      </c>
      <c r="E7618" s="803">
        <v>250</v>
      </c>
      <c r="F7618" s="850">
        <v>80</v>
      </c>
      <c r="G7618" s="202" t="str">
        <f t="shared" si="118"/>
        <v/>
      </c>
    </row>
    <row r="7619" spans="1:7" s="172" customFormat="1" ht="15" customHeight="1" x14ac:dyDescent="0.25">
      <c r="A7619" s="803" t="s">
        <v>12755</v>
      </c>
      <c r="B7619" s="803" t="s">
        <v>3753</v>
      </c>
      <c r="C7619" s="803" t="s">
        <v>3753</v>
      </c>
      <c r="D7619" s="803" t="s">
        <v>3834</v>
      </c>
      <c r="E7619" s="803">
        <v>160</v>
      </c>
      <c r="F7619" s="850">
        <v>40</v>
      </c>
      <c r="G7619" s="202" t="str">
        <f t="shared" si="118"/>
        <v/>
      </c>
    </row>
    <row r="7620" spans="1:7" s="172" customFormat="1" ht="15" customHeight="1" x14ac:dyDescent="0.25">
      <c r="A7620" s="803" t="s">
        <v>12755</v>
      </c>
      <c r="B7620" s="803" t="s">
        <v>3753</v>
      </c>
      <c r="C7620" s="803" t="s">
        <v>3753</v>
      </c>
      <c r="D7620" s="803" t="s">
        <v>3835</v>
      </c>
      <c r="E7620" s="803">
        <v>160</v>
      </c>
      <c r="F7620" s="850">
        <v>40</v>
      </c>
      <c r="G7620" s="202" t="str">
        <f t="shared" si="118"/>
        <v/>
      </c>
    </row>
    <row r="7621" spans="1:7" s="172" customFormat="1" ht="15" customHeight="1" x14ac:dyDescent="0.25">
      <c r="A7621" s="803" t="s">
        <v>12755</v>
      </c>
      <c r="B7621" s="803" t="s">
        <v>3753</v>
      </c>
      <c r="C7621" s="803" t="s">
        <v>3753</v>
      </c>
      <c r="D7621" s="803" t="s">
        <v>3836</v>
      </c>
      <c r="E7621" s="803">
        <v>20</v>
      </c>
      <c r="F7621" s="850">
        <v>5</v>
      </c>
      <c r="G7621" s="202" t="str">
        <f t="shared" si="118"/>
        <v/>
      </c>
    </row>
    <row r="7622" spans="1:7" s="172" customFormat="1" ht="15" customHeight="1" x14ac:dyDescent="0.25">
      <c r="A7622" s="803" t="s">
        <v>3837</v>
      </c>
      <c r="B7622" s="803" t="s">
        <v>3753</v>
      </c>
      <c r="C7622" s="803" t="s">
        <v>3753</v>
      </c>
      <c r="D7622" s="803" t="s">
        <v>3838</v>
      </c>
      <c r="E7622" s="803">
        <v>250</v>
      </c>
      <c r="F7622" s="850">
        <v>35</v>
      </c>
      <c r="G7622" s="202" t="str">
        <f t="shared" si="118"/>
        <v/>
      </c>
    </row>
    <row r="7623" spans="1:7" s="172" customFormat="1" ht="15" customHeight="1" x14ac:dyDescent="0.25">
      <c r="A7623" s="803" t="s">
        <v>3837</v>
      </c>
      <c r="B7623" s="803" t="s">
        <v>3753</v>
      </c>
      <c r="C7623" s="803" t="s">
        <v>3753</v>
      </c>
      <c r="D7623" s="803" t="s">
        <v>3839</v>
      </c>
      <c r="E7623" s="803">
        <v>250</v>
      </c>
      <c r="F7623" s="850">
        <v>200</v>
      </c>
      <c r="G7623" s="202" t="str">
        <f t="shared" si="118"/>
        <v/>
      </c>
    </row>
    <row r="7624" spans="1:7" s="172" customFormat="1" ht="15" customHeight="1" x14ac:dyDescent="0.25">
      <c r="A7624" s="803" t="s">
        <v>3837</v>
      </c>
      <c r="B7624" s="803" t="s">
        <v>3753</v>
      </c>
      <c r="C7624" s="803" t="s">
        <v>3753</v>
      </c>
      <c r="D7624" s="803" t="s">
        <v>3840</v>
      </c>
      <c r="E7624" s="803">
        <v>160</v>
      </c>
      <c r="F7624" s="850">
        <v>30</v>
      </c>
      <c r="G7624" s="202" t="str">
        <f t="shared" si="118"/>
        <v/>
      </c>
    </row>
    <row r="7625" spans="1:7" s="172" customFormat="1" ht="15" customHeight="1" x14ac:dyDescent="0.25">
      <c r="A7625" s="803" t="s">
        <v>3837</v>
      </c>
      <c r="B7625" s="803" t="s">
        <v>3753</v>
      </c>
      <c r="C7625" s="803" t="s">
        <v>3753</v>
      </c>
      <c r="D7625" s="803" t="s">
        <v>3841</v>
      </c>
      <c r="E7625" s="803">
        <v>100</v>
      </c>
      <c r="F7625" s="850">
        <v>40</v>
      </c>
      <c r="G7625" s="202" t="str">
        <f t="shared" si="118"/>
        <v/>
      </c>
    </row>
    <row r="7626" spans="1:7" s="172" customFormat="1" ht="15" customHeight="1" x14ac:dyDescent="0.25">
      <c r="A7626" s="803" t="s">
        <v>3842</v>
      </c>
      <c r="B7626" s="803" t="s">
        <v>3753</v>
      </c>
      <c r="C7626" s="803" t="s">
        <v>3753</v>
      </c>
      <c r="D7626" s="803" t="s">
        <v>3843</v>
      </c>
      <c r="E7626" s="803">
        <v>100</v>
      </c>
      <c r="F7626" s="850">
        <v>45</v>
      </c>
      <c r="G7626" s="202" t="str">
        <f t="shared" si="118"/>
        <v/>
      </c>
    </row>
    <row r="7627" spans="1:7" s="172" customFormat="1" ht="15" customHeight="1" x14ac:dyDescent="0.25">
      <c r="A7627" s="803" t="s">
        <v>12757</v>
      </c>
      <c r="B7627" s="803" t="s">
        <v>3753</v>
      </c>
      <c r="C7627" s="803" t="s">
        <v>3753</v>
      </c>
      <c r="D7627" s="803" t="s">
        <v>3844</v>
      </c>
      <c r="E7627" s="803">
        <v>100</v>
      </c>
      <c r="F7627" s="850">
        <v>40</v>
      </c>
      <c r="G7627" s="202" t="str">
        <f t="shared" si="118"/>
        <v/>
      </c>
    </row>
    <row r="7628" spans="1:7" s="172" customFormat="1" ht="15" customHeight="1" x14ac:dyDescent="0.25">
      <c r="A7628" s="803" t="s">
        <v>3845</v>
      </c>
      <c r="B7628" s="803" t="s">
        <v>3753</v>
      </c>
      <c r="C7628" s="803" t="s">
        <v>3753</v>
      </c>
      <c r="D7628" s="803" t="s">
        <v>3846</v>
      </c>
      <c r="E7628" s="803">
        <v>250</v>
      </c>
      <c r="F7628" s="850">
        <v>200</v>
      </c>
      <c r="G7628" s="202" t="str">
        <f t="shared" si="118"/>
        <v/>
      </c>
    </row>
    <row r="7629" spans="1:7" s="172" customFormat="1" ht="15" customHeight="1" x14ac:dyDescent="0.25">
      <c r="A7629" s="803" t="s">
        <v>12758</v>
      </c>
      <c r="B7629" s="803" t="s">
        <v>3753</v>
      </c>
      <c r="C7629" s="803" t="s">
        <v>3753</v>
      </c>
      <c r="D7629" s="803" t="s">
        <v>3847</v>
      </c>
      <c r="E7629" s="803">
        <v>25</v>
      </c>
      <c r="F7629" s="850">
        <v>8</v>
      </c>
      <c r="G7629" s="202" t="str">
        <f t="shared" si="118"/>
        <v/>
      </c>
    </row>
    <row r="7630" spans="1:7" s="172" customFormat="1" ht="15" customHeight="1" x14ac:dyDescent="0.25">
      <c r="A7630" s="803" t="s">
        <v>12759</v>
      </c>
      <c r="B7630" s="803" t="s">
        <v>3753</v>
      </c>
      <c r="C7630" s="803" t="s">
        <v>3753</v>
      </c>
      <c r="D7630" s="803" t="s">
        <v>3848</v>
      </c>
      <c r="E7630" s="803">
        <v>63</v>
      </c>
      <c r="F7630" s="850">
        <v>40</v>
      </c>
      <c r="G7630" s="202" t="str">
        <f t="shared" si="118"/>
        <v/>
      </c>
    </row>
    <row r="7631" spans="1:7" s="172" customFormat="1" ht="15" customHeight="1" x14ac:dyDescent="0.25">
      <c r="A7631" s="803" t="s">
        <v>3852</v>
      </c>
      <c r="B7631" s="803" t="s">
        <v>3753</v>
      </c>
      <c r="C7631" s="803" t="s">
        <v>3753</v>
      </c>
      <c r="D7631" s="803" t="s">
        <v>3849</v>
      </c>
      <c r="E7631" s="803">
        <v>250</v>
      </c>
      <c r="F7631" s="850">
        <v>200</v>
      </c>
      <c r="G7631" s="202" t="str">
        <f t="shared" si="118"/>
        <v/>
      </c>
    </row>
    <row r="7632" spans="1:7" s="172" customFormat="1" ht="15" customHeight="1" x14ac:dyDescent="0.25">
      <c r="A7632" s="803" t="s">
        <v>12760</v>
      </c>
      <c r="B7632" s="803" t="s">
        <v>3753</v>
      </c>
      <c r="C7632" s="803" t="s">
        <v>3753</v>
      </c>
      <c r="D7632" s="803" t="s">
        <v>3850</v>
      </c>
      <c r="E7632" s="803">
        <v>160</v>
      </c>
      <c r="F7632" s="850">
        <v>40</v>
      </c>
      <c r="G7632" s="202" t="str">
        <f t="shared" si="118"/>
        <v/>
      </c>
    </row>
    <row r="7633" spans="1:7" s="172" customFormat="1" ht="15" customHeight="1" x14ac:dyDescent="0.25">
      <c r="A7633" s="803" t="s">
        <v>3852</v>
      </c>
      <c r="B7633" s="803" t="s">
        <v>3753</v>
      </c>
      <c r="C7633" s="803" t="s">
        <v>3753</v>
      </c>
      <c r="D7633" s="803" t="s">
        <v>3851</v>
      </c>
      <c r="E7633" s="803">
        <v>250</v>
      </c>
      <c r="F7633" s="850">
        <v>200</v>
      </c>
      <c r="G7633" s="202" t="str">
        <f t="shared" si="118"/>
        <v/>
      </c>
    </row>
    <row r="7634" spans="1:7" s="172" customFormat="1" ht="15" customHeight="1" x14ac:dyDescent="0.25">
      <c r="A7634" s="803" t="s">
        <v>3852</v>
      </c>
      <c r="B7634" s="803" t="s">
        <v>3753</v>
      </c>
      <c r="C7634" s="803" t="s">
        <v>3753</v>
      </c>
      <c r="D7634" s="803" t="s">
        <v>3853</v>
      </c>
      <c r="E7634" s="803">
        <v>250</v>
      </c>
      <c r="F7634" s="850">
        <v>200</v>
      </c>
      <c r="G7634" s="202" t="str">
        <f t="shared" si="118"/>
        <v/>
      </c>
    </row>
    <row r="7635" spans="1:7" s="172" customFormat="1" ht="15" customHeight="1" x14ac:dyDescent="0.25">
      <c r="A7635" s="803" t="s">
        <v>3854</v>
      </c>
      <c r="B7635" s="803" t="s">
        <v>3753</v>
      </c>
      <c r="C7635" s="803" t="s">
        <v>3753</v>
      </c>
      <c r="D7635" s="803" t="s">
        <v>3855</v>
      </c>
      <c r="E7635" s="803">
        <v>10</v>
      </c>
      <c r="F7635" s="850">
        <v>3</v>
      </c>
      <c r="G7635" s="202" t="str">
        <f t="shared" si="118"/>
        <v/>
      </c>
    </row>
    <row r="7636" spans="1:7" s="172" customFormat="1" ht="15" customHeight="1" x14ac:dyDescent="0.25">
      <c r="A7636" s="803" t="s">
        <v>3856</v>
      </c>
      <c r="B7636" s="803" t="s">
        <v>3753</v>
      </c>
      <c r="C7636" s="803" t="s">
        <v>3753</v>
      </c>
      <c r="D7636" s="803" t="s">
        <v>3857</v>
      </c>
      <c r="E7636" s="803">
        <v>10</v>
      </c>
      <c r="F7636" s="850">
        <v>3</v>
      </c>
      <c r="G7636" s="202" t="str">
        <f t="shared" si="118"/>
        <v/>
      </c>
    </row>
    <row r="7637" spans="1:7" s="172" customFormat="1" ht="15" customHeight="1" x14ac:dyDescent="0.25">
      <c r="A7637" s="803" t="s">
        <v>12761</v>
      </c>
      <c r="B7637" s="803" t="s">
        <v>3753</v>
      </c>
      <c r="C7637" s="803" t="s">
        <v>3753</v>
      </c>
      <c r="D7637" s="803" t="s">
        <v>3858</v>
      </c>
      <c r="E7637" s="803">
        <v>100</v>
      </c>
      <c r="F7637" s="850">
        <v>40</v>
      </c>
      <c r="G7637" s="202" t="str">
        <f t="shared" si="118"/>
        <v/>
      </c>
    </row>
    <row r="7638" spans="1:7" s="172" customFormat="1" ht="15" customHeight="1" x14ac:dyDescent="0.25">
      <c r="A7638" s="803" t="s">
        <v>12762</v>
      </c>
      <c r="B7638" s="803" t="s">
        <v>3753</v>
      </c>
      <c r="C7638" s="803" t="s">
        <v>3753</v>
      </c>
      <c r="D7638" s="803" t="s">
        <v>3859</v>
      </c>
      <c r="E7638" s="803">
        <v>25</v>
      </c>
      <c r="F7638" s="850">
        <v>15</v>
      </c>
      <c r="G7638" s="202" t="str">
        <f t="shared" si="118"/>
        <v/>
      </c>
    </row>
    <row r="7639" spans="1:7" s="172" customFormat="1" ht="15" customHeight="1" x14ac:dyDescent="0.25">
      <c r="A7639" s="803" t="s">
        <v>12763</v>
      </c>
      <c r="B7639" s="803" t="s">
        <v>3753</v>
      </c>
      <c r="C7639" s="803" t="s">
        <v>3753</v>
      </c>
      <c r="D7639" s="803" t="s">
        <v>3860</v>
      </c>
      <c r="E7639" s="803">
        <v>30</v>
      </c>
      <c r="F7639" s="850">
        <v>15</v>
      </c>
      <c r="G7639" s="202" t="str">
        <f t="shared" si="118"/>
        <v/>
      </c>
    </row>
    <row r="7640" spans="1:7" s="172" customFormat="1" ht="15" customHeight="1" x14ac:dyDescent="0.25">
      <c r="A7640" s="803" t="s">
        <v>7690</v>
      </c>
      <c r="B7640" s="803" t="s">
        <v>3753</v>
      </c>
      <c r="C7640" s="803" t="s">
        <v>3753</v>
      </c>
      <c r="D7640" s="803" t="s">
        <v>3861</v>
      </c>
      <c r="E7640" s="803">
        <v>100</v>
      </c>
      <c r="F7640" s="850">
        <v>50</v>
      </c>
      <c r="G7640" s="202" t="str">
        <f t="shared" si="118"/>
        <v/>
      </c>
    </row>
    <row r="7641" spans="1:7" s="172" customFormat="1" ht="15" customHeight="1" x14ac:dyDescent="0.25">
      <c r="A7641" s="803" t="s">
        <v>12764</v>
      </c>
      <c r="B7641" s="803" t="s">
        <v>3753</v>
      </c>
      <c r="C7641" s="803" t="s">
        <v>3753</v>
      </c>
      <c r="D7641" s="803" t="s">
        <v>3862</v>
      </c>
      <c r="E7641" s="803">
        <v>63</v>
      </c>
      <c r="F7641" s="850">
        <v>25</v>
      </c>
      <c r="G7641" s="202" t="str">
        <f t="shared" si="118"/>
        <v/>
      </c>
    </row>
    <row r="7642" spans="1:7" s="172" customFormat="1" ht="15" customHeight="1" x14ac:dyDescent="0.25">
      <c r="A7642" s="803" t="s">
        <v>12765</v>
      </c>
      <c r="B7642" s="803" t="s">
        <v>3753</v>
      </c>
      <c r="C7642" s="803" t="s">
        <v>3753</v>
      </c>
      <c r="D7642" s="803" t="s">
        <v>3863</v>
      </c>
      <c r="E7642" s="803">
        <v>320</v>
      </c>
      <c r="F7642" s="850">
        <v>200</v>
      </c>
      <c r="G7642" s="202" t="str">
        <f t="shared" si="118"/>
        <v/>
      </c>
    </row>
    <row r="7643" spans="1:7" s="172" customFormat="1" ht="15" customHeight="1" x14ac:dyDescent="0.25">
      <c r="A7643" s="803" t="s">
        <v>4961</v>
      </c>
      <c r="B7643" s="803" t="s">
        <v>3753</v>
      </c>
      <c r="C7643" s="803" t="s">
        <v>3753</v>
      </c>
      <c r="D7643" s="803" t="s">
        <v>3864</v>
      </c>
      <c r="E7643" s="803">
        <v>100</v>
      </c>
      <c r="F7643" s="850">
        <v>30</v>
      </c>
      <c r="G7643" s="202" t="str">
        <f t="shared" si="118"/>
        <v/>
      </c>
    </row>
    <row r="7644" spans="1:7" s="172" customFormat="1" ht="15" customHeight="1" x14ac:dyDescent="0.25">
      <c r="A7644" s="803" t="s">
        <v>12766</v>
      </c>
      <c r="B7644" s="803" t="s">
        <v>3753</v>
      </c>
      <c r="C7644" s="803" t="s">
        <v>3753</v>
      </c>
      <c r="D7644" s="803" t="s">
        <v>3865</v>
      </c>
      <c r="E7644" s="803">
        <v>160</v>
      </c>
      <c r="F7644" s="850">
        <v>120</v>
      </c>
      <c r="G7644" s="202" t="str">
        <f t="shared" si="118"/>
        <v/>
      </c>
    </row>
    <row r="7645" spans="1:7" s="172" customFormat="1" ht="15" customHeight="1" x14ac:dyDescent="0.25">
      <c r="A7645" s="803" t="s">
        <v>12767</v>
      </c>
      <c r="B7645" s="803" t="s">
        <v>3753</v>
      </c>
      <c r="C7645" s="803" t="s">
        <v>3753</v>
      </c>
      <c r="D7645" s="803" t="s">
        <v>3866</v>
      </c>
      <c r="E7645" s="803">
        <v>40</v>
      </c>
      <c r="F7645" s="850">
        <v>15</v>
      </c>
      <c r="G7645" s="202" t="str">
        <f t="shared" si="118"/>
        <v/>
      </c>
    </row>
    <row r="7646" spans="1:7" s="172" customFormat="1" ht="15" customHeight="1" x14ac:dyDescent="0.25">
      <c r="A7646" s="803" t="s">
        <v>12768</v>
      </c>
      <c r="B7646" s="803" t="s">
        <v>3753</v>
      </c>
      <c r="C7646" s="803" t="s">
        <v>3753</v>
      </c>
      <c r="D7646" s="803" t="s">
        <v>3867</v>
      </c>
      <c r="E7646" s="803">
        <v>63</v>
      </c>
      <c r="F7646" s="850">
        <v>25</v>
      </c>
      <c r="G7646" s="202" t="str">
        <f t="shared" ref="G7646:G7709" si="119">IF(E7646=F7646,"не загружен","")</f>
        <v/>
      </c>
    </row>
    <row r="7647" spans="1:7" s="172" customFormat="1" ht="15" customHeight="1" x14ac:dyDescent="0.25">
      <c r="A7647" s="803" t="s">
        <v>12769</v>
      </c>
      <c r="B7647" s="803" t="s">
        <v>3753</v>
      </c>
      <c r="C7647" s="803" t="s">
        <v>3753</v>
      </c>
      <c r="D7647" s="803" t="s">
        <v>3868</v>
      </c>
      <c r="E7647" s="803">
        <v>63</v>
      </c>
      <c r="F7647" s="850">
        <v>20</v>
      </c>
      <c r="G7647" s="202" t="str">
        <f t="shared" si="119"/>
        <v/>
      </c>
    </row>
    <row r="7648" spans="1:7" s="172" customFormat="1" ht="15" customHeight="1" x14ac:dyDescent="0.25">
      <c r="A7648" s="803" t="s">
        <v>12770</v>
      </c>
      <c r="B7648" s="803" t="s">
        <v>3753</v>
      </c>
      <c r="C7648" s="803" t="s">
        <v>3753</v>
      </c>
      <c r="D7648" s="803" t="s">
        <v>3869</v>
      </c>
      <c r="E7648" s="803">
        <v>160</v>
      </c>
      <c r="F7648" s="850">
        <v>30</v>
      </c>
      <c r="G7648" s="202" t="str">
        <f t="shared" si="119"/>
        <v/>
      </c>
    </row>
    <row r="7649" spans="1:7" s="172" customFormat="1" ht="15" customHeight="1" x14ac:dyDescent="0.25">
      <c r="A7649" s="803" t="s">
        <v>12771</v>
      </c>
      <c r="B7649" s="803" t="s">
        <v>3753</v>
      </c>
      <c r="C7649" s="803" t="s">
        <v>3753</v>
      </c>
      <c r="D7649" s="803" t="s">
        <v>3870</v>
      </c>
      <c r="E7649" s="803">
        <v>100</v>
      </c>
      <c r="F7649" s="850">
        <v>30</v>
      </c>
      <c r="G7649" s="202" t="str">
        <f t="shared" si="119"/>
        <v/>
      </c>
    </row>
    <row r="7650" spans="1:7" s="172" customFormat="1" ht="15" customHeight="1" x14ac:dyDescent="0.25">
      <c r="A7650" s="803" t="s">
        <v>12772</v>
      </c>
      <c r="B7650" s="803" t="s">
        <v>3753</v>
      </c>
      <c r="C7650" s="803" t="s">
        <v>3753</v>
      </c>
      <c r="D7650" s="803" t="s">
        <v>3871</v>
      </c>
      <c r="E7650" s="803">
        <v>10</v>
      </c>
      <c r="F7650" s="850">
        <v>4</v>
      </c>
      <c r="G7650" s="202" t="str">
        <f t="shared" si="119"/>
        <v/>
      </c>
    </row>
    <row r="7651" spans="1:7" s="172" customFormat="1" ht="15" customHeight="1" x14ac:dyDescent="0.25">
      <c r="A7651" s="803" t="s">
        <v>12773</v>
      </c>
      <c r="B7651" s="803" t="s">
        <v>3753</v>
      </c>
      <c r="C7651" s="803" t="s">
        <v>3753</v>
      </c>
      <c r="D7651" s="803" t="s">
        <v>3872</v>
      </c>
      <c r="E7651" s="803">
        <v>4</v>
      </c>
      <c r="F7651" s="850">
        <v>2</v>
      </c>
      <c r="G7651" s="202" t="str">
        <f t="shared" si="119"/>
        <v/>
      </c>
    </row>
    <row r="7652" spans="1:7" s="172" customFormat="1" ht="15" customHeight="1" x14ac:dyDescent="0.25">
      <c r="A7652" s="803" t="s">
        <v>12774</v>
      </c>
      <c r="B7652" s="803" t="s">
        <v>3753</v>
      </c>
      <c r="C7652" s="803" t="s">
        <v>3753</v>
      </c>
      <c r="D7652" s="803" t="s">
        <v>3873</v>
      </c>
      <c r="E7652" s="803">
        <v>160</v>
      </c>
      <c r="F7652" s="850">
        <v>30</v>
      </c>
      <c r="G7652" s="202" t="str">
        <f t="shared" si="119"/>
        <v/>
      </c>
    </row>
    <row r="7653" spans="1:7" s="172" customFormat="1" ht="15" customHeight="1" x14ac:dyDescent="0.25">
      <c r="A7653" s="803" t="s">
        <v>12775</v>
      </c>
      <c r="B7653" s="803" t="s">
        <v>3753</v>
      </c>
      <c r="C7653" s="803" t="s">
        <v>3753</v>
      </c>
      <c r="D7653" s="803" t="s">
        <v>3874</v>
      </c>
      <c r="E7653" s="803">
        <v>250</v>
      </c>
      <c r="F7653" s="850">
        <v>90</v>
      </c>
      <c r="G7653" s="202" t="str">
        <f t="shared" si="119"/>
        <v/>
      </c>
    </row>
    <row r="7654" spans="1:7" s="172" customFormat="1" ht="15" customHeight="1" x14ac:dyDescent="0.25">
      <c r="A7654" s="803" t="s">
        <v>12776</v>
      </c>
      <c r="B7654" s="803" t="s">
        <v>3753</v>
      </c>
      <c r="C7654" s="803" t="s">
        <v>3753</v>
      </c>
      <c r="D7654" s="803" t="s">
        <v>3875</v>
      </c>
      <c r="E7654" s="803">
        <v>100</v>
      </c>
      <c r="F7654" s="850">
        <v>30</v>
      </c>
      <c r="G7654" s="202" t="str">
        <f t="shared" si="119"/>
        <v/>
      </c>
    </row>
    <row r="7655" spans="1:7" s="172" customFormat="1" ht="15" customHeight="1" x14ac:dyDescent="0.25">
      <c r="A7655" s="803" t="s">
        <v>12775</v>
      </c>
      <c r="B7655" s="803" t="s">
        <v>3753</v>
      </c>
      <c r="C7655" s="803" t="s">
        <v>3753</v>
      </c>
      <c r="D7655" s="803" t="s">
        <v>3876</v>
      </c>
      <c r="E7655" s="803">
        <v>250</v>
      </c>
      <c r="F7655" s="850">
        <v>100</v>
      </c>
      <c r="G7655" s="202" t="str">
        <f t="shared" si="119"/>
        <v/>
      </c>
    </row>
    <row r="7656" spans="1:7" s="172" customFormat="1" ht="15" customHeight="1" x14ac:dyDescent="0.25">
      <c r="A7656" s="803" t="s">
        <v>12775</v>
      </c>
      <c r="B7656" s="803" t="s">
        <v>3753</v>
      </c>
      <c r="C7656" s="803" t="s">
        <v>3753</v>
      </c>
      <c r="D7656" s="803" t="s">
        <v>3877</v>
      </c>
      <c r="E7656" s="803">
        <v>250</v>
      </c>
      <c r="F7656" s="850">
        <v>100</v>
      </c>
      <c r="G7656" s="202" t="str">
        <f t="shared" si="119"/>
        <v/>
      </c>
    </row>
    <row r="7657" spans="1:7" s="172" customFormat="1" ht="15" customHeight="1" x14ac:dyDescent="0.25">
      <c r="A7657" s="803" t="s">
        <v>5719</v>
      </c>
      <c r="B7657" s="803" t="s">
        <v>3753</v>
      </c>
      <c r="C7657" s="803" t="s">
        <v>3753</v>
      </c>
      <c r="D7657" s="803" t="s">
        <v>3878</v>
      </c>
      <c r="E7657" s="803">
        <v>10</v>
      </c>
      <c r="F7657" s="850">
        <v>6</v>
      </c>
      <c r="G7657" s="202" t="str">
        <f t="shared" si="119"/>
        <v/>
      </c>
    </row>
    <row r="7658" spans="1:7" s="172" customFormat="1" ht="15" customHeight="1" x14ac:dyDescent="0.25">
      <c r="A7658" s="803" t="s">
        <v>12775</v>
      </c>
      <c r="B7658" s="803" t="s">
        <v>3753</v>
      </c>
      <c r="C7658" s="803" t="s">
        <v>3753</v>
      </c>
      <c r="D7658" s="803" t="s">
        <v>3879</v>
      </c>
      <c r="E7658" s="803">
        <v>160</v>
      </c>
      <c r="F7658" s="850">
        <v>30</v>
      </c>
      <c r="G7658" s="202" t="str">
        <f t="shared" si="119"/>
        <v/>
      </c>
    </row>
    <row r="7659" spans="1:7" s="172" customFormat="1" ht="15" customHeight="1" x14ac:dyDescent="0.25">
      <c r="A7659" s="803" t="s">
        <v>12775</v>
      </c>
      <c r="B7659" s="803" t="s">
        <v>3753</v>
      </c>
      <c r="C7659" s="803" t="s">
        <v>3753</v>
      </c>
      <c r="D7659" s="803" t="s">
        <v>3880</v>
      </c>
      <c r="E7659" s="803">
        <v>250</v>
      </c>
      <c r="F7659" s="850">
        <v>200</v>
      </c>
      <c r="G7659" s="202" t="str">
        <f t="shared" si="119"/>
        <v/>
      </c>
    </row>
    <row r="7660" spans="1:7" s="172" customFormat="1" ht="15" customHeight="1" x14ac:dyDescent="0.25">
      <c r="A7660" s="803" t="s">
        <v>12777</v>
      </c>
      <c r="B7660" s="803" t="s">
        <v>3753</v>
      </c>
      <c r="C7660" s="803" t="s">
        <v>3753</v>
      </c>
      <c r="D7660" s="803" t="s">
        <v>3881</v>
      </c>
      <c r="E7660" s="803">
        <v>20</v>
      </c>
      <c r="F7660" s="850">
        <v>0</v>
      </c>
      <c r="G7660" s="202" t="str">
        <f t="shared" si="119"/>
        <v/>
      </c>
    </row>
    <row r="7661" spans="1:7" s="172" customFormat="1" ht="15" customHeight="1" x14ac:dyDescent="0.25">
      <c r="A7661" s="803" t="s">
        <v>12778</v>
      </c>
      <c r="B7661" s="803" t="s">
        <v>3753</v>
      </c>
      <c r="C7661" s="803" t="s">
        <v>3753</v>
      </c>
      <c r="D7661" s="803" t="s">
        <v>3882</v>
      </c>
      <c r="E7661" s="803">
        <v>160</v>
      </c>
      <c r="F7661" s="850">
        <v>120</v>
      </c>
      <c r="G7661" s="202" t="str">
        <f t="shared" si="119"/>
        <v/>
      </c>
    </row>
    <row r="7662" spans="1:7" s="172" customFormat="1" ht="15" customHeight="1" x14ac:dyDescent="0.25">
      <c r="A7662" s="803" t="s">
        <v>7635</v>
      </c>
      <c r="B7662" s="803" t="s">
        <v>3753</v>
      </c>
      <c r="C7662" s="803" t="s">
        <v>3753</v>
      </c>
      <c r="D7662" s="803" t="s">
        <v>3883</v>
      </c>
      <c r="E7662" s="803">
        <v>250</v>
      </c>
      <c r="F7662" s="850">
        <v>40</v>
      </c>
      <c r="G7662" s="202" t="str">
        <f t="shared" si="119"/>
        <v/>
      </c>
    </row>
    <row r="7663" spans="1:7" s="172" customFormat="1" ht="15" customHeight="1" x14ac:dyDescent="0.25">
      <c r="A7663" s="803" t="s">
        <v>3134</v>
      </c>
      <c r="B7663" s="803" t="s">
        <v>3753</v>
      </c>
      <c r="C7663" s="803" t="s">
        <v>3753</v>
      </c>
      <c r="D7663" s="803" t="s">
        <v>3884</v>
      </c>
      <c r="E7663" s="803">
        <v>160</v>
      </c>
      <c r="F7663" s="850">
        <v>30</v>
      </c>
      <c r="G7663" s="202" t="str">
        <f t="shared" si="119"/>
        <v/>
      </c>
    </row>
    <row r="7664" spans="1:7" s="172" customFormat="1" ht="15" customHeight="1" x14ac:dyDescent="0.25">
      <c r="A7664" s="803" t="s">
        <v>12779</v>
      </c>
      <c r="B7664" s="803" t="s">
        <v>3753</v>
      </c>
      <c r="C7664" s="803" t="s">
        <v>3753</v>
      </c>
      <c r="D7664" s="803" t="s">
        <v>3885</v>
      </c>
      <c r="E7664" s="803">
        <v>160</v>
      </c>
      <c r="F7664" s="850">
        <v>35</v>
      </c>
      <c r="G7664" s="202" t="str">
        <f t="shared" si="119"/>
        <v/>
      </c>
    </row>
    <row r="7665" spans="1:7" s="172" customFormat="1" ht="15" customHeight="1" x14ac:dyDescent="0.25">
      <c r="A7665" s="803" t="s">
        <v>3134</v>
      </c>
      <c r="B7665" s="803" t="s">
        <v>3753</v>
      </c>
      <c r="C7665" s="803" t="s">
        <v>3753</v>
      </c>
      <c r="D7665" s="803" t="s">
        <v>3886</v>
      </c>
      <c r="E7665" s="803">
        <v>250</v>
      </c>
      <c r="F7665" s="850">
        <v>80</v>
      </c>
      <c r="G7665" s="202" t="str">
        <f t="shared" si="119"/>
        <v/>
      </c>
    </row>
    <row r="7666" spans="1:7" s="172" customFormat="1" ht="15" customHeight="1" x14ac:dyDescent="0.25">
      <c r="A7666" s="803" t="s">
        <v>3134</v>
      </c>
      <c r="B7666" s="803" t="s">
        <v>3753</v>
      </c>
      <c r="C7666" s="803" t="s">
        <v>3753</v>
      </c>
      <c r="D7666" s="803" t="s">
        <v>3887</v>
      </c>
      <c r="E7666" s="803">
        <v>160</v>
      </c>
      <c r="F7666" s="850">
        <v>100</v>
      </c>
      <c r="G7666" s="202" t="str">
        <f t="shared" si="119"/>
        <v/>
      </c>
    </row>
    <row r="7667" spans="1:7" s="172" customFormat="1" ht="15" customHeight="1" x14ac:dyDescent="0.25">
      <c r="A7667" s="803" t="s">
        <v>12780</v>
      </c>
      <c r="B7667" s="803" t="s">
        <v>3753</v>
      </c>
      <c r="C7667" s="803" t="s">
        <v>3753</v>
      </c>
      <c r="D7667" s="803" t="s">
        <v>3888</v>
      </c>
      <c r="E7667" s="803">
        <v>100</v>
      </c>
      <c r="F7667" s="850">
        <v>70</v>
      </c>
      <c r="G7667" s="202" t="str">
        <f t="shared" si="119"/>
        <v/>
      </c>
    </row>
    <row r="7668" spans="1:7" s="172" customFormat="1" ht="15" customHeight="1" x14ac:dyDescent="0.25">
      <c r="A7668" s="803" t="s">
        <v>12175</v>
      </c>
      <c r="B7668" s="803" t="s">
        <v>3753</v>
      </c>
      <c r="C7668" s="803" t="s">
        <v>3753</v>
      </c>
      <c r="D7668" s="803" t="s">
        <v>3889</v>
      </c>
      <c r="E7668" s="803">
        <v>160</v>
      </c>
      <c r="F7668" s="850">
        <v>40</v>
      </c>
      <c r="G7668" s="202" t="str">
        <f t="shared" si="119"/>
        <v/>
      </c>
    </row>
    <row r="7669" spans="1:7" s="172" customFormat="1" ht="15" customHeight="1" x14ac:dyDescent="0.25">
      <c r="A7669" s="803" t="s">
        <v>12781</v>
      </c>
      <c r="B7669" s="803" t="s">
        <v>3753</v>
      </c>
      <c r="C7669" s="803" t="s">
        <v>3753</v>
      </c>
      <c r="D7669" s="803" t="s">
        <v>3890</v>
      </c>
      <c r="E7669" s="803">
        <v>60</v>
      </c>
      <c r="F7669" s="850">
        <v>40</v>
      </c>
      <c r="G7669" s="202" t="str">
        <f t="shared" si="119"/>
        <v/>
      </c>
    </row>
    <row r="7670" spans="1:7" s="172" customFormat="1" ht="15" customHeight="1" x14ac:dyDescent="0.25">
      <c r="A7670" s="803" t="s">
        <v>12782</v>
      </c>
      <c r="B7670" s="803" t="s">
        <v>3753</v>
      </c>
      <c r="C7670" s="803" t="s">
        <v>3753</v>
      </c>
      <c r="D7670" s="803" t="s">
        <v>3891</v>
      </c>
      <c r="E7670" s="803">
        <v>30</v>
      </c>
      <c r="F7670" s="850">
        <v>10</v>
      </c>
      <c r="G7670" s="202" t="str">
        <f t="shared" si="119"/>
        <v/>
      </c>
    </row>
    <row r="7671" spans="1:7" s="172" customFormat="1" ht="15" customHeight="1" x14ac:dyDescent="0.25">
      <c r="A7671" s="803" t="s">
        <v>12783</v>
      </c>
      <c r="B7671" s="803" t="s">
        <v>3753</v>
      </c>
      <c r="C7671" s="803" t="s">
        <v>3753</v>
      </c>
      <c r="D7671" s="803" t="s">
        <v>3892</v>
      </c>
      <c r="E7671" s="803">
        <v>30</v>
      </c>
      <c r="F7671" s="850">
        <v>10</v>
      </c>
      <c r="G7671" s="202" t="str">
        <f t="shared" si="119"/>
        <v/>
      </c>
    </row>
    <row r="7672" spans="1:7" s="172" customFormat="1" ht="15" customHeight="1" x14ac:dyDescent="0.25">
      <c r="A7672" s="803" t="s">
        <v>12784</v>
      </c>
      <c r="B7672" s="803" t="s">
        <v>3753</v>
      </c>
      <c r="C7672" s="803" t="s">
        <v>3753</v>
      </c>
      <c r="D7672" s="803" t="s">
        <v>3893</v>
      </c>
      <c r="E7672" s="803">
        <v>160</v>
      </c>
      <c r="F7672" s="850">
        <v>100</v>
      </c>
      <c r="G7672" s="202" t="str">
        <f t="shared" si="119"/>
        <v/>
      </c>
    </row>
    <row r="7673" spans="1:7" s="172" customFormat="1" ht="15" customHeight="1" x14ac:dyDescent="0.25">
      <c r="A7673" s="803" t="s">
        <v>2991</v>
      </c>
      <c r="B7673" s="803" t="s">
        <v>3753</v>
      </c>
      <c r="C7673" s="803" t="s">
        <v>3753</v>
      </c>
      <c r="D7673" s="803" t="s">
        <v>3894</v>
      </c>
      <c r="E7673" s="803">
        <v>20</v>
      </c>
      <c r="F7673" s="850">
        <v>10</v>
      </c>
      <c r="G7673" s="202" t="str">
        <f t="shared" si="119"/>
        <v/>
      </c>
    </row>
    <row r="7674" spans="1:7" s="172" customFormat="1" ht="15" customHeight="1" x14ac:dyDescent="0.25">
      <c r="A7674" s="803" t="s">
        <v>12785</v>
      </c>
      <c r="B7674" s="803" t="s">
        <v>3753</v>
      </c>
      <c r="C7674" s="803" t="s">
        <v>3753</v>
      </c>
      <c r="D7674" s="803" t="s">
        <v>3895</v>
      </c>
      <c r="E7674" s="803">
        <v>10</v>
      </c>
      <c r="F7674" s="850">
        <v>5</v>
      </c>
      <c r="G7674" s="202" t="str">
        <f t="shared" si="119"/>
        <v/>
      </c>
    </row>
    <row r="7675" spans="1:7" s="172" customFormat="1" ht="15" customHeight="1" x14ac:dyDescent="0.25">
      <c r="A7675" s="803" t="s">
        <v>12786</v>
      </c>
      <c r="B7675" s="803" t="s">
        <v>3753</v>
      </c>
      <c r="C7675" s="803" t="s">
        <v>3753</v>
      </c>
      <c r="D7675" s="803" t="s">
        <v>3896</v>
      </c>
      <c r="E7675" s="803">
        <v>25</v>
      </c>
      <c r="F7675" s="850">
        <v>10</v>
      </c>
      <c r="G7675" s="202" t="str">
        <f t="shared" si="119"/>
        <v/>
      </c>
    </row>
    <row r="7676" spans="1:7" s="172" customFormat="1" ht="15" customHeight="1" x14ac:dyDescent="0.25">
      <c r="A7676" s="803" t="s">
        <v>2681</v>
      </c>
      <c r="B7676" s="803" t="s">
        <v>3753</v>
      </c>
      <c r="C7676" s="803" t="s">
        <v>3753</v>
      </c>
      <c r="D7676" s="803" t="s">
        <v>3897</v>
      </c>
      <c r="E7676" s="803">
        <v>100</v>
      </c>
      <c r="F7676" s="850">
        <v>65</v>
      </c>
      <c r="G7676" s="202" t="str">
        <f t="shared" si="119"/>
        <v/>
      </c>
    </row>
    <row r="7677" spans="1:7" s="172" customFormat="1" ht="15" customHeight="1" x14ac:dyDescent="0.25">
      <c r="A7677" s="803" t="s">
        <v>12787</v>
      </c>
      <c r="B7677" s="803" t="s">
        <v>3753</v>
      </c>
      <c r="C7677" s="803" t="s">
        <v>3753</v>
      </c>
      <c r="D7677" s="803" t="s">
        <v>3898</v>
      </c>
      <c r="E7677" s="803">
        <v>10</v>
      </c>
      <c r="F7677" s="850">
        <v>5</v>
      </c>
      <c r="G7677" s="202" t="str">
        <f t="shared" si="119"/>
        <v/>
      </c>
    </row>
    <row r="7678" spans="1:7" s="172" customFormat="1" ht="15" customHeight="1" x14ac:dyDescent="0.25">
      <c r="A7678" s="803" t="s">
        <v>12787</v>
      </c>
      <c r="B7678" s="803" t="s">
        <v>3753</v>
      </c>
      <c r="C7678" s="803" t="s">
        <v>3753</v>
      </c>
      <c r="D7678" s="803" t="s">
        <v>3899</v>
      </c>
      <c r="E7678" s="803">
        <v>25</v>
      </c>
      <c r="F7678" s="850">
        <v>10</v>
      </c>
      <c r="G7678" s="202" t="str">
        <f t="shared" si="119"/>
        <v/>
      </c>
    </row>
    <row r="7679" spans="1:7" s="172" customFormat="1" ht="15" customHeight="1" x14ac:dyDescent="0.25">
      <c r="A7679" s="803" t="s">
        <v>12788</v>
      </c>
      <c r="B7679" s="803" t="s">
        <v>3753</v>
      </c>
      <c r="C7679" s="803" t="s">
        <v>3753</v>
      </c>
      <c r="D7679" s="803" t="s">
        <v>3900</v>
      </c>
      <c r="E7679" s="803">
        <v>160</v>
      </c>
      <c r="F7679" s="850">
        <v>120</v>
      </c>
      <c r="G7679" s="202" t="str">
        <f t="shared" si="119"/>
        <v/>
      </c>
    </row>
    <row r="7680" spans="1:7" s="172" customFormat="1" ht="15" customHeight="1" x14ac:dyDescent="0.25">
      <c r="A7680" s="803" t="s">
        <v>4824</v>
      </c>
      <c r="B7680" s="803" t="s">
        <v>3753</v>
      </c>
      <c r="C7680" s="803" t="s">
        <v>3753</v>
      </c>
      <c r="D7680" s="803" t="s">
        <v>3901</v>
      </c>
      <c r="E7680" s="803">
        <v>100</v>
      </c>
      <c r="F7680" s="850">
        <v>30</v>
      </c>
      <c r="G7680" s="202" t="str">
        <f t="shared" si="119"/>
        <v/>
      </c>
    </row>
    <row r="7681" spans="1:7" s="172" customFormat="1" ht="15" customHeight="1" x14ac:dyDescent="0.25">
      <c r="A7681" s="803" t="s">
        <v>10498</v>
      </c>
      <c r="B7681" s="803" t="s">
        <v>3753</v>
      </c>
      <c r="C7681" s="803" t="s">
        <v>3753</v>
      </c>
      <c r="D7681" s="803" t="s">
        <v>3902</v>
      </c>
      <c r="E7681" s="803">
        <v>250</v>
      </c>
      <c r="F7681" s="850">
        <v>100</v>
      </c>
      <c r="G7681" s="202" t="str">
        <f t="shared" si="119"/>
        <v/>
      </c>
    </row>
    <row r="7682" spans="1:7" s="172" customFormat="1" ht="15" customHeight="1" x14ac:dyDescent="0.25">
      <c r="A7682" s="803" t="s">
        <v>12789</v>
      </c>
      <c r="B7682" s="803" t="s">
        <v>3753</v>
      </c>
      <c r="C7682" s="803" t="s">
        <v>3753</v>
      </c>
      <c r="D7682" s="803" t="s">
        <v>3903</v>
      </c>
      <c r="E7682" s="803">
        <v>100</v>
      </c>
      <c r="F7682" s="850">
        <v>50</v>
      </c>
      <c r="G7682" s="202" t="str">
        <f t="shared" si="119"/>
        <v/>
      </c>
    </row>
    <row r="7683" spans="1:7" s="172" customFormat="1" ht="15" customHeight="1" x14ac:dyDescent="0.25">
      <c r="A7683" s="803" t="s">
        <v>12605</v>
      </c>
      <c r="B7683" s="803" t="s">
        <v>3753</v>
      </c>
      <c r="C7683" s="803" t="s">
        <v>3753</v>
      </c>
      <c r="D7683" s="803" t="s">
        <v>3904</v>
      </c>
      <c r="E7683" s="803">
        <v>100</v>
      </c>
      <c r="F7683" s="850">
        <v>70</v>
      </c>
      <c r="G7683" s="202" t="str">
        <f t="shared" si="119"/>
        <v/>
      </c>
    </row>
    <row r="7684" spans="1:7" s="172" customFormat="1" ht="15" customHeight="1" x14ac:dyDescent="0.25">
      <c r="A7684" s="803" t="s">
        <v>12790</v>
      </c>
      <c r="B7684" s="803" t="s">
        <v>3753</v>
      </c>
      <c r="C7684" s="803" t="s">
        <v>3753</v>
      </c>
      <c r="D7684" s="803" t="s">
        <v>3905</v>
      </c>
      <c r="E7684" s="803">
        <v>63</v>
      </c>
      <c r="F7684" s="850">
        <v>10</v>
      </c>
      <c r="G7684" s="202" t="str">
        <f t="shared" si="119"/>
        <v/>
      </c>
    </row>
    <row r="7685" spans="1:7" s="172" customFormat="1" ht="15" customHeight="1" x14ac:dyDescent="0.25">
      <c r="A7685" s="803" t="s">
        <v>12790</v>
      </c>
      <c r="B7685" s="803" t="s">
        <v>3753</v>
      </c>
      <c r="C7685" s="803" t="s">
        <v>3753</v>
      </c>
      <c r="D7685" s="803" t="s">
        <v>3906</v>
      </c>
      <c r="E7685" s="803">
        <v>250</v>
      </c>
      <c r="F7685" s="850">
        <v>200</v>
      </c>
      <c r="G7685" s="202" t="str">
        <f t="shared" si="119"/>
        <v/>
      </c>
    </row>
    <row r="7686" spans="1:7" s="172" customFormat="1" ht="15" customHeight="1" x14ac:dyDescent="0.25">
      <c r="A7686" s="803" t="s">
        <v>6523</v>
      </c>
      <c r="B7686" s="803" t="s">
        <v>3753</v>
      </c>
      <c r="C7686" s="803" t="s">
        <v>3753</v>
      </c>
      <c r="D7686" s="803" t="s">
        <v>3907</v>
      </c>
      <c r="E7686" s="803">
        <v>30</v>
      </c>
      <c r="F7686" s="850">
        <v>10</v>
      </c>
      <c r="G7686" s="202" t="str">
        <f t="shared" si="119"/>
        <v/>
      </c>
    </row>
    <row r="7687" spans="1:7" s="172" customFormat="1" ht="15" customHeight="1" x14ac:dyDescent="0.25">
      <c r="A7687" s="803" t="s">
        <v>12791</v>
      </c>
      <c r="B7687" s="803" t="s">
        <v>3753</v>
      </c>
      <c r="C7687" s="803" t="s">
        <v>3753</v>
      </c>
      <c r="D7687" s="803" t="s">
        <v>3908</v>
      </c>
      <c r="E7687" s="803">
        <v>60</v>
      </c>
      <c r="F7687" s="850">
        <v>40</v>
      </c>
      <c r="G7687" s="202" t="str">
        <f t="shared" si="119"/>
        <v/>
      </c>
    </row>
    <row r="7688" spans="1:7" s="172" customFormat="1" ht="15" customHeight="1" x14ac:dyDescent="0.25">
      <c r="A7688" s="803" t="s">
        <v>12792</v>
      </c>
      <c r="B7688" s="803" t="s">
        <v>3753</v>
      </c>
      <c r="C7688" s="803" t="s">
        <v>3753</v>
      </c>
      <c r="D7688" s="803" t="s">
        <v>3909</v>
      </c>
      <c r="E7688" s="803">
        <v>4</v>
      </c>
      <c r="F7688" s="850">
        <v>1</v>
      </c>
      <c r="G7688" s="202" t="str">
        <f t="shared" si="119"/>
        <v/>
      </c>
    </row>
    <row r="7689" spans="1:7" s="172" customFormat="1" ht="15" customHeight="1" x14ac:dyDescent="0.25">
      <c r="A7689" s="803" t="s">
        <v>12736</v>
      </c>
      <c r="B7689" s="803" t="s">
        <v>3753</v>
      </c>
      <c r="C7689" s="803" t="s">
        <v>3753</v>
      </c>
      <c r="D7689" s="803" t="s">
        <v>3910</v>
      </c>
      <c r="E7689" s="803">
        <v>1000</v>
      </c>
      <c r="F7689" s="850">
        <v>500</v>
      </c>
      <c r="G7689" s="202" t="str">
        <f t="shared" si="119"/>
        <v/>
      </c>
    </row>
    <row r="7690" spans="1:7" s="172" customFormat="1" ht="15" customHeight="1" x14ac:dyDescent="0.25">
      <c r="A7690" s="803" t="s">
        <v>12618</v>
      </c>
      <c r="B7690" s="803" t="s">
        <v>3753</v>
      </c>
      <c r="C7690" s="803" t="s">
        <v>3753</v>
      </c>
      <c r="D7690" s="803" t="s">
        <v>3911</v>
      </c>
      <c r="E7690" s="803">
        <v>30</v>
      </c>
      <c r="F7690" s="850">
        <v>10</v>
      </c>
      <c r="G7690" s="202" t="str">
        <f t="shared" si="119"/>
        <v/>
      </c>
    </row>
    <row r="7691" spans="1:7" s="172" customFormat="1" ht="15" customHeight="1" x14ac:dyDescent="0.25">
      <c r="A7691" s="803" t="s">
        <v>12618</v>
      </c>
      <c r="B7691" s="803" t="s">
        <v>3753</v>
      </c>
      <c r="C7691" s="803" t="s">
        <v>3753</v>
      </c>
      <c r="D7691" s="803" t="s">
        <v>3912</v>
      </c>
      <c r="E7691" s="803">
        <v>100</v>
      </c>
      <c r="F7691" s="850">
        <v>45</v>
      </c>
      <c r="G7691" s="202" t="str">
        <f t="shared" si="119"/>
        <v/>
      </c>
    </row>
    <row r="7692" spans="1:7" s="172" customFormat="1" ht="15" customHeight="1" x14ac:dyDescent="0.25">
      <c r="A7692" s="803" t="s">
        <v>12793</v>
      </c>
      <c r="B7692" s="803" t="s">
        <v>3753</v>
      </c>
      <c r="C7692" s="803" t="s">
        <v>3753</v>
      </c>
      <c r="D7692" s="803" t="s">
        <v>3913</v>
      </c>
      <c r="E7692" s="803">
        <v>160</v>
      </c>
      <c r="F7692" s="850">
        <v>120</v>
      </c>
      <c r="G7692" s="202" t="str">
        <f t="shared" si="119"/>
        <v/>
      </c>
    </row>
    <row r="7693" spans="1:7" s="172" customFormat="1" ht="15" customHeight="1" x14ac:dyDescent="0.25">
      <c r="A7693" s="803" t="s">
        <v>12794</v>
      </c>
      <c r="B7693" s="803" t="s">
        <v>3753</v>
      </c>
      <c r="C7693" s="803" t="s">
        <v>3753</v>
      </c>
      <c r="D7693" s="803" t="s">
        <v>3914</v>
      </c>
      <c r="E7693" s="803">
        <v>63</v>
      </c>
      <c r="F7693" s="850">
        <v>10</v>
      </c>
      <c r="G7693" s="202" t="str">
        <f t="shared" si="119"/>
        <v/>
      </c>
    </row>
    <row r="7694" spans="1:7" s="172" customFormat="1" ht="15" customHeight="1" x14ac:dyDescent="0.25">
      <c r="A7694" s="803" t="s">
        <v>12795</v>
      </c>
      <c r="B7694" s="803" t="s">
        <v>3753</v>
      </c>
      <c r="C7694" s="803" t="s">
        <v>3753</v>
      </c>
      <c r="D7694" s="803" t="s">
        <v>3915</v>
      </c>
      <c r="E7694" s="803">
        <v>63</v>
      </c>
      <c r="F7694" s="850">
        <v>10</v>
      </c>
      <c r="G7694" s="202" t="str">
        <f t="shared" si="119"/>
        <v/>
      </c>
    </row>
    <row r="7695" spans="1:7" s="172" customFormat="1" ht="15" customHeight="1" x14ac:dyDescent="0.25">
      <c r="A7695" s="803" t="s">
        <v>3916</v>
      </c>
      <c r="B7695" s="803" t="s">
        <v>3753</v>
      </c>
      <c r="C7695" s="803" t="s">
        <v>3753</v>
      </c>
      <c r="D7695" s="803" t="s">
        <v>3917</v>
      </c>
      <c r="E7695" s="803">
        <v>250</v>
      </c>
      <c r="F7695" s="850">
        <v>200</v>
      </c>
      <c r="G7695" s="202" t="str">
        <f t="shared" si="119"/>
        <v/>
      </c>
    </row>
    <row r="7696" spans="1:7" s="172" customFormat="1" ht="15" customHeight="1" x14ac:dyDescent="0.25">
      <c r="A7696" s="803" t="s">
        <v>12796</v>
      </c>
      <c r="B7696" s="803" t="s">
        <v>3753</v>
      </c>
      <c r="C7696" s="803" t="s">
        <v>3753</v>
      </c>
      <c r="D7696" s="803" t="s">
        <v>3918</v>
      </c>
      <c r="E7696" s="803">
        <v>40</v>
      </c>
      <c r="F7696" s="850">
        <v>20</v>
      </c>
      <c r="G7696" s="202" t="str">
        <f t="shared" si="119"/>
        <v/>
      </c>
    </row>
    <row r="7697" spans="1:7" s="172" customFormat="1" ht="15" customHeight="1" x14ac:dyDescent="0.25">
      <c r="A7697" s="803" t="s">
        <v>12797</v>
      </c>
      <c r="B7697" s="803" t="s">
        <v>3753</v>
      </c>
      <c r="C7697" s="803" t="s">
        <v>3753</v>
      </c>
      <c r="D7697" s="803" t="s">
        <v>3919</v>
      </c>
      <c r="E7697" s="803">
        <v>100</v>
      </c>
      <c r="F7697" s="850">
        <v>70</v>
      </c>
      <c r="G7697" s="202" t="str">
        <f t="shared" si="119"/>
        <v/>
      </c>
    </row>
    <row r="7698" spans="1:7" s="172" customFormat="1" ht="15" customHeight="1" x14ac:dyDescent="0.25">
      <c r="A7698" s="803" t="s">
        <v>12798</v>
      </c>
      <c r="B7698" s="803" t="s">
        <v>3753</v>
      </c>
      <c r="C7698" s="803" t="s">
        <v>3753</v>
      </c>
      <c r="D7698" s="803" t="s">
        <v>3920</v>
      </c>
      <c r="E7698" s="803">
        <v>100</v>
      </c>
      <c r="F7698" s="850">
        <v>30</v>
      </c>
      <c r="G7698" s="202" t="str">
        <f t="shared" si="119"/>
        <v/>
      </c>
    </row>
    <row r="7699" spans="1:7" s="172" customFormat="1" ht="15" customHeight="1" x14ac:dyDescent="0.25">
      <c r="A7699" s="803" t="s">
        <v>12799</v>
      </c>
      <c r="B7699" s="803" t="s">
        <v>3753</v>
      </c>
      <c r="C7699" s="803" t="s">
        <v>3753</v>
      </c>
      <c r="D7699" s="803" t="s">
        <v>3921</v>
      </c>
      <c r="E7699" s="803">
        <v>100</v>
      </c>
      <c r="F7699" s="850">
        <v>70</v>
      </c>
      <c r="G7699" s="202" t="str">
        <f t="shared" si="119"/>
        <v/>
      </c>
    </row>
    <row r="7700" spans="1:7" s="172" customFormat="1" ht="15" customHeight="1" x14ac:dyDescent="0.25">
      <c r="A7700" s="803" t="s">
        <v>12800</v>
      </c>
      <c r="B7700" s="803" t="s">
        <v>3753</v>
      </c>
      <c r="C7700" s="803" t="s">
        <v>3753</v>
      </c>
      <c r="D7700" s="803" t="s">
        <v>3922</v>
      </c>
      <c r="E7700" s="803">
        <v>30</v>
      </c>
      <c r="F7700" s="850">
        <v>10</v>
      </c>
      <c r="G7700" s="202" t="str">
        <f t="shared" si="119"/>
        <v/>
      </c>
    </row>
    <row r="7701" spans="1:7" s="172" customFormat="1" ht="15" customHeight="1" x14ac:dyDescent="0.25">
      <c r="A7701" s="803" t="s">
        <v>3923</v>
      </c>
      <c r="B7701" s="803" t="s">
        <v>3753</v>
      </c>
      <c r="C7701" s="803" t="s">
        <v>3753</v>
      </c>
      <c r="D7701" s="803" t="s">
        <v>3924</v>
      </c>
      <c r="E7701" s="803">
        <v>160</v>
      </c>
      <c r="F7701" s="850">
        <v>60</v>
      </c>
      <c r="G7701" s="202" t="str">
        <f t="shared" si="119"/>
        <v/>
      </c>
    </row>
    <row r="7702" spans="1:7" s="172" customFormat="1" ht="15" customHeight="1" x14ac:dyDescent="0.25">
      <c r="A7702" s="803" t="s">
        <v>3923</v>
      </c>
      <c r="B7702" s="803" t="s">
        <v>3753</v>
      </c>
      <c r="C7702" s="803" t="s">
        <v>3753</v>
      </c>
      <c r="D7702" s="803" t="s">
        <v>3925</v>
      </c>
      <c r="E7702" s="803">
        <v>250</v>
      </c>
      <c r="F7702" s="850">
        <v>200</v>
      </c>
      <c r="G7702" s="202" t="str">
        <f t="shared" si="119"/>
        <v/>
      </c>
    </row>
    <row r="7703" spans="1:7" s="172" customFormat="1" ht="15" customHeight="1" x14ac:dyDescent="0.25">
      <c r="A7703" s="803" t="s">
        <v>3923</v>
      </c>
      <c r="B7703" s="803" t="s">
        <v>3753</v>
      </c>
      <c r="C7703" s="803" t="s">
        <v>3753</v>
      </c>
      <c r="D7703" s="803" t="s">
        <v>3926</v>
      </c>
      <c r="E7703" s="803">
        <v>160</v>
      </c>
      <c r="F7703" s="850">
        <v>100</v>
      </c>
      <c r="G7703" s="202" t="str">
        <f t="shared" si="119"/>
        <v/>
      </c>
    </row>
    <row r="7704" spans="1:7" s="172" customFormat="1" ht="15" customHeight="1" x14ac:dyDescent="0.25">
      <c r="A7704" s="803" t="s">
        <v>3923</v>
      </c>
      <c r="B7704" s="803" t="s">
        <v>3753</v>
      </c>
      <c r="C7704" s="803" t="s">
        <v>3753</v>
      </c>
      <c r="D7704" s="803" t="s">
        <v>3927</v>
      </c>
      <c r="E7704" s="803">
        <v>250</v>
      </c>
      <c r="F7704" s="850">
        <v>200</v>
      </c>
      <c r="G7704" s="202" t="str">
        <f t="shared" si="119"/>
        <v/>
      </c>
    </row>
    <row r="7705" spans="1:7" s="172" customFormat="1" ht="15" customHeight="1" x14ac:dyDescent="0.25">
      <c r="A7705" s="803" t="s">
        <v>3928</v>
      </c>
      <c r="B7705" s="803" t="s">
        <v>3753</v>
      </c>
      <c r="C7705" s="803" t="s">
        <v>3753</v>
      </c>
      <c r="D7705" s="803" t="s">
        <v>3929</v>
      </c>
      <c r="E7705" s="803">
        <v>63</v>
      </c>
      <c r="F7705" s="850">
        <v>20</v>
      </c>
      <c r="G7705" s="202" t="str">
        <f t="shared" si="119"/>
        <v/>
      </c>
    </row>
    <row r="7706" spans="1:7" s="172" customFormat="1" ht="15" customHeight="1" x14ac:dyDescent="0.25">
      <c r="A7706" s="803" t="s">
        <v>3923</v>
      </c>
      <c r="B7706" s="803" t="s">
        <v>3753</v>
      </c>
      <c r="C7706" s="803" t="s">
        <v>3753</v>
      </c>
      <c r="D7706" s="803" t="s">
        <v>3930</v>
      </c>
      <c r="E7706" s="803">
        <v>160</v>
      </c>
      <c r="F7706" s="850">
        <v>100</v>
      </c>
      <c r="G7706" s="202" t="str">
        <f t="shared" si="119"/>
        <v/>
      </c>
    </row>
    <row r="7707" spans="1:7" s="172" customFormat="1" ht="15" customHeight="1" x14ac:dyDescent="0.25">
      <c r="A7707" s="803" t="s">
        <v>12801</v>
      </c>
      <c r="B7707" s="803" t="s">
        <v>3753</v>
      </c>
      <c r="C7707" s="803" t="s">
        <v>3753</v>
      </c>
      <c r="D7707" s="803" t="s">
        <v>3931</v>
      </c>
      <c r="E7707" s="803">
        <v>63</v>
      </c>
      <c r="F7707" s="850">
        <v>20</v>
      </c>
      <c r="G7707" s="202" t="str">
        <f t="shared" si="119"/>
        <v/>
      </c>
    </row>
    <row r="7708" spans="1:7" s="172" customFormat="1" ht="15" customHeight="1" x14ac:dyDescent="0.25">
      <c r="A7708" s="803" t="s">
        <v>3923</v>
      </c>
      <c r="B7708" s="803" t="s">
        <v>3753</v>
      </c>
      <c r="C7708" s="803" t="s">
        <v>3753</v>
      </c>
      <c r="D7708" s="803" t="s">
        <v>3932</v>
      </c>
      <c r="E7708" s="803">
        <v>250</v>
      </c>
      <c r="F7708" s="850">
        <v>200</v>
      </c>
      <c r="G7708" s="202" t="str">
        <f t="shared" si="119"/>
        <v/>
      </c>
    </row>
    <row r="7709" spans="1:7" s="172" customFormat="1" ht="15" customHeight="1" x14ac:dyDescent="0.25">
      <c r="A7709" s="803" t="s">
        <v>12802</v>
      </c>
      <c r="B7709" s="803" t="s">
        <v>3753</v>
      </c>
      <c r="C7709" s="803" t="s">
        <v>3753</v>
      </c>
      <c r="D7709" s="803" t="s">
        <v>3933</v>
      </c>
      <c r="E7709" s="803">
        <v>100</v>
      </c>
      <c r="F7709" s="850">
        <v>30</v>
      </c>
      <c r="G7709" s="202" t="str">
        <f t="shared" si="119"/>
        <v/>
      </c>
    </row>
    <row r="7710" spans="1:7" s="172" customFormat="1" ht="15" customHeight="1" x14ac:dyDescent="0.25">
      <c r="A7710" s="803" t="s">
        <v>12803</v>
      </c>
      <c r="B7710" s="803" t="s">
        <v>3753</v>
      </c>
      <c r="C7710" s="803" t="s">
        <v>3753</v>
      </c>
      <c r="D7710" s="803" t="s">
        <v>3934</v>
      </c>
      <c r="E7710" s="803">
        <v>160</v>
      </c>
      <c r="F7710" s="850">
        <v>100</v>
      </c>
      <c r="G7710" s="202" t="str">
        <f t="shared" ref="G7710:G7773" si="120">IF(E7710=F7710,"не загружен","")</f>
        <v/>
      </c>
    </row>
    <row r="7711" spans="1:7" s="172" customFormat="1" ht="15" customHeight="1" x14ac:dyDescent="0.25">
      <c r="A7711" s="803" t="s">
        <v>12804</v>
      </c>
      <c r="B7711" s="803" t="s">
        <v>3753</v>
      </c>
      <c r="C7711" s="803" t="s">
        <v>3753</v>
      </c>
      <c r="D7711" s="803" t="s">
        <v>3935</v>
      </c>
      <c r="E7711" s="803">
        <v>60</v>
      </c>
      <c r="F7711" s="850">
        <v>30</v>
      </c>
      <c r="G7711" s="202" t="str">
        <f t="shared" si="120"/>
        <v/>
      </c>
    </row>
    <row r="7712" spans="1:7" s="172" customFormat="1" ht="15" customHeight="1" x14ac:dyDescent="0.25">
      <c r="A7712" s="803" t="s">
        <v>12805</v>
      </c>
      <c r="B7712" s="803" t="s">
        <v>3753</v>
      </c>
      <c r="C7712" s="803" t="s">
        <v>3753</v>
      </c>
      <c r="D7712" s="803" t="s">
        <v>3936</v>
      </c>
      <c r="E7712" s="803">
        <v>100</v>
      </c>
      <c r="F7712" s="850">
        <v>50</v>
      </c>
      <c r="G7712" s="202" t="str">
        <f t="shared" si="120"/>
        <v/>
      </c>
    </row>
    <row r="7713" spans="1:7" s="172" customFormat="1" ht="15" customHeight="1" x14ac:dyDescent="0.25">
      <c r="A7713" s="803" t="s">
        <v>12806</v>
      </c>
      <c r="B7713" s="803" t="s">
        <v>3753</v>
      </c>
      <c r="C7713" s="803" t="s">
        <v>3753</v>
      </c>
      <c r="D7713" s="803" t="s">
        <v>3937</v>
      </c>
      <c r="E7713" s="803">
        <v>100</v>
      </c>
      <c r="F7713" s="850">
        <v>30</v>
      </c>
      <c r="G7713" s="202" t="str">
        <f t="shared" si="120"/>
        <v/>
      </c>
    </row>
    <row r="7714" spans="1:7" s="172" customFormat="1" ht="15" customHeight="1" x14ac:dyDescent="0.25">
      <c r="A7714" s="803" t="s">
        <v>12807</v>
      </c>
      <c r="B7714" s="803" t="s">
        <v>3753</v>
      </c>
      <c r="C7714" s="803" t="s">
        <v>3753</v>
      </c>
      <c r="D7714" s="803" t="s">
        <v>3938</v>
      </c>
      <c r="E7714" s="803">
        <v>63</v>
      </c>
      <c r="F7714" s="850">
        <v>5</v>
      </c>
      <c r="G7714" s="202" t="str">
        <f t="shared" si="120"/>
        <v/>
      </c>
    </row>
    <row r="7715" spans="1:7" s="172" customFormat="1" ht="15" customHeight="1" x14ac:dyDescent="0.25">
      <c r="A7715" s="803" t="s">
        <v>12808</v>
      </c>
      <c r="B7715" s="803" t="s">
        <v>3753</v>
      </c>
      <c r="C7715" s="803" t="s">
        <v>3753</v>
      </c>
      <c r="D7715" s="803" t="s">
        <v>3939</v>
      </c>
      <c r="E7715" s="803">
        <v>20</v>
      </c>
      <c r="F7715" s="850">
        <v>3</v>
      </c>
      <c r="G7715" s="202" t="str">
        <f t="shared" si="120"/>
        <v/>
      </c>
    </row>
    <row r="7716" spans="1:7" s="172" customFormat="1" ht="15" customHeight="1" x14ac:dyDescent="0.25">
      <c r="A7716" s="803" t="s">
        <v>3940</v>
      </c>
      <c r="B7716" s="803" t="s">
        <v>3753</v>
      </c>
      <c r="C7716" s="803" t="s">
        <v>3753</v>
      </c>
      <c r="D7716" s="803" t="s">
        <v>3941</v>
      </c>
      <c r="E7716" s="803">
        <v>160</v>
      </c>
      <c r="F7716" s="850">
        <v>100</v>
      </c>
      <c r="G7716" s="202" t="str">
        <f t="shared" si="120"/>
        <v/>
      </c>
    </row>
    <row r="7717" spans="1:7" s="172" customFormat="1" ht="15" customHeight="1" x14ac:dyDescent="0.25">
      <c r="A7717" s="803" t="s">
        <v>12809</v>
      </c>
      <c r="B7717" s="803" t="s">
        <v>3753</v>
      </c>
      <c r="C7717" s="803" t="s">
        <v>3753</v>
      </c>
      <c r="D7717" s="803" t="s">
        <v>3942</v>
      </c>
      <c r="E7717" s="803">
        <v>63</v>
      </c>
      <c r="F7717" s="850">
        <v>20</v>
      </c>
      <c r="G7717" s="202" t="str">
        <f t="shared" si="120"/>
        <v/>
      </c>
    </row>
    <row r="7718" spans="1:7" s="172" customFormat="1" ht="15" customHeight="1" x14ac:dyDescent="0.25">
      <c r="A7718" s="803" t="s">
        <v>3943</v>
      </c>
      <c r="B7718" s="803" t="s">
        <v>3753</v>
      </c>
      <c r="C7718" s="803" t="s">
        <v>3753</v>
      </c>
      <c r="D7718" s="803" t="s">
        <v>3944</v>
      </c>
      <c r="E7718" s="803">
        <v>160</v>
      </c>
      <c r="F7718" s="850">
        <v>40</v>
      </c>
      <c r="G7718" s="202" t="str">
        <f t="shared" si="120"/>
        <v/>
      </c>
    </row>
    <row r="7719" spans="1:7" s="172" customFormat="1" ht="15" customHeight="1" x14ac:dyDescent="0.25">
      <c r="A7719" s="803" t="s">
        <v>3943</v>
      </c>
      <c r="B7719" s="803" t="s">
        <v>3753</v>
      </c>
      <c r="C7719" s="803" t="s">
        <v>3753</v>
      </c>
      <c r="D7719" s="803" t="s">
        <v>3945</v>
      </c>
      <c r="E7719" s="803">
        <v>160</v>
      </c>
      <c r="F7719" s="850">
        <v>50</v>
      </c>
      <c r="G7719" s="202" t="str">
        <f t="shared" si="120"/>
        <v/>
      </c>
    </row>
    <row r="7720" spans="1:7" s="172" customFormat="1" ht="15" customHeight="1" x14ac:dyDescent="0.25">
      <c r="A7720" s="803" t="s">
        <v>12810</v>
      </c>
      <c r="B7720" s="803" t="s">
        <v>3753</v>
      </c>
      <c r="C7720" s="803" t="s">
        <v>3753</v>
      </c>
      <c r="D7720" s="803" t="s">
        <v>3946</v>
      </c>
      <c r="E7720" s="803">
        <v>160</v>
      </c>
      <c r="F7720" s="850">
        <v>60</v>
      </c>
      <c r="G7720" s="202" t="str">
        <f t="shared" si="120"/>
        <v/>
      </c>
    </row>
    <row r="7721" spans="1:7" s="172" customFormat="1" ht="15" customHeight="1" x14ac:dyDescent="0.25">
      <c r="A7721" s="803" t="s">
        <v>12810</v>
      </c>
      <c r="B7721" s="803" t="s">
        <v>3753</v>
      </c>
      <c r="C7721" s="803" t="s">
        <v>3753</v>
      </c>
      <c r="D7721" s="803" t="s">
        <v>3947</v>
      </c>
      <c r="E7721" s="803">
        <v>250</v>
      </c>
      <c r="F7721" s="850">
        <v>150</v>
      </c>
      <c r="G7721" s="202" t="str">
        <f t="shared" si="120"/>
        <v/>
      </c>
    </row>
    <row r="7722" spans="1:7" s="172" customFormat="1" ht="15" customHeight="1" x14ac:dyDescent="0.25">
      <c r="A7722" s="803" t="s">
        <v>12810</v>
      </c>
      <c r="B7722" s="803" t="s">
        <v>3753</v>
      </c>
      <c r="C7722" s="803" t="s">
        <v>3753</v>
      </c>
      <c r="D7722" s="803" t="s">
        <v>3948</v>
      </c>
      <c r="E7722" s="803">
        <v>250</v>
      </c>
      <c r="F7722" s="850">
        <v>150</v>
      </c>
      <c r="G7722" s="202" t="str">
        <f t="shared" si="120"/>
        <v/>
      </c>
    </row>
    <row r="7723" spans="1:7" s="172" customFormat="1" ht="15" customHeight="1" x14ac:dyDescent="0.25">
      <c r="A7723" s="803" t="s">
        <v>12810</v>
      </c>
      <c r="B7723" s="803" t="s">
        <v>3753</v>
      </c>
      <c r="C7723" s="803" t="s">
        <v>3753</v>
      </c>
      <c r="D7723" s="803" t="s">
        <v>3949</v>
      </c>
      <c r="E7723" s="803">
        <v>160</v>
      </c>
      <c r="F7723" s="850">
        <v>100</v>
      </c>
      <c r="G7723" s="202" t="str">
        <f t="shared" si="120"/>
        <v/>
      </c>
    </row>
    <row r="7724" spans="1:7" s="172" customFormat="1" ht="15" customHeight="1" x14ac:dyDescent="0.25">
      <c r="A7724" s="803" t="s">
        <v>12810</v>
      </c>
      <c r="B7724" s="803" t="s">
        <v>3753</v>
      </c>
      <c r="C7724" s="803" t="s">
        <v>3753</v>
      </c>
      <c r="D7724" s="803" t="s">
        <v>3950</v>
      </c>
      <c r="E7724" s="803">
        <v>250</v>
      </c>
      <c r="F7724" s="850">
        <v>150</v>
      </c>
      <c r="G7724" s="202" t="str">
        <f t="shared" si="120"/>
        <v/>
      </c>
    </row>
    <row r="7725" spans="1:7" s="172" customFormat="1" ht="15" customHeight="1" x14ac:dyDescent="0.25">
      <c r="A7725" s="803" t="s">
        <v>12810</v>
      </c>
      <c r="B7725" s="803" t="s">
        <v>3753</v>
      </c>
      <c r="C7725" s="803" t="s">
        <v>3753</v>
      </c>
      <c r="D7725" s="803" t="s">
        <v>3951</v>
      </c>
      <c r="E7725" s="803">
        <v>60</v>
      </c>
      <c r="F7725" s="850">
        <v>10</v>
      </c>
      <c r="G7725" s="202" t="str">
        <f t="shared" si="120"/>
        <v/>
      </c>
    </row>
    <row r="7726" spans="1:7" s="172" customFormat="1" ht="15" customHeight="1" x14ac:dyDescent="0.25">
      <c r="A7726" s="803" t="s">
        <v>12810</v>
      </c>
      <c r="B7726" s="803" t="s">
        <v>3753</v>
      </c>
      <c r="C7726" s="803" t="s">
        <v>3753</v>
      </c>
      <c r="D7726" s="803" t="s">
        <v>3952</v>
      </c>
      <c r="E7726" s="803">
        <v>160</v>
      </c>
      <c r="F7726" s="850">
        <v>100</v>
      </c>
      <c r="G7726" s="202" t="str">
        <f t="shared" si="120"/>
        <v/>
      </c>
    </row>
    <row r="7727" spans="1:7" s="172" customFormat="1" ht="15" customHeight="1" x14ac:dyDescent="0.25">
      <c r="A7727" s="803" t="s">
        <v>12811</v>
      </c>
      <c r="B7727" s="803" t="s">
        <v>3753</v>
      </c>
      <c r="C7727" s="803" t="s">
        <v>3753</v>
      </c>
      <c r="D7727" s="803" t="s">
        <v>3953</v>
      </c>
      <c r="E7727" s="803">
        <v>100</v>
      </c>
      <c r="F7727" s="850">
        <v>40</v>
      </c>
      <c r="G7727" s="202" t="str">
        <f t="shared" si="120"/>
        <v/>
      </c>
    </row>
    <row r="7728" spans="1:7" s="172" customFormat="1" ht="15" customHeight="1" x14ac:dyDescent="0.25">
      <c r="A7728" s="803" t="s">
        <v>12812</v>
      </c>
      <c r="B7728" s="803" t="s">
        <v>3753</v>
      </c>
      <c r="C7728" s="803" t="s">
        <v>3753</v>
      </c>
      <c r="D7728" s="803" t="s">
        <v>3954</v>
      </c>
      <c r="E7728" s="803">
        <v>60</v>
      </c>
      <c r="F7728" s="850">
        <v>30</v>
      </c>
      <c r="G7728" s="202" t="str">
        <f t="shared" si="120"/>
        <v/>
      </c>
    </row>
    <row r="7729" spans="1:7" s="172" customFormat="1" ht="15" customHeight="1" x14ac:dyDescent="0.25">
      <c r="A7729" s="803" t="s">
        <v>12793</v>
      </c>
      <c r="B7729" s="803" t="s">
        <v>3753</v>
      </c>
      <c r="C7729" s="803" t="s">
        <v>3753</v>
      </c>
      <c r="D7729" s="803" t="s">
        <v>3955</v>
      </c>
      <c r="E7729" s="803">
        <v>30</v>
      </c>
      <c r="F7729" s="850">
        <v>10</v>
      </c>
      <c r="G7729" s="202" t="str">
        <f t="shared" si="120"/>
        <v/>
      </c>
    </row>
    <row r="7730" spans="1:7" s="172" customFormat="1" ht="15" customHeight="1" x14ac:dyDescent="0.25">
      <c r="A7730" s="803" t="s">
        <v>3956</v>
      </c>
      <c r="B7730" s="803" t="s">
        <v>3753</v>
      </c>
      <c r="C7730" s="803" t="s">
        <v>3753</v>
      </c>
      <c r="D7730" s="803" t="s">
        <v>3957</v>
      </c>
      <c r="E7730" s="803">
        <v>100</v>
      </c>
      <c r="F7730" s="850">
        <v>50</v>
      </c>
      <c r="G7730" s="202" t="str">
        <f t="shared" si="120"/>
        <v/>
      </c>
    </row>
    <row r="7731" spans="1:7" s="172" customFormat="1" ht="15" customHeight="1" x14ac:dyDescent="0.25">
      <c r="A7731" s="803" t="s">
        <v>12813</v>
      </c>
      <c r="B7731" s="803" t="s">
        <v>3753</v>
      </c>
      <c r="C7731" s="803" t="s">
        <v>3753</v>
      </c>
      <c r="D7731" s="803" t="s">
        <v>3958</v>
      </c>
      <c r="E7731" s="803">
        <v>100</v>
      </c>
      <c r="F7731" s="850">
        <v>50</v>
      </c>
      <c r="G7731" s="202" t="str">
        <f t="shared" si="120"/>
        <v/>
      </c>
    </row>
    <row r="7732" spans="1:7" s="172" customFormat="1" ht="15" customHeight="1" x14ac:dyDescent="0.25">
      <c r="A7732" s="803" t="s">
        <v>3959</v>
      </c>
      <c r="B7732" s="803" t="s">
        <v>3753</v>
      </c>
      <c r="C7732" s="803" t="s">
        <v>3753</v>
      </c>
      <c r="D7732" s="803" t="s">
        <v>3960</v>
      </c>
      <c r="E7732" s="803">
        <v>160</v>
      </c>
      <c r="F7732" s="850">
        <v>100</v>
      </c>
      <c r="G7732" s="202" t="str">
        <f t="shared" si="120"/>
        <v/>
      </c>
    </row>
    <row r="7733" spans="1:7" s="172" customFormat="1" ht="15" customHeight="1" x14ac:dyDescent="0.25">
      <c r="A7733" s="803" t="s">
        <v>3961</v>
      </c>
      <c r="B7733" s="803" t="s">
        <v>3753</v>
      </c>
      <c r="C7733" s="803" t="s">
        <v>3753</v>
      </c>
      <c r="D7733" s="803" t="s">
        <v>3962</v>
      </c>
      <c r="E7733" s="803">
        <v>180</v>
      </c>
      <c r="F7733" s="850">
        <v>100</v>
      </c>
      <c r="G7733" s="202" t="str">
        <f t="shared" si="120"/>
        <v/>
      </c>
    </row>
    <row r="7734" spans="1:7" s="172" customFormat="1" ht="15" customHeight="1" x14ac:dyDescent="0.25">
      <c r="A7734" s="803" t="s">
        <v>3963</v>
      </c>
      <c r="B7734" s="803" t="s">
        <v>3753</v>
      </c>
      <c r="C7734" s="803" t="s">
        <v>3753</v>
      </c>
      <c r="D7734" s="803" t="s">
        <v>3964</v>
      </c>
      <c r="E7734" s="803">
        <v>10</v>
      </c>
      <c r="F7734" s="850">
        <v>4</v>
      </c>
      <c r="G7734" s="202" t="str">
        <f t="shared" si="120"/>
        <v/>
      </c>
    </row>
    <row r="7735" spans="1:7" s="172" customFormat="1" ht="15" customHeight="1" x14ac:dyDescent="0.25">
      <c r="A7735" s="803" t="s">
        <v>3963</v>
      </c>
      <c r="B7735" s="803" t="s">
        <v>3753</v>
      </c>
      <c r="C7735" s="803" t="s">
        <v>3753</v>
      </c>
      <c r="D7735" s="803" t="s">
        <v>3965</v>
      </c>
      <c r="E7735" s="803">
        <v>100</v>
      </c>
      <c r="F7735" s="850">
        <v>60</v>
      </c>
      <c r="G7735" s="202" t="str">
        <f t="shared" si="120"/>
        <v/>
      </c>
    </row>
    <row r="7736" spans="1:7" s="172" customFormat="1" ht="15" customHeight="1" x14ac:dyDescent="0.25">
      <c r="A7736" s="803" t="s">
        <v>3429</v>
      </c>
      <c r="B7736" s="803" t="s">
        <v>3753</v>
      </c>
      <c r="C7736" s="803" t="s">
        <v>3753</v>
      </c>
      <c r="D7736" s="803" t="s">
        <v>3966</v>
      </c>
      <c r="E7736" s="803">
        <v>100</v>
      </c>
      <c r="F7736" s="850">
        <v>70</v>
      </c>
      <c r="G7736" s="202" t="str">
        <f t="shared" si="120"/>
        <v/>
      </c>
    </row>
    <row r="7737" spans="1:7" s="172" customFormat="1" ht="15" customHeight="1" x14ac:dyDescent="0.25">
      <c r="A7737" s="803" t="s">
        <v>12814</v>
      </c>
      <c r="B7737" s="803" t="s">
        <v>3753</v>
      </c>
      <c r="C7737" s="803" t="s">
        <v>3753</v>
      </c>
      <c r="D7737" s="803" t="s">
        <v>3967</v>
      </c>
      <c r="E7737" s="803">
        <v>100</v>
      </c>
      <c r="F7737" s="850">
        <v>25</v>
      </c>
      <c r="G7737" s="202" t="str">
        <f t="shared" si="120"/>
        <v/>
      </c>
    </row>
    <row r="7738" spans="1:7" s="172" customFormat="1" ht="15" customHeight="1" x14ac:dyDescent="0.25">
      <c r="A7738" s="803" t="s">
        <v>12815</v>
      </c>
      <c r="B7738" s="803" t="s">
        <v>3753</v>
      </c>
      <c r="C7738" s="803" t="s">
        <v>3753</v>
      </c>
      <c r="D7738" s="803" t="s">
        <v>3968</v>
      </c>
      <c r="E7738" s="803">
        <v>100</v>
      </c>
      <c r="F7738" s="850">
        <v>80</v>
      </c>
      <c r="G7738" s="202" t="str">
        <f t="shared" si="120"/>
        <v/>
      </c>
    </row>
    <row r="7739" spans="1:7" s="172" customFormat="1" ht="15" customHeight="1" x14ac:dyDescent="0.25">
      <c r="A7739" s="803" t="s">
        <v>12816</v>
      </c>
      <c r="B7739" s="803" t="s">
        <v>3753</v>
      </c>
      <c r="C7739" s="803" t="s">
        <v>3753</v>
      </c>
      <c r="D7739" s="803" t="s">
        <v>3969</v>
      </c>
      <c r="E7739" s="803">
        <v>10</v>
      </c>
      <c r="F7739" s="850">
        <v>5</v>
      </c>
      <c r="G7739" s="202" t="str">
        <f t="shared" si="120"/>
        <v/>
      </c>
    </row>
    <row r="7740" spans="1:7" s="172" customFormat="1" ht="15" customHeight="1" x14ac:dyDescent="0.25">
      <c r="A7740" s="803" t="s">
        <v>12817</v>
      </c>
      <c r="B7740" s="803" t="s">
        <v>3753</v>
      </c>
      <c r="C7740" s="803" t="s">
        <v>3753</v>
      </c>
      <c r="D7740" s="803" t="s">
        <v>3970</v>
      </c>
      <c r="E7740" s="803">
        <v>10</v>
      </c>
      <c r="F7740" s="850">
        <v>5</v>
      </c>
      <c r="G7740" s="202" t="str">
        <f t="shared" si="120"/>
        <v/>
      </c>
    </row>
    <row r="7741" spans="1:7" s="172" customFormat="1" ht="15" customHeight="1" x14ac:dyDescent="0.25">
      <c r="A7741" s="803" t="s">
        <v>12818</v>
      </c>
      <c r="B7741" s="803" t="s">
        <v>3753</v>
      </c>
      <c r="C7741" s="803" t="s">
        <v>3753</v>
      </c>
      <c r="D7741" s="803" t="s">
        <v>3971</v>
      </c>
      <c r="E7741" s="803">
        <v>20</v>
      </c>
      <c r="F7741" s="850">
        <v>10</v>
      </c>
      <c r="G7741" s="202" t="str">
        <f t="shared" si="120"/>
        <v/>
      </c>
    </row>
    <row r="7742" spans="1:7" s="172" customFormat="1" ht="15" customHeight="1" x14ac:dyDescent="0.25">
      <c r="A7742" s="803" t="s">
        <v>3973</v>
      </c>
      <c r="B7742" s="803" t="s">
        <v>3753</v>
      </c>
      <c r="C7742" s="803" t="s">
        <v>3753</v>
      </c>
      <c r="D7742" s="803" t="s">
        <v>3972</v>
      </c>
      <c r="E7742" s="803">
        <v>160</v>
      </c>
      <c r="F7742" s="850">
        <v>100</v>
      </c>
      <c r="G7742" s="202" t="str">
        <f t="shared" si="120"/>
        <v/>
      </c>
    </row>
    <row r="7743" spans="1:7" s="172" customFormat="1" ht="15" customHeight="1" x14ac:dyDescent="0.25">
      <c r="A7743" s="803" t="s">
        <v>3973</v>
      </c>
      <c r="B7743" s="803" t="s">
        <v>3753</v>
      </c>
      <c r="C7743" s="803" t="s">
        <v>3753</v>
      </c>
      <c r="D7743" s="803" t="s">
        <v>3974</v>
      </c>
      <c r="E7743" s="803">
        <v>250</v>
      </c>
      <c r="F7743" s="850">
        <v>200</v>
      </c>
      <c r="G7743" s="202" t="str">
        <f t="shared" si="120"/>
        <v/>
      </c>
    </row>
    <row r="7744" spans="1:7" s="172" customFormat="1" ht="15" customHeight="1" x14ac:dyDescent="0.25">
      <c r="A7744" s="803" t="s">
        <v>12819</v>
      </c>
      <c r="B7744" s="803" t="s">
        <v>3753</v>
      </c>
      <c r="C7744" s="803" t="s">
        <v>3753</v>
      </c>
      <c r="D7744" s="803" t="s">
        <v>3975</v>
      </c>
      <c r="E7744" s="803">
        <v>63</v>
      </c>
      <c r="F7744" s="850">
        <v>40</v>
      </c>
      <c r="G7744" s="202" t="str">
        <f t="shared" si="120"/>
        <v/>
      </c>
    </row>
    <row r="7745" spans="1:7" s="172" customFormat="1" ht="15" customHeight="1" x14ac:dyDescent="0.25">
      <c r="A7745" s="803" t="s">
        <v>12820</v>
      </c>
      <c r="B7745" s="803" t="s">
        <v>3753</v>
      </c>
      <c r="C7745" s="803" t="s">
        <v>3753</v>
      </c>
      <c r="D7745" s="803" t="s">
        <v>3976</v>
      </c>
      <c r="E7745" s="803">
        <v>63</v>
      </c>
      <c r="F7745" s="850">
        <v>25</v>
      </c>
      <c r="G7745" s="202" t="str">
        <f t="shared" si="120"/>
        <v/>
      </c>
    </row>
    <row r="7746" spans="1:7" s="172" customFormat="1" ht="15" customHeight="1" x14ac:dyDescent="0.25">
      <c r="A7746" s="803" t="s">
        <v>12820</v>
      </c>
      <c r="B7746" s="803" t="s">
        <v>3753</v>
      </c>
      <c r="C7746" s="803" t="s">
        <v>3753</v>
      </c>
      <c r="D7746" s="803" t="s">
        <v>3977</v>
      </c>
      <c r="E7746" s="803">
        <v>63</v>
      </c>
      <c r="F7746" s="850">
        <v>25</v>
      </c>
      <c r="G7746" s="202" t="str">
        <f t="shared" si="120"/>
        <v/>
      </c>
    </row>
    <row r="7747" spans="1:7" s="172" customFormat="1" ht="15" customHeight="1" x14ac:dyDescent="0.25">
      <c r="A7747" s="803" t="s">
        <v>12821</v>
      </c>
      <c r="B7747" s="803" t="s">
        <v>3753</v>
      </c>
      <c r="C7747" s="803" t="s">
        <v>3753</v>
      </c>
      <c r="D7747" s="803" t="s">
        <v>3978</v>
      </c>
      <c r="E7747" s="803">
        <v>20</v>
      </c>
      <c r="F7747" s="850">
        <v>15</v>
      </c>
      <c r="G7747" s="202" t="str">
        <f t="shared" si="120"/>
        <v/>
      </c>
    </row>
    <row r="7748" spans="1:7" s="172" customFormat="1" ht="15" customHeight="1" x14ac:dyDescent="0.25">
      <c r="A7748" s="803" t="s">
        <v>12081</v>
      </c>
      <c r="B7748" s="803" t="s">
        <v>3753</v>
      </c>
      <c r="C7748" s="803" t="s">
        <v>3753</v>
      </c>
      <c r="D7748" s="803" t="s">
        <v>3979</v>
      </c>
      <c r="E7748" s="803">
        <v>400</v>
      </c>
      <c r="F7748" s="850">
        <v>350</v>
      </c>
      <c r="G7748" s="202" t="str">
        <f t="shared" si="120"/>
        <v/>
      </c>
    </row>
    <row r="7749" spans="1:7" s="172" customFormat="1" ht="15" customHeight="1" x14ac:dyDescent="0.25">
      <c r="A7749" s="803" t="s">
        <v>12822</v>
      </c>
      <c r="B7749" s="803" t="s">
        <v>3753</v>
      </c>
      <c r="C7749" s="803" t="s">
        <v>3753</v>
      </c>
      <c r="D7749" s="803" t="s">
        <v>3980</v>
      </c>
      <c r="E7749" s="803">
        <v>100</v>
      </c>
      <c r="F7749" s="850">
        <v>50</v>
      </c>
      <c r="G7749" s="202" t="str">
        <f t="shared" si="120"/>
        <v/>
      </c>
    </row>
    <row r="7750" spans="1:7" s="172" customFormat="1" ht="15" customHeight="1" x14ac:dyDescent="0.25">
      <c r="A7750" s="803" t="s">
        <v>3981</v>
      </c>
      <c r="B7750" s="803" t="s">
        <v>3753</v>
      </c>
      <c r="C7750" s="803" t="s">
        <v>3753</v>
      </c>
      <c r="D7750" s="803" t="s">
        <v>3982</v>
      </c>
      <c r="E7750" s="803">
        <v>250</v>
      </c>
      <c r="F7750" s="850">
        <v>200</v>
      </c>
      <c r="G7750" s="202" t="str">
        <f t="shared" si="120"/>
        <v/>
      </c>
    </row>
    <row r="7751" spans="1:7" s="172" customFormat="1" ht="15" customHeight="1" x14ac:dyDescent="0.25">
      <c r="A7751" s="803" t="s">
        <v>3981</v>
      </c>
      <c r="B7751" s="803" t="s">
        <v>3753</v>
      </c>
      <c r="C7751" s="803" t="s">
        <v>3753</v>
      </c>
      <c r="D7751" s="803" t="s">
        <v>3983</v>
      </c>
      <c r="E7751" s="803">
        <v>250</v>
      </c>
      <c r="F7751" s="850">
        <v>200</v>
      </c>
      <c r="G7751" s="202" t="str">
        <f t="shared" si="120"/>
        <v/>
      </c>
    </row>
    <row r="7752" spans="1:7" s="172" customFormat="1" ht="15" customHeight="1" x14ac:dyDescent="0.25">
      <c r="A7752" s="803" t="s">
        <v>3981</v>
      </c>
      <c r="B7752" s="803" t="s">
        <v>3753</v>
      </c>
      <c r="C7752" s="803" t="s">
        <v>3753</v>
      </c>
      <c r="D7752" s="803" t="s">
        <v>3984</v>
      </c>
      <c r="E7752" s="803">
        <v>400</v>
      </c>
      <c r="F7752" s="850">
        <v>300</v>
      </c>
      <c r="G7752" s="202" t="str">
        <f t="shared" si="120"/>
        <v/>
      </c>
    </row>
    <row r="7753" spans="1:7" s="172" customFormat="1" ht="15" customHeight="1" x14ac:dyDescent="0.25">
      <c r="A7753" s="803" t="s">
        <v>12823</v>
      </c>
      <c r="B7753" s="803" t="s">
        <v>3753</v>
      </c>
      <c r="C7753" s="803" t="s">
        <v>3753</v>
      </c>
      <c r="D7753" s="803" t="s">
        <v>3985</v>
      </c>
      <c r="E7753" s="803">
        <v>25</v>
      </c>
      <c r="F7753" s="850">
        <v>5</v>
      </c>
      <c r="G7753" s="202" t="str">
        <f t="shared" si="120"/>
        <v/>
      </c>
    </row>
    <row r="7754" spans="1:7" s="172" customFormat="1" ht="15" customHeight="1" x14ac:dyDescent="0.25">
      <c r="A7754" s="803" t="s">
        <v>12824</v>
      </c>
      <c r="B7754" s="803" t="s">
        <v>3753</v>
      </c>
      <c r="C7754" s="803" t="s">
        <v>3753</v>
      </c>
      <c r="D7754" s="803" t="s">
        <v>3986</v>
      </c>
      <c r="E7754" s="803">
        <v>100</v>
      </c>
      <c r="F7754" s="850">
        <v>40</v>
      </c>
      <c r="G7754" s="202" t="str">
        <f t="shared" si="120"/>
        <v/>
      </c>
    </row>
    <row r="7755" spans="1:7" s="172" customFormat="1" ht="15" customHeight="1" x14ac:dyDescent="0.25">
      <c r="A7755" s="803" t="s">
        <v>12825</v>
      </c>
      <c r="B7755" s="803" t="s">
        <v>3753</v>
      </c>
      <c r="C7755" s="803" t="s">
        <v>3753</v>
      </c>
      <c r="D7755" s="803" t="s">
        <v>3987</v>
      </c>
      <c r="E7755" s="803">
        <v>100</v>
      </c>
      <c r="F7755" s="850">
        <v>70</v>
      </c>
      <c r="G7755" s="202" t="str">
        <f t="shared" si="120"/>
        <v/>
      </c>
    </row>
    <row r="7756" spans="1:7" s="172" customFormat="1" ht="15" customHeight="1" x14ac:dyDescent="0.25">
      <c r="A7756" s="803" t="s">
        <v>3825</v>
      </c>
      <c r="B7756" s="803" t="s">
        <v>3753</v>
      </c>
      <c r="C7756" s="803" t="s">
        <v>3753</v>
      </c>
      <c r="D7756" s="803" t="s">
        <v>3988</v>
      </c>
      <c r="E7756" s="803">
        <v>63</v>
      </c>
      <c r="F7756" s="850">
        <v>40</v>
      </c>
      <c r="G7756" s="202" t="str">
        <f t="shared" si="120"/>
        <v/>
      </c>
    </row>
    <row r="7757" spans="1:7" s="172" customFormat="1" ht="15" customHeight="1" x14ac:dyDescent="0.25">
      <c r="A7757" s="803" t="s">
        <v>2995</v>
      </c>
      <c r="B7757" s="803" t="s">
        <v>3753</v>
      </c>
      <c r="C7757" s="803" t="s">
        <v>3753</v>
      </c>
      <c r="D7757" s="803" t="s">
        <v>3989</v>
      </c>
      <c r="E7757" s="803">
        <v>160</v>
      </c>
      <c r="F7757" s="850">
        <v>100</v>
      </c>
      <c r="G7757" s="202" t="str">
        <f t="shared" si="120"/>
        <v/>
      </c>
    </row>
    <row r="7758" spans="1:7" s="172" customFormat="1" ht="15" customHeight="1" x14ac:dyDescent="0.25">
      <c r="A7758" s="803" t="s">
        <v>2995</v>
      </c>
      <c r="B7758" s="803" t="s">
        <v>3753</v>
      </c>
      <c r="C7758" s="803" t="s">
        <v>3753</v>
      </c>
      <c r="D7758" s="803" t="s">
        <v>3990</v>
      </c>
      <c r="E7758" s="803">
        <v>250</v>
      </c>
      <c r="F7758" s="850">
        <v>200</v>
      </c>
      <c r="G7758" s="202" t="str">
        <f t="shared" si="120"/>
        <v/>
      </c>
    </row>
    <row r="7759" spans="1:7" s="172" customFormat="1" ht="15" customHeight="1" x14ac:dyDescent="0.25">
      <c r="A7759" s="803" t="s">
        <v>7614</v>
      </c>
      <c r="B7759" s="803" t="s">
        <v>3753</v>
      </c>
      <c r="C7759" s="803" t="s">
        <v>3753</v>
      </c>
      <c r="D7759" s="803" t="s">
        <v>3991</v>
      </c>
      <c r="E7759" s="803">
        <v>20</v>
      </c>
      <c r="F7759" s="850">
        <v>10</v>
      </c>
      <c r="G7759" s="202" t="str">
        <f t="shared" si="120"/>
        <v/>
      </c>
    </row>
    <row r="7760" spans="1:7" s="172" customFormat="1" ht="15" customHeight="1" x14ac:dyDescent="0.25">
      <c r="A7760" s="803" t="s">
        <v>3992</v>
      </c>
      <c r="B7760" s="803" t="s">
        <v>3753</v>
      </c>
      <c r="C7760" s="803" t="s">
        <v>3753</v>
      </c>
      <c r="D7760" s="803" t="s">
        <v>3993</v>
      </c>
      <c r="E7760" s="803">
        <v>30</v>
      </c>
      <c r="F7760" s="850">
        <v>5</v>
      </c>
      <c r="G7760" s="202" t="str">
        <f t="shared" si="120"/>
        <v/>
      </c>
    </row>
    <row r="7761" spans="1:7" s="172" customFormat="1" ht="15" customHeight="1" x14ac:dyDescent="0.25">
      <c r="A7761" s="803" t="s">
        <v>12826</v>
      </c>
      <c r="B7761" s="803" t="s">
        <v>3753</v>
      </c>
      <c r="C7761" s="803" t="s">
        <v>3753</v>
      </c>
      <c r="D7761" s="803" t="s">
        <v>3994</v>
      </c>
      <c r="E7761" s="803">
        <v>400</v>
      </c>
      <c r="F7761" s="850">
        <v>300</v>
      </c>
      <c r="G7761" s="202" t="str">
        <f t="shared" si="120"/>
        <v/>
      </c>
    </row>
    <row r="7762" spans="1:7" s="172" customFormat="1" ht="15" customHeight="1" x14ac:dyDescent="0.25">
      <c r="A7762" s="803" t="s">
        <v>12827</v>
      </c>
      <c r="B7762" s="803" t="s">
        <v>3753</v>
      </c>
      <c r="C7762" s="803" t="s">
        <v>3753</v>
      </c>
      <c r="D7762" s="803" t="s">
        <v>3995</v>
      </c>
      <c r="E7762" s="803">
        <v>400</v>
      </c>
      <c r="F7762" s="850">
        <v>300</v>
      </c>
      <c r="G7762" s="202" t="str">
        <f t="shared" si="120"/>
        <v/>
      </c>
    </row>
    <row r="7763" spans="1:7" s="172" customFormat="1" ht="15" customHeight="1" x14ac:dyDescent="0.25">
      <c r="A7763" s="803" t="s">
        <v>12827</v>
      </c>
      <c r="B7763" s="803" t="s">
        <v>3753</v>
      </c>
      <c r="C7763" s="803" t="s">
        <v>3753</v>
      </c>
      <c r="D7763" s="803" t="s">
        <v>3996</v>
      </c>
      <c r="E7763" s="803">
        <v>250</v>
      </c>
      <c r="F7763" s="850">
        <v>200</v>
      </c>
      <c r="G7763" s="202" t="str">
        <f t="shared" si="120"/>
        <v/>
      </c>
    </row>
    <row r="7764" spans="1:7" s="172" customFormat="1" ht="15" customHeight="1" x14ac:dyDescent="0.25">
      <c r="A7764" s="803" t="s">
        <v>12828</v>
      </c>
      <c r="B7764" s="803" t="s">
        <v>3753</v>
      </c>
      <c r="C7764" s="803" t="s">
        <v>3753</v>
      </c>
      <c r="D7764" s="803" t="s">
        <v>3997</v>
      </c>
      <c r="E7764" s="803">
        <v>63</v>
      </c>
      <c r="F7764" s="850">
        <v>25</v>
      </c>
      <c r="G7764" s="202" t="str">
        <f t="shared" si="120"/>
        <v/>
      </c>
    </row>
    <row r="7765" spans="1:7" s="172" customFormat="1" ht="15" customHeight="1" x14ac:dyDescent="0.25">
      <c r="A7765" s="803" t="s">
        <v>12827</v>
      </c>
      <c r="B7765" s="803" t="s">
        <v>3753</v>
      </c>
      <c r="C7765" s="803" t="s">
        <v>3753</v>
      </c>
      <c r="D7765" s="803" t="s">
        <v>3998</v>
      </c>
      <c r="E7765" s="803">
        <v>250</v>
      </c>
      <c r="F7765" s="850">
        <v>200</v>
      </c>
      <c r="G7765" s="202" t="str">
        <f t="shared" si="120"/>
        <v/>
      </c>
    </row>
    <row r="7766" spans="1:7" s="172" customFormat="1" ht="15" customHeight="1" x14ac:dyDescent="0.25">
      <c r="A7766" s="803" t="s">
        <v>12829</v>
      </c>
      <c r="B7766" s="803" t="s">
        <v>3753</v>
      </c>
      <c r="C7766" s="803" t="s">
        <v>3753</v>
      </c>
      <c r="D7766" s="803" t="s">
        <v>3999</v>
      </c>
      <c r="E7766" s="803">
        <v>20</v>
      </c>
      <c r="F7766" s="850">
        <v>10</v>
      </c>
      <c r="G7766" s="202" t="str">
        <f t="shared" si="120"/>
        <v/>
      </c>
    </row>
    <row r="7767" spans="1:7" s="172" customFormat="1" ht="15" customHeight="1" x14ac:dyDescent="0.25">
      <c r="A7767" s="803" t="s">
        <v>12830</v>
      </c>
      <c r="B7767" s="803" t="s">
        <v>3753</v>
      </c>
      <c r="C7767" s="803" t="s">
        <v>3753</v>
      </c>
      <c r="D7767" s="803" t="s">
        <v>4000</v>
      </c>
      <c r="E7767" s="803">
        <v>40</v>
      </c>
      <c r="F7767" s="850">
        <v>15</v>
      </c>
      <c r="G7767" s="202" t="str">
        <f t="shared" si="120"/>
        <v/>
      </c>
    </row>
    <row r="7768" spans="1:7" s="172" customFormat="1" ht="15" customHeight="1" x14ac:dyDescent="0.25">
      <c r="A7768" s="803" t="s">
        <v>12831</v>
      </c>
      <c r="B7768" s="803" t="s">
        <v>3753</v>
      </c>
      <c r="C7768" s="803" t="s">
        <v>3753</v>
      </c>
      <c r="D7768" s="803" t="s">
        <v>4001</v>
      </c>
      <c r="E7768" s="803">
        <v>20</v>
      </c>
      <c r="F7768" s="850">
        <v>10</v>
      </c>
      <c r="G7768" s="202" t="str">
        <f t="shared" si="120"/>
        <v/>
      </c>
    </row>
    <row r="7769" spans="1:7" s="172" customFormat="1" ht="15" customHeight="1" x14ac:dyDescent="0.25">
      <c r="A7769" s="803" t="s">
        <v>12832</v>
      </c>
      <c r="B7769" s="803" t="s">
        <v>3753</v>
      </c>
      <c r="C7769" s="803" t="s">
        <v>3753</v>
      </c>
      <c r="D7769" s="803" t="s">
        <v>4002</v>
      </c>
      <c r="E7769" s="803">
        <v>40</v>
      </c>
      <c r="F7769" s="850">
        <v>20</v>
      </c>
      <c r="G7769" s="202" t="str">
        <f t="shared" si="120"/>
        <v/>
      </c>
    </row>
    <row r="7770" spans="1:7" s="172" customFormat="1" ht="15" customHeight="1" x14ac:dyDescent="0.25">
      <c r="A7770" s="803" t="s">
        <v>12833</v>
      </c>
      <c r="B7770" s="803" t="s">
        <v>3753</v>
      </c>
      <c r="C7770" s="803" t="s">
        <v>3753</v>
      </c>
      <c r="D7770" s="803" t="s">
        <v>4003</v>
      </c>
      <c r="E7770" s="803">
        <v>10</v>
      </c>
      <c r="F7770" s="850">
        <v>5</v>
      </c>
      <c r="G7770" s="202" t="str">
        <f t="shared" si="120"/>
        <v/>
      </c>
    </row>
    <row r="7771" spans="1:7" s="172" customFormat="1" ht="15" customHeight="1" x14ac:dyDescent="0.25">
      <c r="A7771" s="803" t="s">
        <v>5915</v>
      </c>
      <c r="B7771" s="803" t="s">
        <v>3753</v>
      </c>
      <c r="C7771" s="803" t="s">
        <v>3753</v>
      </c>
      <c r="D7771" s="803" t="s">
        <v>4004</v>
      </c>
      <c r="E7771" s="803">
        <v>100</v>
      </c>
      <c r="F7771" s="850">
        <v>50</v>
      </c>
      <c r="G7771" s="202" t="str">
        <f t="shared" si="120"/>
        <v/>
      </c>
    </row>
    <row r="7772" spans="1:7" s="172" customFormat="1" ht="15" customHeight="1" x14ac:dyDescent="0.25">
      <c r="A7772" s="803" t="s">
        <v>5915</v>
      </c>
      <c r="B7772" s="803" t="s">
        <v>3753</v>
      </c>
      <c r="C7772" s="803" t="s">
        <v>3753</v>
      </c>
      <c r="D7772" s="803" t="s">
        <v>4005</v>
      </c>
      <c r="E7772" s="803">
        <v>630</v>
      </c>
      <c r="F7772" s="850">
        <v>500</v>
      </c>
      <c r="G7772" s="202" t="str">
        <f t="shared" si="120"/>
        <v/>
      </c>
    </row>
    <row r="7773" spans="1:7" s="172" customFormat="1" ht="15" customHeight="1" x14ac:dyDescent="0.25">
      <c r="A7773" s="803" t="s">
        <v>5915</v>
      </c>
      <c r="B7773" s="803" t="s">
        <v>3753</v>
      </c>
      <c r="C7773" s="803" t="s">
        <v>3753</v>
      </c>
      <c r="D7773" s="803" t="s">
        <v>4006</v>
      </c>
      <c r="E7773" s="803">
        <v>100</v>
      </c>
      <c r="F7773" s="850">
        <v>40</v>
      </c>
      <c r="G7773" s="202" t="str">
        <f t="shared" si="120"/>
        <v/>
      </c>
    </row>
    <row r="7774" spans="1:7" s="172" customFormat="1" ht="15" customHeight="1" x14ac:dyDescent="0.25">
      <c r="A7774" s="803" t="s">
        <v>12834</v>
      </c>
      <c r="B7774" s="803" t="s">
        <v>3753</v>
      </c>
      <c r="C7774" s="803" t="s">
        <v>3753</v>
      </c>
      <c r="D7774" s="803" t="s">
        <v>4007</v>
      </c>
      <c r="E7774" s="803">
        <v>400</v>
      </c>
      <c r="F7774" s="850">
        <v>300</v>
      </c>
      <c r="G7774" s="202" t="str">
        <f t="shared" ref="G7774:G7837" si="121">IF(E7774=F7774,"не загружен","")</f>
        <v/>
      </c>
    </row>
    <row r="7775" spans="1:7" s="172" customFormat="1" ht="15" customHeight="1" x14ac:dyDescent="0.25">
      <c r="A7775" s="803" t="s">
        <v>12835</v>
      </c>
      <c r="B7775" s="803" t="s">
        <v>3753</v>
      </c>
      <c r="C7775" s="803" t="s">
        <v>3753</v>
      </c>
      <c r="D7775" s="803" t="s">
        <v>4008</v>
      </c>
      <c r="E7775" s="803">
        <v>63</v>
      </c>
      <c r="F7775" s="850">
        <v>25</v>
      </c>
      <c r="G7775" s="202" t="str">
        <f t="shared" si="121"/>
        <v/>
      </c>
    </row>
    <row r="7776" spans="1:7" s="172" customFormat="1" ht="15" customHeight="1" x14ac:dyDescent="0.25">
      <c r="A7776" s="803" t="s">
        <v>12505</v>
      </c>
      <c r="B7776" s="803" t="s">
        <v>3753</v>
      </c>
      <c r="C7776" s="803" t="s">
        <v>3753</v>
      </c>
      <c r="D7776" s="803" t="s">
        <v>4009</v>
      </c>
      <c r="E7776" s="803">
        <v>160</v>
      </c>
      <c r="F7776" s="850">
        <v>115</v>
      </c>
      <c r="G7776" s="202" t="str">
        <f t="shared" si="121"/>
        <v/>
      </c>
    </row>
    <row r="7777" spans="1:7" s="172" customFormat="1" ht="15" customHeight="1" x14ac:dyDescent="0.25">
      <c r="A7777" s="803" t="s">
        <v>12081</v>
      </c>
      <c r="B7777" s="803" t="s">
        <v>3753</v>
      </c>
      <c r="C7777" s="803" t="s">
        <v>3753</v>
      </c>
      <c r="D7777" s="803" t="s">
        <v>4010</v>
      </c>
      <c r="E7777" s="803">
        <v>100</v>
      </c>
      <c r="F7777" s="850">
        <v>50</v>
      </c>
      <c r="G7777" s="202" t="str">
        <f t="shared" si="121"/>
        <v/>
      </c>
    </row>
    <row r="7778" spans="1:7" s="172" customFormat="1" ht="15" customHeight="1" x14ac:dyDescent="0.25">
      <c r="A7778" s="803" t="s">
        <v>12081</v>
      </c>
      <c r="B7778" s="803" t="s">
        <v>3753</v>
      </c>
      <c r="C7778" s="803" t="s">
        <v>3753</v>
      </c>
      <c r="D7778" s="803" t="s">
        <v>4011</v>
      </c>
      <c r="E7778" s="803">
        <v>63</v>
      </c>
      <c r="F7778" s="850">
        <v>25</v>
      </c>
      <c r="G7778" s="202" t="str">
        <f t="shared" si="121"/>
        <v/>
      </c>
    </row>
    <row r="7779" spans="1:7" s="172" customFormat="1" ht="15" customHeight="1" x14ac:dyDescent="0.25">
      <c r="A7779" s="803" t="s">
        <v>12081</v>
      </c>
      <c r="B7779" s="803" t="s">
        <v>3753</v>
      </c>
      <c r="C7779" s="803" t="s">
        <v>3753</v>
      </c>
      <c r="D7779" s="803" t="s">
        <v>4012</v>
      </c>
      <c r="E7779" s="803">
        <v>250</v>
      </c>
      <c r="F7779" s="850">
        <v>200</v>
      </c>
      <c r="G7779" s="202" t="str">
        <f t="shared" si="121"/>
        <v/>
      </c>
    </row>
    <row r="7780" spans="1:7" s="172" customFormat="1" ht="15" customHeight="1" x14ac:dyDescent="0.25">
      <c r="A7780" s="803" t="s">
        <v>12081</v>
      </c>
      <c r="B7780" s="803" t="s">
        <v>3753</v>
      </c>
      <c r="C7780" s="803" t="s">
        <v>3753</v>
      </c>
      <c r="D7780" s="803" t="s">
        <v>4013</v>
      </c>
      <c r="E7780" s="803">
        <v>250</v>
      </c>
      <c r="F7780" s="850">
        <v>200</v>
      </c>
      <c r="G7780" s="202" t="str">
        <f t="shared" si="121"/>
        <v/>
      </c>
    </row>
    <row r="7781" spans="1:7" s="172" customFormat="1" ht="15" customHeight="1" x14ac:dyDescent="0.25">
      <c r="A7781" s="803" t="s">
        <v>12081</v>
      </c>
      <c r="B7781" s="803" t="s">
        <v>3753</v>
      </c>
      <c r="C7781" s="803" t="s">
        <v>3753</v>
      </c>
      <c r="D7781" s="803" t="s">
        <v>4014</v>
      </c>
      <c r="E7781" s="803">
        <v>250</v>
      </c>
      <c r="F7781" s="850">
        <v>200</v>
      </c>
      <c r="G7781" s="202" t="str">
        <f t="shared" si="121"/>
        <v/>
      </c>
    </row>
    <row r="7782" spans="1:7" s="172" customFormat="1" ht="15" customHeight="1" x14ac:dyDescent="0.25">
      <c r="A7782" s="803" t="s">
        <v>12836</v>
      </c>
      <c r="B7782" s="803" t="s">
        <v>3753</v>
      </c>
      <c r="C7782" s="803" t="s">
        <v>3753</v>
      </c>
      <c r="D7782" s="803" t="s">
        <v>4015</v>
      </c>
      <c r="E7782" s="803">
        <v>60</v>
      </c>
      <c r="F7782" s="850">
        <v>35</v>
      </c>
      <c r="G7782" s="202" t="str">
        <f t="shared" si="121"/>
        <v/>
      </c>
    </row>
    <row r="7783" spans="1:7" s="172" customFormat="1" ht="15" customHeight="1" x14ac:dyDescent="0.25">
      <c r="A7783" s="803" t="s">
        <v>12837</v>
      </c>
      <c r="B7783" s="803" t="s">
        <v>3753</v>
      </c>
      <c r="C7783" s="803" t="s">
        <v>3753</v>
      </c>
      <c r="D7783" s="803" t="s">
        <v>4016</v>
      </c>
      <c r="E7783" s="803">
        <v>30</v>
      </c>
      <c r="F7783" s="850">
        <v>10</v>
      </c>
      <c r="G7783" s="202" t="str">
        <f t="shared" si="121"/>
        <v/>
      </c>
    </row>
    <row r="7784" spans="1:7" s="172" customFormat="1" ht="15" customHeight="1" x14ac:dyDescent="0.25">
      <c r="A7784" s="803" t="s">
        <v>4017</v>
      </c>
      <c r="B7784" s="803" t="s">
        <v>3753</v>
      </c>
      <c r="C7784" s="803" t="s">
        <v>3753</v>
      </c>
      <c r="D7784" s="803" t="s">
        <v>4018</v>
      </c>
      <c r="E7784" s="803">
        <v>30</v>
      </c>
      <c r="F7784" s="850">
        <v>10</v>
      </c>
      <c r="G7784" s="202" t="str">
        <f t="shared" si="121"/>
        <v/>
      </c>
    </row>
    <row r="7785" spans="1:7" s="172" customFormat="1" ht="15" customHeight="1" x14ac:dyDescent="0.25">
      <c r="A7785" s="803" t="s">
        <v>12838</v>
      </c>
      <c r="B7785" s="803" t="s">
        <v>3753</v>
      </c>
      <c r="C7785" s="803" t="s">
        <v>3753</v>
      </c>
      <c r="D7785" s="803" t="s">
        <v>4019</v>
      </c>
      <c r="E7785" s="803">
        <v>100</v>
      </c>
      <c r="F7785" s="850">
        <v>30</v>
      </c>
      <c r="G7785" s="202" t="str">
        <f t="shared" si="121"/>
        <v/>
      </c>
    </row>
    <row r="7786" spans="1:7" s="172" customFormat="1" ht="15" customHeight="1" x14ac:dyDescent="0.25">
      <c r="A7786" s="803" t="s">
        <v>12838</v>
      </c>
      <c r="B7786" s="803" t="s">
        <v>3753</v>
      </c>
      <c r="C7786" s="803" t="s">
        <v>3753</v>
      </c>
      <c r="D7786" s="803" t="s">
        <v>4020</v>
      </c>
      <c r="E7786" s="803">
        <v>63</v>
      </c>
      <c r="F7786" s="850">
        <v>15</v>
      </c>
      <c r="G7786" s="202" t="str">
        <f t="shared" si="121"/>
        <v/>
      </c>
    </row>
    <row r="7787" spans="1:7" s="172" customFormat="1" ht="15" customHeight="1" x14ac:dyDescent="0.25">
      <c r="A7787" s="803" t="s">
        <v>12839</v>
      </c>
      <c r="B7787" s="803" t="s">
        <v>3753</v>
      </c>
      <c r="C7787" s="803" t="s">
        <v>3753</v>
      </c>
      <c r="D7787" s="803" t="s">
        <v>4021</v>
      </c>
      <c r="E7787" s="803">
        <v>20</v>
      </c>
      <c r="F7787" s="850">
        <v>5</v>
      </c>
      <c r="G7787" s="202" t="str">
        <f t="shared" si="121"/>
        <v/>
      </c>
    </row>
    <row r="7788" spans="1:7" s="172" customFormat="1" ht="15" customHeight="1" x14ac:dyDescent="0.25">
      <c r="A7788" s="803" t="s">
        <v>12840</v>
      </c>
      <c r="B7788" s="803" t="s">
        <v>3753</v>
      </c>
      <c r="C7788" s="803" t="s">
        <v>3753</v>
      </c>
      <c r="D7788" s="803" t="s">
        <v>4022</v>
      </c>
      <c r="E7788" s="803">
        <v>60</v>
      </c>
      <c r="F7788" s="850">
        <v>30</v>
      </c>
      <c r="G7788" s="202" t="str">
        <f t="shared" si="121"/>
        <v/>
      </c>
    </row>
    <row r="7789" spans="1:7" s="172" customFormat="1" ht="15" customHeight="1" x14ac:dyDescent="0.25">
      <c r="A7789" s="803" t="s">
        <v>12841</v>
      </c>
      <c r="B7789" s="803" t="s">
        <v>3753</v>
      </c>
      <c r="C7789" s="803" t="s">
        <v>3753</v>
      </c>
      <c r="D7789" s="803" t="s">
        <v>4023</v>
      </c>
      <c r="E7789" s="803">
        <v>250</v>
      </c>
      <c r="F7789" s="850">
        <v>100</v>
      </c>
      <c r="G7789" s="202" t="str">
        <f t="shared" si="121"/>
        <v/>
      </c>
    </row>
    <row r="7790" spans="1:7" s="172" customFormat="1" ht="15" customHeight="1" x14ac:dyDescent="0.25">
      <c r="A7790" s="803" t="s">
        <v>12838</v>
      </c>
      <c r="B7790" s="803" t="s">
        <v>3753</v>
      </c>
      <c r="C7790" s="803" t="s">
        <v>3753</v>
      </c>
      <c r="D7790" s="803" t="s">
        <v>4024</v>
      </c>
      <c r="E7790" s="803">
        <v>100</v>
      </c>
      <c r="F7790" s="850">
        <v>20</v>
      </c>
      <c r="G7790" s="202" t="str">
        <f t="shared" si="121"/>
        <v/>
      </c>
    </row>
    <row r="7791" spans="1:7" s="172" customFormat="1" ht="15" customHeight="1" x14ac:dyDescent="0.25">
      <c r="A7791" s="803" t="s">
        <v>4025</v>
      </c>
      <c r="B7791" s="803" t="s">
        <v>3753</v>
      </c>
      <c r="C7791" s="803" t="s">
        <v>3753</v>
      </c>
      <c r="D7791" s="803" t="s">
        <v>4026</v>
      </c>
      <c r="E7791" s="803">
        <v>100</v>
      </c>
      <c r="F7791" s="850">
        <v>35</v>
      </c>
      <c r="G7791" s="202" t="str">
        <f t="shared" si="121"/>
        <v/>
      </c>
    </row>
    <row r="7792" spans="1:7" s="172" customFormat="1" ht="15" customHeight="1" x14ac:dyDescent="0.25">
      <c r="A7792" s="803" t="s">
        <v>4027</v>
      </c>
      <c r="B7792" s="803" t="s">
        <v>3753</v>
      </c>
      <c r="C7792" s="803" t="s">
        <v>3753</v>
      </c>
      <c r="D7792" s="803" t="s">
        <v>4028</v>
      </c>
      <c r="E7792" s="803">
        <v>100</v>
      </c>
      <c r="F7792" s="850">
        <v>20</v>
      </c>
      <c r="G7792" s="202" t="str">
        <f t="shared" si="121"/>
        <v/>
      </c>
    </row>
    <row r="7793" spans="1:7" s="172" customFormat="1" ht="15" customHeight="1" x14ac:dyDescent="0.25">
      <c r="A7793" s="803" t="s">
        <v>4831</v>
      </c>
      <c r="B7793" s="803" t="s">
        <v>3753</v>
      </c>
      <c r="C7793" s="803" t="s">
        <v>3753</v>
      </c>
      <c r="D7793" s="803" t="s">
        <v>4029</v>
      </c>
      <c r="E7793" s="803">
        <v>250</v>
      </c>
      <c r="F7793" s="850">
        <v>150</v>
      </c>
      <c r="G7793" s="202" t="str">
        <f t="shared" si="121"/>
        <v/>
      </c>
    </row>
    <row r="7794" spans="1:7" s="172" customFormat="1" ht="15" customHeight="1" x14ac:dyDescent="0.25">
      <c r="A7794" s="803" t="s">
        <v>4027</v>
      </c>
      <c r="B7794" s="803" t="s">
        <v>3753</v>
      </c>
      <c r="C7794" s="803" t="s">
        <v>3753</v>
      </c>
      <c r="D7794" s="803" t="s">
        <v>4030</v>
      </c>
      <c r="E7794" s="803">
        <v>20</v>
      </c>
      <c r="F7794" s="850">
        <v>10</v>
      </c>
      <c r="G7794" s="202" t="str">
        <f t="shared" si="121"/>
        <v/>
      </c>
    </row>
    <row r="7795" spans="1:7" s="172" customFormat="1" ht="15" customHeight="1" x14ac:dyDescent="0.25">
      <c r="A7795" s="803" t="s">
        <v>4031</v>
      </c>
      <c r="B7795" s="803" t="s">
        <v>3753</v>
      </c>
      <c r="C7795" s="803" t="s">
        <v>3753</v>
      </c>
      <c r="D7795" s="803" t="s">
        <v>4032</v>
      </c>
      <c r="E7795" s="803">
        <v>250</v>
      </c>
      <c r="F7795" s="850">
        <v>120</v>
      </c>
      <c r="G7795" s="202" t="str">
        <f t="shared" si="121"/>
        <v/>
      </c>
    </row>
    <row r="7796" spans="1:7" s="172" customFormat="1" ht="15" customHeight="1" x14ac:dyDescent="0.25">
      <c r="A7796" s="803" t="s">
        <v>12842</v>
      </c>
      <c r="B7796" s="803" t="s">
        <v>3753</v>
      </c>
      <c r="C7796" s="803" t="s">
        <v>3753</v>
      </c>
      <c r="D7796" s="803" t="s">
        <v>4033</v>
      </c>
      <c r="E7796" s="803">
        <v>160</v>
      </c>
      <c r="F7796" s="850">
        <v>100</v>
      </c>
      <c r="G7796" s="202" t="str">
        <f t="shared" si="121"/>
        <v/>
      </c>
    </row>
    <row r="7797" spans="1:7" s="172" customFormat="1" ht="15" customHeight="1" x14ac:dyDescent="0.25">
      <c r="A7797" s="803" t="s">
        <v>3017</v>
      </c>
      <c r="B7797" s="803" t="s">
        <v>3753</v>
      </c>
      <c r="C7797" s="803" t="s">
        <v>3753</v>
      </c>
      <c r="D7797" s="803" t="s">
        <v>4034</v>
      </c>
      <c r="E7797" s="803">
        <v>20</v>
      </c>
      <c r="F7797" s="850">
        <v>10</v>
      </c>
      <c r="G7797" s="202" t="str">
        <f t="shared" si="121"/>
        <v/>
      </c>
    </row>
    <row r="7798" spans="1:7" s="172" customFormat="1" ht="15" customHeight="1" x14ac:dyDescent="0.25">
      <c r="A7798" s="803" t="s">
        <v>12843</v>
      </c>
      <c r="B7798" s="803" t="s">
        <v>3753</v>
      </c>
      <c r="C7798" s="803" t="s">
        <v>3753</v>
      </c>
      <c r="D7798" s="803" t="s">
        <v>4035</v>
      </c>
      <c r="E7798" s="803">
        <v>100</v>
      </c>
      <c r="F7798" s="850">
        <v>40</v>
      </c>
      <c r="G7798" s="202" t="str">
        <f t="shared" si="121"/>
        <v/>
      </c>
    </row>
    <row r="7799" spans="1:7" s="172" customFormat="1" ht="15" customHeight="1" x14ac:dyDescent="0.25">
      <c r="A7799" s="803" t="s">
        <v>12844</v>
      </c>
      <c r="B7799" s="803" t="s">
        <v>3753</v>
      </c>
      <c r="C7799" s="803" t="s">
        <v>3753</v>
      </c>
      <c r="D7799" s="803" t="s">
        <v>4036</v>
      </c>
      <c r="E7799" s="803">
        <v>160</v>
      </c>
      <c r="F7799" s="850">
        <v>100</v>
      </c>
      <c r="G7799" s="202" t="str">
        <f t="shared" si="121"/>
        <v/>
      </c>
    </row>
    <row r="7800" spans="1:7" s="172" customFormat="1" ht="15" customHeight="1" x14ac:dyDescent="0.25">
      <c r="A7800" s="803" t="s">
        <v>12845</v>
      </c>
      <c r="B7800" s="803" t="s">
        <v>3753</v>
      </c>
      <c r="C7800" s="803" t="s">
        <v>3753</v>
      </c>
      <c r="D7800" s="803" t="s">
        <v>4037</v>
      </c>
      <c r="E7800" s="803">
        <v>160</v>
      </c>
      <c r="F7800" s="850">
        <v>100</v>
      </c>
      <c r="G7800" s="202" t="str">
        <f t="shared" si="121"/>
        <v/>
      </c>
    </row>
    <row r="7801" spans="1:7" s="172" customFormat="1" ht="15" customHeight="1" x14ac:dyDescent="0.25">
      <c r="A7801" s="803" t="s">
        <v>12846</v>
      </c>
      <c r="B7801" s="803" t="s">
        <v>3753</v>
      </c>
      <c r="C7801" s="803" t="s">
        <v>3753</v>
      </c>
      <c r="D7801" s="803" t="s">
        <v>4038</v>
      </c>
      <c r="E7801" s="803">
        <v>100</v>
      </c>
      <c r="F7801" s="850">
        <v>20</v>
      </c>
      <c r="G7801" s="202" t="str">
        <f t="shared" si="121"/>
        <v/>
      </c>
    </row>
    <row r="7802" spans="1:7" s="172" customFormat="1" ht="15" customHeight="1" x14ac:dyDescent="0.25">
      <c r="A7802" s="803" t="s">
        <v>12845</v>
      </c>
      <c r="B7802" s="803" t="s">
        <v>3753</v>
      </c>
      <c r="C7802" s="803" t="s">
        <v>3753</v>
      </c>
      <c r="D7802" s="803" t="s">
        <v>4039</v>
      </c>
      <c r="E7802" s="803">
        <v>160</v>
      </c>
      <c r="F7802" s="850">
        <v>100</v>
      </c>
      <c r="G7802" s="202" t="str">
        <f t="shared" si="121"/>
        <v/>
      </c>
    </row>
    <row r="7803" spans="1:7" s="172" customFormat="1" ht="15" customHeight="1" x14ac:dyDescent="0.25">
      <c r="A7803" s="803" t="s">
        <v>12845</v>
      </c>
      <c r="B7803" s="803" t="s">
        <v>3753</v>
      </c>
      <c r="C7803" s="803" t="s">
        <v>3753</v>
      </c>
      <c r="D7803" s="803" t="s">
        <v>4040</v>
      </c>
      <c r="E7803" s="803">
        <v>400</v>
      </c>
      <c r="F7803" s="850">
        <v>250</v>
      </c>
      <c r="G7803" s="202" t="str">
        <f t="shared" si="121"/>
        <v/>
      </c>
    </row>
    <row r="7804" spans="1:7" s="172" customFormat="1" ht="15" customHeight="1" x14ac:dyDescent="0.25">
      <c r="A7804" s="803" t="s">
        <v>3611</v>
      </c>
      <c r="B7804" s="803" t="s">
        <v>3753</v>
      </c>
      <c r="C7804" s="803" t="s">
        <v>3753</v>
      </c>
      <c r="D7804" s="803" t="s">
        <v>4041</v>
      </c>
      <c r="E7804" s="803">
        <v>160</v>
      </c>
      <c r="F7804" s="850">
        <v>30</v>
      </c>
      <c r="G7804" s="202" t="str">
        <f t="shared" si="121"/>
        <v/>
      </c>
    </row>
    <row r="7805" spans="1:7" s="172" customFormat="1" ht="15" customHeight="1" x14ac:dyDescent="0.25">
      <c r="A7805" s="803" t="s">
        <v>12616</v>
      </c>
      <c r="B7805" s="803" t="s">
        <v>3753</v>
      </c>
      <c r="C7805" s="803" t="s">
        <v>3753</v>
      </c>
      <c r="D7805" s="803" t="s">
        <v>4042</v>
      </c>
      <c r="E7805" s="803">
        <v>250</v>
      </c>
      <c r="F7805" s="850">
        <v>200</v>
      </c>
      <c r="G7805" s="202" t="str">
        <f t="shared" si="121"/>
        <v/>
      </c>
    </row>
    <row r="7806" spans="1:7" s="172" customFormat="1" ht="15" customHeight="1" x14ac:dyDescent="0.25">
      <c r="A7806" s="803" t="s">
        <v>8384</v>
      </c>
      <c r="B7806" s="803" t="s">
        <v>3753</v>
      </c>
      <c r="C7806" s="803" t="s">
        <v>3753</v>
      </c>
      <c r="D7806" s="803" t="s">
        <v>4043</v>
      </c>
      <c r="E7806" s="803">
        <v>20</v>
      </c>
      <c r="F7806" s="850">
        <v>10</v>
      </c>
      <c r="G7806" s="202" t="str">
        <f t="shared" si="121"/>
        <v/>
      </c>
    </row>
    <row r="7807" spans="1:7" s="172" customFormat="1" ht="15" customHeight="1" x14ac:dyDescent="0.25">
      <c r="A7807" s="803" t="s">
        <v>3131</v>
      </c>
      <c r="B7807" s="803" t="s">
        <v>3753</v>
      </c>
      <c r="C7807" s="803" t="s">
        <v>3753</v>
      </c>
      <c r="D7807" s="803" t="s">
        <v>4044</v>
      </c>
      <c r="E7807" s="803">
        <v>60</v>
      </c>
      <c r="F7807" s="850">
        <v>20</v>
      </c>
      <c r="G7807" s="202" t="str">
        <f t="shared" si="121"/>
        <v/>
      </c>
    </row>
    <row r="7808" spans="1:7" s="172" customFormat="1" ht="15" customHeight="1" x14ac:dyDescent="0.25">
      <c r="A7808" s="803" t="s">
        <v>3131</v>
      </c>
      <c r="B7808" s="803" t="s">
        <v>3753</v>
      </c>
      <c r="C7808" s="803" t="s">
        <v>3753</v>
      </c>
      <c r="D7808" s="803" t="s">
        <v>4045</v>
      </c>
      <c r="E7808" s="803">
        <v>100</v>
      </c>
      <c r="F7808" s="850">
        <v>40</v>
      </c>
      <c r="G7808" s="202" t="str">
        <f t="shared" si="121"/>
        <v/>
      </c>
    </row>
    <row r="7809" spans="1:7" s="172" customFormat="1" ht="15" customHeight="1" x14ac:dyDescent="0.25">
      <c r="A7809" s="803" t="s">
        <v>6379</v>
      </c>
      <c r="B7809" s="803" t="s">
        <v>3753</v>
      </c>
      <c r="C7809" s="803" t="s">
        <v>3753</v>
      </c>
      <c r="D7809" s="803" t="s">
        <v>4046</v>
      </c>
      <c r="E7809" s="803">
        <v>40</v>
      </c>
      <c r="F7809" s="850">
        <v>20</v>
      </c>
      <c r="G7809" s="202" t="str">
        <f t="shared" si="121"/>
        <v/>
      </c>
    </row>
    <row r="7810" spans="1:7" s="172" customFormat="1" ht="15" customHeight="1" x14ac:dyDescent="0.25">
      <c r="A7810" s="803" t="s">
        <v>12847</v>
      </c>
      <c r="B7810" s="803" t="s">
        <v>3753</v>
      </c>
      <c r="C7810" s="803" t="s">
        <v>3753</v>
      </c>
      <c r="D7810" s="803" t="s">
        <v>4047</v>
      </c>
      <c r="E7810" s="803">
        <v>100</v>
      </c>
      <c r="F7810" s="850">
        <v>60</v>
      </c>
      <c r="G7810" s="202" t="str">
        <f t="shared" si="121"/>
        <v/>
      </c>
    </row>
    <row r="7811" spans="1:7" s="172" customFormat="1" ht="15" customHeight="1" x14ac:dyDescent="0.25">
      <c r="A7811" s="803" t="s">
        <v>2689</v>
      </c>
      <c r="B7811" s="803" t="s">
        <v>3753</v>
      </c>
      <c r="C7811" s="803" t="s">
        <v>3753</v>
      </c>
      <c r="D7811" s="803" t="s">
        <v>4048</v>
      </c>
      <c r="E7811" s="803">
        <v>400</v>
      </c>
      <c r="F7811" s="850">
        <v>250</v>
      </c>
      <c r="G7811" s="202" t="str">
        <f t="shared" si="121"/>
        <v/>
      </c>
    </row>
    <row r="7812" spans="1:7" s="172" customFormat="1" ht="15" customHeight="1" x14ac:dyDescent="0.25">
      <c r="A7812" s="803" t="s">
        <v>2689</v>
      </c>
      <c r="B7812" s="803" t="s">
        <v>3753</v>
      </c>
      <c r="C7812" s="803" t="s">
        <v>3753</v>
      </c>
      <c r="D7812" s="803" t="s">
        <v>4049</v>
      </c>
      <c r="E7812" s="803">
        <v>160</v>
      </c>
      <c r="F7812" s="850">
        <v>100</v>
      </c>
      <c r="G7812" s="202" t="str">
        <f t="shared" si="121"/>
        <v/>
      </c>
    </row>
    <row r="7813" spans="1:7" s="172" customFormat="1" ht="15" customHeight="1" x14ac:dyDescent="0.25">
      <c r="A7813" s="803" t="s">
        <v>2689</v>
      </c>
      <c r="B7813" s="803" t="s">
        <v>3753</v>
      </c>
      <c r="C7813" s="803" t="s">
        <v>3753</v>
      </c>
      <c r="D7813" s="803" t="s">
        <v>4050</v>
      </c>
      <c r="E7813" s="803">
        <v>30</v>
      </c>
      <c r="F7813" s="850">
        <v>10</v>
      </c>
      <c r="G7813" s="202" t="str">
        <f t="shared" si="121"/>
        <v/>
      </c>
    </row>
    <row r="7814" spans="1:7" s="172" customFormat="1" ht="15" customHeight="1" x14ac:dyDescent="0.25">
      <c r="A7814" s="803" t="s">
        <v>12848</v>
      </c>
      <c r="B7814" s="803" t="s">
        <v>3753</v>
      </c>
      <c r="C7814" s="803" t="s">
        <v>3753</v>
      </c>
      <c r="D7814" s="803" t="s">
        <v>4051</v>
      </c>
      <c r="E7814" s="803">
        <v>30</v>
      </c>
      <c r="F7814" s="850">
        <v>10</v>
      </c>
      <c r="G7814" s="202" t="str">
        <f t="shared" si="121"/>
        <v/>
      </c>
    </row>
    <row r="7815" spans="1:7" s="172" customFormat="1" ht="15" customHeight="1" x14ac:dyDescent="0.25">
      <c r="A7815" s="803" t="s">
        <v>12849</v>
      </c>
      <c r="B7815" s="803" t="s">
        <v>3753</v>
      </c>
      <c r="C7815" s="803" t="s">
        <v>3753</v>
      </c>
      <c r="D7815" s="803" t="s">
        <v>4052</v>
      </c>
      <c r="E7815" s="803">
        <v>100</v>
      </c>
      <c r="F7815" s="850">
        <v>20</v>
      </c>
      <c r="G7815" s="202" t="str">
        <f t="shared" si="121"/>
        <v/>
      </c>
    </row>
    <row r="7816" spans="1:7" s="172" customFormat="1" ht="15" customHeight="1" x14ac:dyDescent="0.25">
      <c r="A7816" s="803" t="s">
        <v>12849</v>
      </c>
      <c r="B7816" s="803" t="s">
        <v>3753</v>
      </c>
      <c r="C7816" s="803" t="s">
        <v>3753</v>
      </c>
      <c r="D7816" s="803" t="s">
        <v>4053</v>
      </c>
      <c r="E7816" s="803">
        <v>100</v>
      </c>
      <c r="F7816" s="850">
        <v>20</v>
      </c>
      <c r="G7816" s="202" t="str">
        <f t="shared" si="121"/>
        <v/>
      </c>
    </row>
    <row r="7817" spans="1:7" s="172" customFormat="1" ht="15" customHeight="1" x14ac:dyDescent="0.25">
      <c r="A7817" s="803" t="s">
        <v>12849</v>
      </c>
      <c r="B7817" s="803" t="s">
        <v>3753</v>
      </c>
      <c r="C7817" s="803" t="s">
        <v>3753</v>
      </c>
      <c r="D7817" s="803" t="s">
        <v>4054</v>
      </c>
      <c r="E7817" s="803">
        <v>100</v>
      </c>
      <c r="F7817" s="850">
        <v>30</v>
      </c>
      <c r="G7817" s="202" t="str">
        <f t="shared" si="121"/>
        <v/>
      </c>
    </row>
    <row r="7818" spans="1:7" s="172" customFormat="1" ht="15" customHeight="1" x14ac:dyDescent="0.25">
      <c r="A7818" s="803" t="s">
        <v>12849</v>
      </c>
      <c r="B7818" s="803" t="s">
        <v>3753</v>
      </c>
      <c r="C7818" s="803" t="s">
        <v>3753</v>
      </c>
      <c r="D7818" s="803" t="s">
        <v>4055</v>
      </c>
      <c r="E7818" s="803">
        <v>100</v>
      </c>
      <c r="F7818" s="850">
        <v>30</v>
      </c>
      <c r="G7818" s="202" t="str">
        <f t="shared" si="121"/>
        <v/>
      </c>
    </row>
    <row r="7819" spans="1:7" s="172" customFormat="1" ht="15" customHeight="1" x14ac:dyDescent="0.25">
      <c r="A7819" s="803" t="s">
        <v>12849</v>
      </c>
      <c r="B7819" s="803" t="s">
        <v>3753</v>
      </c>
      <c r="C7819" s="803" t="s">
        <v>3753</v>
      </c>
      <c r="D7819" s="803" t="s">
        <v>4056</v>
      </c>
      <c r="E7819" s="803">
        <v>250</v>
      </c>
      <c r="F7819" s="850">
        <v>120</v>
      </c>
      <c r="G7819" s="202" t="str">
        <f t="shared" si="121"/>
        <v/>
      </c>
    </row>
    <row r="7820" spans="1:7" s="172" customFormat="1" ht="15" customHeight="1" x14ac:dyDescent="0.25">
      <c r="A7820" s="803" t="s">
        <v>3956</v>
      </c>
      <c r="B7820" s="803" t="s">
        <v>3753</v>
      </c>
      <c r="C7820" s="803" t="s">
        <v>3753</v>
      </c>
      <c r="D7820" s="803" t="s">
        <v>4057</v>
      </c>
      <c r="E7820" s="803">
        <v>30</v>
      </c>
      <c r="F7820" s="850">
        <v>10</v>
      </c>
      <c r="G7820" s="202" t="str">
        <f t="shared" si="121"/>
        <v/>
      </c>
    </row>
    <row r="7821" spans="1:7" s="172" customFormat="1" ht="15" customHeight="1" x14ac:dyDescent="0.25">
      <c r="A7821" s="803" t="s">
        <v>12849</v>
      </c>
      <c r="B7821" s="803" t="s">
        <v>3753</v>
      </c>
      <c r="C7821" s="803" t="s">
        <v>3753</v>
      </c>
      <c r="D7821" s="803" t="s">
        <v>4058</v>
      </c>
      <c r="E7821" s="803">
        <v>250</v>
      </c>
      <c r="F7821" s="850">
        <v>100</v>
      </c>
      <c r="G7821" s="202" t="str">
        <f t="shared" si="121"/>
        <v/>
      </c>
    </row>
    <row r="7822" spans="1:7" s="172" customFormat="1" ht="15" customHeight="1" x14ac:dyDescent="0.25">
      <c r="A7822" s="803" t="s">
        <v>12849</v>
      </c>
      <c r="B7822" s="803" t="s">
        <v>3753</v>
      </c>
      <c r="C7822" s="803" t="s">
        <v>3753</v>
      </c>
      <c r="D7822" s="803" t="s">
        <v>4059</v>
      </c>
      <c r="E7822" s="803">
        <v>250</v>
      </c>
      <c r="F7822" s="850">
        <v>120</v>
      </c>
      <c r="G7822" s="202" t="str">
        <f t="shared" si="121"/>
        <v/>
      </c>
    </row>
    <row r="7823" spans="1:7" s="172" customFormat="1" ht="15" customHeight="1" x14ac:dyDescent="0.25">
      <c r="A7823" s="803" t="s">
        <v>12850</v>
      </c>
      <c r="B7823" s="803" t="s">
        <v>3753</v>
      </c>
      <c r="C7823" s="803" t="s">
        <v>3753</v>
      </c>
      <c r="D7823" s="803" t="s">
        <v>4060</v>
      </c>
      <c r="E7823" s="803">
        <v>20</v>
      </c>
      <c r="F7823" s="850">
        <v>10</v>
      </c>
      <c r="G7823" s="202" t="str">
        <f t="shared" si="121"/>
        <v/>
      </c>
    </row>
    <row r="7824" spans="1:7" s="172" customFormat="1" ht="15" customHeight="1" x14ac:dyDescent="0.25">
      <c r="A7824" s="803" t="s">
        <v>12851</v>
      </c>
      <c r="B7824" s="803" t="s">
        <v>3753</v>
      </c>
      <c r="C7824" s="803" t="s">
        <v>3753</v>
      </c>
      <c r="D7824" s="803" t="s">
        <v>4061</v>
      </c>
      <c r="E7824" s="803">
        <v>160</v>
      </c>
      <c r="F7824" s="850">
        <v>100</v>
      </c>
      <c r="G7824" s="202" t="str">
        <f t="shared" si="121"/>
        <v/>
      </c>
    </row>
    <row r="7825" spans="1:7" s="172" customFormat="1" ht="15" customHeight="1" x14ac:dyDescent="0.25">
      <c r="A7825" s="803" t="s">
        <v>12852</v>
      </c>
      <c r="B7825" s="803" t="s">
        <v>3753</v>
      </c>
      <c r="C7825" s="803" t="s">
        <v>3753</v>
      </c>
      <c r="D7825" s="803" t="s">
        <v>4062</v>
      </c>
      <c r="E7825" s="803">
        <v>30</v>
      </c>
      <c r="F7825" s="850">
        <v>15</v>
      </c>
      <c r="G7825" s="202" t="str">
        <f t="shared" si="121"/>
        <v/>
      </c>
    </row>
    <row r="7826" spans="1:7" s="172" customFormat="1" ht="15" customHeight="1" x14ac:dyDescent="0.25">
      <c r="A7826" s="803" t="s">
        <v>3611</v>
      </c>
      <c r="B7826" s="803" t="s">
        <v>3753</v>
      </c>
      <c r="C7826" s="803" t="s">
        <v>3753</v>
      </c>
      <c r="D7826" s="803" t="s">
        <v>4063</v>
      </c>
      <c r="E7826" s="803">
        <v>63</v>
      </c>
      <c r="F7826" s="850">
        <v>10</v>
      </c>
      <c r="G7826" s="202" t="str">
        <f t="shared" si="121"/>
        <v/>
      </c>
    </row>
    <row r="7827" spans="1:7" s="172" customFormat="1" ht="15" customHeight="1" x14ac:dyDescent="0.25">
      <c r="A7827" s="803" t="s">
        <v>12853</v>
      </c>
      <c r="B7827" s="803" t="s">
        <v>3753</v>
      </c>
      <c r="C7827" s="803" t="s">
        <v>3753</v>
      </c>
      <c r="D7827" s="803" t="s">
        <v>4064</v>
      </c>
      <c r="E7827" s="803">
        <v>160</v>
      </c>
      <c r="F7827" s="850">
        <v>90</v>
      </c>
      <c r="G7827" s="202" t="str">
        <f t="shared" si="121"/>
        <v/>
      </c>
    </row>
    <row r="7828" spans="1:7" s="172" customFormat="1" ht="15" customHeight="1" x14ac:dyDescent="0.25">
      <c r="A7828" s="803" t="s">
        <v>4067</v>
      </c>
      <c r="B7828" s="803" t="s">
        <v>3753</v>
      </c>
      <c r="C7828" s="803" t="s">
        <v>3753</v>
      </c>
      <c r="D7828" s="803" t="s">
        <v>4065</v>
      </c>
      <c r="E7828" s="803">
        <v>160</v>
      </c>
      <c r="F7828" s="850">
        <v>40</v>
      </c>
      <c r="G7828" s="202" t="str">
        <f t="shared" si="121"/>
        <v/>
      </c>
    </row>
    <row r="7829" spans="1:7" s="172" customFormat="1" ht="15" customHeight="1" x14ac:dyDescent="0.25">
      <c r="A7829" s="803" t="s">
        <v>12854</v>
      </c>
      <c r="B7829" s="803" t="s">
        <v>3753</v>
      </c>
      <c r="C7829" s="803" t="s">
        <v>3753</v>
      </c>
      <c r="D7829" s="803" t="s">
        <v>4066</v>
      </c>
      <c r="E7829" s="803">
        <v>1000</v>
      </c>
      <c r="F7829" s="850">
        <v>900</v>
      </c>
      <c r="G7829" s="202" t="str">
        <f t="shared" si="121"/>
        <v/>
      </c>
    </row>
    <row r="7830" spans="1:7" s="172" customFormat="1" ht="15" customHeight="1" x14ac:dyDescent="0.25">
      <c r="A7830" s="803" t="s">
        <v>4067</v>
      </c>
      <c r="B7830" s="803" t="s">
        <v>3753</v>
      </c>
      <c r="C7830" s="803" t="s">
        <v>3753</v>
      </c>
      <c r="D7830" s="803" t="s">
        <v>4068</v>
      </c>
      <c r="E7830" s="803">
        <v>63</v>
      </c>
      <c r="F7830" s="850">
        <v>10</v>
      </c>
      <c r="G7830" s="202" t="str">
        <f t="shared" si="121"/>
        <v/>
      </c>
    </row>
    <row r="7831" spans="1:7" s="172" customFormat="1" ht="15" customHeight="1" x14ac:dyDescent="0.25">
      <c r="A7831" s="803" t="s">
        <v>4067</v>
      </c>
      <c r="B7831" s="803" t="s">
        <v>3753</v>
      </c>
      <c r="C7831" s="803" t="s">
        <v>3753</v>
      </c>
      <c r="D7831" s="803" t="s">
        <v>4069</v>
      </c>
      <c r="E7831" s="803">
        <v>250</v>
      </c>
      <c r="F7831" s="850">
        <v>100</v>
      </c>
      <c r="G7831" s="202" t="str">
        <f t="shared" si="121"/>
        <v/>
      </c>
    </row>
    <row r="7832" spans="1:7" s="172" customFormat="1" ht="15" customHeight="1" x14ac:dyDescent="0.25">
      <c r="A7832" s="803" t="s">
        <v>12855</v>
      </c>
      <c r="B7832" s="803" t="s">
        <v>3753</v>
      </c>
      <c r="C7832" s="803" t="s">
        <v>3753</v>
      </c>
      <c r="D7832" s="803" t="s">
        <v>4070</v>
      </c>
      <c r="E7832" s="803">
        <v>63</v>
      </c>
      <c r="F7832" s="850">
        <v>10</v>
      </c>
      <c r="G7832" s="202" t="str">
        <f t="shared" si="121"/>
        <v/>
      </c>
    </row>
    <row r="7833" spans="1:7" s="172" customFormat="1" ht="15" customHeight="1" x14ac:dyDescent="0.25">
      <c r="A7833" s="803" t="s">
        <v>12856</v>
      </c>
      <c r="B7833" s="803" t="s">
        <v>3753</v>
      </c>
      <c r="C7833" s="803" t="s">
        <v>3753</v>
      </c>
      <c r="D7833" s="803" t="s">
        <v>4071</v>
      </c>
      <c r="E7833" s="803">
        <v>63</v>
      </c>
      <c r="F7833" s="850">
        <v>25</v>
      </c>
      <c r="G7833" s="202" t="str">
        <f t="shared" si="121"/>
        <v/>
      </c>
    </row>
    <row r="7834" spans="1:7" s="172" customFormat="1" ht="15" customHeight="1" x14ac:dyDescent="0.25">
      <c r="A7834" s="803" t="s">
        <v>12857</v>
      </c>
      <c r="B7834" s="803" t="s">
        <v>3753</v>
      </c>
      <c r="C7834" s="803" t="s">
        <v>3753</v>
      </c>
      <c r="D7834" s="803" t="s">
        <v>4072</v>
      </c>
      <c r="E7834" s="803">
        <v>100</v>
      </c>
      <c r="F7834" s="850">
        <v>40</v>
      </c>
      <c r="G7834" s="202" t="str">
        <f t="shared" si="121"/>
        <v/>
      </c>
    </row>
    <row r="7835" spans="1:7" s="172" customFormat="1" ht="15" customHeight="1" x14ac:dyDescent="0.25">
      <c r="A7835" s="803" t="s">
        <v>12858</v>
      </c>
      <c r="B7835" s="803" t="s">
        <v>3753</v>
      </c>
      <c r="C7835" s="803" t="s">
        <v>3753</v>
      </c>
      <c r="D7835" s="803" t="s">
        <v>4073</v>
      </c>
      <c r="E7835" s="803">
        <v>30</v>
      </c>
      <c r="F7835" s="850">
        <v>15</v>
      </c>
      <c r="G7835" s="202" t="str">
        <f t="shared" si="121"/>
        <v/>
      </c>
    </row>
    <row r="7836" spans="1:7" s="172" customFormat="1" ht="15" customHeight="1" x14ac:dyDescent="0.25">
      <c r="A7836" s="803" t="s">
        <v>6800</v>
      </c>
      <c r="B7836" s="803" t="s">
        <v>3753</v>
      </c>
      <c r="C7836" s="803" t="s">
        <v>3753</v>
      </c>
      <c r="D7836" s="803" t="s">
        <v>4074</v>
      </c>
      <c r="E7836" s="803">
        <v>40</v>
      </c>
      <c r="F7836" s="850">
        <v>20</v>
      </c>
      <c r="G7836" s="202" t="str">
        <f t="shared" si="121"/>
        <v/>
      </c>
    </row>
    <row r="7837" spans="1:7" s="172" customFormat="1" ht="15" customHeight="1" x14ac:dyDescent="0.25">
      <c r="A7837" s="803" t="s">
        <v>12511</v>
      </c>
      <c r="B7837" s="803" t="s">
        <v>3753</v>
      </c>
      <c r="C7837" s="803" t="s">
        <v>3753</v>
      </c>
      <c r="D7837" s="803" t="s">
        <v>4075</v>
      </c>
      <c r="E7837" s="803">
        <v>63</v>
      </c>
      <c r="F7837" s="850">
        <v>20</v>
      </c>
      <c r="G7837" s="202" t="str">
        <f t="shared" si="121"/>
        <v/>
      </c>
    </row>
    <row r="7838" spans="1:7" s="172" customFormat="1" ht="15" customHeight="1" x14ac:dyDescent="0.25">
      <c r="A7838" s="803" t="s">
        <v>12859</v>
      </c>
      <c r="B7838" s="803" t="s">
        <v>3753</v>
      </c>
      <c r="C7838" s="803" t="s">
        <v>3753</v>
      </c>
      <c r="D7838" s="803" t="s">
        <v>4076</v>
      </c>
      <c r="E7838" s="803">
        <v>63</v>
      </c>
      <c r="F7838" s="850">
        <v>15</v>
      </c>
      <c r="G7838" s="202" t="str">
        <f t="shared" ref="G7838:G7901" si="122">IF(E7838=F7838,"не загружен","")</f>
        <v/>
      </c>
    </row>
    <row r="7839" spans="1:7" s="172" customFormat="1" ht="15" customHeight="1" x14ac:dyDescent="0.25">
      <c r="A7839" s="803" t="s">
        <v>12860</v>
      </c>
      <c r="B7839" s="803" t="s">
        <v>3753</v>
      </c>
      <c r="C7839" s="803" t="s">
        <v>3753</v>
      </c>
      <c r="D7839" s="803" t="s">
        <v>4077</v>
      </c>
      <c r="E7839" s="803">
        <v>160</v>
      </c>
      <c r="F7839" s="850">
        <v>80</v>
      </c>
      <c r="G7839" s="202" t="str">
        <f t="shared" si="122"/>
        <v/>
      </c>
    </row>
    <row r="7840" spans="1:7" s="172" customFormat="1" ht="15" customHeight="1" x14ac:dyDescent="0.25">
      <c r="A7840" s="803" t="s">
        <v>12554</v>
      </c>
      <c r="B7840" s="803" t="s">
        <v>3753</v>
      </c>
      <c r="C7840" s="803" t="s">
        <v>3753</v>
      </c>
      <c r="D7840" s="803" t="s">
        <v>4078</v>
      </c>
      <c r="E7840" s="803">
        <v>160</v>
      </c>
      <c r="F7840" s="850">
        <v>100</v>
      </c>
      <c r="G7840" s="202" t="str">
        <f t="shared" si="122"/>
        <v/>
      </c>
    </row>
    <row r="7841" spans="1:7" s="172" customFormat="1" ht="15" customHeight="1" x14ac:dyDescent="0.25">
      <c r="A7841" s="803" t="s">
        <v>12554</v>
      </c>
      <c r="B7841" s="803" t="s">
        <v>3753</v>
      </c>
      <c r="C7841" s="803" t="s">
        <v>3753</v>
      </c>
      <c r="D7841" s="803" t="s">
        <v>4079</v>
      </c>
      <c r="E7841" s="803">
        <v>250</v>
      </c>
      <c r="F7841" s="850">
        <v>200</v>
      </c>
      <c r="G7841" s="202" t="str">
        <f t="shared" si="122"/>
        <v/>
      </c>
    </row>
    <row r="7842" spans="1:7" s="172" customFormat="1" ht="15" customHeight="1" x14ac:dyDescent="0.25">
      <c r="A7842" s="803" t="s">
        <v>12861</v>
      </c>
      <c r="B7842" s="803" t="s">
        <v>3753</v>
      </c>
      <c r="C7842" s="803" t="s">
        <v>3753</v>
      </c>
      <c r="D7842" s="803" t="s">
        <v>4080</v>
      </c>
      <c r="E7842" s="803">
        <v>63</v>
      </c>
      <c r="F7842" s="850">
        <v>20</v>
      </c>
      <c r="G7842" s="202" t="str">
        <f t="shared" si="122"/>
        <v/>
      </c>
    </row>
    <row r="7843" spans="1:7" s="172" customFormat="1" ht="15" customHeight="1" x14ac:dyDescent="0.25">
      <c r="A7843" s="803" t="s">
        <v>12862</v>
      </c>
      <c r="B7843" s="803" t="s">
        <v>3753</v>
      </c>
      <c r="C7843" s="803" t="s">
        <v>3753</v>
      </c>
      <c r="D7843" s="803" t="s">
        <v>4081</v>
      </c>
      <c r="E7843" s="803">
        <v>60</v>
      </c>
      <c r="F7843" s="850">
        <v>30</v>
      </c>
      <c r="G7843" s="202" t="str">
        <f t="shared" si="122"/>
        <v/>
      </c>
    </row>
    <row r="7844" spans="1:7" s="172" customFormat="1" ht="15" customHeight="1" x14ac:dyDescent="0.25">
      <c r="A7844" s="803" t="s">
        <v>12863</v>
      </c>
      <c r="B7844" s="803" t="s">
        <v>3753</v>
      </c>
      <c r="C7844" s="803" t="s">
        <v>3753</v>
      </c>
      <c r="D7844" s="803" t="s">
        <v>4082</v>
      </c>
      <c r="E7844" s="803">
        <v>160</v>
      </c>
      <c r="F7844" s="850">
        <v>100</v>
      </c>
      <c r="G7844" s="202" t="str">
        <f t="shared" si="122"/>
        <v/>
      </c>
    </row>
    <row r="7845" spans="1:7" s="172" customFormat="1" ht="15" customHeight="1" x14ac:dyDescent="0.25">
      <c r="A7845" s="803" t="s">
        <v>3294</v>
      </c>
      <c r="B7845" s="803" t="s">
        <v>3753</v>
      </c>
      <c r="C7845" s="803" t="s">
        <v>3753</v>
      </c>
      <c r="D7845" s="803" t="s">
        <v>4083</v>
      </c>
      <c r="E7845" s="803">
        <v>30</v>
      </c>
      <c r="F7845" s="850">
        <v>15</v>
      </c>
      <c r="G7845" s="202" t="str">
        <f t="shared" si="122"/>
        <v/>
      </c>
    </row>
    <row r="7846" spans="1:7" s="172" customFormat="1" ht="15" customHeight="1" x14ac:dyDescent="0.25">
      <c r="A7846" s="803" t="s">
        <v>3231</v>
      </c>
      <c r="B7846" s="803" t="s">
        <v>3753</v>
      </c>
      <c r="C7846" s="803" t="s">
        <v>3753</v>
      </c>
      <c r="D7846" s="803" t="s">
        <v>4084</v>
      </c>
      <c r="E7846" s="803">
        <v>30</v>
      </c>
      <c r="F7846" s="850">
        <v>20</v>
      </c>
      <c r="G7846" s="202" t="str">
        <f t="shared" si="122"/>
        <v/>
      </c>
    </row>
    <row r="7847" spans="1:7" s="172" customFormat="1" ht="15" customHeight="1" x14ac:dyDescent="0.25">
      <c r="A7847" s="803" t="s">
        <v>12864</v>
      </c>
      <c r="B7847" s="803" t="s">
        <v>3753</v>
      </c>
      <c r="C7847" s="803" t="s">
        <v>3753</v>
      </c>
      <c r="D7847" s="803" t="s">
        <v>4085</v>
      </c>
      <c r="E7847" s="803">
        <v>63</v>
      </c>
      <c r="F7847" s="850">
        <v>20</v>
      </c>
      <c r="G7847" s="202" t="str">
        <f t="shared" si="122"/>
        <v/>
      </c>
    </row>
    <row r="7848" spans="1:7" s="172" customFormat="1" ht="15" customHeight="1" x14ac:dyDescent="0.25">
      <c r="A7848" s="803" t="s">
        <v>3271</v>
      </c>
      <c r="B7848" s="803" t="s">
        <v>3753</v>
      </c>
      <c r="C7848" s="803" t="s">
        <v>3753</v>
      </c>
      <c r="D7848" s="803" t="s">
        <v>4086</v>
      </c>
      <c r="E7848" s="803">
        <v>20</v>
      </c>
      <c r="F7848" s="850">
        <v>10</v>
      </c>
      <c r="G7848" s="202" t="str">
        <f t="shared" si="122"/>
        <v/>
      </c>
    </row>
    <row r="7849" spans="1:7" s="172" customFormat="1" ht="15" customHeight="1" x14ac:dyDescent="0.25">
      <c r="A7849" s="803" t="s">
        <v>12864</v>
      </c>
      <c r="B7849" s="803" t="s">
        <v>3753</v>
      </c>
      <c r="C7849" s="803" t="s">
        <v>3753</v>
      </c>
      <c r="D7849" s="803" t="s">
        <v>4087</v>
      </c>
      <c r="E7849" s="803">
        <v>60</v>
      </c>
      <c r="F7849" s="850">
        <v>30</v>
      </c>
      <c r="G7849" s="202" t="str">
        <f t="shared" si="122"/>
        <v/>
      </c>
    </row>
    <row r="7850" spans="1:7" s="172" customFormat="1" ht="15" customHeight="1" x14ac:dyDescent="0.25">
      <c r="A7850" s="803" t="s">
        <v>4088</v>
      </c>
      <c r="B7850" s="803" t="s">
        <v>3753</v>
      </c>
      <c r="C7850" s="803" t="s">
        <v>3753</v>
      </c>
      <c r="D7850" s="803" t="s">
        <v>4089</v>
      </c>
      <c r="E7850" s="803">
        <v>250</v>
      </c>
      <c r="F7850" s="850">
        <v>100</v>
      </c>
      <c r="G7850" s="202" t="str">
        <f t="shared" si="122"/>
        <v/>
      </c>
    </row>
    <row r="7851" spans="1:7" s="172" customFormat="1" ht="15" customHeight="1" x14ac:dyDescent="0.25">
      <c r="A7851" s="803" t="s">
        <v>7764</v>
      </c>
      <c r="B7851" s="803" t="s">
        <v>3753</v>
      </c>
      <c r="C7851" s="803" t="s">
        <v>3753</v>
      </c>
      <c r="D7851" s="803" t="s">
        <v>4090</v>
      </c>
      <c r="E7851" s="803">
        <v>250</v>
      </c>
      <c r="F7851" s="850">
        <v>90</v>
      </c>
      <c r="G7851" s="202" t="str">
        <f t="shared" si="122"/>
        <v/>
      </c>
    </row>
    <row r="7852" spans="1:7" s="172" customFormat="1" ht="15" customHeight="1" x14ac:dyDescent="0.25">
      <c r="A7852" s="803" t="s">
        <v>4088</v>
      </c>
      <c r="B7852" s="803" t="s">
        <v>3753</v>
      </c>
      <c r="C7852" s="803" t="s">
        <v>3753</v>
      </c>
      <c r="D7852" s="803" t="s">
        <v>4091</v>
      </c>
      <c r="E7852" s="803">
        <v>400</v>
      </c>
      <c r="F7852" s="850">
        <v>200</v>
      </c>
      <c r="G7852" s="202" t="str">
        <f t="shared" si="122"/>
        <v/>
      </c>
    </row>
    <row r="7853" spans="1:7" s="172" customFormat="1" ht="15" customHeight="1" x14ac:dyDescent="0.25">
      <c r="A7853" s="803" t="s">
        <v>4088</v>
      </c>
      <c r="B7853" s="803" t="s">
        <v>3753</v>
      </c>
      <c r="C7853" s="803" t="s">
        <v>3753</v>
      </c>
      <c r="D7853" s="803" t="s">
        <v>4092</v>
      </c>
      <c r="E7853" s="803">
        <v>60</v>
      </c>
      <c r="F7853" s="850">
        <v>30</v>
      </c>
      <c r="G7853" s="202" t="str">
        <f t="shared" si="122"/>
        <v/>
      </c>
    </row>
    <row r="7854" spans="1:7" s="172" customFormat="1" ht="15" customHeight="1" x14ac:dyDescent="0.25">
      <c r="A7854" s="803" t="s">
        <v>8384</v>
      </c>
      <c r="B7854" s="803" t="s">
        <v>3753</v>
      </c>
      <c r="C7854" s="803" t="s">
        <v>3753</v>
      </c>
      <c r="D7854" s="803" t="s">
        <v>4093</v>
      </c>
      <c r="E7854" s="803">
        <v>100</v>
      </c>
      <c r="F7854" s="850">
        <v>40</v>
      </c>
      <c r="G7854" s="202" t="str">
        <f t="shared" si="122"/>
        <v/>
      </c>
    </row>
    <row r="7855" spans="1:7" s="172" customFormat="1" ht="15" customHeight="1" x14ac:dyDescent="0.25">
      <c r="A7855" s="803" t="s">
        <v>12865</v>
      </c>
      <c r="B7855" s="803" t="s">
        <v>3753</v>
      </c>
      <c r="C7855" s="803" t="s">
        <v>3753</v>
      </c>
      <c r="D7855" s="803" t="s">
        <v>4094</v>
      </c>
      <c r="E7855" s="803">
        <v>60</v>
      </c>
      <c r="F7855" s="850">
        <v>30</v>
      </c>
      <c r="G7855" s="202" t="str">
        <f t="shared" si="122"/>
        <v/>
      </c>
    </row>
    <row r="7856" spans="1:7" s="172" customFormat="1" ht="15" customHeight="1" x14ac:dyDescent="0.25">
      <c r="A7856" s="803" t="s">
        <v>4095</v>
      </c>
      <c r="B7856" s="803" t="s">
        <v>3753</v>
      </c>
      <c r="C7856" s="803" t="s">
        <v>3753</v>
      </c>
      <c r="D7856" s="803" t="s">
        <v>4096</v>
      </c>
      <c r="E7856" s="803">
        <v>63</v>
      </c>
      <c r="F7856" s="850">
        <v>40</v>
      </c>
      <c r="G7856" s="202" t="str">
        <f t="shared" si="122"/>
        <v/>
      </c>
    </row>
    <row r="7857" spans="1:7" s="172" customFormat="1" ht="15" customHeight="1" x14ac:dyDescent="0.25">
      <c r="A7857" s="803" t="s">
        <v>4095</v>
      </c>
      <c r="B7857" s="803" t="s">
        <v>3753</v>
      </c>
      <c r="C7857" s="803" t="s">
        <v>3753</v>
      </c>
      <c r="D7857" s="803" t="s">
        <v>4097</v>
      </c>
      <c r="E7857" s="803">
        <v>20</v>
      </c>
      <c r="F7857" s="850">
        <v>10</v>
      </c>
      <c r="G7857" s="202" t="str">
        <f t="shared" si="122"/>
        <v/>
      </c>
    </row>
    <row r="7858" spans="1:7" s="172" customFormat="1" ht="15" customHeight="1" x14ac:dyDescent="0.25">
      <c r="A7858" s="803" t="s">
        <v>12866</v>
      </c>
      <c r="B7858" s="803" t="s">
        <v>3753</v>
      </c>
      <c r="C7858" s="803" t="s">
        <v>3753</v>
      </c>
      <c r="D7858" s="803" t="s">
        <v>4098</v>
      </c>
      <c r="E7858" s="803">
        <v>25</v>
      </c>
      <c r="F7858" s="850">
        <v>10</v>
      </c>
      <c r="G7858" s="202" t="str">
        <f t="shared" si="122"/>
        <v/>
      </c>
    </row>
    <row r="7859" spans="1:7" s="172" customFormat="1" ht="15" customHeight="1" x14ac:dyDescent="0.25">
      <c r="A7859" s="803" t="s">
        <v>4099</v>
      </c>
      <c r="B7859" s="803" t="s">
        <v>3753</v>
      </c>
      <c r="C7859" s="803" t="s">
        <v>3753</v>
      </c>
      <c r="D7859" s="803" t="s">
        <v>4100</v>
      </c>
      <c r="E7859" s="803">
        <v>30</v>
      </c>
      <c r="F7859" s="850">
        <v>10</v>
      </c>
      <c r="G7859" s="202" t="str">
        <f t="shared" si="122"/>
        <v/>
      </c>
    </row>
    <row r="7860" spans="1:7" s="172" customFormat="1" ht="15" customHeight="1" x14ac:dyDescent="0.25">
      <c r="A7860" s="803" t="s">
        <v>12867</v>
      </c>
      <c r="B7860" s="803" t="s">
        <v>3753</v>
      </c>
      <c r="C7860" s="803" t="s">
        <v>3753</v>
      </c>
      <c r="D7860" s="803" t="s">
        <v>4101</v>
      </c>
      <c r="E7860" s="803">
        <v>20</v>
      </c>
      <c r="F7860" s="850">
        <v>10</v>
      </c>
      <c r="G7860" s="202" t="str">
        <f t="shared" si="122"/>
        <v/>
      </c>
    </row>
    <row r="7861" spans="1:7" s="172" customFormat="1" ht="15" customHeight="1" x14ac:dyDescent="0.25">
      <c r="A7861" s="803" t="s">
        <v>3557</v>
      </c>
      <c r="B7861" s="803" t="s">
        <v>3753</v>
      </c>
      <c r="C7861" s="803" t="s">
        <v>3753</v>
      </c>
      <c r="D7861" s="803" t="s">
        <v>4102</v>
      </c>
      <c r="E7861" s="803">
        <v>30</v>
      </c>
      <c r="F7861" s="850">
        <v>15</v>
      </c>
      <c r="G7861" s="202" t="str">
        <f t="shared" si="122"/>
        <v/>
      </c>
    </row>
    <row r="7862" spans="1:7" s="172" customFormat="1" ht="15" customHeight="1" x14ac:dyDescent="0.25">
      <c r="A7862" s="803" t="s">
        <v>12868</v>
      </c>
      <c r="B7862" s="803" t="s">
        <v>3753</v>
      </c>
      <c r="C7862" s="803" t="s">
        <v>3753</v>
      </c>
      <c r="D7862" s="803" t="s">
        <v>4103</v>
      </c>
      <c r="E7862" s="803">
        <v>20</v>
      </c>
      <c r="F7862" s="850">
        <v>10</v>
      </c>
      <c r="G7862" s="202" t="str">
        <f t="shared" si="122"/>
        <v/>
      </c>
    </row>
    <row r="7863" spans="1:7" s="172" customFormat="1" ht="15" customHeight="1" x14ac:dyDescent="0.25">
      <c r="A7863" s="803" t="s">
        <v>4104</v>
      </c>
      <c r="B7863" s="803" t="s">
        <v>3753</v>
      </c>
      <c r="C7863" s="803" t="s">
        <v>3753</v>
      </c>
      <c r="D7863" s="803" t="s">
        <v>4105</v>
      </c>
      <c r="E7863" s="803">
        <v>400</v>
      </c>
      <c r="F7863" s="850">
        <v>100</v>
      </c>
      <c r="G7863" s="202" t="str">
        <f t="shared" si="122"/>
        <v/>
      </c>
    </row>
    <row r="7864" spans="1:7" s="172" customFormat="1" ht="15" customHeight="1" x14ac:dyDescent="0.25">
      <c r="A7864" s="803" t="s">
        <v>4106</v>
      </c>
      <c r="B7864" s="803" t="s">
        <v>3753</v>
      </c>
      <c r="C7864" s="803" t="s">
        <v>3753</v>
      </c>
      <c r="D7864" s="803" t="s">
        <v>4107</v>
      </c>
      <c r="E7864" s="803">
        <v>100</v>
      </c>
      <c r="F7864" s="850">
        <v>30</v>
      </c>
      <c r="G7864" s="202" t="str">
        <f t="shared" si="122"/>
        <v/>
      </c>
    </row>
    <row r="7865" spans="1:7" s="172" customFormat="1" ht="15" customHeight="1" x14ac:dyDescent="0.25">
      <c r="A7865" s="803" t="s">
        <v>4106</v>
      </c>
      <c r="B7865" s="803" t="s">
        <v>3753</v>
      </c>
      <c r="C7865" s="803" t="s">
        <v>3753</v>
      </c>
      <c r="D7865" s="803" t="s">
        <v>4108</v>
      </c>
      <c r="E7865" s="803">
        <v>250</v>
      </c>
      <c r="F7865" s="850">
        <v>150</v>
      </c>
      <c r="G7865" s="202" t="str">
        <f t="shared" si="122"/>
        <v/>
      </c>
    </row>
    <row r="7866" spans="1:7" s="172" customFormat="1" ht="15" customHeight="1" x14ac:dyDescent="0.25">
      <c r="A7866" s="803" t="s">
        <v>4106</v>
      </c>
      <c r="B7866" s="803" t="s">
        <v>3753</v>
      </c>
      <c r="C7866" s="803" t="s">
        <v>3753</v>
      </c>
      <c r="D7866" s="803" t="s">
        <v>4109</v>
      </c>
      <c r="E7866" s="803">
        <v>100</v>
      </c>
      <c r="F7866" s="850">
        <v>50</v>
      </c>
      <c r="G7866" s="202" t="str">
        <f t="shared" si="122"/>
        <v/>
      </c>
    </row>
    <row r="7867" spans="1:7" s="172" customFormat="1" ht="15" customHeight="1" x14ac:dyDescent="0.25">
      <c r="A7867" s="803" t="s">
        <v>4106</v>
      </c>
      <c r="B7867" s="803" t="s">
        <v>3753</v>
      </c>
      <c r="C7867" s="803" t="s">
        <v>3753</v>
      </c>
      <c r="D7867" s="803" t="s">
        <v>4110</v>
      </c>
      <c r="E7867" s="803">
        <v>63</v>
      </c>
      <c r="F7867" s="850">
        <v>20</v>
      </c>
      <c r="G7867" s="202" t="str">
        <f t="shared" si="122"/>
        <v/>
      </c>
    </row>
    <row r="7868" spans="1:7" s="172" customFormat="1" ht="15" customHeight="1" x14ac:dyDescent="0.25">
      <c r="A7868" s="803" t="s">
        <v>4106</v>
      </c>
      <c r="B7868" s="803" t="s">
        <v>3753</v>
      </c>
      <c r="C7868" s="803" t="s">
        <v>3753</v>
      </c>
      <c r="D7868" s="803" t="s">
        <v>4111</v>
      </c>
      <c r="E7868" s="803">
        <v>40</v>
      </c>
      <c r="F7868" s="850">
        <v>20</v>
      </c>
      <c r="G7868" s="202" t="str">
        <f t="shared" si="122"/>
        <v/>
      </c>
    </row>
    <row r="7869" spans="1:7" s="172" customFormat="1" ht="15" customHeight="1" x14ac:dyDescent="0.25">
      <c r="A7869" s="803" t="s">
        <v>10498</v>
      </c>
      <c r="B7869" s="803" t="s">
        <v>3753</v>
      </c>
      <c r="C7869" s="803" t="s">
        <v>3753</v>
      </c>
      <c r="D7869" s="803" t="s">
        <v>4112</v>
      </c>
      <c r="E7869" s="803">
        <v>63</v>
      </c>
      <c r="F7869" s="850">
        <v>20</v>
      </c>
      <c r="G7869" s="202" t="str">
        <f t="shared" si="122"/>
        <v/>
      </c>
    </row>
    <row r="7870" spans="1:7" s="172" customFormat="1" ht="15" customHeight="1" x14ac:dyDescent="0.25">
      <c r="A7870" s="803" t="s">
        <v>12869</v>
      </c>
      <c r="B7870" s="803" t="s">
        <v>3753</v>
      </c>
      <c r="C7870" s="803" t="s">
        <v>3753</v>
      </c>
      <c r="D7870" s="803" t="s">
        <v>4113</v>
      </c>
      <c r="E7870" s="803">
        <v>40</v>
      </c>
      <c r="F7870" s="850">
        <v>10</v>
      </c>
      <c r="G7870" s="202" t="str">
        <f t="shared" si="122"/>
        <v/>
      </c>
    </row>
    <row r="7871" spans="1:7" s="172" customFormat="1" ht="15" customHeight="1" x14ac:dyDescent="0.25">
      <c r="A7871" s="803" t="s">
        <v>8494</v>
      </c>
      <c r="B7871" s="803" t="s">
        <v>3753</v>
      </c>
      <c r="C7871" s="803" t="s">
        <v>3753</v>
      </c>
      <c r="D7871" s="803" t="s">
        <v>4114</v>
      </c>
      <c r="E7871" s="803">
        <v>30</v>
      </c>
      <c r="F7871" s="850">
        <v>10</v>
      </c>
      <c r="G7871" s="202" t="str">
        <f t="shared" si="122"/>
        <v/>
      </c>
    </row>
    <row r="7872" spans="1:7" s="172" customFormat="1" ht="15" customHeight="1" x14ac:dyDescent="0.25">
      <c r="A7872" s="803" t="s">
        <v>12870</v>
      </c>
      <c r="B7872" s="803" t="s">
        <v>3753</v>
      </c>
      <c r="C7872" s="803" t="s">
        <v>3753</v>
      </c>
      <c r="D7872" s="803" t="s">
        <v>4115</v>
      </c>
      <c r="E7872" s="803">
        <v>100</v>
      </c>
      <c r="F7872" s="850">
        <v>40</v>
      </c>
      <c r="G7872" s="202" t="str">
        <f t="shared" si="122"/>
        <v/>
      </c>
    </row>
    <row r="7873" spans="1:7" s="172" customFormat="1" ht="15" customHeight="1" x14ac:dyDescent="0.25">
      <c r="A7873" s="803" t="s">
        <v>12871</v>
      </c>
      <c r="B7873" s="803" t="s">
        <v>3753</v>
      </c>
      <c r="C7873" s="803" t="s">
        <v>3753</v>
      </c>
      <c r="D7873" s="803" t="s">
        <v>4116</v>
      </c>
      <c r="E7873" s="803">
        <v>20</v>
      </c>
      <c r="F7873" s="850">
        <v>10</v>
      </c>
      <c r="G7873" s="202" t="str">
        <f t="shared" si="122"/>
        <v/>
      </c>
    </row>
    <row r="7874" spans="1:7" s="172" customFormat="1" ht="15" customHeight="1" x14ac:dyDescent="0.25">
      <c r="A7874" s="803" t="s">
        <v>12872</v>
      </c>
      <c r="B7874" s="803" t="s">
        <v>3753</v>
      </c>
      <c r="C7874" s="803" t="s">
        <v>3753</v>
      </c>
      <c r="D7874" s="803" t="s">
        <v>4117</v>
      </c>
      <c r="E7874" s="803">
        <v>20</v>
      </c>
      <c r="F7874" s="850">
        <v>5</v>
      </c>
      <c r="G7874" s="202" t="str">
        <f t="shared" si="122"/>
        <v/>
      </c>
    </row>
    <row r="7875" spans="1:7" s="172" customFormat="1" ht="15" customHeight="1" x14ac:dyDescent="0.25">
      <c r="A7875" s="803" t="s">
        <v>2727</v>
      </c>
      <c r="B7875" s="803" t="s">
        <v>3753</v>
      </c>
      <c r="C7875" s="803" t="s">
        <v>3753</v>
      </c>
      <c r="D7875" s="803" t="s">
        <v>4118</v>
      </c>
      <c r="E7875" s="803">
        <v>160</v>
      </c>
      <c r="F7875" s="850">
        <v>80</v>
      </c>
      <c r="G7875" s="202" t="str">
        <f t="shared" si="122"/>
        <v/>
      </c>
    </row>
    <row r="7876" spans="1:7" s="172" customFormat="1" ht="15" customHeight="1" x14ac:dyDescent="0.25">
      <c r="A7876" s="803" t="s">
        <v>4119</v>
      </c>
      <c r="B7876" s="803" t="s">
        <v>3753</v>
      </c>
      <c r="C7876" s="803" t="s">
        <v>3753</v>
      </c>
      <c r="D7876" s="803" t="s">
        <v>4120</v>
      </c>
      <c r="E7876" s="803">
        <v>100</v>
      </c>
      <c r="F7876" s="850">
        <v>40</v>
      </c>
      <c r="G7876" s="202" t="str">
        <f t="shared" si="122"/>
        <v/>
      </c>
    </row>
    <row r="7877" spans="1:7" s="172" customFormat="1" ht="15" customHeight="1" x14ac:dyDescent="0.25">
      <c r="A7877" s="803" t="s">
        <v>4869</v>
      </c>
      <c r="B7877" s="803" t="s">
        <v>3753</v>
      </c>
      <c r="C7877" s="803" t="s">
        <v>3753</v>
      </c>
      <c r="D7877" s="803" t="s">
        <v>4121</v>
      </c>
      <c r="E7877" s="803">
        <v>63</v>
      </c>
      <c r="F7877" s="850">
        <v>20</v>
      </c>
      <c r="G7877" s="202" t="str">
        <f t="shared" si="122"/>
        <v/>
      </c>
    </row>
    <row r="7878" spans="1:7" s="172" customFormat="1" ht="15" customHeight="1" x14ac:dyDescent="0.25">
      <c r="A7878" s="803" t="s">
        <v>4122</v>
      </c>
      <c r="B7878" s="803" t="s">
        <v>3753</v>
      </c>
      <c r="C7878" s="803" t="s">
        <v>3753</v>
      </c>
      <c r="D7878" s="803" t="s">
        <v>4123</v>
      </c>
      <c r="E7878" s="803">
        <v>250</v>
      </c>
      <c r="F7878" s="850">
        <v>100</v>
      </c>
      <c r="G7878" s="202" t="str">
        <f t="shared" si="122"/>
        <v/>
      </c>
    </row>
    <row r="7879" spans="1:7" s="172" customFormat="1" ht="15" customHeight="1" x14ac:dyDescent="0.25">
      <c r="A7879" s="803" t="s">
        <v>4124</v>
      </c>
      <c r="B7879" s="803" t="s">
        <v>3753</v>
      </c>
      <c r="C7879" s="803" t="s">
        <v>3753</v>
      </c>
      <c r="D7879" s="803" t="s">
        <v>4125</v>
      </c>
      <c r="E7879" s="803">
        <v>63</v>
      </c>
      <c r="F7879" s="850">
        <v>15</v>
      </c>
      <c r="G7879" s="202" t="str">
        <f t="shared" si="122"/>
        <v/>
      </c>
    </row>
    <row r="7880" spans="1:7" s="172" customFormat="1" ht="15" customHeight="1" x14ac:dyDescent="0.25">
      <c r="A7880" s="803" t="s">
        <v>12873</v>
      </c>
      <c r="B7880" s="803" t="s">
        <v>3753</v>
      </c>
      <c r="C7880" s="803" t="s">
        <v>3753</v>
      </c>
      <c r="D7880" s="803" t="s">
        <v>4126</v>
      </c>
      <c r="E7880" s="803">
        <v>60</v>
      </c>
      <c r="F7880" s="850">
        <v>30</v>
      </c>
      <c r="G7880" s="202" t="str">
        <f t="shared" si="122"/>
        <v/>
      </c>
    </row>
    <row r="7881" spans="1:7" s="172" customFormat="1" ht="15" customHeight="1" x14ac:dyDescent="0.25">
      <c r="A7881" s="803" t="s">
        <v>12874</v>
      </c>
      <c r="B7881" s="803" t="s">
        <v>3753</v>
      </c>
      <c r="C7881" s="803" t="s">
        <v>3753</v>
      </c>
      <c r="D7881" s="803" t="s">
        <v>4127</v>
      </c>
      <c r="E7881" s="803">
        <v>100</v>
      </c>
      <c r="F7881" s="850">
        <v>50</v>
      </c>
      <c r="G7881" s="202" t="str">
        <f t="shared" si="122"/>
        <v/>
      </c>
    </row>
    <row r="7882" spans="1:7" s="172" customFormat="1" ht="15" customHeight="1" x14ac:dyDescent="0.25">
      <c r="A7882" s="803" t="s">
        <v>4128</v>
      </c>
      <c r="B7882" s="803" t="s">
        <v>3753</v>
      </c>
      <c r="C7882" s="803" t="s">
        <v>3753</v>
      </c>
      <c r="D7882" s="803" t="s">
        <v>4129</v>
      </c>
      <c r="E7882" s="803">
        <v>100</v>
      </c>
      <c r="F7882" s="850">
        <v>50</v>
      </c>
      <c r="G7882" s="202" t="str">
        <f t="shared" si="122"/>
        <v/>
      </c>
    </row>
    <row r="7883" spans="1:7" s="172" customFormat="1" ht="15" customHeight="1" x14ac:dyDescent="0.25">
      <c r="A7883" s="803" t="s">
        <v>12875</v>
      </c>
      <c r="B7883" s="803" t="s">
        <v>3753</v>
      </c>
      <c r="C7883" s="803" t="s">
        <v>3753</v>
      </c>
      <c r="D7883" s="803" t="s">
        <v>4130</v>
      </c>
      <c r="E7883" s="803">
        <v>100</v>
      </c>
      <c r="F7883" s="850">
        <v>50</v>
      </c>
      <c r="G7883" s="202" t="str">
        <f t="shared" si="122"/>
        <v/>
      </c>
    </row>
    <row r="7884" spans="1:7" s="172" customFormat="1" ht="15" customHeight="1" x14ac:dyDescent="0.25">
      <c r="A7884" s="803" t="s">
        <v>4131</v>
      </c>
      <c r="B7884" s="803" t="s">
        <v>3753</v>
      </c>
      <c r="C7884" s="803" t="s">
        <v>3753</v>
      </c>
      <c r="D7884" s="803" t="s">
        <v>4132</v>
      </c>
      <c r="E7884" s="803">
        <v>20</v>
      </c>
      <c r="F7884" s="850">
        <v>10</v>
      </c>
      <c r="G7884" s="202" t="str">
        <f t="shared" si="122"/>
        <v/>
      </c>
    </row>
    <row r="7885" spans="1:7" s="172" customFormat="1" ht="15" customHeight="1" x14ac:dyDescent="0.25">
      <c r="A7885" s="803" t="s">
        <v>12876</v>
      </c>
      <c r="B7885" s="803" t="s">
        <v>3753</v>
      </c>
      <c r="C7885" s="803" t="s">
        <v>3753</v>
      </c>
      <c r="D7885" s="803" t="s">
        <v>4133</v>
      </c>
      <c r="E7885" s="803">
        <v>100</v>
      </c>
      <c r="F7885" s="850">
        <v>70</v>
      </c>
      <c r="G7885" s="202" t="str">
        <f t="shared" si="122"/>
        <v/>
      </c>
    </row>
    <row r="7886" spans="1:7" s="172" customFormat="1" ht="15" customHeight="1" x14ac:dyDescent="0.25">
      <c r="A7886" s="803" t="s">
        <v>4134</v>
      </c>
      <c r="B7886" s="803" t="s">
        <v>3753</v>
      </c>
      <c r="C7886" s="803" t="s">
        <v>3753</v>
      </c>
      <c r="D7886" s="803" t="s">
        <v>4135</v>
      </c>
      <c r="E7886" s="803">
        <v>40</v>
      </c>
      <c r="F7886" s="850">
        <v>10</v>
      </c>
      <c r="G7886" s="202" t="str">
        <f t="shared" si="122"/>
        <v/>
      </c>
    </row>
    <row r="7887" spans="1:7" s="172" customFormat="1" ht="15" customHeight="1" x14ac:dyDescent="0.25">
      <c r="A7887" s="803" t="s">
        <v>12877</v>
      </c>
      <c r="B7887" s="803" t="s">
        <v>3753</v>
      </c>
      <c r="C7887" s="803" t="s">
        <v>3753</v>
      </c>
      <c r="D7887" s="803" t="s">
        <v>4136</v>
      </c>
      <c r="E7887" s="803">
        <v>40</v>
      </c>
      <c r="F7887" s="850">
        <v>10</v>
      </c>
      <c r="G7887" s="202" t="str">
        <f t="shared" si="122"/>
        <v/>
      </c>
    </row>
    <row r="7888" spans="1:7" s="172" customFormat="1" ht="15" customHeight="1" x14ac:dyDescent="0.25">
      <c r="A7888" s="803" t="s">
        <v>4137</v>
      </c>
      <c r="B7888" s="803" t="s">
        <v>3753</v>
      </c>
      <c r="C7888" s="803" t="s">
        <v>3753</v>
      </c>
      <c r="D7888" s="803" t="s">
        <v>4138</v>
      </c>
      <c r="E7888" s="803">
        <v>30</v>
      </c>
      <c r="F7888" s="850">
        <v>10</v>
      </c>
      <c r="G7888" s="202" t="str">
        <f t="shared" si="122"/>
        <v/>
      </c>
    </row>
    <row r="7889" spans="1:7" s="172" customFormat="1" ht="15" customHeight="1" x14ac:dyDescent="0.25">
      <c r="A7889" s="803" t="s">
        <v>8269</v>
      </c>
      <c r="B7889" s="803" t="s">
        <v>3753</v>
      </c>
      <c r="C7889" s="803" t="s">
        <v>3753</v>
      </c>
      <c r="D7889" s="803" t="s">
        <v>4139</v>
      </c>
      <c r="E7889" s="803">
        <v>20</v>
      </c>
      <c r="F7889" s="850">
        <v>10</v>
      </c>
      <c r="G7889" s="202" t="str">
        <f t="shared" si="122"/>
        <v/>
      </c>
    </row>
    <row r="7890" spans="1:7" s="172" customFormat="1" ht="15" customHeight="1" x14ac:dyDescent="0.25">
      <c r="A7890" s="803" t="s">
        <v>12878</v>
      </c>
      <c r="B7890" s="803" t="s">
        <v>3753</v>
      </c>
      <c r="C7890" s="803" t="s">
        <v>3753</v>
      </c>
      <c r="D7890" s="803" t="s">
        <v>4140</v>
      </c>
      <c r="E7890" s="803">
        <v>30</v>
      </c>
      <c r="F7890" s="850">
        <v>10</v>
      </c>
      <c r="G7890" s="202" t="str">
        <f t="shared" si="122"/>
        <v/>
      </c>
    </row>
    <row r="7891" spans="1:7" s="172" customFormat="1" ht="15" customHeight="1" x14ac:dyDescent="0.25">
      <c r="A7891" s="803" t="s">
        <v>12869</v>
      </c>
      <c r="B7891" s="803" t="s">
        <v>3753</v>
      </c>
      <c r="C7891" s="803" t="s">
        <v>3753</v>
      </c>
      <c r="D7891" s="803" t="s">
        <v>4141</v>
      </c>
      <c r="E7891" s="803">
        <v>20</v>
      </c>
      <c r="F7891" s="850">
        <v>5</v>
      </c>
      <c r="G7891" s="202" t="str">
        <f t="shared" si="122"/>
        <v/>
      </c>
    </row>
    <row r="7892" spans="1:7" s="172" customFormat="1" ht="15" customHeight="1" x14ac:dyDescent="0.25">
      <c r="A7892" s="803" t="s">
        <v>8447</v>
      </c>
      <c r="B7892" s="803" t="s">
        <v>3753</v>
      </c>
      <c r="C7892" s="803" t="s">
        <v>3753</v>
      </c>
      <c r="D7892" s="803" t="s">
        <v>4142</v>
      </c>
      <c r="E7892" s="803">
        <v>100</v>
      </c>
      <c r="F7892" s="850">
        <v>30</v>
      </c>
      <c r="G7892" s="202" t="str">
        <f t="shared" si="122"/>
        <v/>
      </c>
    </row>
    <row r="7893" spans="1:7" s="172" customFormat="1" ht="15" customHeight="1" x14ac:dyDescent="0.25">
      <c r="A7893" s="803" t="s">
        <v>12879</v>
      </c>
      <c r="B7893" s="803" t="s">
        <v>3753</v>
      </c>
      <c r="C7893" s="803" t="s">
        <v>3753</v>
      </c>
      <c r="D7893" s="803" t="s">
        <v>4143</v>
      </c>
      <c r="E7893" s="803">
        <v>250</v>
      </c>
      <c r="F7893" s="850">
        <v>200</v>
      </c>
      <c r="G7893" s="202" t="str">
        <f t="shared" si="122"/>
        <v/>
      </c>
    </row>
    <row r="7894" spans="1:7" s="172" customFormat="1" ht="15" customHeight="1" x14ac:dyDescent="0.25">
      <c r="A7894" s="803" t="s">
        <v>12879</v>
      </c>
      <c r="B7894" s="803" t="s">
        <v>3753</v>
      </c>
      <c r="C7894" s="803" t="s">
        <v>3753</v>
      </c>
      <c r="D7894" s="803" t="s">
        <v>4144</v>
      </c>
      <c r="E7894" s="803">
        <v>250</v>
      </c>
      <c r="F7894" s="850">
        <v>100</v>
      </c>
      <c r="G7894" s="202" t="str">
        <f t="shared" si="122"/>
        <v/>
      </c>
    </row>
    <row r="7895" spans="1:7" s="172" customFormat="1" ht="15" customHeight="1" x14ac:dyDescent="0.25">
      <c r="A7895" s="803" t="s">
        <v>12880</v>
      </c>
      <c r="B7895" s="803" t="s">
        <v>3753</v>
      </c>
      <c r="C7895" s="803" t="s">
        <v>3753</v>
      </c>
      <c r="D7895" s="803" t="s">
        <v>4145</v>
      </c>
      <c r="E7895" s="803">
        <v>63</v>
      </c>
      <c r="F7895" s="850">
        <v>20</v>
      </c>
      <c r="G7895" s="202" t="str">
        <f t="shared" si="122"/>
        <v/>
      </c>
    </row>
    <row r="7896" spans="1:7" s="172" customFormat="1" ht="15" customHeight="1" x14ac:dyDescent="0.25">
      <c r="A7896" s="803" t="s">
        <v>4146</v>
      </c>
      <c r="B7896" s="803" t="s">
        <v>3753</v>
      </c>
      <c r="C7896" s="803" t="s">
        <v>3753</v>
      </c>
      <c r="D7896" s="803" t="s">
        <v>4147</v>
      </c>
      <c r="E7896" s="803">
        <v>20</v>
      </c>
      <c r="F7896" s="850">
        <v>5</v>
      </c>
      <c r="G7896" s="202" t="str">
        <f t="shared" si="122"/>
        <v/>
      </c>
    </row>
    <row r="7897" spans="1:7" s="172" customFormat="1" ht="15" customHeight="1" x14ac:dyDescent="0.25">
      <c r="A7897" s="803" t="s">
        <v>12879</v>
      </c>
      <c r="B7897" s="803" t="s">
        <v>3753</v>
      </c>
      <c r="C7897" s="803" t="s">
        <v>3753</v>
      </c>
      <c r="D7897" s="803" t="s">
        <v>4148</v>
      </c>
      <c r="E7897" s="803">
        <v>63</v>
      </c>
      <c r="F7897" s="850">
        <v>25</v>
      </c>
      <c r="G7897" s="202" t="str">
        <f t="shared" si="122"/>
        <v/>
      </c>
    </row>
    <row r="7898" spans="1:7" s="172" customFormat="1" ht="15" customHeight="1" x14ac:dyDescent="0.25">
      <c r="A7898" s="803" t="s">
        <v>12879</v>
      </c>
      <c r="B7898" s="803" t="s">
        <v>3753</v>
      </c>
      <c r="C7898" s="803" t="s">
        <v>3753</v>
      </c>
      <c r="D7898" s="803" t="s">
        <v>4149</v>
      </c>
      <c r="E7898" s="803">
        <v>250</v>
      </c>
      <c r="F7898" s="850">
        <v>100</v>
      </c>
      <c r="G7898" s="202" t="str">
        <f t="shared" si="122"/>
        <v/>
      </c>
    </row>
    <row r="7899" spans="1:7" s="172" customFormat="1" ht="15" customHeight="1" x14ac:dyDescent="0.25">
      <c r="A7899" s="803" t="s">
        <v>12879</v>
      </c>
      <c r="B7899" s="803" t="s">
        <v>3753</v>
      </c>
      <c r="C7899" s="803" t="s">
        <v>3753</v>
      </c>
      <c r="D7899" s="803" t="s">
        <v>4150</v>
      </c>
      <c r="E7899" s="803">
        <v>250</v>
      </c>
      <c r="F7899" s="850">
        <v>100</v>
      </c>
      <c r="G7899" s="202" t="str">
        <f t="shared" si="122"/>
        <v/>
      </c>
    </row>
    <row r="7900" spans="1:7" s="172" customFormat="1" ht="15" customHeight="1" x14ac:dyDescent="0.25">
      <c r="A7900" s="803" t="s">
        <v>12879</v>
      </c>
      <c r="B7900" s="803" t="s">
        <v>3753</v>
      </c>
      <c r="C7900" s="803" t="s">
        <v>3753</v>
      </c>
      <c r="D7900" s="803" t="s">
        <v>4151</v>
      </c>
      <c r="E7900" s="803">
        <v>400</v>
      </c>
      <c r="F7900" s="850">
        <v>200</v>
      </c>
      <c r="G7900" s="202" t="str">
        <f t="shared" si="122"/>
        <v/>
      </c>
    </row>
    <row r="7901" spans="1:7" s="172" customFormat="1" ht="15" customHeight="1" x14ac:dyDescent="0.25">
      <c r="A7901" s="803" t="s">
        <v>12881</v>
      </c>
      <c r="B7901" s="803" t="s">
        <v>3753</v>
      </c>
      <c r="C7901" s="803" t="s">
        <v>3753</v>
      </c>
      <c r="D7901" s="803" t="s">
        <v>4152</v>
      </c>
      <c r="E7901" s="803">
        <v>63</v>
      </c>
      <c r="F7901" s="850">
        <v>25</v>
      </c>
      <c r="G7901" s="202" t="str">
        <f t="shared" si="122"/>
        <v/>
      </c>
    </row>
    <row r="7902" spans="1:7" s="172" customFormat="1" ht="15" customHeight="1" x14ac:dyDescent="0.25">
      <c r="A7902" s="803" t="s">
        <v>12882</v>
      </c>
      <c r="B7902" s="803" t="s">
        <v>3753</v>
      </c>
      <c r="C7902" s="803" t="s">
        <v>3753</v>
      </c>
      <c r="D7902" s="803" t="s">
        <v>4153</v>
      </c>
      <c r="E7902" s="803">
        <v>63</v>
      </c>
      <c r="F7902" s="850">
        <v>30</v>
      </c>
      <c r="G7902" s="202" t="str">
        <f t="shared" ref="G7902:G7965" si="123">IF(E7902=F7902,"не загружен","")</f>
        <v/>
      </c>
    </row>
    <row r="7903" spans="1:7" s="172" customFormat="1" ht="15" customHeight="1" x14ac:dyDescent="0.25">
      <c r="A7903" s="803" t="s">
        <v>4154</v>
      </c>
      <c r="B7903" s="803" t="s">
        <v>3753</v>
      </c>
      <c r="C7903" s="803" t="s">
        <v>3753</v>
      </c>
      <c r="D7903" s="803" t="s">
        <v>4155</v>
      </c>
      <c r="E7903" s="803">
        <v>20</v>
      </c>
      <c r="F7903" s="850">
        <v>10</v>
      </c>
      <c r="G7903" s="202" t="str">
        <f t="shared" si="123"/>
        <v/>
      </c>
    </row>
    <row r="7904" spans="1:7" s="172" customFormat="1" ht="15" customHeight="1" x14ac:dyDescent="0.25">
      <c r="A7904" s="803" t="s">
        <v>12833</v>
      </c>
      <c r="B7904" s="803" t="s">
        <v>3753</v>
      </c>
      <c r="C7904" s="803" t="s">
        <v>3753</v>
      </c>
      <c r="D7904" s="803" t="s">
        <v>4156</v>
      </c>
      <c r="E7904" s="803">
        <v>60</v>
      </c>
      <c r="F7904" s="850">
        <v>30</v>
      </c>
      <c r="G7904" s="202" t="str">
        <f t="shared" si="123"/>
        <v/>
      </c>
    </row>
    <row r="7905" spans="1:7" s="172" customFormat="1" ht="15" customHeight="1" x14ac:dyDescent="0.25">
      <c r="A7905" s="803" t="s">
        <v>3611</v>
      </c>
      <c r="B7905" s="803" t="s">
        <v>3753</v>
      </c>
      <c r="C7905" s="803" t="s">
        <v>3753</v>
      </c>
      <c r="D7905" s="803" t="s">
        <v>4157</v>
      </c>
      <c r="E7905" s="803">
        <v>20</v>
      </c>
      <c r="F7905" s="850">
        <v>5</v>
      </c>
      <c r="G7905" s="202" t="str">
        <f t="shared" si="123"/>
        <v/>
      </c>
    </row>
    <row r="7906" spans="1:7" s="172" customFormat="1" ht="15" customHeight="1" x14ac:dyDescent="0.25">
      <c r="A7906" s="803" t="s">
        <v>12883</v>
      </c>
      <c r="B7906" s="803" t="s">
        <v>3753</v>
      </c>
      <c r="C7906" s="803" t="s">
        <v>3753</v>
      </c>
      <c r="D7906" s="803" t="s">
        <v>4158</v>
      </c>
      <c r="E7906" s="803">
        <v>60</v>
      </c>
      <c r="F7906" s="850">
        <v>30</v>
      </c>
      <c r="G7906" s="202" t="str">
        <f t="shared" si="123"/>
        <v/>
      </c>
    </row>
    <row r="7907" spans="1:7" s="172" customFormat="1" ht="15" customHeight="1" x14ac:dyDescent="0.25">
      <c r="A7907" s="803" t="s">
        <v>4159</v>
      </c>
      <c r="B7907" s="803" t="s">
        <v>3753</v>
      </c>
      <c r="C7907" s="803" t="s">
        <v>3753</v>
      </c>
      <c r="D7907" s="803" t="s">
        <v>4160</v>
      </c>
      <c r="E7907" s="803">
        <v>30</v>
      </c>
      <c r="F7907" s="850">
        <v>10</v>
      </c>
      <c r="G7907" s="202" t="str">
        <f t="shared" si="123"/>
        <v/>
      </c>
    </row>
    <row r="7908" spans="1:7" s="172" customFormat="1" ht="15" customHeight="1" x14ac:dyDescent="0.25">
      <c r="A7908" s="803" t="s">
        <v>12849</v>
      </c>
      <c r="B7908" s="803" t="s">
        <v>3753</v>
      </c>
      <c r="C7908" s="803" t="s">
        <v>3753</v>
      </c>
      <c r="D7908" s="803" t="s">
        <v>4161</v>
      </c>
      <c r="E7908" s="803">
        <v>160</v>
      </c>
      <c r="F7908" s="850">
        <v>100</v>
      </c>
      <c r="G7908" s="202" t="str">
        <f t="shared" si="123"/>
        <v/>
      </c>
    </row>
    <row r="7909" spans="1:7" s="172" customFormat="1" ht="15" customHeight="1" x14ac:dyDescent="0.25">
      <c r="A7909" s="803" t="s">
        <v>2889</v>
      </c>
      <c r="B7909" s="803" t="s">
        <v>3753</v>
      </c>
      <c r="C7909" s="803" t="s">
        <v>3753</v>
      </c>
      <c r="D7909" s="803" t="s">
        <v>4162</v>
      </c>
      <c r="E7909" s="803">
        <v>100</v>
      </c>
      <c r="F7909" s="850">
        <v>40</v>
      </c>
      <c r="G7909" s="202" t="str">
        <f t="shared" si="123"/>
        <v/>
      </c>
    </row>
    <row r="7910" spans="1:7" s="172" customFormat="1" ht="15" customHeight="1" x14ac:dyDescent="0.25">
      <c r="A7910" s="803" t="s">
        <v>2889</v>
      </c>
      <c r="B7910" s="803" t="s">
        <v>3753</v>
      </c>
      <c r="C7910" s="803" t="s">
        <v>3753</v>
      </c>
      <c r="D7910" s="803" t="s">
        <v>4163</v>
      </c>
      <c r="E7910" s="803">
        <v>250</v>
      </c>
      <c r="F7910" s="850">
        <v>40</v>
      </c>
      <c r="G7910" s="202" t="str">
        <f t="shared" si="123"/>
        <v/>
      </c>
    </row>
    <row r="7911" spans="1:7" s="172" customFormat="1" ht="15" customHeight="1" x14ac:dyDescent="0.25">
      <c r="A7911" s="803" t="s">
        <v>3135</v>
      </c>
      <c r="B7911" s="803" t="s">
        <v>3753</v>
      </c>
      <c r="C7911" s="803" t="s">
        <v>3753</v>
      </c>
      <c r="D7911" s="803" t="s">
        <v>4164</v>
      </c>
      <c r="E7911" s="803">
        <v>160</v>
      </c>
      <c r="F7911" s="850">
        <v>60</v>
      </c>
      <c r="G7911" s="202" t="str">
        <f t="shared" si="123"/>
        <v/>
      </c>
    </row>
    <row r="7912" spans="1:7" s="172" customFormat="1" ht="15" customHeight="1" x14ac:dyDescent="0.25">
      <c r="A7912" s="803" t="s">
        <v>12884</v>
      </c>
      <c r="B7912" s="803" t="s">
        <v>3753</v>
      </c>
      <c r="C7912" s="803" t="s">
        <v>3753</v>
      </c>
      <c r="D7912" s="803" t="s">
        <v>4165</v>
      </c>
      <c r="E7912" s="803">
        <v>250</v>
      </c>
      <c r="F7912" s="850">
        <v>50</v>
      </c>
      <c r="G7912" s="202" t="str">
        <f t="shared" si="123"/>
        <v/>
      </c>
    </row>
    <row r="7913" spans="1:7" s="172" customFormat="1" ht="15" customHeight="1" x14ac:dyDescent="0.25">
      <c r="A7913" s="803" t="s">
        <v>4166</v>
      </c>
      <c r="B7913" s="803" t="s">
        <v>3753</v>
      </c>
      <c r="C7913" s="803" t="s">
        <v>3753</v>
      </c>
      <c r="D7913" s="803" t="s">
        <v>4167</v>
      </c>
      <c r="E7913" s="803">
        <v>30</v>
      </c>
      <c r="F7913" s="850">
        <v>10</v>
      </c>
      <c r="G7913" s="202" t="str">
        <f t="shared" si="123"/>
        <v/>
      </c>
    </row>
    <row r="7914" spans="1:7" s="172" customFormat="1" ht="15" customHeight="1" x14ac:dyDescent="0.25">
      <c r="A7914" s="803" t="s">
        <v>12885</v>
      </c>
      <c r="B7914" s="803" t="s">
        <v>3753</v>
      </c>
      <c r="C7914" s="803" t="s">
        <v>3753</v>
      </c>
      <c r="D7914" s="803" t="s">
        <v>4168</v>
      </c>
      <c r="E7914" s="803">
        <v>40</v>
      </c>
      <c r="F7914" s="850">
        <v>10</v>
      </c>
      <c r="G7914" s="202" t="str">
        <f t="shared" si="123"/>
        <v/>
      </c>
    </row>
    <row r="7915" spans="1:7" s="172" customFormat="1" ht="15" customHeight="1" x14ac:dyDescent="0.25">
      <c r="A7915" s="803" t="s">
        <v>12885</v>
      </c>
      <c r="B7915" s="803" t="s">
        <v>3753</v>
      </c>
      <c r="C7915" s="803" t="s">
        <v>3753</v>
      </c>
      <c r="D7915" s="803" t="s">
        <v>4169</v>
      </c>
      <c r="E7915" s="803">
        <v>30</v>
      </c>
      <c r="F7915" s="850">
        <v>10</v>
      </c>
      <c r="G7915" s="202" t="str">
        <f t="shared" si="123"/>
        <v/>
      </c>
    </row>
    <row r="7916" spans="1:7" s="172" customFormat="1" ht="15" customHeight="1" x14ac:dyDescent="0.25">
      <c r="A7916" s="803" t="s">
        <v>12885</v>
      </c>
      <c r="B7916" s="803" t="s">
        <v>3753</v>
      </c>
      <c r="C7916" s="803" t="s">
        <v>3753</v>
      </c>
      <c r="D7916" s="803" t="s">
        <v>4170</v>
      </c>
      <c r="E7916" s="803">
        <v>160</v>
      </c>
      <c r="F7916" s="850">
        <v>100</v>
      </c>
      <c r="G7916" s="202" t="str">
        <f t="shared" si="123"/>
        <v/>
      </c>
    </row>
    <row r="7917" spans="1:7" s="172" customFormat="1" ht="15" customHeight="1" x14ac:dyDescent="0.25">
      <c r="A7917" s="803" t="s">
        <v>12885</v>
      </c>
      <c r="B7917" s="803" t="s">
        <v>3753</v>
      </c>
      <c r="C7917" s="803" t="s">
        <v>3753</v>
      </c>
      <c r="D7917" s="803" t="s">
        <v>4171</v>
      </c>
      <c r="E7917" s="803">
        <v>250</v>
      </c>
      <c r="F7917" s="850">
        <v>200</v>
      </c>
      <c r="G7917" s="202" t="str">
        <f t="shared" si="123"/>
        <v/>
      </c>
    </row>
    <row r="7918" spans="1:7" s="172" customFormat="1" ht="15" customHeight="1" x14ac:dyDescent="0.25">
      <c r="A7918" s="803" t="s">
        <v>12885</v>
      </c>
      <c r="B7918" s="803" t="s">
        <v>3753</v>
      </c>
      <c r="C7918" s="803" t="s">
        <v>3753</v>
      </c>
      <c r="D7918" s="803" t="s">
        <v>4172</v>
      </c>
      <c r="E7918" s="803">
        <v>400</v>
      </c>
      <c r="F7918" s="850">
        <v>300</v>
      </c>
      <c r="G7918" s="202" t="str">
        <f t="shared" si="123"/>
        <v/>
      </c>
    </row>
    <row r="7919" spans="1:7" s="172" customFormat="1" ht="15" customHeight="1" x14ac:dyDescent="0.25">
      <c r="A7919" s="803" t="s">
        <v>8050</v>
      </c>
      <c r="B7919" s="803" t="s">
        <v>3753</v>
      </c>
      <c r="C7919" s="803" t="s">
        <v>3753</v>
      </c>
      <c r="D7919" s="803" t="s">
        <v>4173</v>
      </c>
      <c r="E7919" s="803">
        <v>10</v>
      </c>
      <c r="F7919" s="850">
        <v>4</v>
      </c>
      <c r="G7919" s="202" t="str">
        <f t="shared" si="123"/>
        <v/>
      </c>
    </row>
    <row r="7920" spans="1:7" s="172" customFormat="1" ht="15" customHeight="1" x14ac:dyDescent="0.25">
      <c r="A7920" s="803" t="s">
        <v>12886</v>
      </c>
      <c r="B7920" s="803" t="s">
        <v>3753</v>
      </c>
      <c r="C7920" s="803" t="s">
        <v>3753</v>
      </c>
      <c r="D7920" s="803" t="s">
        <v>4174</v>
      </c>
      <c r="E7920" s="803">
        <v>20</v>
      </c>
      <c r="F7920" s="850">
        <v>10</v>
      </c>
      <c r="G7920" s="202" t="str">
        <f t="shared" si="123"/>
        <v/>
      </c>
    </row>
    <row r="7921" spans="1:7" s="172" customFormat="1" ht="15" customHeight="1" x14ac:dyDescent="0.25">
      <c r="A7921" s="803" t="s">
        <v>12887</v>
      </c>
      <c r="B7921" s="803" t="s">
        <v>3753</v>
      </c>
      <c r="C7921" s="803" t="s">
        <v>3753</v>
      </c>
      <c r="D7921" s="803" t="s">
        <v>4175</v>
      </c>
      <c r="E7921" s="803">
        <v>30</v>
      </c>
      <c r="F7921" s="850">
        <v>10</v>
      </c>
      <c r="G7921" s="202" t="str">
        <f t="shared" si="123"/>
        <v/>
      </c>
    </row>
    <row r="7922" spans="1:7" s="172" customFormat="1" ht="15" customHeight="1" x14ac:dyDescent="0.25">
      <c r="A7922" s="803" t="s">
        <v>12888</v>
      </c>
      <c r="B7922" s="803" t="s">
        <v>3753</v>
      </c>
      <c r="C7922" s="803" t="s">
        <v>3753</v>
      </c>
      <c r="D7922" s="803" t="s">
        <v>4176</v>
      </c>
      <c r="E7922" s="803">
        <v>63</v>
      </c>
      <c r="F7922" s="850">
        <v>30</v>
      </c>
      <c r="G7922" s="202" t="str">
        <f t="shared" si="123"/>
        <v/>
      </c>
    </row>
    <row r="7923" spans="1:7" s="172" customFormat="1" ht="15" customHeight="1" x14ac:dyDescent="0.25">
      <c r="A7923" s="803" t="s">
        <v>4177</v>
      </c>
      <c r="B7923" s="803" t="s">
        <v>3753</v>
      </c>
      <c r="C7923" s="803" t="s">
        <v>3753</v>
      </c>
      <c r="D7923" s="803" t="s">
        <v>4178</v>
      </c>
      <c r="E7923" s="803">
        <v>60</v>
      </c>
      <c r="F7923" s="850">
        <v>30</v>
      </c>
      <c r="G7923" s="202" t="str">
        <f t="shared" si="123"/>
        <v/>
      </c>
    </row>
    <row r="7924" spans="1:7" s="172" customFormat="1" ht="15" customHeight="1" x14ac:dyDescent="0.25">
      <c r="A7924" s="803" t="s">
        <v>12889</v>
      </c>
      <c r="B7924" s="803" t="s">
        <v>3753</v>
      </c>
      <c r="C7924" s="803" t="s">
        <v>3753</v>
      </c>
      <c r="D7924" s="803" t="s">
        <v>4179</v>
      </c>
      <c r="E7924" s="803">
        <v>20</v>
      </c>
      <c r="F7924" s="850">
        <v>5</v>
      </c>
      <c r="G7924" s="202" t="str">
        <f t="shared" si="123"/>
        <v/>
      </c>
    </row>
    <row r="7925" spans="1:7" s="172" customFormat="1" ht="15" customHeight="1" x14ac:dyDescent="0.25">
      <c r="A7925" s="803" t="s">
        <v>3134</v>
      </c>
      <c r="B7925" s="803" t="s">
        <v>3753</v>
      </c>
      <c r="C7925" s="803" t="s">
        <v>3753</v>
      </c>
      <c r="D7925" s="803" t="s">
        <v>19201</v>
      </c>
      <c r="E7925" s="803" t="s">
        <v>18202</v>
      </c>
      <c r="F7925" s="850">
        <v>760</v>
      </c>
      <c r="G7925" s="202" t="str">
        <f t="shared" si="123"/>
        <v/>
      </c>
    </row>
    <row r="7926" spans="1:7" s="172" customFormat="1" ht="15" customHeight="1" x14ac:dyDescent="0.25">
      <c r="A7926" s="803" t="s">
        <v>19202</v>
      </c>
      <c r="B7926" s="803" t="s">
        <v>3753</v>
      </c>
      <c r="C7926" s="803" t="s">
        <v>3753</v>
      </c>
      <c r="D7926" s="803" t="s">
        <v>19203</v>
      </c>
      <c r="E7926" s="803" t="s">
        <v>18202</v>
      </c>
      <c r="F7926" s="850">
        <v>710</v>
      </c>
      <c r="G7926" s="202" t="str">
        <f t="shared" si="123"/>
        <v/>
      </c>
    </row>
    <row r="7927" spans="1:7" s="172" customFormat="1" ht="15" customHeight="1" x14ac:dyDescent="0.25">
      <c r="A7927" s="803" t="s">
        <v>5147</v>
      </c>
      <c r="B7927" s="803" t="s">
        <v>5148</v>
      </c>
      <c r="C7927" s="803" t="s">
        <v>5148</v>
      </c>
      <c r="D7927" s="803" t="s">
        <v>5149</v>
      </c>
      <c r="E7927" s="803">
        <v>100</v>
      </c>
      <c r="F7927" s="850">
        <v>10</v>
      </c>
      <c r="G7927" s="202" t="str">
        <f t="shared" si="123"/>
        <v/>
      </c>
    </row>
    <row r="7928" spans="1:7" s="172" customFormat="1" ht="15" customHeight="1" x14ac:dyDescent="0.25">
      <c r="A7928" s="803" t="s">
        <v>5147</v>
      </c>
      <c r="B7928" s="803" t="s">
        <v>5148</v>
      </c>
      <c r="C7928" s="803" t="s">
        <v>5148</v>
      </c>
      <c r="D7928" s="803" t="s">
        <v>5150</v>
      </c>
      <c r="E7928" s="803">
        <v>160</v>
      </c>
      <c r="F7928" s="850">
        <v>50</v>
      </c>
      <c r="G7928" s="202" t="str">
        <f t="shared" si="123"/>
        <v/>
      </c>
    </row>
    <row r="7929" spans="1:7" s="172" customFormat="1" ht="15" customHeight="1" x14ac:dyDescent="0.25">
      <c r="A7929" s="803" t="s">
        <v>5151</v>
      </c>
      <c r="B7929" s="803" t="s">
        <v>5148</v>
      </c>
      <c r="C7929" s="803" t="s">
        <v>5148</v>
      </c>
      <c r="D7929" s="803" t="s">
        <v>5152</v>
      </c>
      <c r="E7929" s="803">
        <v>30</v>
      </c>
      <c r="F7929" s="850">
        <v>25</v>
      </c>
      <c r="G7929" s="202" t="str">
        <f t="shared" si="123"/>
        <v/>
      </c>
    </row>
    <row r="7930" spans="1:7" s="172" customFormat="1" ht="15" customHeight="1" x14ac:dyDescent="0.25">
      <c r="A7930" s="803" t="s">
        <v>5153</v>
      </c>
      <c r="B7930" s="803" t="s">
        <v>5148</v>
      </c>
      <c r="C7930" s="803" t="s">
        <v>5148</v>
      </c>
      <c r="D7930" s="803" t="s">
        <v>5154</v>
      </c>
      <c r="E7930" s="803">
        <v>30</v>
      </c>
      <c r="F7930" s="850">
        <v>25</v>
      </c>
      <c r="G7930" s="202" t="str">
        <f t="shared" si="123"/>
        <v/>
      </c>
    </row>
    <row r="7931" spans="1:7" s="172" customFormat="1" ht="15" customHeight="1" x14ac:dyDescent="0.25">
      <c r="A7931" s="803" t="s">
        <v>5155</v>
      </c>
      <c r="B7931" s="803" t="s">
        <v>5148</v>
      </c>
      <c r="C7931" s="803" t="s">
        <v>5148</v>
      </c>
      <c r="D7931" s="803" t="s">
        <v>5156</v>
      </c>
      <c r="E7931" s="803">
        <v>10</v>
      </c>
      <c r="F7931" s="850">
        <v>3</v>
      </c>
      <c r="G7931" s="202" t="str">
        <f t="shared" si="123"/>
        <v/>
      </c>
    </row>
    <row r="7932" spans="1:7" s="172" customFormat="1" ht="15" customHeight="1" x14ac:dyDescent="0.25">
      <c r="A7932" s="803" t="s">
        <v>5157</v>
      </c>
      <c r="B7932" s="803" t="s">
        <v>5148</v>
      </c>
      <c r="C7932" s="803" t="s">
        <v>5148</v>
      </c>
      <c r="D7932" s="803" t="s">
        <v>5158</v>
      </c>
      <c r="E7932" s="803">
        <v>60</v>
      </c>
      <c r="F7932" s="850">
        <v>40</v>
      </c>
      <c r="G7932" s="202" t="str">
        <f t="shared" si="123"/>
        <v/>
      </c>
    </row>
    <row r="7933" spans="1:7" s="172" customFormat="1" ht="15" customHeight="1" x14ac:dyDescent="0.25">
      <c r="A7933" s="803" t="s">
        <v>5159</v>
      </c>
      <c r="B7933" s="803" t="s">
        <v>5148</v>
      </c>
      <c r="C7933" s="803" t="s">
        <v>5148</v>
      </c>
      <c r="D7933" s="803" t="s">
        <v>5160</v>
      </c>
      <c r="E7933" s="803">
        <v>100</v>
      </c>
      <c r="F7933" s="850">
        <v>50</v>
      </c>
      <c r="G7933" s="202" t="str">
        <f t="shared" si="123"/>
        <v/>
      </c>
    </row>
    <row r="7934" spans="1:7" s="172" customFormat="1" ht="15" customHeight="1" x14ac:dyDescent="0.25">
      <c r="A7934" s="803" t="s">
        <v>5161</v>
      </c>
      <c r="B7934" s="803" t="s">
        <v>5148</v>
      </c>
      <c r="C7934" s="803" t="s">
        <v>5148</v>
      </c>
      <c r="D7934" s="803" t="s">
        <v>5162</v>
      </c>
      <c r="E7934" s="803">
        <v>60</v>
      </c>
      <c r="F7934" s="850">
        <v>15</v>
      </c>
      <c r="G7934" s="202" t="str">
        <f t="shared" si="123"/>
        <v/>
      </c>
    </row>
    <row r="7935" spans="1:7" s="172" customFormat="1" ht="15" customHeight="1" x14ac:dyDescent="0.25">
      <c r="A7935" s="803" t="s">
        <v>5163</v>
      </c>
      <c r="B7935" s="803" t="s">
        <v>5148</v>
      </c>
      <c r="C7935" s="803" t="s">
        <v>5148</v>
      </c>
      <c r="D7935" s="803" t="s">
        <v>5164</v>
      </c>
      <c r="E7935" s="803">
        <v>10</v>
      </c>
      <c r="F7935" s="850">
        <v>3</v>
      </c>
      <c r="G7935" s="202" t="str">
        <f t="shared" si="123"/>
        <v/>
      </c>
    </row>
    <row r="7936" spans="1:7" s="172" customFormat="1" ht="15" customHeight="1" x14ac:dyDescent="0.25">
      <c r="A7936" s="803" t="s">
        <v>5165</v>
      </c>
      <c r="B7936" s="803" t="s">
        <v>5148</v>
      </c>
      <c r="C7936" s="803" t="s">
        <v>5148</v>
      </c>
      <c r="D7936" s="803" t="s">
        <v>5166</v>
      </c>
      <c r="E7936" s="803">
        <v>30</v>
      </c>
      <c r="F7936" s="850">
        <v>15</v>
      </c>
      <c r="G7936" s="202" t="str">
        <f t="shared" si="123"/>
        <v/>
      </c>
    </row>
    <row r="7937" spans="1:7" s="172" customFormat="1" ht="15" customHeight="1" x14ac:dyDescent="0.25">
      <c r="A7937" s="803" t="s">
        <v>4385</v>
      </c>
      <c r="B7937" s="803" t="s">
        <v>5148</v>
      </c>
      <c r="C7937" s="803" t="s">
        <v>5148</v>
      </c>
      <c r="D7937" s="803" t="s">
        <v>5167</v>
      </c>
      <c r="E7937" s="803">
        <v>25</v>
      </c>
      <c r="F7937" s="850">
        <v>15</v>
      </c>
      <c r="G7937" s="202" t="str">
        <f t="shared" si="123"/>
        <v/>
      </c>
    </row>
    <row r="7938" spans="1:7" s="172" customFormat="1" ht="15" customHeight="1" x14ac:dyDescent="0.25">
      <c r="A7938" s="803" t="s">
        <v>5168</v>
      </c>
      <c r="B7938" s="803" t="s">
        <v>5148</v>
      </c>
      <c r="C7938" s="803" t="s">
        <v>5148</v>
      </c>
      <c r="D7938" s="803" t="s">
        <v>5169</v>
      </c>
      <c r="E7938" s="803">
        <v>100</v>
      </c>
      <c r="F7938" s="850">
        <v>30</v>
      </c>
      <c r="G7938" s="202" t="str">
        <f t="shared" si="123"/>
        <v/>
      </c>
    </row>
    <row r="7939" spans="1:7" s="172" customFormat="1" ht="15" customHeight="1" x14ac:dyDescent="0.25">
      <c r="A7939" s="803" t="s">
        <v>5168</v>
      </c>
      <c r="B7939" s="803" t="s">
        <v>5148</v>
      </c>
      <c r="C7939" s="803" t="s">
        <v>5148</v>
      </c>
      <c r="D7939" s="803" t="s">
        <v>5170</v>
      </c>
      <c r="E7939" s="803">
        <v>250</v>
      </c>
      <c r="F7939" s="850">
        <v>90</v>
      </c>
      <c r="G7939" s="202" t="str">
        <f t="shared" si="123"/>
        <v/>
      </c>
    </row>
    <row r="7940" spans="1:7" s="172" customFormat="1" ht="15" customHeight="1" x14ac:dyDescent="0.25">
      <c r="A7940" s="803" t="s">
        <v>5171</v>
      </c>
      <c r="B7940" s="803" t="s">
        <v>5148</v>
      </c>
      <c r="C7940" s="803" t="s">
        <v>5148</v>
      </c>
      <c r="D7940" s="803" t="s">
        <v>5172</v>
      </c>
      <c r="E7940" s="803">
        <v>30</v>
      </c>
      <c r="F7940" s="850">
        <v>20</v>
      </c>
      <c r="G7940" s="202" t="str">
        <f t="shared" si="123"/>
        <v/>
      </c>
    </row>
    <row r="7941" spans="1:7" s="172" customFormat="1" ht="15" customHeight="1" x14ac:dyDescent="0.25">
      <c r="A7941" s="803" t="s">
        <v>5173</v>
      </c>
      <c r="B7941" s="803" t="s">
        <v>5148</v>
      </c>
      <c r="C7941" s="803" t="s">
        <v>5148</v>
      </c>
      <c r="D7941" s="803" t="s">
        <v>5174</v>
      </c>
      <c r="E7941" s="803">
        <v>60</v>
      </c>
      <c r="F7941" s="850">
        <v>50</v>
      </c>
      <c r="G7941" s="202" t="str">
        <f t="shared" si="123"/>
        <v/>
      </c>
    </row>
    <row r="7942" spans="1:7" s="172" customFormat="1" ht="15" customHeight="1" x14ac:dyDescent="0.25">
      <c r="A7942" s="803" t="s">
        <v>5175</v>
      </c>
      <c r="B7942" s="803" t="s">
        <v>5148</v>
      </c>
      <c r="C7942" s="803" t="s">
        <v>5148</v>
      </c>
      <c r="D7942" s="803" t="s">
        <v>5176</v>
      </c>
      <c r="E7942" s="803">
        <v>30</v>
      </c>
      <c r="F7942" s="850">
        <v>15</v>
      </c>
      <c r="G7942" s="202" t="str">
        <f t="shared" si="123"/>
        <v/>
      </c>
    </row>
    <row r="7943" spans="1:7" s="172" customFormat="1" ht="15" customHeight="1" x14ac:dyDescent="0.25">
      <c r="A7943" s="803" t="s">
        <v>5177</v>
      </c>
      <c r="B7943" s="803" t="s">
        <v>5148</v>
      </c>
      <c r="C7943" s="803" t="s">
        <v>5148</v>
      </c>
      <c r="D7943" s="803" t="s">
        <v>5178</v>
      </c>
      <c r="E7943" s="803">
        <v>100</v>
      </c>
      <c r="F7943" s="850">
        <v>30</v>
      </c>
      <c r="G7943" s="202" t="str">
        <f t="shared" si="123"/>
        <v/>
      </c>
    </row>
    <row r="7944" spans="1:7" s="172" customFormat="1" ht="15" customHeight="1" x14ac:dyDescent="0.25">
      <c r="A7944" s="803" t="s">
        <v>5179</v>
      </c>
      <c r="B7944" s="803" t="s">
        <v>5148</v>
      </c>
      <c r="C7944" s="803" t="s">
        <v>5148</v>
      </c>
      <c r="D7944" s="803" t="s">
        <v>5180</v>
      </c>
      <c r="E7944" s="803">
        <v>160</v>
      </c>
      <c r="F7944" s="850">
        <v>80</v>
      </c>
      <c r="G7944" s="202" t="str">
        <f t="shared" si="123"/>
        <v/>
      </c>
    </row>
    <row r="7945" spans="1:7" s="172" customFormat="1" ht="15" customHeight="1" x14ac:dyDescent="0.25">
      <c r="A7945" s="803" t="s">
        <v>5181</v>
      </c>
      <c r="B7945" s="803" t="s">
        <v>5148</v>
      </c>
      <c r="C7945" s="803" t="s">
        <v>5148</v>
      </c>
      <c r="D7945" s="803" t="s">
        <v>5182</v>
      </c>
      <c r="E7945" s="803">
        <v>160</v>
      </c>
      <c r="F7945" s="850">
        <v>50</v>
      </c>
      <c r="G7945" s="202" t="str">
        <f t="shared" si="123"/>
        <v/>
      </c>
    </row>
    <row r="7946" spans="1:7" s="172" customFormat="1" ht="15" customHeight="1" x14ac:dyDescent="0.25">
      <c r="A7946" s="803" t="s">
        <v>5183</v>
      </c>
      <c r="B7946" s="803" t="s">
        <v>5148</v>
      </c>
      <c r="C7946" s="803" t="s">
        <v>5148</v>
      </c>
      <c r="D7946" s="803" t="s">
        <v>5184</v>
      </c>
      <c r="E7946" s="803">
        <v>30</v>
      </c>
      <c r="F7946" s="850">
        <v>15</v>
      </c>
      <c r="G7946" s="202" t="str">
        <f t="shared" si="123"/>
        <v/>
      </c>
    </row>
    <row r="7947" spans="1:7" s="172" customFormat="1" ht="15" customHeight="1" x14ac:dyDescent="0.25">
      <c r="A7947" s="803" t="s">
        <v>5185</v>
      </c>
      <c r="B7947" s="803" t="s">
        <v>5148</v>
      </c>
      <c r="C7947" s="803" t="s">
        <v>5148</v>
      </c>
      <c r="D7947" s="803" t="s">
        <v>5186</v>
      </c>
      <c r="E7947" s="803">
        <v>800</v>
      </c>
      <c r="F7947" s="850">
        <v>400</v>
      </c>
      <c r="G7947" s="202" t="str">
        <f t="shared" si="123"/>
        <v/>
      </c>
    </row>
    <row r="7948" spans="1:7" s="172" customFormat="1" ht="15" customHeight="1" x14ac:dyDescent="0.25">
      <c r="A7948" s="803" t="s">
        <v>5185</v>
      </c>
      <c r="B7948" s="803" t="s">
        <v>5148</v>
      </c>
      <c r="C7948" s="803" t="s">
        <v>5148</v>
      </c>
      <c r="D7948" s="803" t="s">
        <v>5187</v>
      </c>
      <c r="E7948" s="803">
        <v>100</v>
      </c>
      <c r="F7948" s="850">
        <v>20</v>
      </c>
      <c r="G7948" s="202" t="str">
        <f t="shared" si="123"/>
        <v/>
      </c>
    </row>
    <row r="7949" spans="1:7" s="172" customFormat="1" ht="15" customHeight="1" x14ac:dyDescent="0.25">
      <c r="A7949" s="803" t="s">
        <v>5185</v>
      </c>
      <c r="B7949" s="803" t="s">
        <v>5148</v>
      </c>
      <c r="C7949" s="803" t="s">
        <v>5148</v>
      </c>
      <c r="D7949" s="803" t="s">
        <v>5188</v>
      </c>
      <c r="E7949" s="803">
        <v>160</v>
      </c>
      <c r="F7949" s="850">
        <v>100</v>
      </c>
      <c r="G7949" s="202" t="str">
        <f t="shared" si="123"/>
        <v/>
      </c>
    </row>
    <row r="7950" spans="1:7" s="172" customFormat="1" ht="15" customHeight="1" x14ac:dyDescent="0.25">
      <c r="A7950" s="803" t="s">
        <v>5185</v>
      </c>
      <c r="B7950" s="803" t="s">
        <v>5148</v>
      </c>
      <c r="C7950" s="803" t="s">
        <v>5148</v>
      </c>
      <c r="D7950" s="803" t="s">
        <v>5189</v>
      </c>
      <c r="E7950" s="803">
        <v>400</v>
      </c>
      <c r="F7950" s="850">
        <v>200</v>
      </c>
      <c r="G7950" s="202" t="str">
        <f t="shared" si="123"/>
        <v/>
      </c>
    </row>
    <row r="7951" spans="1:7" s="172" customFormat="1" ht="15" customHeight="1" x14ac:dyDescent="0.25">
      <c r="A7951" s="803" t="s">
        <v>5185</v>
      </c>
      <c r="B7951" s="803" t="s">
        <v>5148</v>
      </c>
      <c r="C7951" s="803" t="s">
        <v>5148</v>
      </c>
      <c r="D7951" s="803" t="s">
        <v>5190</v>
      </c>
      <c r="E7951" s="803">
        <v>160</v>
      </c>
      <c r="F7951" s="850">
        <v>80</v>
      </c>
      <c r="G7951" s="202" t="str">
        <f t="shared" si="123"/>
        <v/>
      </c>
    </row>
    <row r="7952" spans="1:7" s="172" customFormat="1" ht="15" customHeight="1" x14ac:dyDescent="0.25">
      <c r="A7952" s="803" t="s">
        <v>5185</v>
      </c>
      <c r="B7952" s="803" t="s">
        <v>5148</v>
      </c>
      <c r="C7952" s="803" t="s">
        <v>5148</v>
      </c>
      <c r="D7952" s="803" t="s">
        <v>5191</v>
      </c>
      <c r="E7952" s="803">
        <v>250</v>
      </c>
      <c r="F7952" s="850">
        <v>150</v>
      </c>
      <c r="G7952" s="202" t="str">
        <f t="shared" si="123"/>
        <v/>
      </c>
    </row>
    <row r="7953" spans="1:7" s="172" customFormat="1" ht="15" customHeight="1" x14ac:dyDescent="0.25">
      <c r="A7953" s="803" t="s">
        <v>5192</v>
      </c>
      <c r="B7953" s="803" t="s">
        <v>5148</v>
      </c>
      <c r="C7953" s="803" t="s">
        <v>5148</v>
      </c>
      <c r="D7953" s="803" t="s">
        <v>5193</v>
      </c>
      <c r="E7953" s="803">
        <v>160</v>
      </c>
      <c r="F7953" s="850">
        <v>80</v>
      </c>
      <c r="G7953" s="202" t="str">
        <f t="shared" si="123"/>
        <v/>
      </c>
    </row>
    <row r="7954" spans="1:7" s="172" customFormat="1" ht="15" customHeight="1" x14ac:dyDescent="0.25">
      <c r="A7954" s="803" t="s">
        <v>5192</v>
      </c>
      <c r="B7954" s="803" t="s">
        <v>5148</v>
      </c>
      <c r="C7954" s="803" t="s">
        <v>5148</v>
      </c>
      <c r="D7954" s="803" t="s">
        <v>5194</v>
      </c>
      <c r="E7954" s="803">
        <v>30</v>
      </c>
      <c r="F7954" s="850">
        <v>0</v>
      </c>
      <c r="G7954" s="202" t="str">
        <f t="shared" si="123"/>
        <v/>
      </c>
    </row>
    <row r="7955" spans="1:7" s="172" customFormat="1" ht="15" customHeight="1" x14ac:dyDescent="0.25">
      <c r="A7955" s="803" t="s">
        <v>5181</v>
      </c>
      <c r="B7955" s="803" t="s">
        <v>5148</v>
      </c>
      <c r="C7955" s="803" t="s">
        <v>5148</v>
      </c>
      <c r="D7955" s="803" t="s">
        <v>5195</v>
      </c>
      <c r="E7955" s="803">
        <v>100</v>
      </c>
      <c r="F7955" s="850">
        <v>20</v>
      </c>
      <c r="G7955" s="202" t="str">
        <f t="shared" si="123"/>
        <v/>
      </c>
    </row>
    <row r="7956" spans="1:7" s="172" customFormat="1" ht="15" customHeight="1" x14ac:dyDescent="0.25">
      <c r="A7956" s="803" t="s">
        <v>5196</v>
      </c>
      <c r="B7956" s="803" t="s">
        <v>5148</v>
      </c>
      <c r="C7956" s="803" t="s">
        <v>5148</v>
      </c>
      <c r="D7956" s="803" t="s">
        <v>5197</v>
      </c>
      <c r="E7956" s="803">
        <v>30</v>
      </c>
      <c r="F7956" s="850">
        <v>15</v>
      </c>
      <c r="G7956" s="202" t="str">
        <f t="shared" si="123"/>
        <v/>
      </c>
    </row>
    <row r="7957" spans="1:7" s="172" customFormat="1" ht="15" customHeight="1" x14ac:dyDescent="0.25">
      <c r="A7957" s="803" t="s">
        <v>14765</v>
      </c>
      <c r="B7957" s="803" t="s">
        <v>5148</v>
      </c>
      <c r="C7957" s="803" t="s">
        <v>5148</v>
      </c>
      <c r="D7957" s="803" t="s">
        <v>5198</v>
      </c>
      <c r="E7957" s="803">
        <v>60</v>
      </c>
      <c r="F7957" s="850">
        <v>10</v>
      </c>
      <c r="G7957" s="202" t="str">
        <f t="shared" si="123"/>
        <v/>
      </c>
    </row>
    <row r="7958" spans="1:7" s="172" customFormat="1" ht="15" customHeight="1" x14ac:dyDescent="0.25">
      <c r="A7958" s="803" t="s">
        <v>5199</v>
      </c>
      <c r="B7958" s="803" t="s">
        <v>5148</v>
      </c>
      <c r="C7958" s="803" t="s">
        <v>5148</v>
      </c>
      <c r="D7958" s="803" t="s">
        <v>5200</v>
      </c>
      <c r="E7958" s="803">
        <v>30</v>
      </c>
      <c r="F7958" s="850">
        <v>10</v>
      </c>
      <c r="G7958" s="202" t="str">
        <f t="shared" si="123"/>
        <v/>
      </c>
    </row>
    <row r="7959" spans="1:7" s="172" customFormat="1" ht="15" customHeight="1" x14ac:dyDescent="0.25">
      <c r="A7959" s="803" t="s">
        <v>5201</v>
      </c>
      <c r="B7959" s="803" t="s">
        <v>5148</v>
      </c>
      <c r="C7959" s="803" t="s">
        <v>5148</v>
      </c>
      <c r="D7959" s="803" t="s">
        <v>5202</v>
      </c>
      <c r="E7959" s="803">
        <v>60</v>
      </c>
      <c r="F7959" s="850">
        <v>10</v>
      </c>
      <c r="G7959" s="202" t="str">
        <f t="shared" si="123"/>
        <v/>
      </c>
    </row>
    <row r="7960" spans="1:7" s="172" customFormat="1" ht="15" customHeight="1" x14ac:dyDescent="0.25">
      <c r="A7960" s="803" t="s">
        <v>5203</v>
      </c>
      <c r="B7960" s="803" t="s">
        <v>5148</v>
      </c>
      <c r="C7960" s="803" t="s">
        <v>5148</v>
      </c>
      <c r="D7960" s="803" t="s">
        <v>5204</v>
      </c>
      <c r="E7960" s="803">
        <v>250</v>
      </c>
      <c r="F7960" s="850">
        <v>150</v>
      </c>
      <c r="G7960" s="202" t="str">
        <f t="shared" si="123"/>
        <v/>
      </c>
    </row>
    <row r="7961" spans="1:7" s="172" customFormat="1" ht="15" customHeight="1" x14ac:dyDescent="0.25">
      <c r="A7961" s="803" t="s">
        <v>5203</v>
      </c>
      <c r="B7961" s="803" t="s">
        <v>5148</v>
      </c>
      <c r="C7961" s="803" t="s">
        <v>5148</v>
      </c>
      <c r="D7961" s="803" t="s">
        <v>5205</v>
      </c>
      <c r="E7961" s="803">
        <v>100</v>
      </c>
      <c r="F7961" s="850">
        <v>20</v>
      </c>
      <c r="G7961" s="202" t="str">
        <f t="shared" si="123"/>
        <v/>
      </c>
    </row>
    <row r="7962" spans="1:7" s="172" customFormat="1" ht="15" customHeight="1" x14ac:dyDescent="0.25">
      <c r="A7962" s="803" t="s">
        <v>5203</v>
      </c>
      <c r="B7962" s="803" t="s">
        <v>5148</v>
      </c>
      <c r="C7962" s="803" t="s">
        <v>5148</v>
      </c>
      <c r="D7962" s="803" t="s">
        <v>5206</v>
      </c>
      <c r="E7962" s="803">
        <v>250</v>
      </c>
      <c r="F7962" s="850">
        <v>90</v>
      </c>
      <c r="G7962" s="202" t="str">
        <f t="shared" si="123"/>
        <v/>
      </c>
    </row>
    <row r="7963" spans="1:7" s="172" customFormat="1" ht="15" customHeight="1" x14ac:dyDescent="0.25">
      <c r="A7963" s="803" t="s">
        <v>5207</v>
      </c>
      <c r="B7963" s="803" t="s">
        <v>5148</v>
      </c>
      <c r="C7963" s="803" t="s">
        <v>5148</v>
      </c>
      <c r="D7963" s="803" t="s">
        <v>5208</v>
      </c>
      <c r="E7963" s="803">
        <v>30</v>
      </c>
      <c r="F7963" s="850">
        <v>15</v>
      </c>
      <c r="G7963" s="202" t="str">
        <f t="shared" si="123"/>
        <v/>
      </c>
    </row>
    <row r="7964" spans="1:7" s="172" customFormat="1" ht="15" customHeight="1" x14ac:dyDescent="0.25">
      <c r="A7964" s="803" t="s">
        <v>5209</v>
      </c>
      <c r="B7964" s="803" t="s">
        <v>5148</v>
      </c>
      <c r="C7964" s="803" t="s">
        <v>5148</v>
      </c>
      <c r="D7964" s="803" t="s">
        <v>5210</v>
      </c>
      <c r="E7964" s="803">
        <v>40</v>
      </c>
      <c r="F7964" s="850">
        <v>15</v>
      </c>
      <c r="G7964" s="202" t="str">
        <f t="shared" si="123"/>
        <v/>
      </c>
    </row>
    <row r="7965" spans="1:7" s="172" customFormat="1" ht="15" customHeight="1" x14ac:dyDescent="0.25">
      <c r="A7965" s="803" t="s">
        <v>5211</v>
      </c>
      <c r="B7965" s="803" t="s">
        <v>5148</v>
      </c>
      <c r="C7965" s="803" t="s">
        <v>5148</v>
      </c>
      <c r="D7965" s="803" t="s">
        <v>5212</v>
      </c>
      <c r="E7965" s="803">
        <v>30</v>
      </c>
      <c r="F7965" s="850">
        <v>10</v>
      </c>
      <c r="G7965" s="202" t="str">
        <f t="shared" si="123"/>
        <v/>
      </c>
    </row>
    <row r="7966" spans="1:7" s="172" customFormat="1" ht="15" customHeight="1" x14ac:dyDescent="0.25">
      <c r="A7966" s="803" t="s">
        <v>5213</v>
      </c>
      <c r="B7966" s="803" t="s">
        <v>5148</v>
      </c>
      <c r="C7966" s="803" t="s">
        <v>5148</v>
      </c>
      <c r="D7966" s="803" t="s">
        <v>5214</v>
      </c>
      <c r="E7966" s="803">
        <v>60</v>
      </c>
      <c r="F7966" s="850">
        <v>10</v>
      </c>
      <c r="G7966" s="202" t="str">
        <f t="shared" ref="G7966:G8029" si="124">IF(E7966=F7966,"не загружен","")</f>
        <v/>
      </c>
    </row>
    <row r="7967" spans="1:7" s="172" customFormat="1" ht="15" customHeight="1" x14ac:dyDescent="0.25">
      <c r="A7967" s="803" t="s">
        <v>5215</v>
      </c>
      <c r="B7967" s="803" t="s">
        <v>5148</v>
      </c>
      <c r="C7967" s="803" t="s">
        <v>5148</v>
      </c>
      <c r="D7967" s="803" t="s">
        <v>5216</v>
      </c>
      <c r="E7967" s="803">
        <v>60</v>
      </c>
      <c r="F7967" s="850">
        <v>20</v>
      </c>
      <c r="G7967" s="202" t="str">
        <f t="shared" si="124"/>
        <v/>
      </c>
    </row>
    <row r="7968" spans="1:7" s="172" customFormat="1" ht="15" customHeight="1" x14ac:dyDescent="0.25">
      <c r="A7968" s="803" t="s">
        <v>5217</v>
      </c>
      <c r="B7968" s="803" t="s">
        <v>5148</v>
      </c>
      <c r="C7968" s="803" t="s">
        <v>5148</v>
      </c>
      <c r="D7968" s="803" t="s">
        <v>5218</v>
      </c>
      <c r="E7968" s="803">
        <v>60</v>
      </c>
      <c r="F7968" s="850">
        <v>10</v>
      </c>
      <c r="G7968" s="202" t="str">
        <f t="shared" si="124"/>
        <v/>
      </c>
    </row>
    <row r="7969" spans="1:7" s="172" customFormat="1" ht="15" customHeight="1" x14ac:dyDescent="0.25">
      <c r="A7969" s="803" t="s">
        <v>5219</v>
      </c>
      <c r="B7969" s="803" t="s">
        <v>5148</v>
      </c>
      <c r="C7969" s="803" t="s">
        <v>5148</v>
      </c>
      <c r="D7969" s="803" t="s">
        <v>5220</v>
      </c>
      <c r="E7969" s="803">
        <v>100</v>
      </c>
      <c r="F7969" s="850">
        <v>10</v>
      </c>
      <c r="G7969" s="202" t="str">
        <f t="shared" si="124"/>
        <v/>
      </c>
    </row>
    <row r="7970" spans="1:7" s="172" customFormat="1" ht="15" customHeight="1" x14ac:dyDescent="0.25">
      <c r="A7970" s="803" t="s">
        <v>5175</v>
      </c>
      <c r="B7970" s="803" t="s">
        <v>5148</v>
      </c>
      <c r="C7970" s="803" t="s">
        <v>5148</v>
      </c>
      <c r="D7970" s="803" t="s">
        <v>5221</v>
      </c>
      <c r="E7970" s="803">
        <v>100</v>
      </c>
      <c r="F7970" s="850">
        <v>15</v>
      </c>
      <c r="G7970" s="202" t="str">
        <f t="shared" si="124"/>
        <v/>
      </c>
    </row>
    <row r="7971" spans="1:7" s="172" customFormat="1" ht="15" customHeight="1" x14ac:dyDescent="0.25">
      <c r="A7971" s="803" t="s">
        <v>5175</v>
      </c>
      <c r="B7971" s="803" t="s">
        <v>5148</v>
      </c>
      <c r="C7971" s="803" t="s">
        <v>5148</v>
      </c>
      <c r="D7971" s="803" t="s">
        <v>5222</v>
      </c>
      <c r="E7971" s="803">
        <v>500</v>
      </c>
      <c r="F7971" s="850">
        <v>400</v>
      </c>
      <c r="G7971" s="202" t="str">
        <f t="shared" si="124"/>
        <v/>
      </c>
    </row>
    <row r="7972" spans="1:7" s="172" customFormat="1" ht="15" customHeight="1" x14ac:dyDescent="0.25">
      <c r="A7972" s="803" t="s">
        <v>4830</v>
      </c>
      <c r="B7972" s="803" t="s">
        <v>5148</v>
      </c>
      <c r="C7972" s="803" t="s">
        <v>5148</v>
      </c>
      <c r="D7972" s="803" t="s">
        <v>5223</v>
      </c>
      <c r="E7972" s="803">
        <v>30</v>
      </c>
      <c r="F7972" s="850">
        <v>10</v>
      </c>
      <c r="G7972" s="202" t="str">
        <f t="shared" si="124"/>
        <v/>
      </c>
    </row>
    <row r="7973" spans="1:7" s="172" customFormat="1" ht="15" customHeight="1" x14ac:dyDescent="0.25">
      <c r="A7973" s="803" t="s">
        <v>5224</v>
      </c>
      <c r="B7973" s="803" t="s">
        <v>5148</v>
      </c>
      <c r="C7973" s="803" t="s">
        <v>5148</v>
      </c>
      <c r="D7973" s="803" t="s">
        <v>5225</v>
      </c>
      <c r="E7973" s="803">
        <v>30</v>
      </c>
      <c r="F7973" s="850">
        <v>10</v>
      </c>
      <c r="G7973" s="202" t="str">
        <f t="shared" si="124"/>
        <v/>
      </c>
    </row>
    <row r="7974" spans="1:7" s="172" customFormat="1" ht="15" customHeight="1" x14ac:dyDescent="0.25">
      <c r="A7974" s="803" t="s">
        <v>5226</v>
      </c>
      <c r="B7974" s="803" t="s">
        <v>5148</v>
      </c>
      <c r="C7974" s="803" t="s">
        <v>5148</v>
      </c>
      <c r="D7974" s="803" t="s">
        <v>5227</v>
      </c>
      <c r="E7974" s="803">
        <v>10</v>
      </c>
      <c r="F7974" s="850">
        <v>2</v>
      </c>
      <c r="G7974" s="202" t="str">
        <f t="shared" si="124"/>
        <v/>
      </c>
    </row>
    <row r="7975" spans="1:7" s="172" customFormat="1" ht="15" customHeight="1" x14ac:dyDescent="0.25">
      <c r="A7975" s="803" t="s">
        <v>5228</v>
      </c>
      <c r="B7975" s="803" t="s">
        <v>5148</v>
      </c>
      <c r="C7975" s="803" t="s">
        <v>5148</v>
      </c>
      <c r="D7975" s="803" t="s">
        <v>5229</v>
      </c>
      <c r="E7975" s="803">
        <v>400</v>
      </c>
      <c r="F7975" s="850">
        <v>300</v>
      </c>
      <c r="G7975" s="202" t="str">
        <f t="shared" si="124"/>
        <v/>
      </c>
    </row>
    <row r="7976" spans="1:7" s="172" customFormat="1" ht="15" customHeight="1" x14ac:dyDescent="0.25">
      <c r="A7976" s="803" t="s">
        <v>5228</v>
      </c>
      <c r="B7976" s="803" t="s">
        <v>5148</v>
      </c>
      <c r="C7976" s="803" t="s">
        <v>5148</v>
      </c>
      <c r="D7976" s="803" t="s">
        <v>5230</v>
      </c>
      <c r="E7976" s="803">
        <v>160</v>
      </c>
      <c r="F7976" s="850">
        <v>70</v>
      </c>
      <c r="G7976" s="202" t="str">
        <f t="shared" si="124"/>
        <v/>
      </c>
    </row>
    <row r="7977" spans="1:7" s="172" customFormat="1" ht="15" customHeight="1" x14ac:dyDescent="0.25">
      <c r="A7977" s="803" t="s">
        <v>5231</v>
      </c>
      <c r="B7977" s="803" t="s">
        <v>5148</v>
      </c>
      <c r="C7977" s="803" t="s">
        <v>5148</v>
      </c>
      <c r="D7977" s="803" t="s">
        <v>5232</v>
      </c>
      <c r="E7977" s="803">
        <v>100</v>
      </c>
      <c r="F7977" s="850">
        <v>50</v>
      </c>
      <c r="G7977" s="202" t="str">
        <f t="shared" si="124"/>
        <v/>
      </c>
    </row>
    <row r="7978" spans="1:7" s="172" customFormat="1" ht="15" customHeight="1" x14ac:dyDescent="0.25">
      <c r="A7978" s="803" t="s">
        <v>5233</v>
      </c>
      <c r="B7978" s="803" t="s">
        <v>5148</v>
      </c>
      <c r="C7978" s="803" t="s">
        <v>5148</v>
      </c>
      <c r="D7978" s="803" t="s">
        <v>5234</v>
      </c>
      <c r="E7978" s="803">
        <v>60</v>
      </c>
      <c r="F7978" s="850">
        <v>15</v>
      </c>
      <c r="G7978" s="202" t="str">
        <f t="shared" si="124"/>
        <v/>
      </c>
    </row>
    <row r="7979" spans="1:7" s="172" customFormat="1" ht="15" customHeight="1" x14ac:dyDescent="0.25">
      <c r="A7979" s="803" t="s">
        <v>5235</v>
      </c>
      <c r="B7979" s="803" t="s">
        <v>5148</v>
      </c>
      <c r="C7979" s="803" t="s">
        <v>5148</v>
      </c>
      <c r="D7979" s="803" t="s">
        <v>5236</v>
      </c>
      <c r="E7979" s="803">
        <v>10</v>
      </c>
      <c r="F7979" s="850">
        <v>2</v>
      </c>
      <c r="G7979" s="202" t="str">
        <f t="shared" si="124"/>
        <v/>
      </c>
    </row>
    <row r="7980" spans="1:7" s="172" customFormat="1" ht="15" customHeight="1" x14ac:dyDescent="0.25">
      <c r="A7980" s="803" t="s">
        <v>5237</v>
      </c>
      <c r="B7980" s="803" t="s">
        <v>5148</v>
      </c>
      <c r="C7980" s="803" t="s">
        <v>5148</v>
      </c>
      <c r="D7980" s="803" t="s">
        <v>5238</v>
      </c>
      <c r="E7980" s="803">
        <v>800</v>
      </c>
      <c r="F7980" s="850">
        <v>700</v>
      </c>
      <c r="G7980" s="202" t="str">
        <f t="shared" si="124"/>
        <v/>
      </c>
    </row>
    <row r="7981" spans="1:7" s="172" customFormat="1" ht="15" customHeight="1" x14ac:dyDescent="0.25">
      <c r="A7981" s="803" t="s">
        <v>5239</v>
      </c>
      <c r="B7981" s="803" t="s">
        <v>5148</v>
      </c>
      <c r="C7981" s="803" t="s">
        <v>5148</v>
      </c>
      <c r="D7981" s="803" t="s">
        <v>5240</v>
      </c>
      <c r="E7981" s="803">
        <v>60</v>
      </c>
      <c r="F7981" s="850">
        <v>20</v>
      </c>
      <c r="G7981" s="202" t="str">
        <f t="shared" si="124"/>
        <v/>
      </c>
    </row>
    <row r="7982" spans="1:7" s="172" customFormat="1" ht="15" customHeight="1" x14ac:dyDescent="0.25">
      <c r="A7982" s="803" t="s">
        <v>5241</v>
      </c>
      <c r="B7982" s="803" t="s">
        <v>5148</v>
      </c>
      <c r="C7982" s="803" t="s">
        <v>5148</v>
      </c>
      <c r="D7982" s="803" t="s">
        <v>5242</v>
      </c>
      <c r="E7982" s="803">
        <v>60</v>
      </c>
      <c r="F7982" s="850">
        <v>20</v>
      </c>
      <c r="G7982" s="202" t="str">
        <f t="shared" si="124"/>
        <v/>
      </c>
    </row>
    <row r="7983" spans="1:7" s="172" customFormat="1" ht="15" customHeight="1" x14ac:dyDescent="0.25">
      <c r="A7983" s="803" t="s">
        <v>5243</v>
      </c>
      <c r="B7983" s="803" t="s">
        <v>5148</v>
      </c>
      <c r="C7983" s="803" t="s">
        <v>5148</v>
      </c>
      <c r="D7983" s="803" t="s">
        <v>5244</v>
      </c>
      <c r="E7983" s="803">
        <v>30</v>
      </c>
      <c r="F7983" s="850">
        <v>15</v>
      </c>
      <c r="G7983" s="202" t="str">
        <f t="shared" si="124"/>
        <v/>
      </c>
    </row>
    <row r="7984" spans="1:7" s="172" customFormat="1" ht="15" customHeight="1" x14ac:dyDescent="0.25">
      <c r="A7984" s="803" t="s">
        <v>5237</v>
      </c>
      <c r="B7984" s="803" t="s">
        <v>5148</v>
      </c>
      <c r="C7984" s="803" t="s">
        <v>5148</v>
      </c>
      <c r="D7984" s="803" t="s">
        <v>5245</v>
      </c>
      <c r="E7984" s="803">
        <v>160</v>
      </c>
      <c r="F7984" s="850">
        <v>10</v>
      </c>
      <c r="G7984" s="202" t="str">
        <f t="shared" si="124"/>
        <v/>
      </c>
    </row>
    <row r="7985" spans="1:7" s="172" customFormat="1" ht="15" customHeight="1" x14ac:dyDescent="0.25">
      <c r="A7985" s="803" t="s">
        <v>5237</v>
      </c>
      <c r="B7985" s="803" t="s">
        <v>5148</v>
      </c>
      <c r="C7985" s="803" t="s">
        <v>5148</v>
      </c>
      <c r="D7985" s="803" t="s">
        <v>5246</v>
      </c>
      <c r="E7985" s="803">
        <v>160</v>
      </c>
      <c r="F7985" s="850">
        <v>60</v>
      </c>
      <c r="G7985" s="202" t="str">
        <f t="shared" si="124"/>
        <v/>
      </c>
    </row>
    <row r="7986" spans="1:7" s="172" customFormat="1" ht="15" customHeight="1" x14ac:dyDescent="0.25">
      <c r="A7986" s="803" t="s">
        <v>5247</v>
      </c>
      <c r="B7986" s="803" t="s">
        <v>5148</v>
      </c>
      <c r="C7986" s="803" t="s">
        <v>5148</v>
      </c>
      <c r="D7986" s="803" t="s">
        <v>5248</v>
      </c>
      <c r="E7986" s="803">
        <v>60</v>
      </c>
      <c r="F7986" s="850">
        <v>10</v>
      </c>
      <c r="G7986" s="202" t="str">
        <f t="shared" si="124"/>
        <v/>
      </c>
    </row>
    <row r="7987" spans="1:7" s="172" customFormat="1" ht="15" customHeight="1" x14ac:dyDescent="0.25">
      <c r="A7987" s="803" t="s">
        <v>5249</v>
      </c>
      <c r="B7987" s="803" t="s">
        <v>5148</v>
      </c>
      <c r="C7987" s="803" t="s">
        <v>5148</v>
      </c>
      <c r="D7987" s="803" t="s">
        <v>5250</v>
      </c>
      <c r="E7987" s="803">
        <v>30</v>
      </c>
      <c r="F7987" s="850">
        <v>10</v>
      </c>
      <c r="G7987" s="202" t="str">
        <f t="shared" si="124"/>
        <v/>
      </c>
    </row>
    <row r="7988" spans="1:7" s="172" customFormat="1" ht="15" customHeight="1" x14ac:dyDescent="0.25">
      <c r="A7988" s="803" t="s">
        <v>5251</v>
      </c>
      <c r="B7988" s="803" t="s">
        <v>5148</v>
      </c>
      <c r="C7988" s="803" t="s">
        <v>5148</v>
      </c>
      <c r="D7988" s="803" t="s">
        <v>5252</v>
      </c>
      <c r="E7988" s="803">
        <v>250</v>
      </c>
      <c r="F7988" s="850">
        <v>100</v>
      </c>
      <c r="G7988" s="202" t="str">
        <f t="shared" si="124"/>
        <v/>
      </c>
    </row>
    <row r="7989" spans="1:7" s="172" customFormat="1" ht="15" customHeight="1" x14ac:dyDescent="0.25">
      <c r="A7989" s="803" t="s">
        <v>5251</v>
      </c>
      <c r="B7989" s="803" t="s">
        <v>5148</v>
      </c>
      <c r="C7989" s="803" t="s">
        <v>5148</v>
      </c>
      <c r="D7989" s="803" t="s">
        <v>5253</v>
      </c>
      <c r="E7989" s="803">
        <v>500</v>
      </c>
      <c r="F7989" s="850">
        <v>250</v>
      </c>
      <c r="G7989" s="202" t="str">
        <f t="shared" si="124"/>
        <v/>
      </c>
    </row>
    <row r="7990" spans="1:7" s="172" customFormat="1" ht="15" customHeight="1" x14ac:dyDescent="0.25">
      <c r="A7990" s="803" t="s">
        <v>5251</v>
      </c>
      <c r="B7990" s="803" t="s">
        <v>5148</v>
      </c>
      <c r="C7990" s="803" t="s">
        <v>5148</v>
      </c>
      <c r="D7990" s="803" t="s">
        <v>5254</v>
      </c>
      <c r="E7990" s="803">
        <v>250</v>
      </c>
      <c r="F7990" s="850">
        <v>100</v>
      </c>
      <c r="G7990" s="202" t="str">
        <f t="shared" si="124"/>
        <v/>
      </c>
    </row>
    <row r="7991" spans="1:7" s="172" customFormat="1" ht="15" customHeight="1" x14ac:dyDescent="0.25">
      <c r="A7991" s="803" t="s">
        <v>5251</v>
      </c>
      <c r="B7991" s="803" t="s">
        <v>5148</v>
      </c>
      <c r="C7991" s="803" t="s">
        <v>5148</v>
      </c>
      <c r="D7991" s="803" t="s">
        <v>5255</v>
      </c>
      <c r="E7991" s="803">
        <v>160</v>
      </c>
      <c r="F7991" s="850">
        <v>60</v>
      </c>
      <c r="G7991" s="202" t="str">
        <f t="shared" si="124"/>
        <v/>
      </c>
    </row>
    <row r="7992" spans="1:7" s="172" customFormat="1" ht="15" customHeight="1" x14ac:dyDescent="0.25">
      <c r="A7992" s="803" t="s">
        <v>5256</v>
      </c>
      <c r="B7992" s="803" t="s">
        <v>5148</v>
      </c>
      <c r="C7992" s="803" t="s">
        <v>5148</v>
      </c>
      <c r="D7992" s="803" t="s">
        <v>5257</v>
      </c>
      <c r="E7992" s="803">
        <v>60</v>
      </c>
      <c r="F7992" s="850">
        <v>15</v>
      </c>
      <c r="G7992" s="202" t="str">
        <f t="shared" si="124"/>
        <v/>
      </c>
    </row>
    <row r="7993" spans="1:7" s="172" customFormat="1" ht="15" customHeight="1" x14ac:dyDescent="0.25">
      <c r="A7993" s="803" t="s">
        <v>5258</v>
      </c>
      <c r="B7993" s="803" t="s">
        <v>5148</v>
      </c>
      <c r="C7993" s="803" t="s">
        <v>5148</v>
      </c>
      <c r="D7993" s="803" t="s">
        <v>5259</v>
      </c>
      <c r="E7993" s="803">
        <v>30</v>
      </c>
      <c r="F7993" s="850">
        <v>5</v>
      </c>
      <c r="G7993" s="202" t="str">
        <f t="shared" si="124"/>
        <v/>
      </c>
    </row>
    <row r="7994" spans="1:7" s="172" customFormat="1" ht="15" customHeight="1" x14ac:dyDescent="0.25">
      <c r="A7994" s="803" t="s">
        <v>5260</v>
      </c>
      <c r="B7994" s="803" t="s">
        <v>5148</v>
      </c>
      <c r="C7994" s="803" t="s">
        <v>5148</v>
      </c>
      <c r="D7994" s="803" t="s">
        <v>5261</v>
      </c>
      <c r="E7994" s="803">
        <v>100</v>
      </c>
      <c r="F7994" s="850">
        <v>40</v>
      </c>
      <c r="G7994" s="202" t="str">
        <f t="shared" si="124"/>
        <v/>
      </c>
    </row>
    <row r="7995" spans="1:7" s="172" customFormat="1" ht="15" customHeight="1" x14ac:dyDescent="0.25">
      <c r="A7995" s="803" t="s">
        <v>5262</v>
      </c>
      <c r="B7995" s="803" t="s">
        <v>5148</v>
      </c>
      <c r="C7995" s="803" t="s">
        <v>5148</v>
      </c>
      <c r="D7995" s="803" t="s">
        <v>5263</v>
      </c>
      <c r="E7995" s="803">
        <v>100</v>
      </c>
      <c r="F7995" s="850">
        <v>40</v>
      </c>
      <c r="G7995" s="202" t="str">
        <f t="shared" si="124"/>
        <v/>
      </c>
    </row>
    <row r="7996" spans="1:7" s="172" customFormat="1" ht="15" customHeight="1" x14ac:dyDescent="0.25">
      <c r="A7996" s="803" t="s">
        <v>5264</v>
      </c>
      <c r="B7996" s="803" t="s">
        <v>5148</v>
      </c>
      <c r="C7996" s="803" t="s">
        <v>5148</v>
      </c>
      <c r="D7996" s="803" t="s">
        <v>5265</v>
      </c>
      <c r="E7996" s="803">
        <v>160</v>
      </c>
      <c r="F7996" s="850">
        <v>60</v>
      </c>
      <c r="G7996" s="202" t="str">
        <f t="shared" si="124"/>
        <v/>
      </c>
    </row>
    <row r="7997" spans="1:7" s="172" customFormat="1" ht="15" customHeight="1" x14ac:dyDescent="0.25">
      <c r="A7997" s="803" t="s">
        <v>5266</v>
      </c>
      <c r="B7997" s="803" t="s">
        <v>5148</v>
      </c>
      <c r="C7997" s="803" t="s">
        <v>5148</v>
      </c>
      <c r="D7997" s="803" t="s">
        <v>5267</v>
      </c>
      <c r="E7997" s="803">
        <v>40</v>
      </c>
      <c r="F7997" s="850">
        <v>20</v>
      </c>
      <c r="G7997" s="202" t="str">
        <f t="shared" si="124"/>
        <v/>
      </c>
    </row>
    <row r="7998" spans="1:7" s="172" customFormat="1" ht="15" customHeight="1" x14ac:dyDescent="0.25">
      <c r="A7998" s="803" t="s">
        <v>5268</v>
      </c>
      <c r="B7998" s="803" t="s">
        <v>5148</v>
      </c>
      <c r="C7998" s="803" t="s">
        <v>5148</v>
      </c>
      <c r="D7998" s="803" t="s">
        <v>5269</v>
      </c>
      <c r="E7998" s="803">
        <v>30</v>
      </c>
      <c r="F7998" s="850">
        <v>5</v>
      </c>
      <c r="G7998" s="202" t="str">
        <f t="shared" si="124"/>
        <v/>
      </c>
    </row>
    <row r="7999" spans="1:7" s="172" customFormat="1" ht="15" customHeight="1" x14ac:dyDescent="0.25">
      <c r="A7999" s="803" t="s">
        <v>4458</v>
      </c>
      <c r="B7999" s="803" t="s">
        <v>5148</v>
      </c>
      <c r="C7999" s="803" t="s">
        <v>5148</v>
      </c>
      <c r="D7999" s="803" t="s">
        <v>5270</v>
      </c>
      <c r="E7999" s="803">
        <v>10</v>
      </c>
      <c r="F7999" s="850">
        <v>0</v>
      </c>
      <c r="G7999" s="202" t="str">
        <f t="shared" si="124"/>
        <v/>
      </c>
    </row>
    <row r="8000" spans="1:7" s="172" customFormat="1" ht="15" customHeight="1" x14ac:dyDescent="0.25">
      <c r="A8000" s="803" t="s">
        <v>5271</v>
      </c>
      <c r="B8000" s="803" t="s">
        <v>5148</v>
      </c>
      <c r="C8000" s="803" t="s">
        <v>5148</v>
      </c>
      <c r="D8000" s="803" t="s">
        <v>5272</v>
      </c>
      <c r="E8000" s="803">
        <v>30</v>
      </c>
      <c r="F8000" s="850">
        <v>15</v>
      </c>
      <c r="G8000" s="202" t="str">
        <f t="shared" si="124"/>
        <v/>
      </c>
    </row>
    <row r="8001" spans="1:7" s="172" customFormat="1" ht="15" customHeight="1" x14ac:dyDescent="0.25">
      <c r="A8001" s="803" t="s">
        <v>5273</v>
      </c>
      <c r="B8001" s="803" t="s">
        <v>5148</v>
      </c>
      <c r="C8001" s="803" t="s">
        <v>5148</v>
      </c>
      <c r="D8001" s="803" t="s">
        <v>5274</v>
      </c>
      <c r="E8001" s="803">
        <v>30</v>
      </c>
      <c r="F8001" s="850">
        <v>15</v>
      </c>
      <c r="G8001" s="202" t="str">
        <f t="shared" si="124"/>
        <v/>
      </c>
    </row>
    <row r="8002" spans="1:7" s="172" customFormat="1" ht="15" customHeight="1" x14ac:dyDescent="0.25">
      <c r="A8002" s="803" t="s">
        <v>5275</v>
      </c>
      <c r="B8002" s="803" t="s">
        <v>5148</v>
      </c>
      <c r="C8002" s="803" t="s">
        <v>5148</v>
      </c>
      <c r="D8002" s="803" t="s">
        <v>5276</v>
      </c>
      <c r="E8002" s="803">
        <v>60</v>
      </c>
      <c r="F8002" s="850">
        <v>5</v>
      </c>
      <c r="G8002" s="202" t="str">
        <f t="shared" si="124"/>
        <v/>
      </c>
    </row>
    <row r="8003" spans="1:7" s="172" customFormat="1" ht="15" customHeight="1" x14ac:dyDescent="0.25">
      <c r="A8003" s="803" t="s">
        <v>5277</v>
      </c>
      <c r="B8003" s="803" t="s">
        <v>5148</v>
      </c>
      <c r="C8003" s="803" t="s">
        <v>5148</v>
      </c>
      <c r="D8003" s="803" t="s">
        <v>5278</v>
      </c>
      <c r="E8003" s="803">
        <v>30</v>
      </c>
      <c r="F8003" s="850">
        <v>15</v>
      </c>
      <c r="G8003" s="202" t="str">
        <f t="shared" si="124"/>
        <v/>
      </c>
    </row>
    <row r="8004" spans="1:7" s="172" customFormat="1" ht="15" customHeight="1" x14ac:dyDescent="0.25">
      <c r="A8004" s="803" t="s">
        <v>5279</v>
      </c>
      <c r="B8004" s="803" t="s">
        <v>5148</v>
      </c>
      <c r="C8004" s="803" t="s">
        <v>5148</v>
      </c>
      <c r="D8004" s="803" t="s">
        <v>5280</v>
      </c>
      <c r="E8004" s="803">
        <v>160</v>
      </c>
      <c r="F8004" s="850">
        <v>100</v>
      </c>
      <c r="G8004" s="202" t="str">
        <f t="shared" si="124"/>
        <v/>
      </c>
    </row>
    <row r="8005" spans="1:7" s="172" customFormat="1" ht="15" customHeight="1" x14ac:dyDescent="0.25">
      <c r="A8005" s="803" t="s">
        <v>14766</v>
      </c>
      <c r="B8005" s="803" t="s">
        <v>5148</v>
      </c>
      <c r="C8005" s="803" t="s">
        <v>5148</v>
      </c>
      <c r="D8005" s="803" t="s">
        <v>5281</v>
      </c>
      <c r="E8005" s="803">
        <v>800</v>
      </c>
      <c r="F8005" s="850">
        <v>400</v>
      </c>
      <c r="G8005" s="202" t="str">
        <f t="shared" si="124"/>
        <v/>
      </c>
    </row>
    <row r="8006" spans="1:7" s="172" customFormat="1" ht="15" customHeight="1" x14ac:dyDescent="0.25">
      <c r="A8006" s="803" t="s">
        <v>14766</v>
      </c>
      <c r="B8006" s="803" t="s">
        <v>5148</v>
      </c>
      <c r="C8006" s="803" t="s">
        <v>5148</v>
      </c>
      <c r="D8006" s="803" t="s">
        <v>5282</v>
      </c>
      <c r="E8006" s="803">
        <v>250</v>
      </c>
      <c r="F8006" s="850">
        <v>90</v>
      </c>
      <c r="G8006" s="202" t="str">
        <f t="shared" si="124"/>
        <v/>
      </c>
    </row>
    <row r="8007" spans="1:7" s="172" customFormat="1" ht="15" customHeight="1" x14ac:dyDescent="0.25">
      <c r="A8007" s="803" t="s">
        <v>14766</v>
      </c>
      <c r="B8007" s="803" t="s">
        <v>5148</v>
      </c>
      <c r="C8007" s="803" t="s">
        <v>5148</v>
      </c>
      <c r="D8007" s="803" t="s">
        <v>5283</v>
      </c>
      <c r="E8007" s="803">
        <v>100</v>
      </c>
      <c r="F8007" s="850">
        <v>10</v>
      </c>
      <c r="G8007" s="202" t="str">
        <f t="shared" si="124"/>
        <v/>
      </c>
    </row>
    <row r="8008" spans="1:7" s="172" customFormat="1" ht="15" customHeight="1" x14ac:dyDescent="0.25">
      <c r="A8008" s="803" t="s">
        <v>5284</v>
      </c>
      <c r="B8008" s="803" t="s">
        <v>5148</v>
      </c>
      <c r="C8008" s="803" t="s">
        <v>5148</v>
      </c>
      <c r="D8008" s="803" t="s">
        <v>5285</v>
      </c>
      <c r="E8008" s="803">
        <v>60</v>
      </c>
      <c r="F8008" s="850">
        <v>10</v>
      </c>
      <c r="G8008" s="202" t="str">
        <f t="shared" si="124"/>
        <v/>
      </c>
    </row>
    <row r="8009" spans="1:7" s="172" customFormat="1" ht="15" customHeight="1" x14ac:dyDescent="0.25">
      <c r="A8009" s="803" t="s">
        <v>14766</v>
      </c>
      <c r="B8009" s="803" t="s">
        <v>5148</v>
      </c>
      <c r="C8009" s="803" t="s">
        <v>5148</v>
      </c>
      <c r="D8009" s="803" t="s">
        <v>5286</v>
      </c>
      <c r="E8009" s="803">
        <v>60</v>
      </c>
      <c r="F8009" s="850">
        <v>10</v>
      </c>
      <c r="G8009" s="202" t="str">
        <f t="shared" si="124"/>
        <v/>
      </c>
    </row>
    <row r="8010" spans="1:7" s="172" customFormat="1" ht="15" customHeight="1" x14ac:dyDescent="0.25">
      <c r="A8010" s="803" t="s">
        <v>5287</v>
      </c>
      <c r="B8010" s="803" t="s">
        <v>5148</v>
      </c>
      <c r="C8010" s="803" t="s">
        <v>5148</v>
      </c>
      <c r="D8010" s="803" t="s">
        <v>5288</v>
      </c>
      <c r="E8010" s="803">
        <v>30</v>
      </c>
      <c r="F8010" s="850">
        <v>15</v>
      </c>
      <c r="G8010" s="202" t="str">
        <f t="shared" si="124"/>
        <v/>
      </c>
    </row>
    <row r="8011" spans="1:7" s="172" customFormat="1" ht="15" customHeight="1" x14ac:dyDescent="0.25">
      <c r="A8011" s="803" t="s">
        <v>5289</v>
      </c>
      <c r="B8011" s="803" t="s">
        <v>5148</v>
      </c>
      <c r="C8011" s="803" t="s">
        <v>5148</v>
      </c>
      <c r="D8011" s="803" t="s">
        <v>5290</v>
      </c>
      <c r="E8011" s="803">
        <v>30</v>
      </c>
      <c r="F8011" s="850">
        <v>10</v>
      </c>
      <c r="G8011" s="202" t="str">
        <f t="shared" si="124"/>
        <v/>
      </c>
    </row>
    <row r="8012" spans="1:7" s="172" customFormat="1" ht="15" customHeight="1" x14ac:dyDescent="0.25">
      <c r="A8012" s="803" t="s">
        <v>5291</v>
      </c>
      <c r="B8012" s="803" t="s">
        <v>5148</v>
      </c>
      <c r="C8012" s="803" t="s">
        <v>5148</v>
      </c>
      <c r="D8012" s="803" t="s">
        <v>5292</v>
      </c>
      <c r="E8012" s="803">
        <v>60</v>
      </c>
      <c r="F8012" s="850">
        <v>30</v>
      </c>
      <c r="G8012" s="202" t="str">
        <f t="shared" si="124"/>
        <v/>
      </c>
    </row>
    <row r="8013" spans="1:7" s="172" customFormat="1" ht="15" customHeight="1" x14ac:dyDescent="0.25">
      <c r="A8013" s="803" t="s">
        <v>5293</v>
      </c>
      <c r="B8013" s="803" t="s">
        <v>5148</v>
      </c>
      <c r="C8013" s="803" t="s">
        <v>5148</v>
      </c>
      <c r="D8013" s="803" t="s">
        <v>5294</v>
      </c>
      <c r="E8013" s="803">
        <v>40</v>
      </c>
      <c r="F8013" s="850">
        <v>15</v>
      </c>
      <c r="G8013" s="202" t="str">
        <f t="shared" si="124"/>
        <v/>
      </c>
    </row>
    <row r="8014" spans="1:7" s="172" customFormat="1" ht="15" customHeight="1" x14ac:dyDescent="0.25">
      <c r="A8014" s="803" t="s">
        <v>5295</v>
      </c>
      <c r="B8014" s="803" t="s">
        <v>5148</v>
      </c>
      <c r="C8014" s="803" t="s">
        <v>5148</v>
      </c>
      <c r="D8014" s="803" t="s">
        <v>5296</v>
      </c>
      <c r="E8014" s="803">
        <v>160</v>
      </c>
      <c r="F8014" s="850">
        <v>60</v>
      </c>
      <c r="G8014" s="202" t="str">
        <f t="shared" si="124"/>
        <v/>
      </c>
    </row>
    <row r="8015" spans="1:7" s="172" customFormat="1" ht="15" customHeight="1" x14ac:dyDescent="0.25">
      <c r="A8015" s="803" t="s">
        <v>5297</v>
      </c>
      <c r="B8015" s="803" t="s">
        <v>5148</v>
      </c>
      <c r="C8015" s="803" t="s">
        <v>5148</v>
      </c>
      <c r="D8015" s="803" t="s">
        <v>5298</v>
      </c>
      <c r="E8015" s="803">
        <v>30</v>
      </c>
      <c r="F8015" s="850">
        <v>10</v>
      </c>
      <c r="G8015" s="202" t="str">
        <f t="shared" si="124"/>
        <v/>
      </c>
    </row>
    <row r="8016" spans="1:7" s="172" customFormat="1" ht="15" customHeight="1" x14ac:dyDescent="0.25">
      <c r="A8016" s="803" t="s">
        <v>5299</v>
      </c>
      <c r="B8016" s="803" t="s">
        <v>5148</v>
      </c>
      <c r="C8016" s="803" t="s">
        <v>5148</v>
      </c>
      <c r="D8016" s="803" t="s">
        <v>5300</v>
      </c>
      <c r="E8016" s="803">
        <v>30</v>
      </c>
      <c r="F8016" s="850">
        <v>5</v>
      </c>
      <c r="G8016" s="202" t="str">
        <f t="shared" si="124"/>
        <v/>
      </c>
    </row>
    <row r="8017" spans="1:7" s="172" customFormat="1" ht="15" customHeight="1" x14ac:dyDescent="0.25">
      <c r="A8017" s="803" t="s">
        <v>5301</v>
      </c>
      <c r="B8017" s="803" t="s">
        <v>5148</v>
      </c>
      <c r="C8017" s="803" t="s">
        <v>5148</v>
      </c>
      <c r="D8017" s="803" t="s">
        <v>5302</v>
      </c>
      <c r="E8017" s="803">
        <v>100</v>
      </c>
      <c r="F8017" s="850">
        <v>10</v>
      </c>
      <c r="G8017" s="202" t="str">
        <f t="shared" si="124"/>
        <v/>
      </c>
    </row>
    <row r="8018" spans="1:7" s="172" customFormat="1" ht="15" customHeight="1" x14ac:dyDescent="0.25">
      <c r="A8018" s="803" t="s">
        <v>5303</v>
      </c>
      <c r="B8018" s="803" t="s">
        <v>5148</v>
      </c>
      <c r="C8018" s="803" t="s">
        <v>5148</v>
      </c>
      <c r="D8018" s="803" t="s">
        <v>5304</v>
      </c>
      <c r="E8018" s="803">
        <v>60</v>
      </c>
      <c r="F8018" s="850">
        <v>10</v>
      </c>
      <c r="G8018" s="202" t="str">
        <f t="shared" si="124"/>
        <v/>
      </c>
    </row>
    <row r="8019" spans="1:7" s="172" customFormat="1" ht="15" customHeight="1" x14ac:dyDescent="0.25">
      <c r="A8019" s="803" t="s">
        <v>5305</v>
      </c>
      <c r="B8019" s="803" t="s">
        <v>5148</v>
      </c>
      <c r="C8019" s="803" t="s">
        <v>5148</v>
      </c>
      <c r="D8019" s="803" t="s">
        <v>5306</v>
      </c>
      <c r="E8019" s="803">
        <v>60</v>
      </c>
      <c r="F8019" s="850">
        <v>10</v>
      </c>
      <c r="G8019" s="202" t="str">
        <f t="shared" si="124"/>
        <v/>
      </c>
    </row>
    <row r="8020" spans="1:7" s="172" customFormat="1" ht="15" customHeight="1" x14ac:dyDescent="0.25">
      <c r="A8020" s="803" t="s">
        <v>5307</v>
      </c>
      <c r="B8020" s="803" t="s">
        <v>5148</v>
      </c>
      <c r="C8020" s="803" t="s">
        <v>5148</v>
      </c>
      <c r="D8020" s="803" t="s">
        <v>5308</v>
      </c>
      <c r="E8020" s="803">
        <v>60</v>
      </c>
      <c r="F8020" s="850">
        <v>10</v>
      </c>
      <c r="G8020" s="202" t="str">
        <f t="shared" si="124"/>
        <v/>
      </c>
    </row>
    <row r="8021" spans="1:7" s="172" customFormat="1" ht="15" customHeight="1" x14ac:dyDescent="0.25">
      <c r="A8021" s="803" t="s">
        <v>5309</v>
      </c>
      <c r="B8021" s="803" t="s">
        <v>5148</v>
      </c>
      <c r="C8021" s="803" t="s">
        <v>5148</v>
      </c>
      <c r="D8021" s="803" t="s">
        <v>5310</v>
      </c>
      <c r="E8021" s="803">
        <v>60</v>
      </c>
      <c r="F8021" s="850">
        <v>20</v>
      </c>
      <c r="G8021" s="202" t="str">
        <f t="shared" si="124"/>
        <v/>
      </c>
    </row>
    <row r="8022" spans="1:7" s="172" customFormat="1" ht="15" customHeight="1" x14ac:dyDescent="0.25">
      <c r="A8022" s="803" t="s">
        <v>5311</v>
      </c>
      <c r="B8022" s="803" t="s">
        <v>5148</v>
      </c>
      <c r="C8022" s="803" t="s">
        <v>5148</v>
      </c>
      <c r="D8022" s="803" t="s">
        <v>5312</v>
      </c>
      <c r="E8022" s="803">
        <v>60</v>
      </c>
      <c r="F8022" s="850">
        <v>5</v>
      </c>
      <c r="G8022" s="202" t="str">
        <f t="shared" si="124"/>
        <v/>
      </c>
    </row>
    <row r="8023" spans="1:7" s="172" customFormat="1" ht="15" customHeight="1" x14ac:dyDescent="0.25">
      <c r="A8023" s="803" t="s">
        <v>5313</v>
      </c>
      <c r="B8023" s="803" t="s">
        <v>5148</v>
      </c>
      <c r="C8023" s="803" t="s">
        <v>5148</v>
      </c>
      <c r="D8023" s="803" t="s">
        <v>5314</v>
      </c>
      <c r="E8023" s="803">
        <v>30</v>
      </c>
      <c r="F8023" s="850">
        <v>5</v>
      </c>
      <c r="G8023" s="202" t="str">
        <f t="shared" si="124"/>
        <v/>
      </c>
    </row>
    <row r="8024" spans="1:7" s="172" customFormat="1" ht="15" customHeight="1" x14ac:dyDescent="0.25">
      <c r="A8024" s="803" t="s">
        <v>5315</v>
      </c>
      <c r="B8024" s="803" t="s">
        <v>5148</v>
      </c>
      <c r="C8024" s="803" t="s">
        <v>5148</v>
      </c>
      <c r="D8024" s="803" t="s">
        <v>5316</v>
      </c>
      <c r="E8024" s="803">
        <v>60</v>
      </c>
      <c r="F8024" s="850">
        <v>10</v>
      </c>
      <c r="G8024" s="202" t="str">
        <f t="shared" si="124"/>
        <v/>
      </c>
    </row>
    <row r="8025" spans="1:7" s="172" customFormat="1" ht="15" customHeight="1" x14ac:dyDescent="0.25">
      <c r="A8025" s="803" t="s">
        <v>5207</v>
      </c>
      <c r="B8025" s="803" t="s">
        <v>5148</v>
      </c>
      <c r="C8025" s="803" t="s">
        <v>5148</v>
      </c>
      <c r="D8025" s="803" t="s">
        <v>5317</v>
      </c>
      <c r="E8025" s="803">
        <v>160</v>
      </c>
      <c r="F8025" s="850">
        <v>100</v>
      </c>
      <c r="G8025" s="202" t="str">
        <f t="shared" si="124"/>
        <v/>
      </c>
    </row>
    <row r="8026" spans="1:7" s="172" customFormat="1" ht="15" customHeight="1" x14ac:dyDescent="0.25">
      <c r="A8026" s="803" t="s">
        <v>5318</v>
      </c>
      <c r="B8026" s="803" t="s">
        <v>5148</v>
      </c>
      <c r="C8026" s="803" t="s">
        <v>5148</v>
      </c>
      <c r="D8026" s="803" t="s">
        <v>5319</v>
      </c>
      <c r="E8026" s="803">
        <v>100</v>
      </c>
      <c r="F8026" s="850">
        <v>60</v>
      </c>
      <c r="G8026" s="202" t="str">
        <f t="shared" si="124"/>
        <v/>
      </c>
    </row>
    <row r="8027" spans="1:7" s="172" customFormat="1" ht="15" customHeight="1" x14ac:dyDescent="0.25">
      <c r="A8027" s="803" t="s">
        <v>5320</v>
      </c>
      <c r="B8027" s="803" t="s">
        <v>5148</v>
      </c>
      <c r="C8027" s="803" t="s">
        <v>5148</v>
      </c>
      <c r="D8027" s="803" t="s">
        <v>5321</v>
      </c>
      <c r="E8027" s="803">
        <v>10</v>
      </c>
      <c r="F8027" s="850">
        <v>2</v>
      </c>
      <c r="G8027" s="202" t="str">
        <f t="shared" si="124"/>
        <v/>
      </c>
    </row>
    <row r="8028" spans="1:7" s="172" customFormat="1" ht="15" customHeight="1" x14ac:dyDescent="0.25">
      <c r="A8028" s="803" t="s">
        <v>5322</v>
      </c>
      <c r="B8028" s="803" t="s">
        <v>5148</v>
      </c>
      <c r="C8028" s="803" t="s">
        <v>5148</v>
      </c>
      <c r="D8028" s="803" t="s">
        <v>5323</v>
      </c>
      <c r="E8028" s="803">
        <v>30</v>
      </c>
      <c r="F8028" s="850">
        <v>5</v>
      </c>
      <c r="G8028" s="202" t="str">
        <f t="shared" si="124"/>
        <v/>
      </c>
    </row>
    <row r="8029" spans="1:7" s="172" customFormat="1" ht="15" customHeight="1" x14ac:dyDescent="0.25">
      <c r="A8029" s="803" t="s">
        <v>5165</v>
      </c>
      <c r="B8029" s="803" t="s">
        <v>5148</v>
      </c>
      <c r="C8029" s="803" t="s">
        <v>5148</v>
      </c>
      <c r="D8029" s="803" t="s">
        <v>5324</v>
      </c>
      <c r="E8029" s="803">
        <v>30</v>
      </c>
      <c r="F8029" s="850">
        <v>5</v>
      </c>
      <c r="G8029" s="202" t="str">
        <f t="shared" si="124"/>
        <v/>
      </c>
    </row>
    <row r="8030" spans="1:7" s="172" customFormat="1" ht="15" customHeight="1" x14ac:dyDescent="0.25">
      <c r="A8030" s="803" t="s">
        <v>5325</v>
      </c>
      <c r="B8030" s="803" t="s">
        <v>5148</v>
      </c>
      <c r="C8030" s="803" t="s">
        <v>5148</v>
      </c>
      <c r="D8030" s="803" t="s">
        <v>5326</v>
      </c>
      <c r="E8030" s="803">
        <v>250</v>
      </c>
      <c r="F8030" s="850">
        <v>90</v>
      </c>
      <c r="G8030" s="202" t="str">
        <f t="shared" ref="G8030:G8093" si="125">IF(E8030=F8030,"не загружен","")</f>
        <v/>
      </c>
    </row>
    <row r="8031" spans="1:7" s="172" customFormat="1" ht="15" customHeight="1" x14ac:dyDescent="0.25">
      <c r="A8031" s="803" t="s">
        <v>5325</v>
      </c>
      <c r="B8031" s="803" t="s">
        <v>5148</v>
      </c>
      <c r="C8031" s="803" t="s">
        <v>5148</v>
      </c>
      <c r="D8031" s="803" t="s">
        <v>5327</v>
      </c>
      <c r="E8031" s="803">
        <v>250</v>
      </c>
      <c r="F8031" s="850">
        <v>150</v>
      </c>
      <c r="G8031" s="202" t="str">
        <f t="shared" si="125"/>
        <v/>
      </c>
    </row>
    <row r="8032" spans="1:7" s="172" customFormat="1" ht="15" customHeight="1" x14ac:dyDescent="0.25">
      <c r="A8032" s="803" t="s">
        <v>5325</v>
      </c>
      <c r="B8032" s="803" t="s">
        <v>5148</v>
      </c>
      <c r="C8032" s="803" t="s">
        <v>5148</v>
      </c>
      <c r="D8032" s="803" t="s">
        <v>5328</v>
      </c>
      <c r="E8032" s="803">
        <v>100</v>
      </c>
      <c r="F8032" s="850">
        <v>10</v>
      </c>
      <c r="G8032" s="202" t="str">
        <f t="shared" si="125"/>
        <v/>
      </c>
    </row>
    <row r="8033" spans="1:7" s="172" customFormat="1" ht="15" customHeight="1" x14ac:dyDescent="0.25">
      <c r="A8033" s="803" t="s">
        <v>5329</v>
      </c>
      <c r="B8033" s="803" t="s">
        <v>5148</v>
      </c>
      <c r="C8033" s="803" t="s">
        <v>5148</v>
      </c>
      <c r="D8033" s="803" t="s">
        <v>5330</v>
      </c>
      <c r="E8033" s="803">
        <v>60</v>
      </c>
      <c r="F8033" s="850">
        <v>20</v>
      </c>
      <c r="G8033" s="202" t="str">
        <f t="shared" si="125"/>
        <v/>
      </c>
    </row>
    <row r="8034" spans="1:7" s="172" customFormat="1" ht="15" customHeight="1" x14ac:dyDescent="0.25">
      <c r="A8034" s="803" t="s">
        <v>5331</v>
      </c>
      <c r="B8034" s="803" t="s">
        <v>5148</v>
      </c>
      <c r="C8034" s="803" t="s">
        <v>5148</v>
      </c>
      <c r="D8034" s="803" t="s">
        <v>5332</v>
      </c>
      <c r="E8034" s="803">
        <v>30</v>
      </c>
      <c r="F8034" s="850">
        <v>15</v>
      </c>
      <c r="G8034" s="202" t="str">
        <f t="shared" si="125"/>
        <v/>
      </c>
    </row>
    <row r="8035" spans="1:7" s="172" customFormat="1" ht="15" customHeight="1" x14ac:dyDescent="0.25">
      <c r="A8035" s="803" t="s">
        <v>5333</v>
      </c>
      <c r="B8035" s="803" t="s">
        <v>5148</v>
      </c>
      <c r="C8035" s="803" t="s">
        <v>5148</v>
      </c>
      <c r="D8035" s="803" t="s">
        <v>5334</v>
      </c>
      <c r="E8035" s="803">
        <v>100</v>
      </c>
      <c r="F8035" s="850">
        <v>40</v>
      </c>
      <c r="G8035" s="202" t="str">
        <f t="shared" si="125"/>
        <v/>
      </c>
    </row>
    <row r="8036" spans="1:7" s="172" customFormat="1" ht="15" customHeight="1" x14ac:dyDescent="0.25">
      <c r="A8036" s="803" t="s">
        <v>5335</v>
      </c>
      <c r="B8036" s="803" t="s">
        <v>5148</v>
      </c>
      <c r="C8036" s="803" t="s">
        <v>5148</v>
      </c>
      <c r="D8036" s="803" t="s">
        <v>5336</v>
      </c>
      <c r="E8036" s="803">
        <v>10</v>
      </c>
      <c r="F8036" s="850">
        <v>2</v>
      </c>
      <c r="G8036" s="202" t="str">
        <f t="shared" si="125"/>
        <v/>
      </c>
    </row>
    <row r="8037" spans="1:7" s="172" customFormat="1" ht="15" customHeight="1" x14ac:dyDescent="0.25">
      <c r="A8037" s="803" t="s">
        <v>5337</v>
      </c>
      <c r="B8037" s="803" t="s">
        <v>5148</v>
      </c>
      <c r="C8037" s="803" t="s">
        <v>5148</v>
      </c>
      <c r="D8037" s="803" t="s">
        <v>5338</v>
      </c>
      <c r="E8037" s="803">
        <v>100</v>
      </c>
      <c r="F8037" s="850">
        <v>40</v>
      </c>
      <c r="G8037" s="202" t="str">
        <f t="shared" si="125"/>
        <v/>
      </c>
    </row>
    <row r="8038" spans="1:7" s="172" customFormat="1" ht="15" customHeight="1" x14ac:dyDescent="0.25">
      <c r="A8038" s="803" t="s">
        <v>5339</v>
      </c>
      <c r="B8038" s="803" t="s">
        <v>5148</v>
      </c>
      <c r="C8038" s="803" t="s">
        <v>5148</v>
      </c>
      <c r="D8038" s="803" t="s">
        <v>5340</v>
      </c>
      <c r="E8038" s="803">
        <v>40</v>
      </c>
      <c r="F8038" s="850">
        <v>20</v>
      </c>
      <c r="G8038" s="202" t="str">
        <f t="shared" si="125"/>
        <v/>
      </c>
    </row>
    <row r="8039" spans="1:7" s="172" customFormat="1" ht="15" customHeight="1" x14ac:dyDescent="0.25">
      <c r="A8039" s="803" t="s">
        <v>5341</v>
      </c>
      <c r="B8039" s="803" t="s">
        <v>5148</v>
      </c>
      <c r="C8039" s="803" t="s">
        <v>5148</v>
      </c>
      <c r="D8039" s="803" t="s">
        <v>5342</v>
      </c>
      <c r="E8039" s="803">
        <v>60</v>
      </c>
      <c r="F8039" s="850">
        <v>10</v>
      </c>
      <c r="G8039" s="202" t="str">
        <f t="shared" si="125"/>
        <v/>
      </c>
    </row>
    <row r="8040" spans="1:7" s="172" customFormat="1" ht="15" customHeight="1" x14ac:dyDescent="0.25">
      <c r="A8040" s="803" t="s">
        <v>5343</v>
      </c>
      <c r="B8040" s="803" t="s">
        <v>5148</v>
      </c>
      <c r="C8040" s="803" t="s">
        <v>5148</v>
      </c>
      <c r="D8040" s="803" t="s">
        <v>5344</v>
      </c>
      <c r="E8040" s="803">
        <v>100</v>
      </c>
      <c r="F8040" s="850">
        <v>30</v>
      </c>
      <c r="G8040" s="202" t="str">
        <f t="shared" si="125"/>
        <v/>
      </c>
    </row>
    <row r="8041" spans="1:7" s="172" customFormat="1" ht="15" customHeight="1" x14ac:dyDescent="0.25">
      <c r="A8041" s="803" t="s">
        <v>5345</v>
      </c>
      <c r="B8041" s="803" t="s">
        <v>5148</v>
      </c>
      <c r="C8041" s="803" t="s">
        <v>5148</v>
      </c>
      <c r="D8041" s="803" t="s">
        <v>5346</v>
      </c>
      <c r="E8041" s="803">
        <v>100</v>
      </c>
      <c r="F8041" s="850">
        <v>20</v>
      </c>
      <c r="G8041" s="202" t="str">
        <f t="shared" si="125"/>
        <v/>
      </c>
    </row>
    <row r="8042" spans="1:7" s="172" customFormat="1" ht="15" customHeight="1" x14ac:dyDescent="0.25">
      <c r="A8042" s="803" t="s">
        <v>5347</v>
      </c>
      <c r="B8042" s="803" t="s">
        <v>5148</v>
      </c>
      <c r="C8042" s="803" t="s">
        <v>5148</v>
      </c>
      <c r="D8042" s="803" t="s">
        <v>5348</v>
      </c>
      <c r="E8042" s="803">
        <v>60</v>
      </c>
      <c r="F8042" s="850">
        <v>20</v>
      </c>
      <c r="G8042" s="202" t="str">
        <f t="shared" si="125"/>
        <v/>
      </c>
    </row>
    <row r="8043" spans="1:7" s="172" customFormat="1" ht="15" customHeight="1" x14ac:dyDescent="0.25">
      <c r="A8043" s="803" t="s">
        <v>5349</v>
      </c>
      <c r="B8043" s="803" t="s">
        <v>5148</v>
      </c>
      <c r="C8043" s="803" t="s">
        <v>5148</v>
      </c>
      <c r="D8043" s="803" t="s">
        <v>5350</v>
      </c>
      <c r="E8043" s="803">
        <v>100</v>
      </c>
      <c r="F8043" s="850">
        <v>30</v>
      </c>
      <c r="G8043" s="202" t="str">
        <f t="shared" si="125"/>
        <v/>
      </c>
    </row>
    <row r="8044" spans="1:7" s="172" customFormat="1" ht="15" customHeight="1" x14ac:dyDescent="0.25">
      <c r="A8044" s="803" t="s">
        <v>5351</v>
      </c>
      <c r="B8044" s="803" t="s">
        <v>5148</v>
      </c>
      <c r="C8044" s="803" t="s">
        <v>5148</v>
      </c>
      <c r="D8044" s="803" t="s">
        <v>5352</v>
      </c>
      <c r="E8044" s="803">
        <v>100</v>
      </c>
      <c r="F8044" s="850">
        <v>30</v>
      </c>
      <c r="G8044" s="202" t="str">
        <f t="shared" si="125"/>
        <v/>
      </c>
    </row>
    <row r="8045" spans="1:7" s="172" customFormat="1" ht="15" customHeight="1" x14ac:dyDescent="0.25">
      <c r="A8045" s="803" t="s">
        <v>5353</v>
      </c>
      <c r="B8045" s="803" t="s">
        <v>5148</v>
      </c>
      <c r="C8045" s="803" t="s">
        <v>5148</v>
      </c>
      <c r="D8045" s="803" t="s">
        <v>5354</v>
      </c>
      <c r="E8045" s="803">
        <v>250</v>
      </c>
      <c r="F8045" s="850">
        <v>150</v>
      </c>
      <c r="G8045" s="202" t="str">
        <f t="shared" si="125"/>
        <v/>
      </c>
    </row>
    <row r="8046" spans="1:7" s="172" customFormat="1" ht="15" customHeight="1" x14ac:dyDescent="0.25">
      <c r="A8046" s="803" t="s">
        <v>5355</v>
      </c>
      <c r="B8046" s="803" t="s">
        <v>5148</v>
      </c>
      <c r="C8046" s="803" t="s">
        <v>5148</v>
      </c>
      <c r="D8046" s="803" t="s">
        <v>5356</v>
      </c>
      <c r="E8046" s="803">
        <v>10</v>
      </c>
      <c r="F8046" s="850">
        <v>2</v>
      </c>
      <c r="G8046" s="202" t="str">
        <f t="shared" si="125"/>
        <v/>
      </c>
    </row>
    <row r="8047" spans="1:7" s="172" customFormat="1" ht="15" customHeight="1" x14ac:dyDescent="0.25">
      <c r="A8047" s="803" t="s">
        <v>5353</v>
      </c>
      <c r="B8047" s="803" t="s">
        <v>5148</v>
      </c>
      <c r="C8047" s="803" t="s">
        <v>5148</v>
      </c>
      <c r="D8047" s="803" t="s">
        <v>5357</v>
      </c>
      <c r="E8047" s="803">
        <v>160</v>
      </c>
      <c r="F8047" s="850">
        <v>20</v>
      </c>
      <c r="G8047" s="202" t="str">
        <f t="shared" si="125"/>
        <v/>
      </c>
    </row>
    <row r="8048" spans="1:7" s="172" customFormat="1" ht="15" customHeight="1" x14ac:dyDescent="0.25">
      <c r="A8048" s="803" t="s">
        <v>5358</v>
      </c>
      <c r="B8048" s="803" t="s">
        <v>5148</v>
      </c>
      <c r="C8048" s="803" t="s">
        <v>5148</v>
      </c>
      <c r="D8048" s="803" t="s">
        <v>5359</v>
      </c>
      <c r="E8048" s="803">
        <v>30</v>
      </c>
      <c r="F8048" s="850">
        <v>10</v>
      </c>
      <c r="G8048" s="202" t="str">
        <f t="shared" si="125"/>
        <v/>
      </c>
    </row>
    <row r="8049" spans="1:7" s="172" customFormat="1" ht="15" customHeight="1" x14ac:dyDescent="0.25">
      <c r="A8049" s="803" t="s">
        <v>5360</v>
      </c>
      <c r="B8049" s="803" t="s">
        <v>5148</v>
      </c>
      <c r="C8049" s="803" t="s">
        <v>5148</v>
      </c>
      <c r="D8049" s="803" t="s">
        <v>5361</v>
      </c>
      <c r="E8049" s="803">
        <v>10</v>
      </c>
      <c r="F8049" s="850">
        <v>5</v>
      </c>
      <c r="G8049" s="202" t="str">
        <f t="shared" si="125"/>
        <v/>
      </c>
    </row>
    <row r="8050" spans="1:7" s="172" customFormat="1" ht="15" customHeight="1" x14ac:dyDescent="0.25">
      <c r="A8050" s="851" t="s">
        <v>5362</v>
      </c>
      <c r="B8050" s="851" t="s">
        <v>5148</v>
      </c>
      <c r="C8050" s="851" t="s">
        <v>5148</v>
      </c>
      <c r="D8050" s="852" t="s">
        <v>5363</v>
      </c>
      <c r="E8050" s="852">
        <v>10</v>
      </c>
      <c r="F8050" s="853">
        <v>5</v>
      </c>
      <c r="G8050" s="202" t="str">
        <f t="shared" si="125"/>
        <v/>
      </c>
    </row>
    <row r="8051" spans="1:7" s="172" customFormat="1" ht="15" customHeight="1" x14ac:dyDescent="0.25">
      <c r="A8051" s="837" t="s">
        <v>5364</v>
      </c>
      <c r="B8051" s="851" t="s">
        <v>5148</v>
      </c>
      <c r="C8051" s="851" t="s">
        <v>5148</v>
      </c>
      <c r="D8051" s="852" t="s">
        <v>5365</v>
      </c>
      <c r="E8051" s="852">
        <v>250</v>
      </c>
      <c r="F8051" s="853">
        <v>150</v>
      </c>
      <c r="G8051" s="202" t="str">
        <f t="shared" si="125"/>
        <v/>
      </c>
    </row>
    <row r="8052" spans="1:7" s="172" customFormat="1" ht="15" customHeight="1" x14ac:dyDescent="0.25">
      <c r="A8052" s="837" t="s">
        <v>5366</v>
      </c>
      <c r="B8052" s="851" t="s">
        <v>5148</v>
      </c>
      <c r="C8052" s="851" t="s">
        <v>5148</v>
      </c>
      <c r="D8052" s="852" t="s">
        <v>5367</v>
      </c>
      <c r="E8052" s="852">
        <v>30</v>
      </c>
      <c r="F8052" s="853">
        <v>5</v>
      </c>
      <c r="G8052" s="202" t="str">
        <f t="shared" si="125"/>
        <v/>
      </c>
    </row>
    <row r="8053" spans="1:7" s="172" customFormat="1" ht="15" customHeight="1" x14ac:dyDescent="0.25">
      <c r="A8053" s="837" t="s">
        <v>5368</v>
      </c>
      <c r="B8053" s="851" t="s">
        <v>5148</v>
      </c>
      <c r="C8053" s="851" t="s">
        <v>5148</v>
      </c>
      <c r="D8053" s="852" t="s">
        <v>5369</v>
      </c>
      <c r="E8053" s="852">
        <v>30</v>
      </c>
      <c r="F8053" s="853">
        <v>15</v>
      </c>
      <c r="G8053" s="202" t="str">
        <f t="shared" si="125"/>
        <v/>
      </c>
    </row>
    <row r="8054" spans="1:7" s="172" customFormat="1" ht="15" customHeight="1" x14ac:dyDescent="0.25">
      <c r="A8054" s="837" t="s">
        <v>5370</v>
      </c>
      <c r="B8054" s="851" t="s">
        <v>5148</v>
      </c>
      <c r="C8054" s="851" t="s">
        <v>5148</v>
      </c>
      <c r="D8054" s="852" t="s">
        <v>5371</v>
      </c>
      <c r="E8054" s="852">
        <v>40</v>
      </c>
      <c r="F8054" s="853">
        <v>10</v>
      </c>
      <c r="G8054" s="202" t="str">
        <f t="shared" si="125"/>
        <v/>
      </c>
    </row>
    <row r="8055" spans="1:7" s="172" customFormat="1" ht="15" customHeight="1" x14ac:dyDescent="0.25">
      <c r="A8055" s="837" t="s">
        <v>5372</v>
      </c>
      <c r="B8055" s="851" t="s">
        <v>5148</v>
      </c>
      <c r="C8055" s="851" t="s">
        <v>5148</v>
      </c>
      <c r="D8055" s="852" t="s">
        <v>5373</v>
      </c>
      <c r="E8055" s="852">
        <v>30</v>
      </c>
      <c r="F8055" s="853">
        <v>5</v>
      </c>
      <c r="G8055" s="202" t="str">
        <f t="shared" si="125"/>
        <v/>
      </c>
    </row>
    <row r="8056" spans="1:7" s="172" customFormat="1" ht="15" customHeight="1" x14ac:dyDescent="0.25">
      <c r="A8056" s="837" t="s">
        <v>5374</v>
      </c>
      <c r="B8056" s="851" t="s">
        <v>5148</v>
      </c>
      <c r="C8056" s="851" t="s">
        <v>5148</v>
      </c>
      <c r="D8056" s="852" t="s">
        <v>5375</v>
      </c>
      <c r="E8056" s="852">
        <v>100</v>
      </c>
      <c r="F8056" s="853">
        <v>30</v>
      </c>
      <c r="G8056" s="202" t="str">
        <f t="shared" si="125"/>
        <v/>
      </c>
    </row>
    <row r="8057" spans="1:7" s="172" customFormat="1" ht="15" customHeight="1" x14ac:dyDescent="0.25">
      <c r="A8057" s="837" t="s">
        <v>5376</v>
      </c>
      <c r="B8057" s="851" t="s">
        <v>5148</v>
      </c>
      <c r="C8057" s="851" t="s">
        <v>5148</v>
      </c>
      <c r="D8057" s="852" t="s">
        <v>5377</v>
      </c>
      <c r="E8057" s="852">
        <v>60</v>
      </c>
      <c r="F8057" s="853">
        <v>20</v>
      </c>
      <c r="G8057" s="202" t="str">
        <f t="shared" si="125"/>
        <v/>
      </c>
    </row>
    <row r="8058" spans="1:7" s="172" customFormat="1" ht="15" customHeight="1" x14ac:dyDescent="0.25">
      <c r="A8058" s="837" t="s">
        <v>14767</v>
      </c>
      <c r="B8058" s="851" t="s">
        <v>5148</v>
      </c>
      <c r="C8058" s="851" t="s">
        <v>5148</v>
      </c>
      <c r="D8058" s="852" t="s">
        <v>5378</v>
      </c>
      <c r="E8058" s="852">
        <v>30</v>
      </c>
      <c r="F8058" s="853">
        <v>10</v>
      </c>
      <c r="G8058" s="202" t="str">
        <f t="shared" si="125"/>
        <v/>
      </c>
    </row>
    <row r="8059" spans="1:7" s="172" customFormat="1" ht="15" customHeight="1" x14ac:dyDescent="0.25">
      <c r="A8059" s="837" t="s">
        <v>5379</v>
      </c>
      <c r="B8059" s="851" t="s">
        <v>5148</v>
      </c>
      <c r="C8059" s="851" t="s">
        <v>5148</v>
      </c>
      <c r="D8059" s="852" t="s">
        <v>5380</v>
      </c>
      <c r="E8059" s="852">
        <v>10</v>
      </c>
      <c r="F8059" s="853">
        <v>2</v>
      </c>
      <c r="G8059" s="202" t="str">
        <f t="shared" si="125"/>
        <v/>
      </c>
    </row>
    <row r="8060" spans="1:7" s="172" customFormat="1" ht="15" customHeight="1" x14ac:dyDescent="0.25">
      <c r="A8060" s="837" t="s">
        <v>5381</v>
      </c>
      <c r="B8060" s="851" t="s">
        <v>5148</v>
      </c>
      <c r="C8060" s="851" t="s">
        <v>5148</v>
      </c>
      <c r="D8060" s="852" t="s">
        <v>5382</v>
      </c>
      <c r="E8060" s="852">
        <v>100</v>
      </c>
      <c r="F8060" s="853">
        <v>20</v>
      </c>
      <c r="G8060" s="202" t="str">
        <f t="shared" si="125"/>
        <v/>
      </c>
    </row>
    <row r="8061" spans="1:7" s="172" customFormat="1" ht="15" customHeight="1" x14ac:dyDescent="0.25">
      <c r="A8061" s="837" t="s">
        <v>5383</v>
      </c>
      <c r="B8061" s="851" t="s">
        <v>5148</v>
      </c>
      <c r="C8061" s="851" t="s">
        <v>5148</v>
      </c>
      <c r="D8061" s="852" t="s">
        <v>5384</v>
      </c>
      <c r="E8061" s="852">
        <v>100</v>
      </c>
      <c r="F8061" s="853">
        <v>10</v>
      </c>
      <c r="G8061" s="202" t="str">
        <f t="shared" si="125"/>
        <v/>
      </c>
    </row>
    <row r="8062" spans="1:7" s="172" customFormat="1" ht="15" customHeight="1" x14ac:dyDescent="0.25">
      <c r="A8062" s="837" t="s">
        <v>5383</v>
      </c>
      <c r="B8062" s="851" t="s">
        <v>5148</v>
      </c>
      <c r="C8062" s="851" t="s">
        <v>5148</v>
      </c>
      <c r="D8062" s="852" t="s">
        <v>5385</v>
      </c>
      <c r="E8062" s="852">
        <v>100</v>
      </c>
      <c r="F8062" s="853">
        <v>15</v>
      </c>
      <c r="G8062" s="202" t="str">
        <f t="shared" si="125"/>
        <v/>
      </c>
    </row>
    <row r="8063" spans="1:7" s="172" customFormat="1" ht="15" customHeight="1" x14ac:dyDescent="0.25">
      <c r="A8063" s="837" t="s">
        <v>5383</v>
      </c>
      <c r="B8063" s="851" t="s">
        <v>5148</v>
      </c>
      <c r="C8063" s="851" t="s">
        <v>5148</v>
      </c>
      <c r="D8063" s="852" t="s">
        <v>5386</v>
      </c>
      <c r="E8063" s="852">
        <v>250</v>
      </c>
      <c r="F8063" s="853">
        <v>90</v>
      </c>
      <c r="G8063" s="202" t="str">
        <f t="shared" si="125"/>
        <v/>
      </c>
    </row>
    <row r="8064" spans="1:7" s="172" customFormat="1" ht="15" customHeight="1" x14ac:dyDescent="0.25">
      <c r="A8064" s="837" t="s">
        <v>5387</v>
      </c>
      <c r="B8064" s="851" t="s">
        <v>5148</v>
      </c>
      <c r="C8064" s="851" t="s">
        <v>5148</v>
      </c>
      <c r="D8064" s="852" t="s">
        <v>5388</v>
      </c>
      <c r="E8064" s="852">
        <v>60</v>
      </c>
      <c r="F8064" s="853">
        <v>20</v>
      </c>
      <c r="G8064" s="202" t="str">
        <f t="shared" si="125"/>
        <v/>
      </c>
    </row>
    <row r="8065" spans="1:7" s="172" customFormat="1" ht="15" customHeight="1" x14ac:dyDescent="0.25">
      <c r="A8065" s="837" t="s">
        <v>5389</v>
      </c>
      <c r="B8065" s="851" t="s">
        <v>5148</v>
      </c>
      <c r="C8065" s="851" t="s">
        <v>5148</v>
      </c>
      <c r="D8065" s="852" t="s">
        <v>5390</v>
      </c>
      <c r="E8065" s="852">
        <v>160</v>
      </c>
      <c r="F8065" s="853">
        <v>20</v>
      </c>
      <c r="G8065" s="202" t="str">
        <f t="shared" si="125"/>
        <v/>
      </c>
    </row>
    <row r="8066" spans="1:7" s="172" customFormat="1" ht="15" customHeight="1" x14ac:dyDescent="0.25">
      <c r="A8066" s="837" t="s">
        <v>5389</v>
      </c>
      <c r="B8066" s="851" t="s">
        <v>5148</v>
      </c>
      <c r="C8066" s="851" t="s">
        <v>5148</v>
      </c>
      <c r="D8066" s="852" t="s">
        <v>5391</v>
      </c>
      <c r="E8066" s="852">
        <v>160</v>
      </c>
      <c r="F8066" s="853">
        <v>100</v>
      </c>
      <c r="G8066" s="202" t="str">
        <f t="shared" si="125"/>
        <v/>
      </c>
    </row>
    <row r="8067" spans="1:7" s="172" customFormat="1" ht="15" customHeight="1" x14ac:dyDescent="0.25">
      <c r="A8067" s="837" t="s">
        <v>5389</v>
      </c>
      <c r="B8067" s="851" t="s">
        <v>5148</v>
      </c>
      <c r="C8067" s="851" t="s">
        <v>5148</v>
      </c>
      <c r="D8067" s="852" t="s">
        <v>5392</v>
      </c>
      <c r="E8067" s="852">
        <v>250</v>
      </c>
      <c r="F8067" s="853">
        <v>90</v>
      </c>
      <c r="G8067" s="202" t="str">
        <f t="shared" si="125"/>
        <v/>
      </c>
    </row>
    <row r="8068" spans="1:7" s="172" customFormat="1" ht="15" customHeight="1" x14ac:dyDescent="0.25">
      <c r="A8068" s="837" t="s">
        <v>5393</v>
      </c>
      <c r="B8068" s="851" t="s">
        <v>5148</v>
      </c>
      <c r="C8068" s="851" t="s">
        <v>5148</v>
      </c>
      <c r="D8068" s="852" t="s">
        <v>5394</v>
      </c>
      <c r="E8068" s="852">
        <v>30</v>
      </c>
      <c r="F8068" s="853">
        <v>5</v>
      </c>
      <c r="G8068" s="202" t="str">
        <f t="shared" si="125"/>
        <v/>
      </c>
    </row>
    <row r="8069" spans="1:7" s="172" customFormat="1" ht="15" customHeight="1" x14ac:dyDescent="0.25">
      <c r="A8069" s="837" t="s">
        <v>5395</v>
      </c>
      <c r="B8069" s="851" t="s">
        <v>5148</v>
      </c>
      <c r="C8069" s="851" t="s">
        <v>5148</v>
      </c>
      <c r="D8069" s="852" t="s">
        <v>5396</v>
      </c>
      <c r="E8069" s="852">
        <v>60</v>
      </c>
      <c r="F8069" s="853">
        <v>5</v>
      </c>
      <c r="G8069" s="202" t="str">
        <f t="shared" si="125"/>
        <v/>
      </c>
    </row>
    <row r="8070" spans="1:7" s="172" customFormat="1" ht="15" customHeight="1" x14ac:dyDescent="0.25">
      <c r="A8070" s="837" t="s">
        <v>5397</v>
      </c>
      <c r="B8070" s="851" t="s">
        <v>5148</v>
      </c>
      <c r="C8070" s="851" t="s">
        <v>5148</v>
      </c>
      <c r="D8070" s="852" t="s">
        <v>5398</v>
      </c>
      <c r="E8070" s="852">
        <v>30</v>
      </c>
      <c r="F8070" s="853">
        <v>15</v>
      </c>
      <c r="G8070" s="202" t="str">
        <f t="shared" si="125"/>
        <v/>
      </c>
    </row>
    <row r="8071" spans="1:7" s="172" customFormat="1" ht="15" customHeight="1" x14ac:dyDescent="0.25">
      <c r="A8071" s="837" t="s">
        <v>5400</v>
      </c>
      <c r="B8071" s="851" t="s">
        <v>5148</v>
      </c>
      <c r="C8071" s="851" t="s">
        <v>5148</v>
      </c>
      <c r="D8071" s="852" t="s">
        <v>5401</v>
      </c>
      <c r="E8071" s="852">
        <v>160</v>
      </c>
      <c r="F8071" s="853">
        <v>60</v>
      </c>
      <c r="G8071" s="202" t="str">
        <f t="shared" si="125"/>
        <v/>
      </c>
    </row>
    <row r="8072" spans="1:7" s="172" customFormat="1" ht="15" customHeight="1" x14ac:dyDescent="0.25">
      <c r="A8072" s="837" t="s">
        <v>5400</v>
      </c>
      <c r="B8072" s="851" t="s">
        <v>5148</v>
      </c>
      <c r="C8072" s="851" t="s">
        <v>5148</v>
      </c>
      <c r="D8072" s="852" t="s">
        <v>5402</v>
      </c>
      <c r="E8072" s="852">
        <v>250</v>
      </c>
      <c r="F8072" s="853">
        <v>90</v>
      </c>
      <c r="G8072" s="202" t="str">
        <f t="shared" si="125"/>
        <v/>
      </c>
    </row>
    <row r="8073" spans="1:7" s="172" customFormat="1" ht="15" customHeight="1" x14ac:dyDescent="0.25">
      <c r="A8073" s="837" t="s">
        <v>5400</v>
      </c>
      <c r="B8073" s="851" t="s">
        <v>5148</v>
      </c>
      <c r="C8073" s="851" t="s">
        <v>5148</v>
      </c>
      <c r="D8073" s="852" t="s">
        <v>5403</v>
      </c>
      <c r="E8073" s="852">
        <v>400</v>
      </c>
      <c r="F8073" s="853">
        <v>240</v>
      </c>
      <c r="G8073" s="202" t="str">
        <f t="shared" si="125"/>
        <v/>
      </c>
    </row>
    <row r="8074" spans="1:7" s="172" customFormat="1" ht="15" customHeight="1" x14ac:dyDescent="0.25">
      <c r="A8074" s="837" t="s">
        <v>5400</v>
      </c>
      <c r="B8074" s="851" t="s">
        <v>5148</v>
      </c>
      <c r="C8074" s="851" t="s">
        <v>5148</v>
      </c>
      <c r="D8074" s="852" t="s">
        <v>5404</v>
      </c>
      <c r="E8074" s="852">
        <v>160</v>
      </c>
      <c r="F8074" s="853">
        <v>40</v>
      </c>
      <c r="G8074" s="202" t="str">
        <f t="shared" si="125"/>
        <v/>
      </c>
    </row>
    <row r="8075" spans="1:7" s="172" customFormat="1" ht="15" customHeight="1" x14ac:dyDescent="0.25">
      <c r="A8075" s="837" t="s">
        <v>5400</v>
      </c>
      <c r="B8075" s="851" t="s">
        <v>5148</v>
      </c>
      <c r="C8075" s="851" t="s">
        <v>5148</v>
      </c>
      <c r="D8075" s="852" t="s">
        <v>5405</v>
      </c>
      <c r="E8075" s="852" t="s">
        <v>8761</v>
      </c>
      <c r="F8075" s="853">
        <v>30</v>
      </c>
      <c r="G8075" s="202" t="str">
        <f t="shared" si="125"/>
        <v/>
      </c>
    </row>
    <row r="8076" spans="1:7" s="172" customFormat="1" ht="15" customHeight="1" x14ac:dyDescent="0.25">
      <c r="A8076" s="837" t="s">
        <v>5406</v>
      </c>
      <c r="B8076" s="851" t="s">
        <v>5148</v>
      </c>
      <c r="C8076" s="851" t="s">
        <v>5148</v>
      </c>
      <c r="D8076" s="852" t="s">
        <v>5407</v>
      </c>
      <c r="E8076" s="852">
        <v>60</v>
      </c>
      <c r="F8076" s="853">
        <v>10</v>
      </c>
      <c r="G8076" s="202" t="str">
        <f t="shared" si="125"/>
        <v/>
      </c>
    </row>
    <row r="8077" spans="1:7" s="172" customFormat="1" ht="15" customHeight="1" x14ac:dyDescent="0.25">
      <c r="A8077" s="837" t="s">
        <v>5408</v>
      </c>
      <c r="B8077" s="851" t="s">
        <v>5148</v>
      </c>
      <c r="C8077" s="851" t="s">
        <v>5148</v>
      </c>
      <c r="D8077" s="852" t="s">
        <v>5409</v>
      </c>
      <c r="E8077" s="852">
        <v>30</v>
      </c>
      <c r="F8077" s="853">
        <v>5</v>
      </c>
      <c r="G8077" s="202" t="str">
        <f t="shared" si="125"/>
        <v/>
      </c>
    </row>
    <row r="8078" spans="1:7" s="172" customFormat="1" ht="15" customHeight="1" x14ac:dyDescent="0.25">
      <c r="A8078" s="837" t="s">
        <v>5410</v>
      </c>
      <c r="B8078" s="851" t="s">
        <v>5148</v>
      </c>
      <c r="C8078" s="851" t="s">
        <v>5148</v>
      </c>
      <c r="D8078" s="852" t="s">
        <v>5411</v>
      </c>
      <c r="E8078" s="852">
        <v>100</v>
      </c>
      <c r="F8078" s="853">
        <v>30</v>
      </c>
      <c r="G8078" s="202" t="str">
        <f t="shared" si="125"/>
        <v/>
      </c>
    </row>
    <row r="8079" spans="1:7" s="172" customFormat="1" ht="15" customHeight="1" x14ac:dyDescent="0.25">
      <c r="A8079" s="837" t="s">
        <v>5412</v>
      </c>
      <c r="B8079" s="851" t="s">
        <v>5148</v>
      </c>
      <c r="C8079" s="851" t="s">
        <v>5148</v>
      </c>
      <c r="D8079" s="852" t="s">
        <v>5413</v>
      </c>
      <c r="E8079" s="852">
        <v>60</v>
      </c>
      <c r="F8079" s="853">
        <v>50</v>
      </c>
      <c r="G8079" s="202" t="str">
        <f t="shared" si="125"/>
        <v/>
      </c>
    </row>
    <row r="8080" spans="1:7" s="172" customFormat="1" ht="15" customHeight="1" x14ac:dyDescent="0.25">
      <c r="A8080" s="837" t="s">
        <v>5383</v>
      </c>
      <c r="B8080" s="851" t="s">
        <v>5148</v>
      </c>
      <c r="C8080" s="851" t="s">
        <v>5148</v>
      </c>
      <c r="D8080" s="852" t="s">
        <v>5414</v>
      </c>
      <c r="E8080" s="852">
        <v>60</v>
      </c>
      <c r="F8080" s="853">
        <v>5</v>
      </c>
      <c r="G8080" s="202" t="str">
        <f t="shared" si="125"/>
        <v/>
      </c>
    </row>
    <row r="8081" spans="1:7" s="172" customFormat="1" ht="15" customHeight="1" x14ac:dyDescent="0.25">
      <c r="A8081" s="837" t="s">
        <v>5415</v>
      </c>
      <c r="B8081" s="851" t="s">
        <v>5148</v>
      </c>
      <c r="C8081" s="851" t="s">
        <v>5148</v>
      </c>
      <c r="D8081" s="852" t="s">
        <v>5416</v>
      </c>
      <c r="E8081" s="852">
        <v>30</v>
      </c>
      <c r="F8081" s="853">
        <v>5</v>
      </c>
      <c r="G8081" s="202" t="str">
        <f t="shared" si="125"/>
        <v/>
      </c>
    </row>
    <row r="8082" spans="1:7" s="172" customFormat="1" ht="15" customHeight="1" x14ac:dyDescent="0.25">
      <c r="A8082" s="837" t="s">
        <v>5415</v>
      </c>
      <c r="B8082" s="851" t="s">
        <v>5148</v>
      </c>
      <c r="C8082" s="851" t="s">
        <v>5148</v>
      </c>
      <c r="D8082" s="852" t="s">
        <v>5417</v>
      </c>
      <c r="E8082" s="852">
        <v>250</v>
      </c>
      <c r="F8082" s="853">
        <v>150</v>
      </c>
      <c r="G8082" s="202" t="str">
        <f t="shared" si="125"/>
        <v/>
      </c>
    </row>
    <row r="8083" spans="1:7" s="172" customFormat="1" ht="15" customHeight="1" x14ac:dyDescent="0.25">
      <c r="A8083" s="837" t="s">
        <v>5418</v>
      </c>
      <c r="B8083" s="851" t="s">
        <v>5148</v>
      </c>
      <c r="C8083" s="851" t="s">
        <v>5148</v>
      </c>
      <c r="D8083" s="852" t="s">
        <v>5419</v>
      </c>
      <c r="E8083" s="852">
        <v>100</v>
      </c>
      <c r="F8083" s="853">
        <v>40</v>
      </c>
      <c r="G8083" s="202" t="str">
        <f t="shared" si="125"/>
        <v/>
      </c>
    </row>
    <row r="8084" spans="1:7" s="172" customFormat="1" ht="15" customHeight="1" x14ac:dyDescent="0.25">
      <c r="A8084" s="837" t="s">
        <v>5418</v>
      </c>
      <c r="B8084" s="851" t="s">
        <v>5148</v>
      </c>
      <c r="C8084" s="851" t="s">
        <v>5148</v>
      </c>
      <c r="D8084" s="852" t="s">
        <v>5420</v>
      </c>
      <c r="E8084" s="852">
        <v>30</v>
      </c>
      <c r="F8084" s="853">
        <v>10</v>
      </c>
      <c r="G8084" s="202" t="str">
        <f t="shared" si="125"/>
        <v/>
      </c>
    </row>
    <row r="8085" spans="1:7" s="172" customFormat="1" ht="15" customHeight="1" x14ac:dyDescent="0.25">
      <c r="A8085" s="837" t="s">
        <v>5421</v>
      </c>
      <c r="B8085" s="851" t="s">
        <v>5148</v>
      </c>
      <c r="C8085" s="851" t="s">
        <v>5148</v>
      </c>
      <c r="D8085" s="852" t="s">
        <v>5422</v>
      </c>
      <c r="E8085" s="852">
        <v>10</v>
      </c>
      <c r="F8085" s="853">
        <v>2</v>
      </c>
      <c r="G8085" s="202" t="str">
        <f t="shared" si="125"/>
        <v/>
      </c>
    </row>
    <row r="8086" spans="1:7" s="172" customFormat="1" ht="15" customHeight="1" x14ac:dyDescent="0.25">
      <c r="A8086" s="837" t="s">
        <v>5423</v>
      </c>
      <c r="B8086" s="851" t="s">
        <v>5148</v>
      </c>
      <c r="C8086" s="851" t="s">
        <v>5148</v>
      </c>
      <c r="D8086" s="852" t="s">
        <v>5424</v>
      </c>
      <c r="E8086" s="852">
        <v>100</v>
      </c>
      <c r="F8086" s="853">
        <v>20</v>
      </c>
      <c r="G8086" s="202" t="str">
        <f t="shared" si="125"/>
        <v/>
      </c>
    </row>
    <row r="8087" spans="1:7" s="172" customFormat="1" ht="15" customHeight="1" x14ac:dyDescent="0.25">
      <c r="A8087" s="837" t="s">
        <v>4361</v>
      </c>
      <c r="B8087" s="851" t="s">
        <v>5148</v>
      </c>
      <c r="C8087" s="851" t="s">
        <v>5148</v>
      </c>
      <c r="D8087" s="852" t="s">
        <v>5425</v>
      </c>
      <c r="E8087" s="852">
        <v>30</v>
      </c>
      <c r="F8087" s="853">
        <v>20</v>
      </c>
      <c r="G8087" s="202" t="str">
        <f t="shared" si="125"/>
        <v/>
      </c>
    </row>
    <row r="8088" spans="1:7" s="172" customFormat="1" ht="15" customHeight="1" x14ac:dyDescent="0.25">
      <c r="A8088" s="837" t="s">
        <v>4860</v>
      </c>
      <c r="B8088" s="851" t="s">
        <v>5148</v>
      </c>
      <c r="C8088" s="851" t="s">
        <v>5148</v>
      </c>
      <c r="D8088" s="852" t="s">
        <v>5426</v>
      </c>
      <c r="E8088" s="852">
        <v>60</v>
      </c>
      <c r="F8088" s="853">
        <v>30</v>
      </c>
      <c r="G8088" s="202" t="str">
        <f t="shared" si="125"/>
        <v/>
      </c>
    </row>
    <row r="8089" spans="1:7" s="172" customFormat="1" ht="15" customHeight="1" x14ac:dyDescent="0.25">
      <c r="A8089" s="837" t="s">
        <v>5427</v>
      </c>
      <c r="B8089" s="851" t="s">
        <v>5148</v>
      </c>
      <c r="C8089" s="851" t="s">
        <v>5148</v>
      </c>
      <c r="D8089" s="852" t="s">
        <v>5428</v>
      </c>
      <c r="E8089" s="852">
        <v>30</v>
      </c>
      <c r="F8089" s="853">
        <v>5</v>
      </c>
      <c r="G8089" s="202" t="str">
        <f t="shared" si="125"/>
        <v/>
      </c>
    </row>
    <row r="8090" spans="1:7" s="172" customFormat="1" ht="15" customHeight="1" x14ac:dyDescent="0.25">
      <c r="A8090" s="837" t="s">
        <v>5429</v>
      </c>
      <c r="B8090" s="851" t="s">
        <v>5148</v>
      </c>
      <c r="C8090" s="851" t="s">
        <v>5148</v>
      </c>
      <c r="D8090" s="852" t="s">
        <v>5430</v>
      </c>
      <c r="E8090" s="852">
        <v>160</v>
      </c>
      <c r="F8090" s="853">
        <v>60</v>
      </c>
      <c r="G8090" s="202" t="str">
        <f t="shared" si="125"/>
        <v/>
      </c>
    </row>
    <row r="8091" spans="1:7" s="172" customFormat="1" ht="15" customHeight="1" x14ac:dyDescent="0.25">
      <c r="A8091" s="837" t="s">
        <v>5301</v>
      </c>
      <c r="B8091" s="851" t="s">
        <v>5148</v>
      </c>
      <c r="C8091" s="851" t="s">
        <v>5148</v>
      </c>
      <c r="D8091" s="852" t="s">
        <v>5431</v>
      </c>
      <c r="E8091" s="852">
        <v>250</v>
      </c>
      <c r="F8091" s="853">
        <v>150</v>
      </c>
      <c r="G8091" s="202" t="str">
        <f t="shared" si="125"/>
        <v/>
      </c>
    </row>
    <row r="8092" spans="1:7" s="172" customFormat="1" ht="15" customHeight="1" x14ac:dyDescent="0.25">
      <c r="A8092" s="837" t="s">
        <v>5301</v>
      </c>
      <c r="B8092" s="851" t="s">
        <v>5148</v>
      </c>
      <c r="C8092" s="851" t="s">
        <v>5148</v>
      </c>
      <c r="D8092" s="852" t="s">
        <v>5432</v>
      </c>
      <c r="E8092" s="852">
        <v>250</v>
      </c>
      <c r="F8092" s="853">
        <v>150</v>
      </c>
      <c r="G8092" s="202" t="str">
        <f t="shared" si="125"/>
        <v/>
      </c>
    </row>
    <row r="8093" spans="1:7" s="172" customFormat="1" ht="15" customHeight="1" x14ac:dyDescent="0.25">
      <c r="A8093" s="837" t="s">
        <v>5301</v>
      </c>
      <c r="B8093" s="851" t="s">
        <v>5148</v>
      </c>
      <c r="C8093" s="851" t="s">
        <v>5148</v>
      </c>
      <c r="D8093" s="852" t="s">
        <v>5433</v>
      </c>
      <c r="E8093" s="852">
        <v>250</v>
      </c>
      <c r="F8093" s="853">
        <v>90</v>
      </c>
      <c r="G8093" s="202" t="str">
        <f t="shared" si="125"/>
        <v/>
      </c>
    </row>
    <row r="8094" spans="1:7" s="172" customFormat="1" ht="15" customHeight="1" x14ac:dyDescent="0.25">
      <c r="A8094" s="837" t="s">
        <v>4845</v>
      </c>
      <c r="B8094" s="851" t="s">
        <v>5148</v>
      </c>
      <c r="C8094" s="851" t="s">
        <v>5148</v>
      </c>
      <c r="D8094" s="852" t="s">
        <v>5434</v>
      </c>
      <c r="E8094" s="852">
        <v>60</v>
      </c>
      <c r="F8094" s="853">
        <v>10</v>
      </c>
      <c r="G8094" s="202" t="str">
        <f t="shared" ref="G8094:G8157" si="126">IF(E8094=F8094,"не загружен","")</f>
        <v/>
      </c>
    </row>
    <row r="8095" spans="1:7" s="172" customFormat="1" ht="15" customHeight="1" x14ac:dyDescent="0.25">
      <c r="A8095" s="837" t="s">
        <v>5320</v>
      </c>
      <c r="B8095" s="851" t="s">
        <v>5148</v>
      </c>
      <c r="C8095" s="851" t="s">
        <v>5148</v>
      </c>
      <c r="D8095" s="852" t="s">
        <v>5435</v>
      </c>
      <c r="E8095" s="852">
        <v>60</v>
      </c>
      <c r="F8095" s="853">
        <v>30</v>
      </c>
      <c r="G8095" s="202" t="str">
        <f t="shared" si="126"/>
        <v/>
      </c>
    </row>
    <row r="8096" spans="1:7" s="172" customFormat="1" ht="15" customHeight="1" x14ac:dyDescent="0.25">
      <c r="A8096" s="837" t="s">
        <v>5436</v>
      </c>
      <c r="B8096" s="851" t="s">
        <v>5148</v>
      </c>
      <c r="C8096" s="851" t="s">
        <v>5148</v>
      </c>
      <c r="D8096" s="852" t="s">
        <v>5437</v>
      </c>
      <c r="E8096" s="852">
        <v>30</v>
      </c>
      <c r="F8096" s="853">
        <v>10</v>
      </c>
      <c r="G8096" s="202" t="str">
        <f t="shared" si="126"/>
        <v/>
      </c>
    </row>
    <row r="8097" spans="1:7" s="172" customFormat="1" ht="15" customHeight="1" x14ac:dyDescent="0.25">
      <c r="A8097" s="837" t="s">
        <v>5438</v>
      </c>
      <c r="B8097" s="851" t="s">
        <v>5148</v>
      </c>
      <c r="C8097" s="851" t="s">
        <v>5148</v>
      </c>
      <c r="D8097" s="852" t="s">
        <v>5439</v>
      </c>
      <c r="E8097" s="852">
        <v>60</v>
      </c>
      <c r="F8097" s="853">
        <v>10</v>
      </c>
      <c r="G8097" s="202" t="str">
        <f t="shared" si="126"/>
        <v/>
      </c>
    </row>
    <row r="8098" spans="1:7" s="172" customFormat="1" ht="15" customHeight="1" x14ac:dyDescent="0.25">
      <c r="A8098" s="837" t="s">
        <v>5438</v>
      </c>
      <c r="B8098" s="851" t="s">
        <v>5148</v>
      </c>
      <c r="C8098" s="851" t="s">
        <v>5148</v>
      </c>
      <c r="D8098" s="852" t="s">
        <v>5440</v>
      </c>
      <c r="E8098" s="852">
        <v>60</v>
      </c>
      <c r="F8098" s="853">
        <v>10</v>
      </c>
      <c r="G8098" s="202" t="str">
        <f t="shared" si="126"/>
        <v/>
      </c>
    </row>
    <row r="8099" spans="1:7" s="172" customFormat="1" ht="15" customHeight="1" x14ac:dyDescent="0.25">
      <c r="A8099" s="837" t="s">
        <v>5441</v>
      </c>
      <c r="B8099" s="851" t="s">
        <v>5148</v>
      </c>
      <c r="C8099" s="851" t="s">
        <v>5148</v>
      </c>
      <c r="D8099" s="852" t="s">
        <v>5442</v>
      </c>
      <c r="E8099" s="852">
        <v>60</v>
      </c>
      <c r="F8099" s="853">
        <v>10</v>
      </c>
      <c r="G8099" s="202" t="str">
        <f t="shared" si="126"/>
        <v/>
      </c>
    </row>
    <row r="8100" spans="1:7" s="172" customFormat="1" ht="15" customHeight="1" x14ac:dyDescent="0.25">
      <c r="A8100" s="837" t="s">
        <v>5443</v>
      </c>
      <c r="B8100" s="851" t="s">
        <v>5148</v>
      </c>
      <c r="C8100" s="851" t="s">
        <v>5148</v>
      </c>
      <c r="D8100" s="852" t="s">
        <v>5444</v>
      </c>
      <c r="E8100" s="852">
        <v>100</v>
      </c>
      <c r="F8100" s="853">
        <v>70</v>
      </c>
      <c r="G8100" s="202" t="str">
        <f t="shared" si="126"/>
        <v/>
      </c>
    </row>
    <row r="8101" spans="1:7" s="172" customFormat="1" ht="15" customHeight="1" x14ac:dyDescent="0.25">
      <c r="A8101" s="837" t="s">
        <v>5445</v>
      </c>
      <c r="B8101" s="851" t="s">
        <v>5148</v>
      </c>
      <c r="C8101" s="851" t="s">
        <v>5148</v>
      </c>
      <c r="D8101" s="852" t="s">
        <v>5446</v>
      </c>
      <c r="E8101" s="852">
        <v>30</v>
      </c>
      <c r="F8101" s="853">
        <v>5</v>
      </c>
      <c r="G8101" s="202" t="str">
        <f t="shared" si="126"/>
        <v/>
      </c>
    </row>
    <row r="8102" spans="1:7" s="172" customFormat="1" ht="15" customHeight="1" x14ac:dyDescent="0.25">
      <c r="A8102" s="837" t="s">
        <v>5447</v>
      </c>
      <c r="B8102" s="851" t="s">
        <v>5148</v>
      </c>
      <c r="C8102" s="851" t="s">
        <v>5148</v>
      </c>
      <c r="D8102" s="852" t="s">
        <v>5448</v>
      </c>
      <c r="E8102" s="852">
        <v>30</v>
      </c>
      <c r="F8102" s="853">
        <v>5</v>
      </c>
      <c r="G8102" s="202" t="str">
        <f t="shared" si="126"/>
        <v/>
      </c>
    </row>
    <row r="8103" spans="1:7" s="172" customFormat="1" ht="15" customHeight="1" x14ac:dyDescent="0.25">
      <c r="A8103" s="837" t="s">
        <v>5449</v>
      </c>
      <c r="B8103" s="851" t="s">
        <v>5148</v>
      </c>
      <c r="C8103" s="851" t="s">
        <v>5148</v>
      </c>
      <c r="D8103" s="852" t="s">
        <v>5450</v>
      </c>
      <c r="E8103" s="852">
        <v>30</v>
      </c>
      <c r="F8103" s="853">
        <v>10</v>
      </c>
      <c r="G8103" s="202" t="str">
        <f t="shared" si="126"/>
        <v/>
      </c>
    </row>
    <row r="8104" spans="1:7" s="172" customFormat="1" ht="15" customHeight="1" x14ac:dyDescent="0.25">
      <c r="A8104" s="837" t="s">
        <v>5451</v>
      </c>
      <c r="B8104" s="851" t="s">
        <v>5148</v>
      </c>
      <c r="C8104" s="851" t="s">
        <v>5148</v>
      </c>
      <c r="D8104" s="852" t="s">
        <v>5452</v>
      </c>
      <c r="E8104" s="852">
        <v>30</v>
      </c>
      <c r="F8104" s="853">
        <v>10</v>
      </c>
      <c r="G8104" s="202" t="str">
        <f t="shared" si="126"/>
        <v/>
      </c>
    </row>
    <row r="8105" spans="1:7" s="172" customFormat="1" ht="15" customHeight="1" x14ac:dyDescent="0.25">
      <c r="A8105" s="837" t="s">
        <v>5453</v>
      </c>
      <c r="B8105" s="851" t="s">
        <v>5148</v>
      </c>
      <c r="C8105" s="851" t="s">
        <v>5148</v>
      </c>
      <c r="D8105" s="852" t="s">
        <v>5454</v>
      </c>
      <c r="E8105" s="852">
        <v>100</v>
      </c>
      <c r="F8105" s="853">
        <v>60</v>
      </c>
      <c r="G8105" s="202" t="str">
        <f t="shared" si="126"/>
        <v/>
      </c>
    </row>
    <row r="8106" spans="1:7" s="172" customFormat="1" ht="15" customHeight="1" x14ac:dyDescent="0.25">
      <c r="A8106" s="837" t="s">
        <v>5455</v>
      </c>
      <c r="B8106" s="851" t="s">
        <v>5148</v>
      </c>
      <c r="C8106" s="851" t="s">
        <v>5148</v>
      </c>
      <c r="D8106" s="852" t="s">
        <v>5456</v>
      </c>
      <c r="E8106" s="852">
        <v>100</v>
      </c>
      <c r="F8106" s="853">
        <v>40</v>
      </c>
      <c r="G8106" s="202" t="str">
        <f t="shared" si="126"/>
        <v/>
      </c>
    </row>
    <row r="8107" spans="1:7" s="172" customFormat="1" ht="15" customHeight="1" x14ac:dyDescent="0.25">
      <c r="A8107" s="837" t="s">
        <v>5457</v>
      </c>
      <c r="B8107" s="851" t="s">
        <v>5148</v>
      </c>
      <c r="C8107" s="851" t="s">
        <v>5148</v>
      </c>
      <c r="D8107" s="852" t="s">
        <v>5458</v>
      </c>
      <c r="E8107" s="852">
        <v>100</v>
      </c>
      <c r="F8107" s="853">
        <v>10</v>
      </c>
      <c r="G8107" s="202" t="str">
        <f t="shared" si="126"/>
        <v/>
      </c>
    </row>
    <row r="8108" spans="1:7" s="172" customFormat="1" ht="15" customHeight="1" x14ac:dyDescent="0.25">
      <c r="A8108" s="837" t="s">
        <v>5459</v>
      </c>
      <c r="B8108" s="851" t="s">
        <v>5148</v>
      </c>
      <c r="C8108" s="851" t="s">
        <v>5148</v>
      </c>
      <c r="D8108" s="852" t="s">
        <v>5460</v>
      </c>
      <c r="E8108" s="852">
        <v>30</v>
      </c>
      <c r="F8108" s="853">
        <v>10</v>
      </c>
      <c r="G8108" s="202" t="str">
        <f t="shared" si="126"/>
        <v/>
      </c>
    </row>
    <row r="8109" spans="1:7" s="172" customFormat="1" ht="15" customHeight="1" x14ac:dyDescent="0.25">
      <c r="A8109" s="837" t="s">
        <v>5301</v>
      </c>
      <c r="B8109" s="851" t="s">
        <v>5148</v>
      </c>
      <c r="C8109" s="851" t="s">
        <v>5148</v>
      </c>
      <c r="D8109" s="852" t="s">
        <v>5461</v>
      </c>
      <c r="E8109" s="852">
        <v>250</v>
      </c>
      <c r="F8109" s="853">
        <v>90</v>
      </c>
      <c r="G8109" s="202" t="str">
        <f t="shared" si="126"/>
        <v/>
      </c>
    </row>
    <row r="8110" spans="1:7" s="172" customFormat="1" ht="15" customHeight="1" x14ac:dyDescent="0.25">
      <c r="A8110" s="837" t="s">
        <v>5462</v>
      </c>
      <c r="B8110" s="851" t="s">
        <v>5148</v>
      </c>
      <c r="C8110" s="851" t="s">
        <v>5148</v>
      </c>
      <c r="D8110" s="852" t="s">
        <v>5463</v>
      </c>
      <c r="E8110" s="852">
        <v>60</v>
      </c>
      <c r="F8110" s="853">
        <v>20</v>
      </c>
      <c r="G8110" s="202" t="str">
        <f t="shared" si="126"/>
        <v/>
      </c>
    </row>
    <row r="8111" spans="1:7" s="172" customFormat="1" ht="15" customHeight="1" x14ac:dyDescent="0.25">
      <c r="A8111" s="837" t="s">
        <v>5168</v>
      </c>
      <c r="B8111" s="851" t="s">
        <v>5148</v>
      </c>
      <c r="C8111" s="851" t="s">
        <v>5148</v>
      </c>
      <c r="D8111" s="852" t="s">
        <v>5465</v>
      </c>
      <c r="E8111" s="852">
        <v>250</v>
      </c>
      <c r="F8111" s="853">
        <v>90</v>
      </c>
      <c r="G8111" s="202" t="str">
        <f t="shared" si="126"/>
        <v/>
      </c>
    </row>
    <row r="8112" spans="1:7" s="172" customFormat="1" ht="15" customHeight="1" x14ac:dyDescent="0.25">
      <c r="A8112" s="837" t="s">
        <v>5237</v>
      </c>
      <c r="B8112" s="851" t="s">
        <v>5148</v>
      </c>
      <c r="C8112" s="851" t="s">
        <v>5148</v>
      </c>
      <c r="D8112" s="852" t="s">
        <v>5466</v>
      </c>
      <c r="E8112" s="852">
        <v>160</v>
      </c>
      <c r="F8112" s="853">
        <v>60</v>
      </c>
      <c r="G8112" s="202" t="str">
        <f t="shared" si="126"/>
        <v/>
      </c>
    </row>
    <row r="8113" spans="1:7" s="172" customFormat="1" ht="15" customHeight="1" x14ac:dyDescent="0.25">
      <c r="A8113" s="837" t="s">
        <v>5467</v>
      </c>
      <c r="B8113" s="851" t="s">
        <v>5148</v>
      </c>
      <c r="C8113" s="851" t="s">
        <v>5148</v>
      </c>
      <c r="D8113" s="852" t="s">
        <v>5468</v>
      </c>
      <c r="E8113" s="852">
        <v>30</v>
      </c>
      <c r="F8113" s="853">
        <v>5</v>
      </c>
      <c r="G8113" s="202" t="str">
        <f t="shared" si="126"/>
        <v/>
      </c>
    </row>
    <row r="8114" spans="1:7" s="172" customFormat="1" ht="15" customHeight="1" x14ac:dyDescent="0.25">
      <c r="A8114" s="837" t="s">
        <v>5469</v>
      </c>
      <c r="B8114" s="851" t="s">
        <v>5148</v>
      </c>
      <c r="C8114" s="851" t="s">
        <v>5148</v>
      </c>
      <c r="D8114" s="852" t="s">
        <v>5470</v>
      </c>
      <c r="E8114" s="852">
        <v>160</v>
      </c>
      <c r="F8114" s="853">
        <v>100</v>
      </c>
      <c r="G8114" s="202" t="str">
        <f t="shared" si="126"/>
        <v/>
      </c>
    </row>
    <row r="8115" spans="1:7" s="172" customFormat="1" ht="15" customHeight="1" x14ac:dyDescent="0.25">
      <c r="A8115" s="837" t="s">
        <v>5471</v>
      </c>
      <c r="B8115" s="851" t="s">
        <v>5148</v>
      </c>
      <c r="C8115" s="851" t="s">
        <v>5148</v>
      </c>
      <c r="D8115" s="852" t="s">
        <v>5472</v>
      </c>
      <c r="E8115" s="852">
        <v>30</v>
      </c>
      <c r="F8115" s="853">
        <v>5</v>
      </c>
      <c r="G8115" s="202" t="str">
        <f t="shared" si="126"/>
        <v/>
      </c>
    </row>
    <row r="8116" spans="1:7" s="172" customFormat="1" ht="15" customHeight="1" x14ac:dyDescent="0.25">
      <c r="A8116" s="837" t="s">
        <v>5473</v>
      </c>
      <c r="B8116" s="851" t="s">
        <v>5148</v>
      </c>
      <c r="C8116" s="851" t="s">
        <v>5148</v>
      </c>
      <c r="D8116" s="852" t="s">
        <v>5474</v>
      </c>
      <c r="E8116" s="852">
        <v>100</v>
      </c>
      <c r="F8116" s="853">
        <v>10</v>
      </c>
      <c r="G8116" s="202" t="str">
        <f t="shared" si="126"/>
        <v/>
      </c>
    </row>
    <row r="8117" spans="1:7" s="172" customFormat="1" ht="15" customHeight="1" x14ac:dyDescent="0.25">
      <c r="A8117" s="837" t="s">
        <v>5473</v>
      </c>
      <c r="B8117" s="851" t="s">
        <v>5148</v>
      </c>
      <c r="C8117" s="851" t="s">
        <v>5148</v>
      </c>
      <c r="D8117" s="852" t="s">
        <v>5475</v>
      </c>
      <c r="E8117" s="852">
        <v>100</v>
      </c>
      <c r="F8117" s="853">
        <v>10</v>
      </c>
      <c r="G8117" s="202" t="str">
        <f t="shared" si="126"/>
        <v/>
      </c>
    </row>
    <row r="8118" spans="1:7" s="172" customFormat="1" ht="15" customHeight="1" x14ac:dyDescent="0.25">
      <c r="A8118" s="837" t="s">
        <v>5473</v>
      </c>
      <c r="B8118" s="851" t="s">
        <v>5148</v>
      </c>
      <c r="C8118" s="851" t="s">
        <v>5148</v>
      </c>
      <c r="D8118" s="852" t="s">
        <v>5476</v>
      </c>
      <c r="E8118" s="852">
        <v>100</v>
      </c>
      <c r="F8118" s="853">
        <v>10</v>
      </c>
      <c r="G8118" s="202" t="str">
        <f t="shared" si="126"/>
        <v/>
      </c>
    </row>
    <row r="8119" spans="1:7" s="172" customFormat="1" ht="15" customHeight="1" x14ac:dyDescent="0.25">
      <c r="A8119" s="837" t="s">
        <v>5353</v>
      </c>
      <c r="B8119" s="851" t="s">
        <v>5148</v>
      </c>
      <c r="C8119" s="851" t="s">
        <v>5148</v>
      </c>
      <c r="D8119" s="852" t="s">
        <v>5477</v>
      </c>
      <c r="E8119" s="852">
        <v>40</v>
      </c>
      <c r="F8119" s="853">
        <v>10</v>
      </c>
      <c r="G8119" s="202" t="str">
        <f t="shared" si="126"/>
        <v/>
      </c>
    </row>
    <row r="8120" spans="1:7" s="172" customFormat="1" ht="15" customHeight="1" x14ac:dyDescent="0.25">
      <c r="A8120" s="837" t="s">
        <v>4849</v>
      </c>
      <c r="B8120" s="851" t="s">
        <v>5148</v>
      </c>
      <c r="C8120" s="851" t="s">
        <v>5148</v>
      </c>
      <c r="D8120" s="852" t="s">
        <v>5478</v>
      </c>
      <c r="E8120" s="852">
        <v>160</v>
      </c>
      <c r="F8120" s="853">
        <v>100</v>
      </c>
      <c r="G8120" s="202" t="str">
        <f t="shared" si="126"/>
        <v/>
      </c>
    </row>
    <row r="8121" spans="1:7" s="172" customFormat="1" ht="15" customHeight="1" x14ac:dyDescent="0.25">
      <c r="A8121" s="837" t="s">
        <v>5479</v>
      </c>
      <c r="B8121" s="851" t="s">
        <v>5148</v>
      </c>
      <c r="C8121" s="851" t="s">
        <v>5148</v>
      </c>
      <c r="D8121" s="852" t="s">
        <v>5480</v>
      </c>
      <c r="E8121" s="852">
        <v>30</v>
      </c>
      <c r="F8121" s="853">
        <v>5</v>
      </c>
      <c r="G8121" s="202" t="str">
        <f t="shared" si="126"/>
        <v/>
      </c>
    </row>
    <row r="8122" spans="1:7" s="172" customFormat="1" ht="15" customHeight="1" x14ac:dyDescent="0.25">
      <c r="A8122" s="837" t="s">
        <v>5481</v>
      </c>
      <c r="B8122" s="851" t="s">
        <v>5148</v>
      </c>
      <c r="C8122" s="851" t="s">
        <v>5148</v>
      </c>
      <c r="D8122" s="852" t="s">
        <v>5482</v>
      </c>
      <c r="E8122" s="852">
        <v>30</v>
      </c>
      <c r="F8122" s="853">
        <v>5</v>
      </c>
      <c r="G8122" s="202" t="str">
        <f t="shared" si="126"/>
        <v/>
      </c>
    </row>
    <row r="8123" spans="1:7" s="172" customFormat="1" ht="15" customHeight="1" x14ac:dyDescent="0.25">
      <c r="A8123" s="837" t="s">
        <v>5483</v>
      </c>
      <c r="B8123" s="851" t="s">
        <v>5148</v>
      </c>
      <c r="C8123" s="851" t="s">
        <v>5148</v>
      </c>
      <c r="D8123" s="852" t="s">
        <v>5484</v>
      </c>
      <c r="E8123" s="852">
        <v>60</v>
      </c>
      <c r="F8123" s="853">
        <v>30</v>
      </c>
      <c r="G8123" s="202" t="str">
        <f t="shared" si="126"/>
        <v/>
      </c>
    </row>
    <row r="8124" spans="1:7" s="172" customFormat="1" ht="15" customHeight="1" x14ac:dyDescent="0.25">
      <c r="A8124" s="837" t="s">
        <v>5485</v>
      </c>
      <c r="B8124" s="851" t="s">
        <v>5148</v>
      </c>
      <c r="C8124" s="851" t="s">
        <v>5148</v>
      </c>
      <c r="D8124" s="852" t="s">
        <v>5486</v>
      </c>
      <c r="E8124" s="852">
        <v>30</v>
      </c>
      <c r="F8124" s="853">
        <v>10</v>
      </c>
      <c r="G8124" s="202" t="str">
        <f t="shared" si="126"/>
        <v/>
      </c>
    </row>
    <row r="8125" spans="1:7" s="172" customFormat="1" ht="15" customHeight="1" x14ac:dyDescent="0.25">
      <c r="A8125" s="837" t="s">
        <v>5487</v>
      </c>
      <c r="B8125" s="851" t="s">
        <v>5148</v>
      </c>
      <c r="C8125" s="851" t="s">
        <v>5148</v>
      </c>
      <c r="D8125" s="852" t="s">
        <v>5488</v>
      </c>
      <c r="E8125" s="852">
        <v>160</v>
      </c>
      <c r="F8125" s="853">
        <v>60</v>
      </c>
      <c r="G8125" s="202" t="str">
        <f t="shared" si="126"/>
        <v/>
      </c>
    </row>
    <row r="8126" spans="1:7" s="172" customFormat="1" ht="15" customHeight="1" x14ac:dyDescent="0.25">
      <c r="A8126" s="837" t="s">
        <v>5473</v>
      </c>
      <c r="B8126" s="851" t="s">
        <v>5148</v>
      </c>
      <c r="C8126" s="851" t="s">
        <v>5148</v>
      </c>
      <c r="D8126" s="852" t="s">
        <v>5489</v>
      </c>
      <c r="E8126" s="852">
        <v>250</v>
      </c>
      <c r="F8126" s="853">
        <v>150</v>
      </c>
      <c r="G8126" s="202" t="str">
        <f t="shared" si="126"/>
        <v/>
      </c>
    </row>
    <row r="8127" spans="1:7" s="172" customFormat="1" ht="15" customHeight="1" x14ac:dyDescent="0.25">
      <c r="A8127" s="837" t="s">
        <v>5366</v>
      </c>
      <c r="B8127" s="851" t="s">
        <v>5148</v>
      </c>
      <c r="C8127" s="851" t="s">
        <v>5148</v>
      </c>
      <c r="D8127" s="852" t="s">
        <v>5490</v>
      </c>
      <c r="E8127" s="852">
        <v>500</v>
      </c>
      <c r="F8127" s="853">
        <v>250</v>
      </c>
      <c r="G8127" s="202" t="str">
        <f t="shared" si="126"/>
        <v/>
      </c>
    </row>
    <row r="8128" spans="1:7" s="172" customFormat="1" ht="15" customHeight="1" x14ac:dyDescent="0.25">
      <c r="A8128" s="837" t="s">
        <v>5491</v>
      </c>
      <c r="B8128" s="851" t="s">
        <v>5148</v>
      </c>
      <c r="C8128" s="851" t="s">
        <v>5148</v>
      </c>
      <c r="D8128" s="852" t="s">
        <v>5492</v>
      </c>
      <c r="E8128" s="852">
        <v>100</v>
      </c>
      <c r="F8128" s="853">
        <v>10</v>
      </c>
      <c r="G8128" s="202" t="str">
        <f t="shared" si="126"/>
        <v/>
      </c>
    </row>
    <row r="8129" spans="1:7" s="172" customFormat="1" ht="15" customHeight="1" x14ac:dyDescent="0.25">
      <c r="A8129" s="837" t="s">
        <v>5237</v>
      </c>
      <c r="B8129" s="851" t="s">
        <v>5148</v>
      </c>
      <c r="C8129" s="851" t="s">
        <v>5148</v>
      </c>
      <c r="D8129" s="852" t="s">
        <v>5493</v>
      </c>
      <c r="E8129" s="852">
        <v>160</v>
      </c>
      <c r="F8129" s="853">
        <v>20</v>
      </c>
      <c r="G8129" s="202" t="str">
        <f t="shared" si="126"/>
        <v/>
      </c>
    </row>
    <row r="8130" spans="1:7" s="172" customFormat="1" ht="15" customHeight="1" x14ac:dyDescent="0.25">
      <c r="A8130" s="837" t="s">
        <v>5494</v>
      </c>
      <c r="B8130" s="851" t="s">
        <v>5148</v>
      </c>
      <c r="C8130" s="851" t="s">
        <v>5148</v>
      </c>
      <c r="D8130" s="852" t="s">
        <v>5495</v>
      </c>
      <c r="E8130" s="852">
        <v>60</v>
      </c>
      <c r="F8130" s="853">
        <v>30</v>
      </c>
      <c r="G8130" s="202" t="str">
        <f t="shared" si="126"/>
        <v/>
      </c>
    </row>
    <row r="8131" spans="1:7" s="172" customFormat="1" ht="15" customHeight="1" x14ac:dyDescent="0.25">
      <c r="A8131" s="837" t="s">
        <v>5219</v>
      </c>
      <c r="B8131" s="851" t="s">
        <v>5148</v>
      </c>
      <c r="C8131" s="851" t="s">
        <v>5148</v>
      </c>
      <c r="D8131" s="852" t="s">
        <v>5496</v>
      </c>
      <c r="E8131" s="852">
        <v>100</v>
      </c>
      <c r="F8131" s="853">
        <v>20</v>
      </c>
      <c r="G8131" s="202" t="str">
        <f t="shared" si="126"/>
        <v/>
      </c>
    </row>
    <row r="8132" spans="1:7" s="172" customFormat="1" ht="15" customHeight="1" x14ac:dyDescent="0.25">
      <c r="A8132" s="837" t="s">
        <v>5497</v>
      </c>
      <c r="B8132" s="851" t="s">
        <v>5148</v>
      </c>
      <c r="C8132" s="851" t="s">
        <v>5148</v>
      </c>
      <c r="D8132" s="852" t="s">
        <v>5498</v>
      </c>
      <c r="E8132" s="852">
        <v>30</v>
      </c>
      <c r="F8132" s="853">
        <v>5</v>
      </c>
      <c r="G8132" s="202" t="str">
        <f t="shared" si="126"/>
        <v/>
      </c>
    </row>
    <row r="8133" spans="1:7" s="172" customFormat="1" ht="15" customHeight="1" x14ac:dyDescent="0.25">
      <c r="A8133" s="837" t="s">
        <v>4487</v>
      </c>
      <c r="B8133" s="851" t="s">
        <v>5148</v>
      </c>
      <c r="C8133" s="851" t="s">
        <v>5148</v>
      </c>
      <c r="D8133" s="852" t="s">
        <v>5499</v>
      </c>
      <c r="E8133" s="852">
        <v>10</v>
      </c>
      <c r="F8133" s="853">
        <v>5</v>
      </c>
      <c r="G8133" s="202" t="str">
        <f t="shared" si="126"/>
        <v/>
      </c>
    </row>
    <row r="8134" spans="1:7" s="172" customFormat="1" ht="15" customHeight="1" x14ac:dyDescent="0.25">
      <c r="A8134" s="837" t="s">
        <v>5500</v>
      </c>
      <c r="B8134" s="851" t="s">
        <v>5148</v>
      </c>
      <c r="C8134" s="851" t="s">
        <v>5148</v>
      </c>
      <c r="D8134" s="852" t="s">
        <v>5501</v>
      </c>
      <c r="E8134" s="852">
        <v>100</v>
      </c>
      <c r="F8134" s="853">
        <v>40</v>
      </c>
      <c r="G8134" s="202" t="str">
        <f t="shared" si="126"/>
        <v/>
      </c>
    </row>
    <row r="8135" spans="1:7" s="172" customFormat="1" ht="15" customHeight="1" x14ac:dyDescent="0.25">
      <c r="A8135" s="837" t="s">
        <v>13048</v>
      </c>
      <c r="B8135" s="851" t="s">
        <v>9487</v>
      </c>
      <c r="C8135" s="851" t="s">
        <v>9487</v>
      </c>
      <c r="D8135" s="852" t="s">
        <v>9488</v>
      </c>
      <c r="E8135" s="852">
        <v>10</v>
      </c>
      <c r="F8135" s="853">
        <v>3</v>
      </c>
      <c r="G8135" s="202" t="str">
        <f t="shared" si="126"/>
        <v/>
      </c>
    </row>
    <row r="8136" spans="1:7" s="172" customFormat="1" ht="15" customHeight="1" x14ac:dyDescent="0.25">
      <c r="A8136" s="837" t="s">
        <v>11926</v>
      </c>
      <c r="B8136" s="851" t="s">
        <v>9487</v>
      </c>
      <c r="C8136" s="851" t="s">
        <v>9487</v>
      </c>
      <c r="D8136" s="852" t="s">
        <v>9489</v>
      </c>
      <c r="E8136" s="852">
        <v>100</v>
      </c>
      <c r="F8136" s="853">
        <v>20</v>
      </c>
      <c r="G8136" s="202" t="str">
        <f t="shared" si="126"/>
        <v/>
      </c>
    </row>
    <row r="8137" spans="1:7" s="172" customFormat="1" ht="15" customHeight="1" x14ac:dyDescent="0.25">
      <c r="A8137" s="837" t="s">
        <v>13049</v>
      </c>
      <c r="B8137" s="851" t="s">
        <v>9487</v>
      </c>
      <c r="C8137" s="851" t="s">
        <v>9487</v>
      </c>
      <c r="D8137" s="852" t="s">
        <v>9490</v>
      </c>
      <c r="E8137" s="852">
        <v>63</v>
      </c>
      <c r="F8137" s="853">
        <v>10</v>
      </c>
      <c r="G8137" s="202" t="str">
        <f t="shared" si="126"/>
        <v/>
      </c>
    </row>
    <row r="8138" spans="1:7" s="172" customFormat="1" ht="15" customHeight="1" x14ac:dyDescent="0.25">
      <c r="A8138" s="837" t="s">
        <v>13050</v>
      </c>
      <c r="B8138" s="851" t="s">
        <v>9487</v>
      </c>
      <c r="C8138" s="851" t="s">
        <v>9487</v>
      </c>
      <c r="D8138" s="852" t="s">
        <v>9491</v>
      </c>
      <c r="E8138" s="852">
        <v>30</v>
      </c>
      <c r="F8138" s="853">
        <v>10</v>
      </c>
      <c r="G8138" s="202" t="str">
        <f t="shared" si="126"/>
        <v/>
      </c>
    </row>
    <row r="8139" spans="1:7" s="172" customFormat="1" ht="15" customHeight="1" x14ac:dyDescent="0.25">
      <c r="A8139" s="837" t="s">
        <v>12617</v>
      </c>
      <c r="B8139" s="851" t="s">
        <v>9487</v>
      </c>
      <c r="C8139" s="851" t="s">
        <v>9487</v>
      </c>
      <c r="D8139" s="852" t="s">
        <v>9492</v>
      </c>
      <c r="E8139" s="852">
        <v>100</v>
      </c>
      <c r="F8139" s="853">
        <v>40</v>
      </c>
      <c r="G8139" s="202" t="str">
        <f t="shared" si="126"/>
        <v/>
      </c>
    </row>
    <row r="8140" spans="1:7" s="172" customFormat="1" ht="15" customHeight="1" x14ac:dyDescent="0.25">
      <c r="A8140" s="837" t="s">
        <v>13003</v>
      </c>
      <c r="B8140" s="851" t="s">
        <v>9487</v>
      </c>
      <c r="C8140" s="851" t="s">
        <v>9487</v>
      </c>
      <c r="D8140" s="852" t="s">
        <v>9493</v>
      </c>
      <c r="E8140" s="852">
        <v>40</v>
      </c>
      <c r="F8140" s="853">
        <v>5</v>
      </c>
      <c r="G8140" s="202" t="str">
        <f t="shared" si="126"/>
        <v/>
      </c>
    </row>
    <row r="8141" spans="1:7" s="172" customFormat="1" ht="15" customHeight="1" x14ac:dyDescent="0.25">
      <c r="A8141" s="837" t="s">
        <v>13051</v>
      </c>
      <c r="B8141" s="851" t="s">
        <v>9487</v>
      </c>
      <c r="C8141" s="851" t="s">
        <v>9487</v>
      </c>
      <c r="D8141" s="852" t="s">
        <v>9494</v>
      </c>
      <c r="E8141" s="852">
        <v>250</v>
      </c>
      <c r="F8141" s="853">
        <v>30</v>
      </c>
      <c r="G8141" s="202" t="str">
        <f t="shared" si="126"/>
        <v/>
      </c>
    </row>
    <row r="8142" spans="1:7" s="172" customFormat="1" ht="15" customHeight="1" x14ac:dyDescent="0.25">
      <c r="A8142" s="837" t="s">
        <v>13052</v>
      </c>
      <c r="B8142" s="851" t="s">
        <v>9487</v>
      </c>
      <c r="C8142" s="851" t="s">
        <v>9487</v>
      </c>
      <c r="D8142" s="852" t="s">
        <v>9495</v>
      </c>
      <c r="E8142" s="852">
        <v>100</v>
      </c>
      <c r="F8142" s="853">
        <v>50</v>
      </c>
      <c r="G8142" s="202" t="str">
        <f t="shared" si="126"/>
        <v/>
      </c>
    </row>
    <row r="8143" spans="1:7" s="172" customFormat="1" ht="15" customHeight="1" x14ac:dyDescent="0.25">
      <c r="A8143" s="837" t="s">
        <v>13052</v>
      </c>
      <c r="B8143" s="851" t="s">
        <v>9487</v>
      </c>
      <c r="C8143" s="851" t="s">
        <v>9487</v>
      </c>
      <c r="D8143" s="852" t="s">
        <v>9496</v>
      </c>
      <c r="E8143" s="852">
        <v>100</v>
      </c>
      <c r="F8143" s="853">
        <v>40</v>
      </c>
      <c r="G8143" s="202" t="str">
        <f t="shared" si="126"/>
        <v/>
      </c>
    </row>
    <row r="8144" spans="1:7" s="172" customFormat="1" ht="15" customHeight="1" x14ac:dyDescent="0.25">
      <c r="A8144" s="837" t="s">
        <v>13051</v>
      </c>
      <c r="B8144" s="851" t="s">
        <v>9487</v>
      </c>
      <c r="C8144" s="851" t="s">
        <v>9487</v>
      </c>
      <c r="D8144" s="852" t="s">
        <v>9497</v>
      </c>
      <c r="E8144" s="852">
        <v>100</v>
      </c>
      <c r="F8144" s="853">
        <v>5</v>
      </c>
      <c r="G8144" s="202" t="str">
        <f t="shared" si="126"/>
        <v/>
      </c>
    </row>
    <row r="8145" spans="1:7" s="172" customFormat="1" ht="15" customHeight="1" x14ac:dyDescent="0.25">
      <c r="A8145" s="837" t="s">
        <v>13053</v>
      </c>
      <c r="B8145" s="851" t="s">
        <v>9487</v>
      </c>
      <c r="C8145" s="851" t="s">
        <v>9487</v>
      </c>
      <c r="D8145" s="852" t="s">
        <v>9498</v>
      </c>
      <c r="E8145" s="852">
        <v>250</v>
      </c>
      <c r="F8145" s="850">
        <v>150</v>
      </c>
      <c r="G8145" s="202" t="str">
        <f t="shared" si="126"/>
        <v/>
      </c>
    </row>
    <row r="8146" spans="1:7" s="172" customFormat="1" ht="15" customHeight="1" x14ac:dyDescent="0.25">
      <c r="A8146" s="837" t="s">
        <v>13051</v>
      </c>
      <c r="B8146" s="851" t="s">
        <v>9487</v>
      </c>
      <c r="C8146" s="851" t="s">
        <v>9487</v>
      </c>
      <c r="D8146" s="852" t="s">
        <v>9499</v>
      </c>
      <c r="E8146" s="852">
        <v>160</v>
      </c>
      <c r="F8146" s="853">
        <v>60</v>
      </c>
      <c r="G8146" s="202" t="str">
        <f t="shared" si="126"/>
        <v/>
      </c>
    </row>
    <row r="8147" spans="1:7" s="172" customFormat="1" ht="15" customHeight="1" x14ac:dyDescent="0.25">
      <c r="A8147" s="837" t="s">
        <v>13052</v>
      </c>
      <c r="B8147" s="851" t="s">
        <v>9487</v>
      </c>
      <c r="C8147" s="851" t="s">
        <v>9487</v>
      </c>
      <c r="D8147" s="852" t="s">
        <v>9500</v>
      </c>
      <c r="E8147" s="852">
        <v>400</v>
      </c>
      <c r="F8147" s="853">
        <v>100</v>
      </c>
      <c r="G8147" s="202" t="str">
        <f t="shared" si="126"/>
        <v/>
      </c>
    </row>
    <row r="8148" spans="1:7" s="172" customFormat="1" ht="15" customHeight="1" x14ac:dyDescent="0.25">
      <c r="A8148" s="837" t="s">
        <v>13054</v>
      </c>
      <c r="B8148" s="851" t="s">
        <v>9487</v>
      </c>
      <c r="C8148" s="851" t="s">
        <v>9487</v>
      </c>
      <c r="D8148" s="852" t="s">
        <v>9501</v>
      </c>
      <c r="E8148" s="852">
        <v>250</v>
      </c>
      <c r="F8148" s="853">
        <v>100</v>
      </c>
      <c r="G8148" s="202" t="str">
        <f t="shared" si="126"/>
        <v/>
      </c>
    </row>
    <row r="8149" spans="1:7" s="172" customFormat="1" ht="15" customHeight="1" x14ac:dyDescent="0.25">
      <c r="A8149" s="837" t="s">
        <v>13054</v>
      </c>
      <c r="B8149" s="851" t="s">
        <v>9487</v>
      </c>
      <c r="C8149" s="851" t="s">
        <v>9487</v>
      </c>
      <c r="D8149" s="852" t="s">
        <v>9502</v>
      </c>
      <c r="E8149" s="852">
        <v>40</v>
      </c>
      <c r="F8149" s="853">
        <v>10</v>
      </c>
      <c r="G8149" s="202" t="str">
        <f t="shared" si="126"/>
        <v/>
      </c>
    </row>
    <row r="8150" spans="1:7" s="172" customFormat="1" ht="15" customHeight="1" x14ac:dyDescent="0.25">
      <c r="A8150" s="837" t="s">
        <v>13054</v>
      </c>
      <c r="B8150" s="851" t="s">
        <v>9487</v>
      </c>
      <c r="C8150" s="851" t="s">
        <v>9487</v>
      </c>
      <c r="D8150" s="852" t="s">
        <v>9503</v>
      </c>
      <c r="E8150" s="852">
        <v>160</v>
      </c>
      <c r="F8150" s="853">
        <v>50</v>
      </c>
      <c r="G8150" s="202" t="str">
        <f t="shared" si="126"/>
        <v/>
      </c>
    </row>
    <row r="8151" spans="1:7" s="172" customFormat="1" ht="15" customHeight="1" x14ac:dyDescent="0.25">
      <c r="A8151" s="837" t="s">
        <v>13054</v>
      </c>
      <c r="B8151" s="851" t="s">
        <v>9487</v>
      </c>
      <c r="C8151" s="851" t="s">
        <v>9487</v>
      </c>
      <c r="D8151" s="852" t="s">
        <v>9504</v>
      </c>
      <c r="E8151" s="852">
        <v>100</v>
      </c>
      <c r="F8151" s="850">
        <v>20</v>
      </c>
      <c r="G8151" s="202" t="str">
        <f t="shared" si="126"/>
        <v/>
      </c>
    </row>
    <row r="8152" spans="1:7" s="172" customFormat="1" ht="15" customHeight="1" x14ac:dyDescent="0.25">
      <c r="A8152" s="837" t="s">
        <v>13055</v>
      </c>
      <c r="B8152" s="851" t="s">
        <v>9487</v>
      </c>
      <c r="C8152" s="851" t="s">
        <v>9487</v>
      </c>
      <c r="D8152" s="852" t="s">
        <v>9505</v>
      </c>
      <c r="E8152" s="852">
        <v>20</v>
      </c>
      <c r="F8152" s="850">
        <v>10</v>
      </c>
      <c r="G8152" s="202" t="str">
        <f t="shared" si="126"/>
        <v/>
      </c>
    </row>
    <row r="8153" spans="1:7" s="172" customFormat="1" ht="15" customHeight="1" x14ac:dyDescent="0.25">
      <c r="A8153" s="837" t="s">
        <v>13056</v>
      </c>
      <c r="B8153" s="851" t="s">
        <v>9487</v>
      </c>
      <c r="C8153" s="851" t="s">
        <v>9487</v>
      </c>
      <c r="D8153" s="852" t="s">
        <v>9506</v>
      </c>
      <c r="E8153" s="852">
        <v>30</v>
      </c>
      <c r="F8153" s="850">
        <v>10</v>
      </c>
      <c r="G8153" s="202" t="str">
        <f t="shared" si="126"/>
        <v/>
      </c>
    </row>
    <row r="8154" spans="1:7" s="172" customFormat="1" ht="15" customHeight="1" x14ac:dyDescent="0.25">
      <c r="A8154" s="837" t="s">
        <v>2691</v>
      </c>
      <c r="B8154" s="851" t="s">
        <v>9487</v>
      </c>
      <c r="C8154" s="851" t="s">
        <v>9487</v>
      </c>
      <c r="D8154" s="852" t="s">
        <v>9507</v>
      </c>
      <c r="E8154" s="852">
        <v>10</v>
      </c>
      <c r="F8154" s="850">
        <v>3</v>
      </c>
      <c r="G8154" s="202" t="str">
        <f t="shared" si="126"/>
        <v/>
      </c>
    </row>
    <row r="8155" spans="1:7" s="172" customFormat="1" ht="15" customHeight="1" x14ac:dyDescent="0.25">
      <c r="A8155" s="837" t="s">
        <v>13057</v>
      </c>
      <c r="B8155" s="851" t="s">
        <v>9487</v>
      </c>
      <c r="C8155" s="851" t="s">
        <v>9487</v>
      </c>
      <c r="D8155" s="852" t="s">
        <v>9508</v>
      </c>
      <c r="E8155" s="852">
        <v>20</v>
      </c>
      <c r="F8155" s="850">
        <v>5</v>
      </c>
      <c r="G8155" s="202" t="str">
        <f t="shared" si="126"/>
        <v/>
      </c>
    </row>
    <row r="8156" spans="1:7" s="172" customFormat="1" ht="15" customHeight="1" x14ac:dyDescent="0.25">
      <c r="A8156" s="837" t="s">
        <v>11926</v>
      </c>
      <c r="B8156" s="851" t="s">
        <v>9487</v>
      </c>
      <c r="C8156" s="851" t="s">
        <v>9487</v>
      </c>
      <c r="D8156" s="852" t="s">
        <v>9509</v>
      </c>
      <c r="E8156" s="852">
        <v>160</v>
      </c>
      <c r="F8156" s="850">
        <v>100</v>
      </c>
      <c r="G8156" s="202" t="str">
        <f t="shared" si="126"/>
        <v/>
      </c>
    </row>
    <row r="8157" spans="1:7" s="172" customFormat="1" ht="15" customHeight="1" x14ac:dyDescent="0.25">
      <c r="A8157" s="837" t="s">
        <v>13058</v>
      </c>
      <c r="B8157" s="851" t="s">
        <v>9487</v>
      </c>
      <c r="C8157" s="851" t="s">
        <v>9487</v>
      </c>
      <c r="D8157" s="852" t="s">
        <v>9510</v>
      </c>
      <c r="E8157" s="852">
        <v>100</v>
      </c>
      <c r="F8157" s="850">
        <v>30</v>
      </c>
      <c r="G8157" s="202" t="str">
        <f t="shared" si="126"/>
        <v/>
      </c>
    </row>
    <row r="8158" spans="1:7" s="172" customFormat="1" ht="15" customHeight="1" x14ac:dyDescent="0.25">
      <c r="A8158" s="837" t="s">
        <v>13059</v>
      </c>
      <c r="B8158" s="851" t="s">
        <v>9487</v>
      </c>
      <c r="C8158" s="851" t="s">
        <v>9487</v>
      </c>
      <c r="D8158" s="852" t="s">
        <v>9511</v>
      </c>
      <c r="E8158" s="852">
        <v>63</v>
      </c>
      <c r="F8158" s="850">
        <v>10</v>
      </c>
      <c r="G8158" s="202" t="str">
        <f t="shared" ref="G8158:G8221" si="127">IF(E8158=F8158,"не загружен","")</f>
        <v/>
      </c>
    </row>
    <row r="8159" spans="1:7" s="172" customFormat="1" ht="15" customHeight="1" x14ac:dyDescent="0.25">
      <c r="A8159" s="837" t="s">
        <v>13060</v>
      </c>
      <c r="B8159" s="851" t="s">
        <v>9487</v>
      </c>
      <c r="C8159" s="851" t="s">
        <v>9487</v>
      </c>
      <c r="D8159" s="852" t="s">
        <v>9512</v>
      </c>
      <c r="E8159" s="852">
        <v>10</v>
      </c>
      <c r="F8159" s="850">
        <v>3</v>
      </c>
      <c r="G8159" s="202" t="str">
        <f t="shared" si="127"/>
        <v/>
      </c>
    </row>
    <row r="8160" spans="1:7" s="172" customFormat="1" ht="15" customHeight="1" x14ac:dyDescent="0.25">
      <c r="A8160" s="837" t="s">
        <v>13061</v>
      </c>
      <c r="B8160" s="851" t="s">
        <v>9487</v>
      </c>
      <c r="C8160" s="851" t="s">
        <v>9487</v>
      </c>
      <c r="D8160" s="852" t="s">
        <v>9513</v>
      </c>
      <c r="E8160" s="852">
        <v>100</v>
      </c>
      <c r="F8160" s="850">
        <v>10</v>
      </c>
      <c r="G8160" s="202" t="str">
        <f t="shared" si="127"/>
        <v/>
      </c>
    </row>
    <row r="8161" spans="1:7" s="172" customFormat="1" ht="15" customHeight="1" x14ac:dyDescent="0.25">
      <c r="A8161" s="837" t="s">
        <v>13062</v>
      </c>
      <c r="B8161" s="851" t="s">
        <v>9487</v>
      </c>
      <c r="C8161" s="851" t="s">
        <v>9487</v>
      </c>
      <c r="D8161" s="852" t="s">
        <v>20159</v>
      </c>
      <c r="E8161" s="852">
        <v>25</v>
      </c>
      <c r="F8161" s="850">
        <v>5</v>
      </c>
      <c r="G8161" s="202" t="str">
        <f t="shared" si="127"/>
        <v/>
      </c>
    </row>
    <row r="8162" spans="1:7" s="172" customFormat="1" ht="15" customHeight="1" x14ac:dyDescent="0.25">
      <c r="A8162" s="837" t="s">
        <v>13062</v>
      </c>
      <c r="B8162" s="851" t="s">
        <v>9487</v>
      </c>
      <c r="C8162" s="851" t="s">
        <v>9487</v>
      </c>
      <c r="D8162" s="852" t="s">
        <v>9514</v>
      </c>
      <c r="E8162" s="852">
        <v>30</v>
      </c>
      <c r="F8162" s="850">
        <v>5</v>
      </c>
      <c r="G8162" s="202" t="str">
        <f t="shared" si="127"/>
        <v/>
      </c>
    </row>
    <row r="8163" spans="1:7" s="172" customFormat="1" ht="15" customHeight="1" x14ac:dyDescent="0.25">
      <c r="A8163" s="837" t="s">
        <v>13063</v>
      </c>
      <c r="B8163" s="851" t="s">
        <v>9487</v>
      </c>
      <c r="C8163" s="851" t="s">
        <v>9487</v>
      </c>
      <c r="D8163" s="852" t="s">
        <v>9515</v>
      </c>
      <c r="E8163" s="852">
        <v>10</v>
      </c>
      <c r="F8163" s="850">
        <v>3</v>
      </c>
      <c r="G8163" s="202" t="str">
        <f t="shared" si="127"/>
        <v/>
      </c>
    </row>
    <row r="8164" spans="1:7" s="172" customFormat="1" ht="15" customHeight="1" x14ac:dyDescent="0.25">
      <c r="A8164" s="837" t="s">
        <v>13064</v>
      </c>
      <c r="B8164" s="851" t="s">
        <v>9487</v>
      </c>
      <c r="C8164" s="851" t="s">
        <v>9487</v>
      </c>
      <c r="D8164" s="852" t="s">
        <v>9516</v>
      </c>
      <c r="E8164" s="852">
        <v>100</v>
      </c>
      <c r="F8164" s="850">
        <v>20</v>
      </c>
      <c r="G8164" s="202" t="str">
        <f t="shared" si="127"/>
        <v/>
      </c>
    </row>
    <row r="8165" spans="1:7" s="172" customFormat="1" ht="15" customHeight="1" x14ac:dyDescent="0.25">
      <c r="A8165" s="837" t="s">
        <v>13064</v>
      </c>
      <c r="B8165" s="851" t="s">
        <v>9487</v>
      </c>
      <c r="C8165" s="851" t="s">
        <v>9487</v>
      </c>
      <c r="D8165" s="852" t="s">
        <v>9517</v>
      </c>
      <c r="E8165" s="852">
        <v>160</v>
      </c>
      <c r="F8165" s="850">
        <v>30</v>
      </c>
      <c r="G8165" s="202" t="str">
        <f t="shared" si="127"/>
        <v/>
      </c>
    </row>
    <row r="8166" spans="1:7" s="172" customFormat="1" ht="15" customHeight="1" x14ac:dyDescent="0.25">
      <c r="A8166" s="837" t="s">
        <v>13064</v>
      </c>
      <c r="B8166" s="851" t="s">
        <v>9487</v>
      </c>
      <c r="C8166" s="851" t="s">
        <v>9487</v>
      </c>
      <c r="D8166" s="852" t="s">
        <v>9518</v>
      </c>
      <c r="E8166" s="852">
        <v>250</v>
      </c>
      <c r="F8166" s="850">
        <v>150</v>
      </c>
      <c r="G8166" s="202" t="str">
        <f t="shared" si="127"/>
        <v/>
      </c>
    </row>
    <row r="8167" spans="1:7" s="172" customFormat="1" ht="15" customHeight="1" x14ac:dyDescent="0.25">
      <c r="A8167" s="837" t="s">
        <v>13064</v>
      </c>
      <c r="B8167" s="851" t="s">
        <v>9487</v>
      </c>
      <c r="C8167" s="851" t="s">
        <v>9487</v>
      </c>
      <c r="D8167" s="852" t="s">
        <v>9519</v>
      </c>
      <c r="E8167" s="852">
        <v>160</v>
      </c>
      <c r="F8167" s="850">
        <v>30</v>
      </c>
      <c r="G8167" s="202" t="str">
        <f t="shared" si="127"/>
        <v/>
      </c>
    </row>
    <row r="8168" spans="1:7" s="172" customFormat="1" ht="15" customHeight="1" x14ac:dyDescent="0.25">
      <c r="A8168" s="837" t="s">
        <v>13065</v>
      </c>
      <c r="B8168" s="851" t="s">
        <v>9487</v>
      </c>
      <c r="C8168" s="851" t="s">
        <v>9487</v>
      </c>
      <c r="D8168" s="852" t="s">
        <v>9520</v>
      </c>
      <c r="E8168" s="852">
        <v>30</v>
      </c>
      <c r="F8168" s="850">
        <v>5</v>
      </c>
      <c r="G8168" s="202" t="str">
        <f t="shared" si="127"/>
        <v/>
      </c>
    </row>
    <row r="8169" spans="1:7" s="172" customFormat="1" ht="15" customHeight="1" x14ac:dyDescent="0.25">
      <c r="A8169" s="837" t="s">
        <v>7340</v>
      </c>
      <c r="B8169" s="851" t="s">
        <v>9487</v>
      </c>
      <c r="C8169" s="851" t="s">
        <v>9487</v>
      </c>
      <c r="D8169" s="852" t="s">
        <v>9521</v>
      </c>
      <c r="E8169" s="852">
        <v>30</v>
      </c>
      <c r="F8169" s="850">
        <v>10</v>
      </c>
      <c r="G8169" s="202" t="str">
        <f t="shared" si="127"/>
        <v/>
      </c>
    </row>
    <row r="8170" spans="1:7" s="172" customFormat="1" ht="15" customHeight="1" x14ac:dyDescent="0.25">
      <c r="A8170" s="837" t="s">
        <v>13066</v>
      </c>
      <c r="B8170" s="851" t="s">
        <v>9487</v>
      </c>
      <c r="C8170" s="851" t="s">
        <v>9487</v>
      </c>
      <c r="D8170" s="852" t="s">
        <v>9522</v>
      </c>
      <c r="E8170" s="852">
        <v>60</v>
      </c>
      <c r="F8170" s="850">
        <v>5</v>
      </c>
      <c r="G8170" s="202" t="str">
        <f t="shared" si="127"/>
        <v/>
      </c>
    </row>
    <row r="8171" spans="1:7" s="172" customFormat="1" ht="15" customHeight="1" x14ac:dyDescent="0.25">
      <c r="A8171" s="837" t="s">
        <v>13067</v>
      </c>
      <c r="B8171" s="851" t="s">
        <v>9487</v>
      </c>
      <c r="C8171" s="851" t="s">
        <v>9487</v>
      </c>
      <c r="D8171" s="852" t="s">
        <v>9523</v>
      </c>
      <c r="E8171" s="852">
        <v>0</v>
      </c>
      <c r="F8171" s="850">
        <v>0</v>
      </c>
      <c r="G8171" s="202" t="str">
        <f t="shared" si="127"/>
        <v>не загружен</v>
      </c>
    </row>
    <row r="8172" spans="1:7" s="172" customFormat="1" ht="15" customHeight="1" x14ac:dyDescent="0.25">
      <c r="A8172" s="837" t="s">
        <v>3131</v>
      </c>
      <c r="B8172" s="851" t="s">
        <v>9487</v>
      </c>
      <c r="C8172" s="851" t="s">
        <v>9487</v>
      </c>
      <c r="D8172" s="852" t="s">
        <v>9524</v>
      </c>
      <c r="E8172" s="852">
        <v>60</v>
      </c>
      <c r="F8172" s="850">
        <v>10</v>
      </c>
      <c r="G8172" s="202" t="str">
        <f t="shared" si="127"/>
        <v/>
      </c>
    </row>
    <row r="8173" spans="1:7" s="172" customFormat="1" ht="15" customHeight="1" x14ac:dyDescent="0.25">
      <c r="A8173" s="837" t="s">
        <v>3131</v>
      </c>
      <c r="B8173" s="851" t="s">
        <v>9487</v>
      </c>
      <c r="C8173" s="851" t="s">
        <v>9487</v>
      </c>
      <c r="D8173" s="852" t="s">
        <v>9525</v>
      </c>
      <c r="E8173" s="852">
        <v>20</v>
      </c>
      <c r="F8173" s="850">
        <v>10</v>
      </c>
      <c r="G8173" s="202" t="str">
        <f t="shared" si="127"/>
        <v/>
      </c>
    </row>
    <row r="8174" spans="1:7" s="172" customFormat="1" ht="15" customHeight="1" x14ac:dyDescent="0.25">
      <c r="A8174" s="837" t="s">
        <v>13068</v>
      </c>
      <c r="B8174" s="851" t="s">
        <v>9487</v>
      </c>
      <c r="C8174" s="851" t="s">
        <v>9487</v>
      </c>
      <c r="D8174" s="852" t="s">
        <v>9526</v>
      </c>
      <c r="E8174" s="852">
        <v>10</v>
      </c>
      <c r="F8174" s="850">
        <v>1</v>
      </c>
      <c r="G8174" s="202" t="str">
        <f t="shared" si="127"/>
        <v/>
      </c>
    </row>
    <row r="8175" spans="1:7" s="172" customFormat="1" ht="15" customHeight="1" x14ac:dyDescent="0.25">
      <c r="A8175" s="837" t="s">
        <v>12686</v>
      </c>
      <c r="B8175" s="851" t="s">
        <v>9487</v>
      </c>
      <c r="C8175" s="851" t="s">
        <v>9487</v>
      </c>
      <c r="D8175" s="852" t="s">
        <v>9527</v>
      </c>
      <c r="E8175" s="852">
        <v>30</v>
      </c>
      <c r="F8175" s="850">
        <v>10</v>
      </c>
      <c r="G8175" s="202" t="str">
        <f t="shared" si="127"/>
        <v/>
      </c>
    </row>
    <row r="8176" spans="1:7" s="172" customFormat="1" ht="15" customHeight="1" x14ac:dyDescent="0.25">
      <c r="A8176" s="837" t="s">
        <v>13069</v>
      </c>
      <c r="B8176" s="851" t="s">
        <v>9487</v>
      </c>
      <c r="C8176" s="851" t="s">
        <v>9487</v>
      </c>
      <c r="D8176" s="852" t="s">
        <v>9528</v>
      </c>
      <c r="E8176" s="852">
        <v>20</v>
      </c>
      <c r="F8176" s="850">
        <v>5</v>
      </c>
      <c r="G8176" s="202" t="str">
        <f t="shared" si="127"/>
        <v/>
      </c>
    </row>
    <row r="8177" spans="1:7" s="172" customFormat="1" ht="15" customHeight="1" x14ac:dyDescent="0.25">
      <c r="A8177" s="837" t="s">
        <v>8290</v>
      </c>
      <c r="B8177" s="851" t="s">
        <v>9487</v>
      </c>
      <c r="C8177" s="851" t="s">
        <v>9487</v>
      </c>
      <c r="D8177" s="852" t="s">
        <v>9529</v>
      </c>
      <c r="E8177" s="852">
        <v>30</v>
      </c>
      <c r="F8177" s="850">
        <v>5</v>
      </c>
      <c r="G8177" s="202" t="str">
        <f t="shared" si="127"/>
        <v/>
      </c>
    </row>
    <row r="8178" spans="1:7" s="172" customFormat="1" ht="15" customHeight="1" x14ac:dyDescent="0.25">
      <c r="A8178" s="837" t="s">
        <v>2991</v>
      </c>
      <c r="B8178" s="851" t="s">
        <v>9487</v>
      </c>
      <c r="C8178" s="851" t="s">
        <v>9487</v>
      </c>
      <c r="D8178" s="852" t="s">
        <v>9530</v>
      </c>
      <c r="E8178" s="852">
        <v>160</v>
      </c>
      <c r="F8178" s="850">
        <v>80</v>
      </c>
      <c r="G8178" s="202" t="str">
        <f t="shared" si="127"/>
        <v/>
      </c>
    </row>
    <row r="8179" spans="1:7" s="172" customFormat="1" ht="15" customHeight="1" x14ac:dyDescent="0.25">
      <c r="A8179" s="837" t="s">
        <v>13070</v>
      </c>
      <c r="B8179" s="851" t="s">
        <v>9487</v>
      </c>
      <c r="C8179" s="851" t="s">
        <v>9487</v>
      </c>
      <c r="D8179" s="852" t="s">
        <v>9531</v>
      </c>
      <c r="E8179" s="852">
        <v>30</v>
      </c>
      <c r="F8179" s="850">
        <v>10</v>
      </c>
      <c r="G8179" s="202" t="str">
        <f t="shared" si="127"/>
        <v/>
      </c>
    </row>
    <row r="8180" spans="1:7" s="172" customFormat="1" ht="15" customHeight="1" x14ac:dyDescent="0.25">
      <c r="A8180" s="837" t="s">
        <v>13071</v>
      </c>
      <c r="B8180" s="851" t="s">
        <v>9487</v>
      </c>
      <c r="C8180" s="851" t="s">
        <v>9487</v>
      </c>
      <c r="D8180" s="852" t="s">
        <v>9532</v>
      </c>
      <c r="E8180" s="852">
        <v>25</v>
      </c>
      <c r="F8180" s="850">
        <v>10</v>
      </c>
      <c r="G8180" s="202" t="str">
        <f t="shared" si="127"/>
        <v/>
      </c>
    </row>
    <row r="8181" spans="1:7" s="172" customFormat="1" ht="15" customHeight="1" x14ac:dyDescent="0.25">
      <c r="A8181" s="837" t="s">
        <v>12615</v>
      </c>
      <c r="B8181" s="851" t="s">
        <v>9487</v>
      </c>
      <c r="C8181" s="851" t="s">
        <v>9487</v>
      </c>
      <c r="D8181" s="852" t="s">
        <v>9533</v>
      </c>
      <c r="E8181" s="852">
        <v>63</v>
      </c>
      <c r="F8181" s="850">
        <v>20</v>
      </c>
      <c r="G8181" s="202" t="str">
        <f t="shared" si="127"/>
        <v/>
      </c>
    </row>
    <row r="8182" spans="1:7" s="172" customFormat="1" ht="15" customHeight="1" x14ac:dyDescent="0.25">
      <c r="A8182" s="837" t="s">
        <v>12615</v>
      </c>
      <c r="B8182" s="851" t="s">
        <v>9487</v>
      </c>
      <c r="C8182" s="851" t="s">
        <v>9487</v>
      </c>
      <c r="D8182" s="852" t="s">
        <v>9534</v>
      </c>
      <c r="E8182" s="852">
        <v>20</v>
      </c>
      <c r="F8182" s="850">
        <v>5</v>
      </c>
      <c r="G8182" s="202" t="str">
        <f t="shared" si="127"/>
        <v/>
      </c>
    </row>
    <row r="8183" spans="1:7" s="172" customFormat="1" ht="15" customHeight="1" x14ac:dyDescent="0.25">
      <c r="A8183" s="837" t="s">
        <v>13072</v>
      </c>
      <c r="B8183" s="851" t="s">
        <v>9487</v>
      </c>
      <c r="C8183" s="851" t="s">
        <v>9487</v>
      </c>
      <c r="D8183" s="852" t="s">
        <v>9535</v>
      </c>
      <c r="E8183" s="852">
        <v>0</v>
      </c>
      <c r="F8183" s="850">
        <v>0</v>
      </c>
      <c r="G8183" s="202" t="str">
        <f t="shared" si="127"/>
        <v>не загружен</v>
      </c>
    </row>
    <row r="8184" spans="1:7" s="172" customFormat="1" ht="15" customHeight="1" x14ac:dyDescent="0.25">
      <c r="A8184" s="837" t="s">
        <v>13073</v>
      </c>
      <c r="B8184" s="851" t="s">
        <v>9487</v>
      </c>
      <c r="C8184" s="851" t="s">
        <v>9487</v>
      </c>
      <c r="D8184" s="852" t="s">
        <v>9536</v>
      </c>
      <c r="E8184" s="852">
        <v>30</v>
      </c>
      <c r="F8184" s="850">
        <v>5</v>
      </c>
      <c r="G8184" s="202" t="str">
        <f t="shared" si="127"/>
        <v/>
      </c>
    </row>
    <row r="8185" spans="1:7" s="172" customFormat="1" ht="15" customHeight="1" x14ac:dyDescent="0.25">
      <c r="A8185" s="837" t="s">
        <v>13074</v>
      </c>
      <c r="B8185" s="851" t="s">
        <v>9487</v>
      </c>
      <c r="C8185" s="851" t="s">
        <v>9487</v>
      </c>
      <c r="D8185" s="852" t="s">
        <v>9537</v>
      </c>
      <c r="E8185" s="852">
        <v>100</v>
      </c>
      <c r="F8185" s="850">
        <v>5</v>
      </c>
      <c r="G8185" s="202" t="str">
        <f t="shared" si="127"/>
        <v/>
      </c>
    </row>
    <row r="8186" spans="1:7" s="172" customFormat="1" ht="15" customHeight="1" x14ac:dyDescent="0.25">
      <c r="A8186" s="837" t="s">
        <v>2778</v>
      </c>
      <c r="B8186" s="851" t="s">
        <v>9487</v>
      </c>
      <c r="C8186" s="851" t="s">
        <v>9487</v>
      </c>
      <c r="D8186" s="852" t="s">
        <v>9538</v>
      </c>
      <c r="E8186" s="852">
        <v>30</v>
      </c>
      <c r="F8186" s="850">
        <v>20</v>
      </c>
      <c r="G8186" s="202" t="str">
        <f t="shared" si="127"/>
        <v/>
      </c>
    </row>
    <row r="8187" spans="1:7" s="172" customFormat="1" ht="15" customHeight="1" x14ac:dyDescent="0.25">
      <c r="A8187" s="837" t="s">
        <v>2778</v>
      </c>
      <c r="B8187" s="851" t="s">
        <v>9487</v>
      </c>
      <c r="C8187" s="851" t="s">
        <v>9487</v>
      </c>
      <c r="D8187" s="852" t="s">
        <v>9539</v>
      </c>
      <c r="E8187" s="852">
        <v>20</v>
      </c>
      <c r="F8187" s="850">
        <v>5</v>
      </c>
      <c r="G8187" s="202" t="str">
        <f t="shared" si="127"/>
        <v/>
      </c>
    </row>
    <row r="8188" spans="1:7" s="172" customFormat="1" ht="15" customHeight="1" x14ac:dyDescent="0.25">
      <c r="A8188" s="837" t="s">
        <v>3271</v>
      </c>
      <c r="B8188" s="851" t="s">
        <v>9487</v>
      </c>
      <c r="C8188" s="851" t="s">
        <v>9487</v>
      </c>
      <c r="D8188" s="852" t="s">
        <v>9540</v>
      </c>
      <c r="E8188" s="852">
        <v>30</v>
      </c>
      <c r="F8188" s="850">
        <v>10</v>
      </c>
      <c r="G8188" s="202" t="str">
        <f t="shared" si="127"/>
        <v/>
      </c>
    </row>
    <row r="8189" spans="1:7" s="172" customFormat="1" ht="15" customHeight="1" x14ac:dyDescent="0.25">
      <c r="A8189" s="837" t="s">
        <v>13075</v>
      </c>
      <c r="B8189" s="851" t="s">
        <v>9487</v>
      </c>
      <c r="C8189" s="851" t="s">
        <v>9487</v>
      </c>
      <c r="D8189" s="852" t="s">
        <v>9541</v>
      </c>
      <c r="E8189" s="852">
        <v>100</v>
      </c>
      <c r="F8189" s="850">
        <v>60</v>
      </c>
      <c r="G8189" s="202" t="str">
        <f t="shared" si="127"/>
        <v/>
      </c>
    </row>
    <row r="8190" spans="1:7" s="172" customFormat="1" ht="15" customHeight="1" x14ac:dyDescent="0.25">
      <c r="A8190" s="837" t="s">
        <v>13076</v>
      </c>
      <c r="B8190" s="851" t="s">
        <v>9487</v>
      </c>
      <c r="C8190" s="851" t="s">
        <v>9487</v>
      </c>
      <c r="D8190" s="852" t="s">
        <v>9542</v>
      </c>
      <c r="E8190" s="852">
        <v>40</v>
      </c>
      <c r="F8190" s="850">
        <v>20</v>
      </c>
      <c r="G8190" s="202" t="str">
        <f t="shared" si="127"/>
        <v/>
      </c>
    </row>
    <row r="8191" spans="1:7" s="172" customFormat="1" ht="15" customHeight="1" x14ac:dyDescent="0.25">
      <c r="A8191" s="837" t="s">
        <v>3545</v>
      </c>
      <c r="B8191" s="851" t="s">
        <v>9487</v>
      </c>
      <c r="C8191" s="851" t="s">
        <v>9487</v>
      </c>
      <c r="D8191" s="852" t="s">
        <v>9543</v>
      </c>
      <c r="E8191" s="852">
        <v>20</v>
      </c>
      <c r="F8191" s="850">
        <v>15</v>
      </c>
      <c r="G8191" s="202" t="str">
        <f t="shared" si="127"/>
        <v/>
      </c>
    </row>
    <row r="8192" spans="1:7" s="172" customFormat="1" ht="15" customHeight="1" x14ac:dyDescent="0.25">
      <c r="A8192" s="837" t="s">
        <v>13077</v>
      </c>
      <c r="B8192" s="851" t="s">
        <v>9487</v>
      </c>
      <c r="C8192" s="851" t="s">
        <v>9487</v>
      </c>
      <c r="D8192" s="852" t="s">
        <v>9544</v>
      </c>
      <c r="E8192" s="852">
        <v>20</v>
      </c>
      <c r="F8192" s="850">
        <v>5</v>
      </c>
      <c r="G8192" s="202" t="str">
        <f t="shared" si="127"/>
        <v/>
      </c>
    </row>
    <row r="8193" spans="1:7" s="172" customFormat="1" ht="15" customHeight="1" x14ac:dyDescent="0.25">
      <c r="A8193" s="837" t="s">
        <v>13078</v>
      </c>
      <c r="B8193" s="851" t="s">
        <v>9487</v>
      </c>
      <c r="C8193" s="851" t="s">
        <v>9487</v>
      </c>
      <c r="D8193" s="852" t="s">
        <v>9545</v>
      </c>
      <c r="E8193" s="852">
        <v>60</v>
      </c>
      <c r="F8193" s="850">
        <v>30</v>
      </c>
      <c r="G8193" s="202" t="str">
        <f t="shared" si="127"/>
        <v/>
      </c>
    </row>
    <row r="8194" spans="1:7" s="172" customFormat="1" ht="15" customHeight="1" x14ac:dyDescent="0.25">
      <c r="A8194" s="837" t="s">
        <v>13079</v>
      </c>
      <c r="B8194" s="851" t="s">
        <v>9487</v>
      </c>
      <c r="C8194" s="851" t="s">
        <v>9487</v>
      </c>
      <c r="D8194" s="852" t="s">
        <v>9546</v>
      </c>
      <c r="E8194" s="852">
        <v>30</v>
      </c>
      <c r="F8194" s="850">
        <v>15</v>
      </c>
      <c r="G8194" s="202" t="str">
        <f t="shared" si="127"/>
        <v/>
      </c>
    </row>
    <row r="8195" spans="1:7" s="172" customFormat="1" ht="15" customHeight="1" x14ac:dyDescent="0.25">
      <c r="A8195" s="837" t="s">
        <v>13080</v>
      </c>
      <c r="B8195" s="851" t="s">
        <v>9487</v>
      </c>
      <c r="C8195" s="851" t="s">
        <v>9487</v>
      </c>
      <c r="D8195" s="852" t="s">
        <v>9547</v>
      </c>
      <c r="E8195" s="852">
        <v>100</v>
      </c>
      <c r="F8195" s="850">
        <v>30</v>
      </c>
      <c r="G8195" s="202" t="str">
        <f t="shared" si="127"/>
        <v/>
      </c>
    </row>
    <row r="8196" spans="1:7" s="172" customFormat="1" ht="15" customHeight="1" x14ac:dyDescent="0.25">
      <c r="A8196" s="837" t="s">
        <v>13081</v>
      </c>
      <c r="B8196" s="851" t="s">
        <v>9487</v>
      </c>
      <c r="C8196" s="851" t="s">
        <v>9487</v>
      </c>
      <c r="D8196" s="852" t="s">
        <v>9548</v>
      </c>
      <c r="E8196" s="852">
        <v>30</v>
      </c>
      <c r="F8196" s="850">
        <v>10</v>
      </c>
      <c r="G8196" s="202" t="str">
        <f t="shared" si="127"/>
        <v/>
      </c>
    </row>
    <row r="8197" spans="1:7" s="172" customFormat="1" ht="15" customHeight="1" x14ac:dyDescent="0.25">
      <c r="A8197" s="837" t="s">
        <v>8807</v>
      </c>
      <c r="B8197" s="851" t="s">
        <v>9487</v>
      </c>
      <c r="C8197" s="851" t="s">
        <v>9487</v>
      </c>
      <c r="D8197" s="852" t="s">
        <v>9549</v>
      </c>
      <c r="E8197" s="852">
        <v>10</v>
      </c>
      <c r="F8197" s="850">
        <v>3</v>
      </c>
      <c r="G8197" s="202" t="str">
        <f t="shared" si="127"/>
        <v/>
      </c>
    </row>
    <row r="8198" spans="1:7" s="172" customFormat="1" ht="15" customHeight="1" x14ac:dyDescent="0.25">
      <c r="A8198" s="837" t="s">
        <v>7895</v>
      </c>
      <c r="B8198" s="851" t="s">
        <v>9487</v>
      </c>
      <c r="C8198" s="851" t="s">
        <v>9487</v>
      </c>
      <c r="D8198" s="852" t="s">
        <v>9550</v>
      </c>
      <c r="E8198" s="852">
        <v>160</v>
      </c>
      <c r="F8198" s="850">
        <v>40</v>
      </c>
      <c r="G8198" s="202" t="str">
        <f t="shared" si="127"/>
        <v/>
      </c>
    </row>
    <row r="8199" spans="1:7" s="172" customFormat="1" ht="15" customHeight="1" x14ac:dyDescent="0.25">
      <c r="A8199" s="837" t="s">
        <v>6211</v>
      </c>
      <c r="B8199" s="851" t="s">
        <v>9487</v>
      </c>
      <c r="C8199" s="851" t="s">
        <v>9487</v>
      </c>
      <c r="D8199" s="852" t="s">
        <v>9551</v>
      </c>
      <c r="E8199" s="852">
        <v>160</v>
      </c>
      <c r="F8199" s="850">
        <v>90</v>
      </c>
      <c r="G8199" s="202" t="str">
        <f t="shared" si="127"/>
        <v/>
      </c>
    </row>
    <row r="8200" spans="1:7" s="172" customFormat="1" ht="15" customHeight="1" x14ac:dyDescent="0.25">
      <c r="A8200" s="837" t="s">
        <v>13082</v>
      </c>
      <c r="B8200" s="851" t="s">
        <v>9487</v>
      </c>
      <c r="C8200" s="851" t="s">
        <v>9487</v>
      </c>
      <c r="D8200" s="852" t="s">
        <v>9552</v>
      </c>
      <c r="E8200" s="852">
        <v>30</v>
      </c>
      <c r="F8200" s="850">
        <v>3</v>
      </c>
      <c r="G8200" s="202" t="str">
        <f t="shared" si="127"/>
        <v/>
      </c>
    </row>
    <row r="8201" spans="1:7" s="172" customFormat="1" ht="15" customHeight="1" x14ac:dyDescent="0.25">
      <c r="A8201" s="837" t="s">
        <v>13082</v>
      </c>
      <c r="B8201" s="851" t="s">
        <v>9487</v>
      </c>
      <c r="C8201" s="851" t="s">
        <v>9487</v>
      </c>
      <c r="D8201" s="852" t="s">
        <v>9553</v>
      </c>
      <c r="E8201" s="852">
        <v>100</v>
      </c>
      <c r="F8201" s="850">
        <v>50</v>
      </c>
      <c r="G8201" s="202" t="str">
        <f t="shared" si="127"/>
        <v/>
      </c>
    </row>
    <row r="8202" spans="1:7" s="172" customFormat="1" ht="15" customHeight="1" x14ac:dyDescent="0.25">
      <c r="A8202" s="837" t="s">
        <v>13083</v>
      </c>
      <c r="B8202" s="851" t="s">
        <v>9487</v>
      </c>
      <c r="C8202" s="851" t="s">
        <v>9487</v>
      </c>
      <c r="D8202" s="852" t="s">
        <v>9554</v>
      </c>
      <c r="E8202" s="852">
        <v>0</v>
      </c>
      <c r="F8202" s="850">
        <v>0</v>
      </c>
      <c r="G8202" s="202" t="str">
        <f t="shared" si="127"/>
        <v>не загружен</v>
      </c>
    </row>
    <row r="8203" spans="1:7" s="172" customFormat="1" ht="15" customHeight="1" x14ac:dyDescent="0.25">
      <c r="A8203" s="837" t="s">
        <v>12554</v>
      </c>
      <c r="B8203" s="851" t="s">
        <v>9487</v>
      </c>
      <c r="C8203" s="851" t="s">
        <v>9487</v>
      </c>
      <c r="D8203" s="852" t="s">
        <v>9555</v>
      </c>
      <c r="E8203" s="852">
        <v>100</v>
      </c>
      <c r="F8203" s="850">
        <v>40</v>
      </c>
      <c r="G8203" s="202" t="str">
        <f t="shared" si="127"/>
        <v/>
      </c>
    </row>
    <row r="8204" spans="1:7" s="172" customFormat="1" ht="15" customHeight="1" x14ac:dyDescent="0.25">
      <c r="A8204" s="837" t="s">
        <v>12554</v>
      </c>
      <c r="B8204" s="851" t="s">
        <v>9487</v>
      </c>
      <c r="C8204" s="851" t="s">
        <v>9487</v>
      </c>
      <c r="D8204" s="852" t="s">
        <v>9556</v>
      </c>
      <c r="E8204" s="852">
        <v>0</v>
      </c>
      <c r="F8204" s="850">
        <v>0</v>
      </c>
      <c r="G8204" s="202" t="str">
        <f t="shared" si="127"/>
        <v>не загружен</v>
      </c>
    </row>
    <row r="8205" spans="1:7" s="172" customFormat="1" ht="15" customHeight="1" x14ac:dyDescent="0.25">
      <c r="A8205" s="837" t="s">
        <v>12554</v>
      </c>
      <c r="B8205" s="851" t="s">
        <v>9487</v>
      </c>
      <c r="C8205" s="851" t="s">
        <v>9487</v>
      </c>
      <c r="D8205" s="852" t="s">
        <v>9557</v>
      </c>
      <c r="E8205" s="852">
        <v>100</v>
      </c>
      <c r="F8205" s="850">
        <v>90</v>
      </c>
      <c r="G8205" s="202" t="str">
        <f t="shared" si="127"/>
        <v/>
      </c>
    </row>
    <row r="8206" spans="1:7" s="172" customFormat="1" ht="15" customHeight="1" x14ac:dyDescent="0.25">
      <c r="A8206" s="837" t="s">
        <v>13084</v>
      </c>
      <c r="B8206" s="851" t="s">
        <v>9487</v>
      </c>
      <c r="C8206" s="851" t="s">
        <v>9487</v>
      </c>
      <c r="D8206" s="852" t="s">
        <v>9558</v>
      </c>
      <c r="E8206" s="852">
        <v>10</v>
      </c>
      <c r="F8206" s="850">
        <v>3</v>
      </c>
      <c r="G8206" s="202" t="str">
        <f t="shared" si="127"/>
        <v/>
      </c>
    </row>
    <row r="8207" spans="1:7" s="172" customFormat="1" ht="15" customHeight="1" x14ac:dyDescent="0.25">
      <c r="A8207" s="837" t="s">
        <v>13085</v>
      </c>
      <c r="B8207" s="851" t="s">
        <v>9487</v>
      </c>
      <c r="C8207" s="851" t="s">
        <v>9487</v>
      </c>
      <c r="D8207" s="852" t="s">
        <v>9559</v>
      </c>
      <c r="E8207" s="852">
        <v>160</v>
      </c>
      <c r="F8207" s="850">
        <v>50</v>
      </c>
      <c r="G8207" s="202" t="str">
        <f t="shared" si="127"/>
        <v/>
      </c>
    </row>
    <row r="8208" spans="1:7" s="172" customFormat="1" ht="15" customHeight="1" x14ac:dyDescent="0.25">
      <c r="A8208" s="837" t="s">
        <v>13050</v>
      </c>
      <c r="B8208" s="851" t="s">
        <v>9487</v>
      </c>
      <c r="C8208" s="851" t="s">
        <v>9487</v>
      </c>
      <c r="D8208" s="852" t="s">
        <v>9560</v>
      </c>
      <c r="E8208" s="852">
        <v>63</v>
      </c>
      <c r="F8208" s="850">
        <v>10</v>
      </c>
      <c r="G8208" s="202" t="str">
        <f t="shared" si="127"/>
        <v/>
      </c>
    </row>
    <row r="8209" spans="1:7" s="172" customFormat="1" ht="15" customHeight="1" x14ac:dyDescent="0.25">
      <c r="A8209" s="837" t="s">
        <v>13086</v>
      </c>
      <c r="B8209" s="851" t="s">
        <v>9487</v>
      </c>
      <c r="C8209" s="851" t="s">
        <v>9487</v>
      </c>
      <c r="D8209" s="852" t="s">
        <v>9561</v>
      </c>
      <c r="E8209" s="852">
        <v>100</v>
      </c>
      <c r="F8209" s="850">
        <v>10</v>
      </c>
      <c r="G8209" s="202" t="str">
        <f t="shared" si="127"/>
        <v/>
      </c>
    </row>
    <row r="8210" spans="1:7" s="172" customFormat="1" ht="15" customHeight="1" x14ac:dyDescent="0.25">
      <c r="A8210" s="837" t="s">
        <v>13086</v>
      </c>
      <c r="B8210" s="851" t="s">
        <v>9487</v>
      </c>
      <c r="C8210" s="851" t="s">
        <v>9487</v>
      </c>
      <c r="D8210" s="852" t="s">
        <v>9562</v>
      </c>
      <c r="E8210" s="852">
        <v>100</v>
      </c>
      <c r="F8210" s="850">
        <v>30</v>
      </c>
      <c r="G8210" s="202" t="str">
        <f t="shared" si="127"/>
        <v/>
      </c>
    </row>
    <row r="8211" spans="1:7" s="172" customFormat="1" ht="15" customHeight="1" x14ac:dyDescent="0.25">
      <c r="A8211" s="837" t="s">
        <v>13086</v>
      </c>
      <c r="B8211" s="851" t="s">
        <v>9487</v>
      </c>
      <c r="C8211" s="851" t="s">
        <v>9487</v>
      </c>
      <c r="D8211" s="852" t="s">
        <v>9563</v>
      </c>
      <c r="E8211" s="852">
        <v>160</v>
      </c>
      <c r="F8211" s="850">
        <v>20</v>
      </c>
      <c r="G8211" s="202" t="str">
        <f t="shared" si="127"/>
        <v/>
      </c>
    </row>
    <row r="8212" spans="1:7" s="172" customFormat="1" ht="15" customHeight="1" x14ac:dyDescent="0.25">
      <c r="A8212" s="837" t="s">
        <v>13086</v>
      </c>
      <c r="B8212" s="851" t="s">
        <v>9487</v>
      </c>
      <c r="C8212" s="851" t="s">
        <v>9487</v>
      </c>
      <c r="D8212" s="852" t="s">
        <v>16811</v>
      </c>
      <c r="E8212" s="852">
        <v>63</v>
      </c>
      <c r="F8212" s="850">
        <v>10</v>
      </c>
      <c r="G8212" s="202" t="str">
        <f t="shared" si="127"/>
        <v/>
      </c>
    </row>
    <row r="8213" spans="1:7" s="172" customFormat="1" ht="15" customHeight="1" x14ac:dyDescent="0.25">
      <c r="A8213" s="837" t="s">
        <v>13086</v>
      </c>
      <c r="B8213" s="851" t="s">
        <v>9487</v>
      </c>
      <c r="C8213" s="851" t="s">
        <v>9487</v>
      </c>
      <c r="D8213" s="852" t="s">
        <v>9564</v>
      </c>
      <c r="E8213" s="852">
        <v>160</v>
      </c>
      <c r="F8213" s="850">
        <v>100</v>
      </c>
      <c r="G8213" s="202" t="str">
        <f t="shared" si="127"/>
        <v/>
      </c>
    </row>
    <row r="8214" spans="1:7" s="172" customFormat="1" ht="15" customHeight="1" x14ac:dyDescent="0.25">
      <c r="A8214" s="837" t="s">
        <v>13087</v>
      </c>
      <c r="B8214" s="851" t="s">
        <v>9487</v>
      </c>
      <c r="C8214" s="851" t="s">
        <v>9487</v>
      </c>
      <c r="D8214" s="852" t="s">
        <v>9565</v>
      </c>
      <c r="E8214" s="852">
        <v>25</v>
      </c>
      <c r="F8214" s="850">
        <v>5</v>
      </c>
      <c r="G8214" s="202" t="str">
        <f t="shared" si="127"/>
        <v/>
      </c>
    </row>
    <row r="8215" spans="1:7" s="172" customFormat="1" ht="15" customHeight="1" x14ac:dyDescent="0.25">
      <c r="A8215" s="837" t="s">
        <v>13088</v>
      </c>
      <c r="B8215" s="851" t="s">
        <v>9487</v>
      </c>
      <c r="C8215" s="851" t="s">
        <v>9487</v>
      </c>
      <c r="D8215" s="852" t="s">
        <v>9566</v>
      </c>
      <c r="E8215" s="852">
        <v>160</v>
      </c>
      <c r="F8215" s="850">
        <v>50</v>
      </c>
      <c r="G8215" s="202" t="str">
        <f t="shared" si="127"/>
        <v/>
      </c>
    </row>
    <row r="8216" spans="1:7" s="172" customFormat="1" ht="15" customHeight="1" x14ac:dyDescent="0.25">
      <c r="A8216" s="837" t="s">
        <v>13089</v>
      </c>
      <c r="B8216" s="851" t="s">
        <v>9487</v>
      </c>
      <c r="C8216" s="851" t="s">
        <v>9487</v>
      </c>
      <c r="D8216" s="852" t="s">
        <v>9567</v>
      </c>
      <c r="E8216" s="852">
        <v>250</v>
      </c>
      <c r="F8216" s="850">
        <v>40</v>
      </c>
      <c r="G8216" s="202" t="str">
        <f t="shared" si="127"/>
        <v/>
      </c>
    </row>
    <row r="8217" spans="1:7" s="172" customFormat="1" ht="15" customHeight="1" x14ac:dyDescent="0.25">
      <c r="A8217" s="837" t="s">
        <v>13089</v>
      </c>
      <c r="B8217" s="851" t="s">
        <v>9487</v>
      </c>
      <c r="C8217" s="851" t="s">
        <v>9487</v>
      </c>
      <c r="D8217" s="852" t="s">
        <v>9568</v>
      </c>
      <c r="E8217" s="852">
        <v>160</v>
      </c>
      <c r="F8217" s="850">
        <v>20</v>
      </c>
      <c r="G8217" s="202" t="str">
        <f t="shared" si="127"/>
        <v/>
      </c>
    </row>
    <row r="8218" spans="1:7" s="172" customFormat="1" ht="15" customHeight="1" x14ac:dyDescent="0.25">
      <c r="A8218" s="837" t="s">
        <v>13090</v>
      </c>
      <c r="B8218" s="851" t="s">
        <v>9487</v>
      </c>
      <c r="C8218" s="851" t="s">
        <v>9487</v>
      </c>
      <c r="D8218" s="852" t="s">
        <v>9569</v>
      </c>
      <c r="E8218" s="852">
        <v>40</v>
      </c>
      <c r="F8218" s="850">
        <v>30</v>
      </c>
      <c r="G8218" s="202" t="str">
        <f t="shared" si="127"/>
        <v/>
      </c>
    </row>
    <row r="8219" spans="1:7" s="172" customFormat="1" ht="15" customHeight="1" x14ac:dyDescent="0.25">
      <c r="A8219" s="837" t="s">
        <v>13090</v>
      </c>
      <c r="B8219" s="851" t="s">
        <v>9487</v>
      </c>
      <c r="C8219" s="851" t="s">
        <v>9487</v>
      </c>
      <c r="D8219" s="852" t="s">
        <v>9570</v>
      </c>
      <c r="E8219" s="852">
        <v>0</v>
      </c>
      <c r="F8219" s="850">
        <v>0</v>
      </c>
      <c r="G8219" s="202" t="str">
        <f t="shared" si="127"/>
        <v>не загружен</v>
      </c>
    </row>
    <row r="8220" spans="1:7" s="172" customFormat="1" ht="15" customHeight="1" x14ac:dyDescent="0.25">
      <c r="A8220" s="837" t="s">
        <v>3084</v>
      </c>
      <c r="B8220" s="851" t="s">
        <v>9487</v>
      </c>
      <c r="C8220" s="851" t="s">
        <v>9487</v>
      </c>
      <c r="D8220" s="852" t="s">
        <v>9571</v>
      </c>
      <c r="E8220" s="852">
        <v>5</v>
      </c>
      <c r="F8220" s="850">
        <v>2</v>
      </c>
      <c r="G8220" s="202" t="str">
        <f t="shared" si="127"/>
        <v/>
      </c>
    </row>
    <row r="8221" spans="1:7" s="172" customFormat="1" ht="15" customHeight="1" x14ac:dyDescent="0.25">
      <c r="A8221" s="837" t="s">
        <v>13091</v>
      </c>
      <c r="B8221" s="851" t="s">
        <v>9487</v>
      </c>
      <c r="C8221" s="851" t="s">
        <v>9487</v>
      </c>
      <c r="D8221" s="852" t="s">
        <v>9572</v>
      </c>
      <c r="E8221" s="852">
        <v>100</v>
      </c>
      <c r="F8221" s="850">
        <v>10</v>
      </c>
      <c r="G8221" s="202" t="str">
        <f t="shared" si="127"/>
        <v/>
      </c>
    </row>
    <row r="8222" spans="1:7" s="172" customFormat="1" ht="15" customHeight="1" x14ac:dyDescent="0.25">
      <c r="A8222" s="837" t="s">
        <v>11972</v>
      </c>
      <c r="B8222" s="851" t="s">
        <v>9487</v>
      </c>
      <c r="C8222" s="851" t="s">
        <v>9487</v>
      </c>
      <c r="D8222" s="852" t="s">
        <v>9573</v>
      </c>
      <c r="E8222" s="852">
        <v>0</v>
      </c>
      <c r="F8222" s="850">
        <v>0</v>
      </c>
      <c r="G8222" s="202" t="str">
        <f t="shared" ref="G8222:G8285" si="128">IF(E8222=F8222,"не загружен","")</f>
        <v>не загружен</v>
      </c>
    </row>
    <row r="8223" spans="1:7" s="172" customFormat="1" ht="15" customHeight="1" x14ac:dyDescent="0.25">
      <c r="A8223" s="837" t="s">
        <v>11972</v>
      </c>
      <c r="B8223" s="851" t="s">
        <v>9487</v>
      </c>
      <c r="C8223" s="851" t="s">
        <v>9487</v>
      </c>
      <c r="D8223" s="852" t="s">
        <v>9574</v>
      </c>
      <c r="E8223" s="852">
        <v>10</v>
      </c>
      <c r="F8223" s="850">
        <v>5</v>
      </c>
      <c r="G8223" s="202" t="str">
        <f t="shared" si="128"/>
        <v/>
      </c>
    </row>
    <row r="8224" spans="1:7" s="172" customFormat="1" ht="15" customHeight="1" x14ac:dyDescent="0.25">
      <c r="A8224" s="837" t="s">
        <v>10349</v>
      </c>
      <c r="B8224" s="851" t="s">
        <v>9487</v>
      </c>
      <c r="C8224" s="851" t="s">
        <v>9487</v>
      </c>
      <c r="D8224" s="852" t="s">
        <v>9575</v>
      </c>
      <c r="E8224" s="852">
        <v>20</v>
      </c>
      <c r="F8224" s="850">
        <v>5</v>
      </c>
      <c r="G8224" s="202" t="str">
        <f t="shared" si="128"/>
        <v/>
      </c>
    </row>
    <row r="8225" spans="1:7" s="172" customFormat="1" ht="15" customHeight="1" x14ac:dyDescent="0.25">
      <c r="A8225" s="837" t="s">
        <v>6347</v>
      </c>
      <c r="B8225" s="851" t="s">
        <v>9487</v>
      </c>
      <c r="C8225" s="851" t="s">
        <v>9487</v>
      </c>
      <c r="D8225" s="852" t="s">
        <v>9576</v>
      </c>
      <c r="E8225" s="852">
        <v>60</v>
      </c>
      <c r="F8225" s="850">
        <v>10</v>
      </c>
      <c r="G8225" s="202" t="str">
        <f t="shared" si="128"/>
        <v/>
      </c>
    </row>
    <row r="8226" spans="1:7" s="172" customFormat="1" ht="15" customHeight="1" x14ac:dyDescent="0.25">
      <c r="A8226" s="837" t="s">
        <v>13092</v>
      </c>
      <c r="B8226" s="851" t="s">
        <v>9487</v>
      </c>
      <c r="C8226" s="851" t="s">
        <v>9487</v>
      </c>
      <c r="D8226" s="852" t="s">
        <v>9577</v>
      </c>
      <c r="E8226" s="852">
        <v>30</v>
      </c>
      <c r="F8226" s="850">
        <v>10</v>
      </c>
      <c r="G8226" s="202" t="str">
        <f t="shared" si="128"/>
        <v/>
      </c>
    </row>
    <row r="8227" spans="1:7" s="172" customFormat="1" ht="15" customHeight="1" x14ac:dyDescent="0.25">
      <c r="A8227" s="837" t="s">
        <v>13093</v>
      </c>
      <c r="B8227" s="851" t="s">
        <v>9487</v>
      </c>
      <c r="C8227" s="851" t="s">
        <v>9487</v>
      </c>
      <c r="D8227" s="852" t="s">
        <v>9578</v>
      </c>
      <c r="E8227" s="852">
        <v>25</v>
      </c>
      <c r="F8227" s="850">
        <v>15</v>
      </c>
      <c r="G8227" s="202" t="str">
        <f t="shared" si="128"/>
        <v/>
      </c>
    </row>
    <row r="8228" spans="1:7" s="172" customFormat="1" ht="15" customHeight="1" x14ac:dyDescent="0.25">
      <c r="A8228" s="837" t="s">
        <v>13094</v>
      </c>
      <c r="B8228" s="851" t="s">
        <v>9487</v>
      </c>
      <c r="C8228" s="851" t="s">
        <v>9487</v>
      </c>
      <c r="D8228" s="852" t="s">
        <v>9579</v>
      </c>
      <c r="E8228" s="852">
        <v>30</v>
      </c>
      <c r="F8228" s="850">
        <v>20</v>
      </c>
      <c r="G8228" s="202" t="str">
        <f t="shared" si="128"/>
        <v/>
      </c>
    </row>
    <row r="8229" spans="1:7" s="172" customFormat="1" ht="15" customHeight="1" x14ac:dyDescent="0.25">
      <c r="A8229" s="837" t="s">
        <v>13095</v>
      </c>
      <c r="B8229" s="851" t="s">
        <v>9487</v>
      </c>
      <c r="C8229" s="851" t="s">
        <v>9487</v>
      </c>
      <c r="D8229" s="852" t="s">
        <v>9580</v>
      </c>
      <c r="E8229" s="852">
        <v>50</v>
      </c>
      <c r="F8229" s="850">
        <v>20</v>
      </c>
      <c r="G8229" s="202" t="str">
        <f t="shared" si="128"/>
        <v/>
      </c>
    </row>
    <row r="8230" spans="1:7" s="172" customFormat="1" ht="15" customHeight="1" x14ac:dyDescent="0.25">
      <c r="A8230" s="837" t="s">
        <v>9872</v>
      </c>
      <c r="B8230" s="851" t="s">
        <v>9487</v>
      </c>
      <c r="C8230" s="851" t="s">
        <v>9487</v>
      </c>
      <c r="D8230" s="852" t="s">
        <v>9581</v>
      </c>
      <c r="E8230" s="852">
        <v>25</v>
      </c>
      <c r="F8230" s="850">
        <v>15</v>
      </c>
      <c r="G8230" s="202" t="str">
        <f t="shared" si="128"/>
        <v/>
      </c>
    </row>
    <row r="8231" spans="1:7" s="172" customFormat="1" ht="15" customHeight="1" x14ac:dyDescent="0.25">
      <c r="A8231" s="837" t="s">
        <v>13096</v>
      </c>
      <c r="B8231" s="851" t="s">
        <v>9487</v>
      </c>
      <c r="C8231" s="851" t="s">
        <v>9487</v>
      </c>
      <c r="D8231" s="852" t="s">
        <v>9582</v>
      </c>
      <c r="E8231" s="852">
        <v>30</v>
      </c>
      <c r="F8231" s="850">
        <v>10</v>
      </c>
      <c r="G8231" s="202" t="str">
        <f t="shared" si="128"/>
        <v/>
      </c>
    </row>
    <row r="8232" spans="1:7" s="172" customFormat="1" ht="15" customHeight="1" x14ac:dyDescent="0.25">
      <c r="A8232" s="837" t="s">
        <v>13096</v>
      </c>
      <c r="B8232" s="851" t="s">
        <v>9487</v>
      </c>
      <c r="C8232" s="851" t="s">
        <v>9487</v>
      </c>
      <c r="D8232" s="852" t="s">
        <v>9583</v>
      </c>
      <c r="E8232" s="852">
        <v>30</v>
      </c>
      <c r="F8232" s="850">
        <v>5</v>
      </c>
      <c r="G8232" s="202" t="str">
        <f t="shared" si="128"/>
        <v/>
      </c>
    </row>
    <row r="8233" spans="1:7" s="172" customFormat="1" ht="15" customHeight="1" x14ac:dyDescent="0.25">
      <c r="A8233" s="837" t="s">
        <v>13097</v>
      </c>
      <c r="B8233" s="851" t="s">
        <v>9487</v>
      </c>
      <c r="C8233" s="851" t="s">
        <v>9487</v>
      </c>
      <c r="D8233" s="852" t="s">
        <v>9584</v>
      </c>
      <c r="E8233" s="852">
        <v>100</v>
      </c>
      <c r="F8233" s="850">
        <v>15</v>
      </c>
      <c r="G8233" s="202" t="str">
        <f t="shared" si="128"/>
        <v/>
      </c>
    </row>
    <row r="8234" spans="1:7" s="172" customFormat="1" ht="15" customHeight="1" x14ac:dyDescent="0.25">
      <c r="A8234" s="837" t="s">
        <v>3143</v>
      </c>
      <c r="B8234" s="851" t="s">
        <v>9487</v>
      </c>
      <c r="C8234" s="851" t="s">
        <v>9487</v>
      </c>
      <c r="D8234" s="852" t="s">
        <v>9585</v>
      </c>
      <c r="E8234" s="852">
        <v>100</v>
      </c>
      <c r="F8234" s="850">
        <v>40</v>
      </c>
      <c r="G8234" s="202" t="str">
        <f t="shared" si="128"/>
        <v/>
      </c>
    </row>
    <row r="8235" spans="1:7" s="172" customFormat="1" ht="15" customHeight="1" x14ac:dyDescent="0.25">
      <c r="A8235" s="837" t="s">
        <v>3143</v>
      </c>
      <c r="B8235" s="851" t="s">
        <v>9487</v>
      </c>
      <c r="C8235" s="851" t="s">
        <v>9487</v>
      </c>
      <c r="D8235" s="852" t="s">
        <v>9586</v>
      </c>
      <c r="E8235" s="852">
        <v>100</v>
      </c>
      <c r="F8235" s="850">
        <v>60</v>
      </c>
      <c r="G8235" s="202" t="str">
        <f t="shared" si="128"/>
        <v/>
      </c>
    </row>
    <row r="8236" spans="1:7" s="172" customFormat="1" ht="15" customHeight="1" x14ac:dyDescent="0.25">
      <c r="A8236" s="837" t="s">
        <v>3143</v>
      </c>
      <c r="B8236" s="851" t="s">
        <v>9487</v>
      </c>
      <c r="C8236" s="851" t="s">
        <v>9487</v>
      </c>
      <c r="D8236" s="852" t="s">
        <v>9587</v>
      </c>
      <c r="E8236" s="852">
        <v>160</v>
      </c>
      <c r="F8236" s="850">
        <v>60</v>
      </c>
      <c r="G8236" s="202" t="str">
        <f t="shared" si="128"/>
        <v/>
      </c>
    </row>
    <row r="8237" spans="1:7" s="172" customFormat="1" ht="15" customHeight="1" x14ac:dyDescent="0.25">
      <c r="A8237" s="837" t="s">
        <v>6285</v>
      </c>
      <c r="B8237" s="851" t="s">
        <v>9487</v>
      </c>
      <c r="C8237" s="851" t="s">
        <v>9487</v>
      </c>
      <c r="D8237" s="852" t="s">
        <v>9588</v>
      </c>
      <c r="E8237" s="852">
        <v>10</v>
      </c>
      <c r="F8237" s="850">
        <v>3</v>
      </c>
      <c r="G8237" s="202" t="str">
        <f t="shared" si="128"/>
        <v/>
      </c>
    </row>
    <row r="8238" spans="1:7" s="172" customFormat="1" ht="15" customHeight="1" x14ac:dyDescent="0.25">
      <c r="A8238" s="837" t="s">
        <v>13098</v>
      </c>
      <c r="B8238" s="851" t="s">
        <v>9487</v>
      </c>
      <c r="C8238" s="851" t="s">
        <v>9487</v>
      </c>
      <c r="D8238" s="852" t="s">
        <v>9589</v>
      </c>
      <c r="E8238" s="852">
        <v>30</v>
      </c>
      <c r="F8238" s="850">
        <v>10</v>
      </c>
      <c r="G8238" s="202" t="str">
        <f t="shared" si="128"/>
        <v/>
      </c>
    </row>
    <row r="8239" spans="1:7" s="172" customFormat="1" ht="15" customHeight="1" x14ac:dyDescent="0.25">
      <c r="A8239" s="837" t="s">
        <v>13099</v>
      </c>
      <c r="B8239" s="851" t="s">
        <v>9487</v>
      </c>
      <c r="C8239" s="851" t="s">
        <v>9487</v>
      </c>
      <c r="D8239" s="852" t="s">
        <v>9590</v>
      </c>
      <c r="E8239" s="852">
        <v>40</v>
      </c>
      <c r="F8239" s="850">
        <v>20</v>
      </c>
      <c r="G8239" s="202" t="str">
        <f t="shared" si="128"/>
        <v/>
      </c>
    </row>
    <row r="8240" spans="1:7" s="172" customFormat="1" ht="15" customHeight="1" x14ac:dyDescent="0.25">
      <c r="A8240" s="837" t="s">
        <v>6742</v>
      </c>
      <c r="B8240" s="851" t="s">
        <v>9487</v>
      </c>
      <c r="C8240" s="851" t="s">
        <v>9487</v>
      </c>
      <c r="D8240" s="852" t="s">
        <v>16812</v>
      </c>
      <c r="E8240" s="852">
        <v>25</v>
      </c>
      <c r="F8240" s="850">
        <v>3</v>
      </c>
      <c r="G8240" s="202" t="str">
        <f t="shared" si="128"/>
        <v/>
      </c>
    </row>
    <row r="8241" spans="1:7" s="172" customFormat="1" ht="15" customHeight="1" x14ac:dyDescent="0.25">
      <c r="A8241" s="837" t="s">
        <v>6742</v>
      </c>
      <c r="B8241" s="851" t="s">
        <v>9487</v>
      </c>
      <c r="C8241" s="851" t="s">
        <v>9487</v>
      </c>
      <c r="D8241" s="852" t="s">
        <v>9591</v>
      </c>
      <c r="E8241" s="852">
        <v>60</v>
      </c>
      <c r="F8241" s="850">
        <v>10</v>
      </c>
      <c r="G8241" s="202" t="str">
        <f t="shared" si="128"/>
        <v/>
      </c>
    </row>
    <row r="8242" spans="1:7" s="172" customFormat="1" ht="15" customHeight="1" x14ac:dyDescent="0.25">
      <c r="A8242" s="837" t="s">
        <v>13100</v>
      </c>
      <c r="B8242" s="851" t="s">
        <v>9487</v>
      </c>
      <c r="C8242" s="851" t="s">
        <v>9487</v>
      </c>
      <c r="D8242" s="852" t="s">
        <v>9592</v>
      </c>
      <c r="E8242" s="852">
        <v>10</v>
      </c>
      <c r="F8242" s="850">
        <v>3</v>
      </c>
      <c r="G8242" s="202" t="str">
        <f t="shared" si="128"/>
        <v/>
      </c>
    </row>
    <row r="8243" spans="1:7" s="172" customFormat="1" ht="15" customHeight="1" x14ac:dyDescent="0.25">
      <c r="A8243" s="837" t="s">
        <v>12619</v>
      </c>
      <c r="B8243" s="851" t="s">
        <v>9487</v>
      </c>
      <c r="C8243" s="851" t="s">
        <v>9487</v>
      </c>
      <c r="D8243" s="852" t="s">
        <v>9593</v>
      </c>
      <c r="E8243" s="852">
        <v>25</v>
      </c>
      <c r="F8243" s="850">
        <v>5</v>
      </c>
      <c r="G8243" s="202" t="str">
        <f t="shared" si="128"/>
        <v/>
      </c>
    </row>
    <row r="8244" spans="1:7" s="172" customFormat="1" ht="15" customHeight="1" x14ac:dyDescent="0.25">
      <c r="A8244" s="837" t="s">
        <v>4865</v>
      </c>
      <c r="B8244" s="851" t="s">
        <v>9487</v>
      </c>
      <c r="C8244" s="851" t="s">
        <v>9487</v>
      </c>
      <c r="D8244" s="852" t="s">
        <v>9594</v>
      </c>
      <c r="E8244" s="852">
        <v>30</v>
      </c>
      <c r="F8244" s="850">
        <v>10</v>
      </c>
      <c r="G8244" s="202" t="str">
        <f t="shared" si="128"/>
        <v/>
      </c>
    </row>
    <row r="8245" spans="1:7" s="172" customFormat="1" ht="15" customHeight="1" x14ac:dyDescent="0.25">
      <c r="A8245" s="837" t="s">
        <v>13046</v>
      </c>
      <c r="B8245" s="851" t="s">
        <v>9487</v>
      </c>
      <c r="C8245" s="851" t="s">
        <v>9487</v>
      </c>
      <c r="D8245" s="852" t="s">
        <v>9595</v>
      </c>
      <c r="E8245" s="852">
        <v>30</v>
      </c>
      <c r="F8245" s="850">
        <v>10</v>
      </c>
      <c r="G8245" s="202" t="str">
        <f t="shared" si="128"/>
        <v/>
      </c>
    </row>
    <row r="8246" spans="1:7" s="172" customFormat="1" ht="15" customHeight="1" x14ac:dyDescent="0.25">
      <c r="A8246" s="837" t="s">
        <v>13101</v>
      </c>
      <c r="B8246" s="851" t="s">
        <v>9487</v>
      </c>
      <c r="C8246" s="851" t="s">
        <v>9487</v>
      </c>
      <c r="D8246" s="852" t="s">
        <v>9596</v>
      </c>
      <c r="E8246" s="852">
        <v>30</v>
      </c>
      <c r="F8246" s="850">
        <v>5</v>
      </c>
      <c r="G8246" s="202" t="str">
        <f t="shared" si="128"/>
        <v/>
      </c>
    </row>
    <row r="8247" spans="1:7" s="172" customFormat="1" ht="15" customHeight="1" x14ac:dyDescent="0.25">
      <c r="A8247" s="837" t="s">
        <v>13102</v>
      </c>
      <c r="B8247" s="851" t="s">
        <v>9487</v>
      </c>
      <c r="C8247" s="851" t="s">
        <v>9487</v>
      </c>
      <c r="D8247" s="852" t="s">
        <v>9597</v>
      </c>
      <c r="E8247" s="852">
        <v>60</v>
      </c>
      <c r="F8247" s="850">
        <v>10</v>
      </c>
      <c r="G8247" s="202" t="str">
        <f t="shared" si="128"/>
        <v/>
      </c>
    </row>
    <row r="8248" spans="1:7" s="172" customFormat="1" ht="15" customHeight="1" x14ac:dyDescent="0.25">
      <c r="A8248" s="837" t="s">
        <v>13103</v>
      </c>
      <c r="B8248" s="851" t="s">
        <v>9487</v>
      </c>
      <c r="C8248" s="851" t="s">
        <v>9487</v>
      </c>
      <c r="D8248" s="852" t="s">
        <v>9598</v>
      </c>
      <c r="E8248" s="852">
        <v>25</v>
      </c>
      <c r="F8248" s="850">
        <v>10</v>
      </c>
      <c r="G8248" s="202" t="str">
        <f t="shared" si="128"/>
        <v/>
      </c>
    </row>
    <row r="8249" spans="1:7" s="172" customFormat="1" ht="15" customHeight="1" x14ac:dyDescent="0.25">
      <c r="A8249" s="837" t="s">
        <v>13104</v>
      </c>
      <c r="B8249" s="851" t="s">
        <v>9487</v>
      </c>
      <c r="C8249" s="851" t="s">
        <v>9487</v>
      </c>
      <c r="D8249" s="852" t="s">
        <v>9599</v>
      </c>
      <c r="E8249" s="852">
        <v>40</v>
      </c>
      <c r="F8249" s="850">
        <v>10</v>
      </c>
      <c r="G8249" s="202" t="str">
        <f t="shared" si="128"/>
        <v/>
      </c>
    </row>
    <row r="8250" spans="1:7" s="172" customFormat="1" ht="15" customHeight="1" x14ac:dyDescent="0.25">
      <c r="A8250" s="837" t="s">
        <v>13105</v>
      </c>
      <c r="B8250" s="851" t="s">
        <v>9487</v>
      </c>
      <c r="C8250" s="851" t="s">
        <v>9487</v>
      </c>
      <c r="D8250" s="852" t="s">
        <v>9600</v>
      </c>
      <c r="E8250" s="852">
        <v>30</v>
      </c>
      <c r="F8250" s="850">
        <v>10</v>
      </c>
      <c r="G8250" s="202" t="str">
        <f t="shared" si="128"/>
        <v/>
      </c>
    </row>
    <row r="8251" spans="1:7" s="172" customFormat="1" ht="15" customHeight="1" x14ac:dyDescent="0.25">
      <c r="A8251" s="837" t="s">
        <v>13106</v>
      </c>
      <c r="B8251" s="851" t="s">
        <v>9487</v>
      </c>
      <c r="C8251" s="851" t="s">
        <v>9487</v>
      </c>
      <c r="D8251" s="852" t="s">
        <v>9601</v>
      </c>
      <c r="E8251" s="852">
        <v>10</v>
      </c>
      <c r="F8251" s="850">
        <v>3</v>
      </c>
      <c r="G8251" s="202" t="str">
        <f t="shared" si="128"/>
        <v/>
      </c>
    </row>
    <row r="8252" spans="1:7" s="172" customFormat="1" ht="15" customHeight="1" x14ac:dyDescent="0.25">
      <c r="A8252" s="837" t="s">
        <v>13107</v>
      </c>
      <c r="B8252" s="851" t="s">
        <v>9487</v>
      </c>
      <c r="C8252" s="851" t="s">
        <v>9487</v>
      </c>
      <c r="D8252" s="852" t="s">
        <v>9602</v>
      </c>
      <c r="E8252" s="852">
        <v>10</v>
      </c>
      <c r="F8252" s="850">
        <v>3</v>
      </c>
      <c r="G8252" s="202" t="str">
        <f t="shared" si="128"/>
        <v/>
      </c>
    </row>
    <row r="8253" spans="1:7" s="172" customFormat="1" ht="15" customHeight="1" x14ac:dyDescent="0.25">
      <c r="A8253" s="837" t="s">
        <v>8965</v>
      </c>
      <c r="B8253" s="851" t="s">
        <v>9487</v>
      </c>
      <c r="C8253" s="851" t="s">
        <v>9487</v>
      </c>
      <c r="D8253" s="852" t="s">
        <v>9603</v>
      </c>
      <c r="E8253" s="852">
        <v>10</v>
      </c>
      <c r="F8253" s="850">
        <v>3</v>
      </c>
      <c r="G8253" s="202" t="str">
        <f t="shared" si="128"/>
        <v/>
      </c>
    </row>
    <row r="8254" spans="1:7" s="172" customFormat="1" ht="15" customHeight="1" x14ac:dyDescent="0.25">
      <c r="A8254" s="837" t="s">
        <v>13108</v>
      </c>
      <c r="B8254" s="851" t="s">
        <v>9487</v>
      </c>
      <c r="C8254" s="851" t="s">
        <v>9487</v>
      </c>
      <c r="D8254" s="852" t="s">
        <v>9604</v>
      </c>
      <c r="E8254" s="852">
        <v>25</v>
      </c>
      <c r="F8254" s="850">
        <v>5</v>
      </c>
      <c r="G8254" s="202" t="str">
        <f t="shared" si="128"/>
        <v/>
      </c>
    </row>
    <row r="8255" spans="1:7" s="172" customFormat="1" ht="15" customHeight="1" x14ac:dyDescent="0.25">
      <c r="A8255" s="837" t="s">
        <v>13109</v>
      </c>
      <c r="B8255" s="851" t="s">
        <v>9487</v>
      </c>
      <c r="C8255" s="851" t="s">
        <v>9487</v>
      </c>
      <c r="D8255" s="852" t="s">
        <v>9605</v>
      </c>
      <c r="E8255" s="852">
        <v>30</v>
      </c>
      <c r="F8255" s="850">
        <v>10</v>
      </c>
      <c r="G8255" s="202" t="str">
        <f t="shared" si="128"/>
        <v/>
      </c>
    </row>
    <row r="8256" spans="1:7" s="172" customFormat="1" ht="15" customHeight="1" x14ac:dyDescent="0.25">
      <c r="A8256" s="837" t="s">
        <v>13110</v>
      </c>
      <c r="B8256" s="851" t="s">
        <v>9487</v>
      </c>
      <c r="C8256" s="851" t="s">
        <v>9487</v>
      </c>
      <c r="D8256" s="852" t="s">
        <v>9606</v>
      </c>
      <c r="E8256" s="852">
        <v>0</v>
      </c>
      <c r="F8256" s="850">
        <v>0</v>
      </c>
      <c r="G8256" s="202" t="str">
        <f t="shared" si="128"/>
        <v>не загружен</v>
      </c>
    </row>
    <row r="8257" spans="1:7" s="172" customFormat="1" ht="15" customHeight="1" x14ac:dyDescent="0.25">
      <c r="A8257" s="837" t="s">
        <v>13111</v>
      </c>
      <c r="B8257" s="851" t="s">
        <v>9487</v>
      </c>
      <c r="C8257" s="851" t="s">
        <v>9487</v>
      </c>
      <c r="D8257" s="852" t="s">
        <v>9607</v>
      </c>
      <c r="E8257" s="852">
        <v>100</v>
      </c>
      <c r="F8257" s="850">
        <v>10</v>
      </c>
      <c r="G8257" s="202" t="str">
        <f t="shared" si="128"/>
        <v/>
      </c>
    </row>
    <row r="8258" spans="1:7" s="172" customFormat="1" ht="15" customHeight="1" x14ac:dyDescent="0.25">
      <c r="A8258" s="837" t="s">
        <v>13112</v>
      </c>
      <c r="B8258" s="851" t="s">
        <v>9487</v>
      </c>
      <c r="C8258" s="851" t="s">
        <v>9487</v>
      </c>
      <c r="D8258" s="852" t="s">
        <v>9608</v>
      </c>
      <c r="E8258" s="852">
        <v>25</v>
      </c>
      <c r="F8258" s="850">
        <v>15</v>
      </c>
      <c r="G8258" s="202" t="str">
        <f t="shared" si="128"/>
        <v/>
      </c>
    </row>
    <row r="8259" spans="1:7" s="172" customFormat="1" ht="15" customHeight="1" x14ac:dyDescent="0.25">
      <c r="A8259" s="837" t="s">
        <v>13113</v>
      </c>
      <c r="B8259" s="851" t="s">
        <v>9487</v>
      </c>
      <c r="C8259" s="851" t="s">
        <v>9487</v>
      </c>
      <c r="D8259" s="852" t="s">
        <v>9609</v>
      </c>
      <c r="E8259" s="852">
        <v>10</v>
      </c>
      <c r="F8259" s="850">
        <v>3</v>
      </c>
      <c r="G8259" s="202" t="str">
        <f t="shared" si="128"/>
        <v/>
      </c>
    </row>
    <row r="8260" spans="1:7" s="172" customFormat="1" ht="15" customHeight="1" x14ac:dyDescent="0.25">
      <c r="A8260" s="837" t="s">
        <v>4838</v>
      </c>
      <c r="B8260" s="851" t="s">
        <v>9487</v>
      </c>
      <c r="C8260" s="851" t="s">
        <v>9487</v>
      </c>
      <c r="D8260" s="852" t="s">
        <v>9610</v>
      </c>
      <c r="E8260" s="852">
        <v>30</v>
      </c>
      <c r="F8260" s="850">
        <v>10</v>
      </c>
      <c r="G8260" s="202" t="str">
        <f t="shared" si="128"/>
        <v/>
      </c>
    </row>
    <row r="8261" spans="1:7" s="172" customFormat="1" ht="15" customHeight="1" x14ac:dyDescent="0.25">
      <c r="A8261" s="837" t="s">
        <v>3452</v>
      </c>
      <c r="B8261" s="851" t="s">
        <v>9487</v>
      </c>
      <c r="C8261" s="851" t="s">
        <v>9487</v>
      </c>
      <c r="D8261" s="852" t="s">
        <v>9611</v>
      </c>
      <c r="E8261" s="852">
        <v>20</v>
      </c>
      <c r="F8261" s="850">
        <v>5</v>
      </c>
      <c r="G8261" s="202" t="str">
        <f t="shared" si="128"/>
        <v/>
      </c>
    </row>
    <row r="8262" spans="1:7" s="172" customFormat="1" ht="15" customHeight="1" x14ac:dyDescent="0.25">
      <c r="A8262" s="837" t="s">
        <v>12224</v>
      </c>
      <c r="B8262" s="851" t="s">
        <v>9487</v>
      </c>
      <c r="C8262" s="851" t="s">
        <v>9487</v>
      </c>
      <c r="D8262" s="852" t="s">
        <v>9612</v>
      </c>
      <c r="E8262" s="852">
        <v>60</v>
      </c>
      <c r="F8262" s="850">
        <v>20</v>
      </c>
      <c r="G8262" s="202" t="str">
        <f t="shared" si="128"/>
        <v/>
      </c>
    </row>
    <row r="8263" spans="1:7" s="172" customFormat="1" ht="15" customHeight="1" x14ac:dyDescent="0.25">
      <c r="A8263" s="837" t="s">
        <v>12224</v>
      </c>
      <c r="B8263" s="851" t="s">
        <v>9487</v>
      </c>
      <c r="C8263" s="851" t="s">
        <v>9487</v>
      </c>
      <c r="D8263" s="852" t="s">
        <v>9613</v>
      </c>
      <c r="E8263" s="852">
        <v>30</v>
      </c>
      <c r="F8263" s="850">
        <v>10</v>
      </c>
      <c r="G8263" s="202" t="str">
        <f t="shared" si="128"/>
        <v/>
      </c>
    </row>
    <row r="8264" spans="1:7" s="172" customFormat="1" ht="15" customHeight="1" x14ac:dyDescent="0.25">
      <c r="A8264" s="837" t="s">
        <v>8447</v>
      </c>
      <c r="B8264" s="851" t="s">
        <v>9487</v>
      </c>
      <c r="C8264" s="851" t="s">
        <v>9487</v>
      </c>
      <c r="D8264" s="852" t="s">
        <v>9614</v>
      </c>
      <c r="E8264" s="852">
        <v>20</v>
      </c>
      <c r="F8264" s="850">
        <v>10</v>
      </c>
      <c r="G8264" s="202" t="str">
        <f t="shared" si="128"/>
        <v/>
      </c>
    </row>
    <row r="8265" spans="1:7" s="172" customFormat="1" ht="15" customHeight="1" x14ac:dyDescent="0.25">
      <c r="A8265" s="837" t="s">
        <v>8447</v>
      </c>
      <c r="B8265" s="851" t="s">
        <v>9487</v>
      </c>
      <c r="C8265" s="851" t="s">
        <v>9487</v>
      </c>
      <c r="D8265" s="852" t="s">
        <v>9615</v>
      </c>
      <c r="E8265" s="852">
        <v>60</v>
      </c>
      <c r="F8265" s="850">
        <v>20</v>
      </c>
      <c r="G8265" s="202" t="str">
        <f t="shared" si="128"/>
        <v/>
      </c>
    </row>
    <row r="8266" spans="1:7" s="172" customFormat="1" ht="15" customHeight="1" x14ac:dyDescent="0.25">
      <c r="A8266" s="837" t="s">
        <v>13114</v>
      </c>
      <c r="B8266" s="851" t="s">
        <v>9487</v>
      </c>
      <c r="C8266" s="851" t="s">
        <v>9487</v>
      </c>
      <c r="D8266" s="852" t="s">
        <v>9616</v>
      </c>
      <c r="E8266" s="852">
        <v>30</v>
      </c>
      <c r="F8266" s="850">
        <v>5</v>
      </c>
      <c r="G8266" s="202" t="str">
        <f t="shared" si="128"/>
        <v/>
      </c>
    </row>
    <row r="8267" spans="1:7" s="172" customFormat="1" ht="15" customHeight="1" x14ac:dyDescent="0.25">
      <c r="A8267" s="837" t="s">
        <v>13115</v>
      </c>
      <c r="B8267" s="851" t="s">
        <v>9487</v>
      </c>
      <c r="C8267" s="851" t="s">
        <v>9487</v>
      </c>
      <c r="D8267" s="852" t="s">
        <v>9617</v>
      </c>
      <c r="E8267" s="852">
        <v>30</v>
      </c>
      <c r="F8267" s="850">
        <v>10</v>
      </c>
      <c r="G8267" s="202" t="str">
        <f t="shared" si="128"/>
        <v/>
      </c>
    </row>
    <row r="8268" spans="1:7" s="172" customFormat="1" ht="15" customHeight="1" x14ac:dyDescent="0.25">
      <c r="A8268" s="837" t="s">
        <v>12175</v>
      </c>
      <c r="B8268" s="851" t="s">
        <v>9487</v>
      </c>
      <c r="C8268" s="851" t="s">
        <v>9487</v>
      </c>
      <c r="D8268" s="852" t="s">
        <v>9618</v>
      </c>
      <c r="E8268" s="852">
        <v>20</v>
      </c>
      <c r="F8268" s="850">
        <v>10</v>
      </c>
      <c r="G8268" s="202" t="str">
        <f t="shared" si="128"/>
        <v/>
      </c>
    </row>
    <row r="8269" spans="1:7" s="172" customFormat="1" ht="15" customHeight="1" x14ac:dyDescent="0.25">
      <c r="A8269" s="837" t="s">
        <v>12617</v>
      </c>
      <c r="B8269" s="851" t="s">
        <v>9487</v>
      </c>
      <c r="C8269" s="851" t="s">
        <v>9487</v>
      </c>
      <c r="D8269" s="852" t="s">
        <v>9619</v>
      </c>
      <c r="E8269" s="852">
        <v>250</v>
      </c>
      <c r="F8269" s="850">
        <v>50</v>
      </c>
      <c r="G8269" s="202" t="str">
        <f t="shared" si="128"/>
        <v/>
      </c>
    </row>
    <row r="8270" spans="1:7" s="172" customFormat="1" ht="15" customHeight="1" x14ac:dyDescent="0.25">
      <c r="A8270" s="837" t="s">
        <v>13116</v>
      </c>
      <c r="B8270" s="851" t="s">
        <v>9487</v>
      </c>
      <c r="C8270" s="851" t="s">
        <v>9487</v>
      </c>
      <c r="D8270" s="852" t="s">
        <v>9620</v>
      </c>
      <c r="E8270" s="852">
        <v>63</v>
      </c>
      <c r="F8270" s="850">
        <v>10</v>
      </c>
      <c r="G8270" s="202" t="str">
        <f t="shared" si="128"/>
        <v/>
      </c>
    </row>
    <row r="8271" spans="1:7" s="172" customFormat="1" ht="15" customHeight="1" x14ac:dyDescent="0.25">
      <c r="A8271" s="837" t="s">
        <v>13117</v>
      </c>
      <c r="B8271" s="851" t="s">
        <v>9487</v>
      </c>
      <c r="C8271" s="851" t="s">
        <v>9487</v>
      </c>
      <c r="D8271" s="852" t="s">
        <v>9621</v>
      </c>
      <c r="E8271" s="852">
        <v>0</v>
      </c>
      <c r="F8271" s="850">
        <v>0</v>
      </c>
      <c r="G8271" s="202" t="str">
        <f t="shared" si="128"/>
        <v>не загружен</v>
      </c>
    </row>
    <row r="8272" spans="1:7" s="172" customFormat="1" ht="15" customHeight="1" x14ac:dyDescent="0.25">
      <c r="A8272" s="837" t="s">
        <v>13118</v>
      </c>
      <c r="B8272" s="851" t="s">
        <v>9487</v>
      </c>
      <c r="C8272" s="851" t="s">
        <v>9487</v>
      </c>
      <c r="D8272" s="852" t="s">
        <v>9622</v>
      </c>
      <c r="E8272" s="852">
        <v>0</v>
      </c>
      <c r="F8272" s="850">
        <v>0</v>
      </c>
      <c r="G8272" s="202" t="str">
        <f t="shared" si="128"/>
        <v>не загружен</v>
      </c>
    </row>
    <row r="8273" spans="1:7" s="172" customFormat="1" ht="15" customHeight="1" x14ac:dyDescent="0.25">
      <c r="A8273" s="837" t="s">
        <v>13119</v>
      </c>
      <c r="B8273" s="851" t="s">
        <v>9487</v>
      </c>
      <c r="C8273" s="851" t="s">
        <v>9487</v>
      </c>
      <c r="D8273" s="852" t="s">
        <v>9623</v>
      </c>
      <c r="E8273" s="852">
        <v>160</v>
      </c>
      <c r="F8273" s="850">
        <v>120</v>
      </c>
      <c r="G8273" s="202" t="str">
        <f t="shared" si="128"/>
        <v/>
      </c>
    </row>
    <row r="8274" spans="1:7" s="172" customFormat="1" ht="15" customHeight="1" x14ac:dyDescent="0.25">
      <c r="A8274" s="837" t="s">
        <v>13119</v>
      </c>
      <c r="B8274" s="851" t="s">
        <v>9487</v>
      </c>
      <c r="C8274" s="851" t="s">
        <v>9487</v>
      </c>
      <c r="D8274" s="852" t="s">
        <v>9624</v>
      </c>
      <c r="E8274" s="852">
        <v>100</v>
      </c>
      <c r="F8274" s="850">
        <v>10</v>
      </c>
      <c r="G8274" s="202" t="str">
        <f t="shared" si="128"/>
        <v/>
      </c>
    </row>
    <row r="8275" spans="1:7" s="172" customFormat="1" ht="15" customHeight="1" x14ac:dyDescent="0.25">
      <c r="A8275" s="837" t="s">
        <v>3202</v>
      </c>
      <c r="B8275" s="851" t="s">
        <v>9487</v>
      </c>
      <c r="C8275" s="851" t="s">
        <v>9487</v>
      </c>
      <c r="D8275" s="852" t="s">
        <v>9625</v>
      </c>
      <c r="E8275" s="852">
        <v>20</v>
      </c>
      <c r="F8275" s="850">
        <v>10</v>
      </c>
      <c r="G8275" s="202" t="str">
        <f t="shared" si="128"/>
        <v/>
      </c>
    </row>
    <row r="8276" spans="1:7" s="172" customFormat="1" ht="15" customHeight="1" x14ac:dyDescent="0.25">
      <c r="A8276" s="837" t="s">
        <v>3943</v>
      </c>
      <c r="B8276" s="851" t="s">
        <v>9487</v>
      </c>
      <c r="C8276" s="851" t="s">
        <v>9487</v>
      </c>
      <c r="D8276" s="852" t="s">
        <v>9626</v>
      </c>
      <c r="E8276" s="852">
        <v>30</v>
      </c>
      <c r="F8276" s="850">
        <v>10</v>
      </c>
      <c r="G8276" s="202" t="str">
        <f t="shared" si="128"/>
        <v/>
      </c>
    </row>
    <row r="8277" spans="1:7" s="172" customFormat="1" ht="15" customHeight="1" x14ac:dyDescent="0.25">
      <c r="A8277" s="837" t="s">
        <v>4868</v>
      </c>
      <c r="B8277" s="851" t="s">
        <v>9487</v>
      </c>
      <c r="C8277" s="851" t="s">
        <v>9487</v>
      </c>
      <c r="D8277" s="852" t="s">
        <v>9627</v>
      </c>
      <c r="E8277" s="852">
        <v>30</v>
      </c>
      <c r="F8277" s="850">
        <v>20</v>
      </c>
      <c r="G8277" s="202" t="str">
        <f t="shared" si="128"/>
        <v/>
      </c>
    </row>
    <row r="8278" spans="1:7" s="172" customFormat="1" ht="15" customHeight="1" x14ac:dyDescent="0.25">
      <c r="A8278" s="837" t="s">
        <v>13120</v>
      </c>
      <c r="B8278" s="851" t="s">
        <v>9487</v>
      </c>
      <c r="C8278" s="851" t="s">
        <v>9487</v>
      </c>
      <c r="D8278" s="852" t="s">
        <v>9628</v>
      </c>
      <c r="E8278" s="852">
        <v>40</v>
      </c>
      <c r="F8278" s="850">
        <v>20</v>
      </c>
      <c r="G8278" s="202" t="str">
        <f t="shared" si="128"/>
        <v/>
      </c>
    </row>
    <row r="8279" spans="1:7" s="172" customFormat="1" ht="15" customHeight="1" x14ac:dyDescent="0.25">
      <c r="A8279" s="837" t="s">
        <v>13121</v>
      </c>
      <c r="B8279" s="851" t="s">
        <v>9487</v>
      </c>
      <c r="C8279" s="851" t="s">
        <v>9487</v>
      </c>
      <c r="D8279" s="852" t="s">
        <v>9629</v>
      </c>
      <c r="E8279" s="852">
        <v>30</v>
      </c>
      <c r="F8279" s="850">
        <v>10</v>
      </c>
      <c r="G8279" s="202" t="str">
        <f t="shared" si="128"/>
        <v/>
      </c>
    </row>
    <row r="8280" spans="1:7" s="172" customFormat="1" ht="15" customHeight="1" x14ac:dyDescent="0.25">
      <c r="A8280" s="837" t="s">
        <v>13122</v>
      </c>
      <c r="B8280" s="851" t="s">
        <v>9487</v>
      </c>
      <c r="C8280" s="851" t="s">
        <v>9487</v>
      </c>
      <c r="D8280" s="852" t="s">
        <v>9630</v>
      </c>
      <c r="E8280" s="852">
        <v>20</v>
      </c>
      <c r="F8280" s="850">
        <v>5</v>
      </c>
      <c r="G8280" s="202" t="str">
        <f t="shared" si="128"/>
        <v/>
      </c>
    </row>
    <row r="8281" spans="1:7" s="172" customFormat="1" ht="15" customHeight="1" x14ac:dyDescent="0.25">
      <c r="A8281" s="837" t="s">
        <v>13123</v>
      </c>
      <c r="B8281" s="851" t="s">
        <v>9487</v>
      </c>
      <c r="C8281" s="851" t="s">
        <v>9487</v>
      </c>
      <c r="D8281" s="852" t="s">
        <v>9631</v>
      </c>
      <c r="E8281" s="852">
        <v>20</v>
      </c>
      <c r="F8281" s="850">
        <v>5</v>
      </c>
      <c r="G8281" s="202" t="str">
        <f t="shared" si="128"/>
        <v/>
      </c>
    </row>
    <row r="8282" spans="1:7" s="172" customFormat="1" ht="15" customHeight="1" x14ac:dyDescent="0.25">
      <c r="A8282" s="837" t="s">
        <v>5528</v>
      </c>
      <c r="B8282" s="851" t="s">
        <v>9487</v>
      </c>
      <c r="C8282" s="851" t="s">
        <v>9487</v>
      </c>
      <c r="D8282" s="852" t="s">
        <v>9632</v>
      </c>
      <c r="E8282" s="852">
        <v>30</v>
      </c>
      <c r="F8282" s="850">
        <v>15</v>
      </c>
      <c r="G8282" s="202" t="str">
        <f t="shared" si="128"/>
        <v/>
      </c>
    </row>
    <row r="8283" spans="1:7" s="172" customFormat="1" ht="15" customHeight="1" x14ac:dyDescent="0.25">
      <c r="A8283" s="837" t="s">
        <v>13124</v>
      </c>
      <c r="B8283" s="851" t="s">
        <v>9487</v>
      </c>
      <c r="C8283" s="851" t="s">
        <v>9487</v>
      </c>
      <c r="D8283" s="852" t="s">
        <v>9633</v>
      </c>
      <c r="E8283" s="852">
        <v>25</v>
      </c>
      <c r="F8283" s="850">
        <v>10</v>
      </c>
      <c r="G8283" s="202" t="str">
        <f t="shared" si="128"/>
        <v/>
      </c>
    </row>
    <row r="8284" spans="1:7" s="172" customFormat="1" ht="15" customHeight="1" x14ac:dyDescent="0.25">
      <c r="A8284" s="837" t="s">
        <v>4833</v>
      </c>
      <c r="B8284" s="851" t="s">
        <v>9487</v>
      </c>
      <c r="C8284" s="851" t="s">
        <v>9487</v>
      </c>
      <c r="D8284" s="852" t="s">
        <v>9634</v>
      </c>
      <c r="E8284" s="852">
        <v>60</v>
      </c>
      <c r="F8284" s="850">
        <v>30</v>
      </c>
      <c r="G8284" s="202" t="str">
        <f t="shared" si="128"/>
        <v/>
      </c>
    </row>
    <row r="8285" spans="1:7" s="172" customFormat="1" ht="15" customHeight="1" x14ac:dyDescent="0.25">
      <c r="A8285" s="837" t="s">
        <v>4833</v>
      </c>
      <c r="B8285" s="851" t="s">
        <v>9487</v>
      </c>
      <c r="C8285" s="851" t="s">
        <v>9487</v>
      </c>
      <c r="D8285" s="852" t="s">
        <v>9635</v>
      </c>
      <c r="E8285" s="852">
        <v>50</v>
      </c>
      <c r="F8285" s="850">
        <v>20</v>
      </c>
      <c r="G8285" s="202" t="str">
        <f t="shared" si="128"/>
        <v/>
      </c>
    </row>
    <row r="8286" spans="1:7" s="172" customFormat="1" ht="15" customHeight="1" x14ac:dyDescent="0.25">
      <c r="A8286" s="837" t="s">
        <v>13125</v>
      </c>
      <c r="B8286" s="851" t="s">
        <v>9487</v>
      </c>
      <c r="C8286" s="851" t="s">
        <v>9487</v>
      </c>
      <c r="D8286" s="852" t="s">
        <v>9636</v>
      </c>
      <c r="E8286" s="852">
        <v>20</v>
      </c>
      <c r="F8286" s="850">
        <v>3</v>
      </c>
      <c r="G8286" s="202" t="str">
        <f t="shared" ref="G8286:G8349" si="129">IF(E8286=F8286,"не загружен","")</f>
        <v/>
      </c>
    </row>
    <row r="8287" spans="1:7" s="172" customFormat="1" ht="15" customHeight="1" x14ac:dyDescent="0.25">
      <c r="A8287" s="837" t="s">
        <v>2709</v>
      </c>
      <c r="B8287" s="851" t="s">
        <v>9487</v>
      </c>
      <c r="C8287" s="851" t="s">
        <v>9487</v>
      </c>
      <c r="D8287" s="852" t="s">
        <v>9637</v>
      </c>
      <c r="E8287" s="852">
        <v>30</v>
      </c>
      <c r="F8287" s="850">
        <v>1</v>
      </c>
      <c r="G8287" s="202" t="str">
        <f t="shared" si="129"/>
        <v/>
      </c>
    </row>
    <row r="8288" spans="1:7" s="172" customFormat="1" ht="15" customHeight="1" x14ac:dyDescent="0.25">
      <c r="A8288" s="837" t="s">
        <v>13126</v>
      </c>
      <c r="B8288" s="851" t="s">
        <v>9487</v>
      </c>
      <c r="C8288" s="851" t="s">
        <v>9487</v>
      </c>
      <c r="D8288" s="852" t="s">
        <v>9638</v>
      </c>
      <c r="E8288" s="852">
        <v>100</v>
      </c>
      <c r="F8288" s="850">
        <v>20</v>
      </c>
      <c r="G8288" s="202" t="str">
        <f t="shared" si="129"/>
        <v/>
      </c>
    </row>
    <row r="8289" spans="1:7" s="172" customFormat="1" ht="15" customHeight="1" x14ac:dyDescent="0.25">
      <c r="A8289" s="837" t="s">
        <v>13126</v>
      </c>
      <c r="B8289" s="851" t="s">
        <v>9487</v>
      </c>
      <c r="C8289" s="851" t="s">
        <v>9487</v>
      </c>
      <c r="D8289" s="852" t="s">
        <v>9639</v>
      </c>
      <c r="E8289" s="852">
        <v>160</v>
      </c>
      <c r="F8289" s="850">
        <v>20</v>
      </c>
      <c r="G8289" s="202" t="str">
        <f t="shared" si="129"/>
        <v/>
      </c>
    </row>
    <row r="8290" spans="1:7" s="172" customFormat="1" ht="15" customHeight="1" x14ac:dyDescent="0.25">
      <c r="A8290" s="837" t="s">
        <v>13126</v>
      </c>
      <c r="B8290" s="851" t="s">
        <v>9487</v>
      </c>
      <c r="C8290" s="851" t="s">
        <v>9487</v>
      </c>
      <c r="D8290" s="852" t="s">
        <v>9640</v>
      </c>
      <c r="E8290" s="852">
        <v>100</v>
      </c>
      <c r="F8290" s="850">
        <v>30</v>
      </c>
      <c r="G8290" s="202" t="str">
        <f t="shared" si="129"/>
        <v/>
      </c>
    </row>
    <row r="8291" spans="1:7" s="172" customFormat="1" ht="15" customHeight="1" x14ac:dyDescent="0.25">
      <c r="A8291" s="837" t="s">
        <v>13126</v>
      </c>
      <c r="B8291" s="851" t="s">
        <v>9487</v>
      </c>
      <c r="C8291" s="851" t="s">
        <v>9487</v>
      </c>
      <c r="D8291" s="852" t="s">
        <v>9641</v>
      </c>
      <c r="E8291" s="852">
        <v>160</v>
      </c>
      <c r="F8291" s="850">
        <v>40</v>
      </c>
      <c r="G8291" s="202" t="str">
        <f t="shared" si="129"/>
        <v/>
      </c>
    </row>
    <row r="8292" spans="1:7" s="172" customFormat="1" ht="15" customHeight="1" x14ac:dyDescent="0.25">
      <c r="A8292" s="837" t="s">
        <v>13127</v>
      </c>
      <c r="B8292" s="851" t="s">
        <v>9487</v>
      </c>
      <c r="C8292" s="851" t="s">
        <v>9487</v>
      </c>
      <c r="D8292" s="852" t="s">
        <v>9642</v>
      </c>
      <c r="E8292" s="852">
        <v>20</v>
      </c>
      <c r="F8292" s="850">
        <v>3</v>
      </c>
      <c r="G8292" s="202" t="str">
        <f t="shared" si="129"/>
        <v/>
      </c>
    </row>
    <row r="8293" spans="1:7" s="172" customFormat="1" ht="15" customHeight="1" x14ac:dyDescent="0.25">
      <c r="A8293" s="837" t="s">
        <v>13128</v>
      </c>
      <c r="B8293" s="851" t="s">
        <v>9487</v>
      </c>
      <c r="C8293" s="851" t="s">
        <v>9487</v>
      </c>
      <c r="D8293" s="852" t="s">
        <v>9643</v>
      </c>
      <c r="E8293" s="852">
        <v>20</v>
      </c>
      <c r="F8293" s="850">
        <v>5</v>
      </c>
      <c r="G8293" s="202" t="str">
        <f t="shared" si="129"/>
        <v/>
      </c>
    </row>
    <row r="8294" spans="1:7" s="172" customFormat="1" ht="15" customHeight="1" x14ac:dyDescent="0.25">
      <c r="A8294" s="837" t="s">
        <v>13128</v>
      </c>
      <c r="B8294" s="851" t="s">
        <v>9487</v>
      </c>
      <c r="C8294" s="851" t="s">
        <v>9487</v>
      </c>
      <c r="D8294" s="852" t="s">
        <v>9644</v>
      </c>
      <c r="E8294" s="852">
        <v>60</v>
      </c>
      <c r="F8294" s="850">
        <v>0</v>
      </c>
      <c r="G8294" s="202" t="str">
        <f t="shared" si="129"/>
        <v/>
      </c>
    </row>
    <row r="8295" spans="1:7" s="172" customFormat="1" ht="15" customHeight="1" x14ac:dyDescent="0.25">
      <c r="A8295" s="837" t="s">
        <v>13129</v>
      </c>
      <c r="B8295" s="851" t="s">
        <v>9487</v>
      </c>
      <c r="C8295" s="851" t="s">
        <v>9487</v>
      </c>
      <c r="D8295" s="852" t="s">
        <v>9645</v>
      </c>
      <c r="E8295" s="852">
        <v>100</v>
      </c>
      <c r="F8295" s="850">
        <v>80</v>
      </c>
      <c r="G8295" s="202" t="str">
        <f t="shared" si="129"/>
        <v/>
      </c>
    </row>
    <row r="8296" spans="1:7" s="172" customFormat="1" ht="15" customHeight="1" x14ac:dyDescent="0.25">
      <c r="A8296" s="837" t="s">
        <v>12607</v>
      </c>
      <c r="B8296" s="851" t="s">
        <v>9487</v>
      </c>
      <c r="C8296" s="851" t="s">
        <v>9487</v>
      </c>
      <c r="D8296" s="852" t="s">
        <v>9646</v>
      </c>
      <c r="E8296" s="852">
        <v>30</v>
      </c>
      <c r="F8296" s="850">
        <v>10</v>
      </c>
      <c r="G8296" s="202" t="str">
        <f t="shared" si="129"/>
        <v/>
      </c>
    </row>
    <row r="8297" spans="1:7" s="172" customFormat="1" ht="15" customHeight="1" x14ac:dyDescent="0.25">
      <c r="A8297" s="837" t="s">
        <v>13130</v>
      </c>
      <c r="B8297" s="851" t="s">
        <v>9487</v>
      </c>
      <c r="C8297" s="851" t="s">
        <v>9487</v>
      </c>
      <c r="D8297" s="852" t="s">
        <v>9647</v>
      </c>
      <c r="E8297" s="852">
        <v>0</v>
      </c>
      <c r="F8297" s="850">
        <v>0</v>
      </c>
      <c r="G8297" s="202" t="str">
        <f t="shared" si="129"/>
        <v>не загружен</v>
      </c>
    </row>
    <row r="8298" spans="1:7" s="172" customFormat="1" ht="15" customHeight="1" x14ac:dyDescent="0.25">
      <c r="A8298" s="837" t="s">
        <v>13131</v>
      </c>
      <c r="B8298" s="851" t="s">
        <v>9487</v>
      </c>
      <c r="C8298" s="851" t="s">
        <v>9487</v>
      </c>
      <c r="D8298" s="852" t="s">
        <v>9648</v>
      </c>
      <c r="E8298" s="852">
        <v>60</v>
      </c>
      <c r="F8298" s="850">
        <v>5</v>
      </c>
      <c r="G8298" s="202" t="str">
        <f t="shared" si="129"/>
        <v/>
      </c>
    </row>
    <row r="8299" spans="1:7" s="172" customFormat="1" ht="15" customHeight="1" x14ac:dyDescent="0.25">
      <c r="A8299" s="837" t="s">
        <v>12566</v>
      </c>
      <c r="B8299" s="851" t="s">
        <v>9487</v>
      </c>
      <c r="C8299" s="851" t="s">
        <v>9487</v>
      </c>
      <c r="D8299" s="852" t="s">
        <v>9649</v>
      </c>
      <c r="E8299" s="852">
        <v>30</v>
      </c>
      <c r="F8299" s="850">
        <v>20</v>
      </c>
      <c r="G8299" s="202" t="str">
        <f t="shared" si="129"/>
        <v/>
      </c>
    </row>
    <row r="8300" spans="1:7" s="172" customFormat="1" ht="15" customHeight="1" x14ac:dyDescent="0.25">
      <c r="A8300" s="837" t="s">
        <v>12504</v>
      </c>
      <c r="B8300" s="851" t="s">
        <v>9487</v>
      </c>
      <c r="C8300" s="851" t="s">
        <v>9487</v>
      </c>
      <c r="D8300" s="852" t="s">
        <v>9650</v>
      </c>
      <c r="E8300" s="852">
        <v>30</v>
      </c>
      <c r="F8300" s="850">
        <v>20</v>
      </c>
      <c r="G8300" s="202" t="str">
        <f t="shared" si="129"/>
        <v/>
      </c>
    </row>
    <row r="8301" spans="1:7" s="172" customFormat="1" ht="15" customHeight="1" x14ac:dyDescent="0.25">
      <c r="A8301" s="837" t="s">
        <v>13132</v>
      </c>
      <c r="B8301" s="851" t="s">
        <v>9487</v>
      </c>
      <c r="C8301" s="851" t="s">
        <v>9487</v>
      </c>
      <c r="D8301" s="852" t="s">
        <v>9651</v>
      </c>
      <c r="E8301" s="852">
        <v>20</v>
      </c>
      <c r="F8301" s="850">
        <v>3</v>
      </c>
      <c r="G8301" s="202" t="str">
        <f t="shared" si="129"/>
        <v/>
      </c>
    </row>
    <row r="8302" spans="1:7" s="172" customFormat="1" ht="15" customHeight="1" x14ac:dyDescent="0.25">
      <c r="A8302" s="837" t="s">
        <v>13133</v>
      </c>
      <c r="B8302" s="851" t="s">
        <v>9487</v>
      </c>
      <c r="C8302" s="851" t="s">
        <v>9487</v>
      </c>
      <c r="D8302" s="852" t="s">
        <v>9652</v>
      </c>
      <c r="E8302" s="852">
        <v>100</v>
      </c>
      <c r="F8302" s="850">
        <v>20</v>
      </c>
      <c r="G8302" s="202" t="str">
        <f t="shared" si="129"/>
        <v/>
      </c>
    </row>
    <row r="8303" spans="1:7" s="172" customFormat="1" ht="15" customHeight="1" x14ac:dyDescent="0.25">
      <c r="A8303" s="837" t="s">
        <v>13134</v>
      </c>
      <c r="B8303" s="851" t="s">
        <v>9487</v>
      </c>
      <c r="C8303" s="851" t="s">
        <v>9487</v>
      </c>
      <c r="D8303" s="852" t="s">
        <v>9653</v>
      </c>
      <c r="E8303" s="852">
        <v>25</v>
      </c>
      <c r="F8303" s="850">
        <v>10</v>
      </c>
      <c r="G8303" s="202" t="str">
        <f t="shared" si="129"/>
        <v/>
      </c>
    </row>
    <row r="8304" spans="1:7" s="172" customFormat="1" ht="15" customHeight="1" x14ac:dyDescent="0.25">
      <c r="A8304" s="837" t="s">
        <v>13135</v>
      </c>
      <c r="B8304" s="851" t="s">
        <v>9487</v>
      </c>
      <c r="C8304" s="851" t="s">
        <v>9487</v>
      </c>
      <c r="D8304" s="852" t="s">
        <v>9654</v>
      </c>
      <c r="E8304" s="852">
        <v>20</v>
      </c>
      <c r="F8304" s="850">
        <v>20</v>
      </c>
      <c r="G8304" s="202" t="str">
        <f t="shared" si="129"/>
        <v>не загружен</v>
      </c>
    </row>
    <row r="8305" spans="1:7" s="172" customFormat="1" ht="15" customHeight="1" x14ac:dyDescent="0.25">
      <c r="A8305" s="837" t="s">
        <v>13136</v>
      </c>
      <c r="B8305" s="851" t="s">
        <v>9487</v>
      </c>
      <c r="C8305" s="851" t="s">
        <v>9487</v>
      </c>
      <c r="D8305" s="852" t="s">
        <v>9655</v>
      </c>
      <c r="E8305" s="852">
        <v>25</v>
      </c>
      <c r="F8305" s="850">
        <v>10</v>
      </c>
      <c r="G8305" s="202" t="str">
        <f t="shared" si="129"/>
        <v/>
      </c>
    </row>
    <row r="8306" spans="1:7" s="172" customFormat="1" ht="15" customHeight="1" x14ac:dyDescent="0.25">
      <c r="A8306" s="837" t="s">
        <v>13137</v>
      </c>
      <c r="B8306" s="851" t="s">
        <v>9487</v>
      </c>
      <c r="C8306" s="851" t="s">
        <v>9487</v>
      </c>
      <c r="D8306" s="852" t="s">
        <v>9656</v>
      </c>
      <c r="E8306" s="852">
        <v>20</v>
      </c>
      <c r="F8306" s="850">
        <v>5</v>
      </c>
      <c r="G8306" s="202" t="str">
        <f t="shared" si="129"/>
        <v/>
      </c>
    </row>
    <row r="8307" spans="1:7" s="172" customFormat="1" ht="15" customHeight="1" x14ac:dyDescent="0.25">
      <c r="A8307" s="837" t="s">
        <v>3135</v>
      </c>
      <c r="B8307" s="851" t="s">
        <v>9487</v>
      </c>
      <c r="C8307" s="851" t="s">
        <v>9487</v>
      </c>
      <c r="D8307" s="852" t="s">
        <v>9657</v>
      </c>
      <c r="E8307" s="852">
        <v>30</v>
      </c>
      <c r="F8307" s="850">
        <v>10</v>
      </c>
      <c r="G8307" s="202" t="str">
        <f t="shared" si="129"/>
        <v/>
      </c>
    </row>
    <row r="8308" spans="1:7" s="172" customFormat="1" ht="15" customHeight="1" x14ac:dyDescent="0.25">
      <c r="A8308" s="837" t="s">
        <v>13138</v>
      </c>
      <c r="B8308" s="851" t="s">
        <v>9487</v>
      </c>
      <c r="C8308" s="851" t="s">
        <v>9487</v>
      </c>
      <c r="D8308" s="852" t="s">
        <v>9658</v>
      </c>
      <c r="E8308" s="852">
        <v>160</v>
      </c>
      <c r="F8308" s="850">
        <v>80</v>
      </c>
      <c r="G8308" s="202" t="str">
        <f t="shared" si="129"/>
        <v/>
      </c>
    </row>
    <row r="8309" spans="1:7" s="172" customFormat="1" ht="15" customHeight="1" x14ac:dyDescent="0.25">
      <c r="A8309" s="837" t="s">
        <v>13138</v>
      </c>
      <c r="B8309" s="851" t="s">
        <v>9487</v>
      </c>
      <c r="C8309" s="851" t="s">
        <v>9487</v>
      </c>
      <c r="D8309" s="852" t="s">
        <v>9659</v>
      </c>
      <c r="E8309" s="852">
        <v>100</v>
      </c>
      <c r="F8309" s="850">
        <v>50</v>
      </c>
      <c r="G8309" s="202" t="str">
        <f t="shared" si="129"/>
        <v/>
      </c>
    </row>
    <row r="8310" spans="1:7" s="172" customFormat="1" ht="15" customHeight="1" x14ac:dyDescent="0.25">
      <c r="A8310" s="837" t="s">
        <v>13139</v>
      </c>
      <c r="B8310" s="851" t="s">
        <v>9487</v>
      </c>
      <c r="C8310" s="851" t="s">
        <v>9487</v>
      </c>
      <c r="D8310" s="852" t="s">
        <v>9660</v>
      </c>
      <c r="E8310" s="852">
        <v>10</v>
      </c>
      <c r="F8310" s="850">
        <v>5</v>
      </c>
      <c r="G8310" s="202" t="str">
        <f t="shared" si="129"/>
        <v/>
      </c>
    </row>
    <row r="8311" spans="1:7" s="172" customFormat="1" ht="15" customHeight="1" x14ac:dyDescent="0.25">
      <c r="A8311" s="837" t="s">
        <v>4815</v>
      </c>
      <c r="B8311" s="851" t="s">
        <v>9487</v>
      </c>
      <c r="C8311" s="851" t="s">
        <v>9487</v>
      </c>
      <c r="D8311" s="852" t="s">
        <v>9661</v>
      </c>
      <c r="E8311" s="852">
        <v>10</v>
      </c>
      <c r="F8311" s="850">
        <v>3</v>
      </c>
      <c r="G8311" s="202" t="str">
        <f t="shared" si="129"/>
        <v/>
      </c>
    </row>
    <row r="8312" spans="1:7" s="172" customFormat="1" ht="15" customHeight="1" x14ac:dyDescent="0.25">
      <c r="A8312" s="837" t="s">
        <v>5771</v>
      </c>
      <c r="B8312" s="851" t="s">
        <v>9487</v>
      </c>
      <c r="C8312" s="851" t="s">
        <v>9487</v>
      </c>
      <c r="D8312" s="852" t="s">
        <v>9662</v>
      </c>
      <c r="E8312" s="852">
        <v>40</v>
      </c>
      <c r="F8312" s="850">
        <v>20</v>
      </c>
      <c r="G8312" s="202" t="str">
        <f t="shared" si="129"/>
        <v/>
      </c>
    </row>
    <row r="8313" spans="1:7" s="172" customFormat="1" ht="15" customHeight="1" x14ac:dyDescent="0.25">
      <c r="A8313" s="837" t="s">
        <v>6109</v>
      </c>
      <c r="B8313" s="851" t="s">
        <v>9487</v>
      </c>
      <c r="C8313" s="851" t="s">
        <v>9487</v>
      </c>
      <c r="D8313" s="852" t="s">
        <v>9663</v>
      </c>
      <c r="E8313" s="852">
        <v>30</v>
      </c>
      <c r="F8313" s="850">
        <v>10</v>
      </c>
      <c r="G8313" s="202" t="str">
        <f t="shared" si="129"/>
        <v/>
      </c>
    </row>
    <row r="8314" spans="1:7" s="172" customFormat="1" ht="15" customHeight="1" x14ac:dyDescent="0.25">
      <c r="A8314" s="837" t="s">
        <v>13140</v>
      </c>
      <c r="B8314" s="851" t="s">
        <v>9487</v>
      </c>
      <c r="C8314" s="851" t="s">
        <v>9487</v>
      </c>
      <c r="D8314" s="852" t="s">
        <v>9664</v>
      </c>
      <c r="E8314" s="852">
        <v>20</v>
      </c>
      <c r="F8314" s="850">
        <v>10</v>
      </c>
      <c r="G8314" s="202" t="str">
        <f t="shared" si="129"/>
        <v/>
      </c>
    </row>
    <row r="8315" spans="1:7" s="172" customFormat="1" ht="15" customHeight="1" x14ac:dyDescent="0.25">
      <c r="A8315" s="837" t="s">
        <v>13141</v>
      </c>
      <c r="B8315" s="851" t="s">
        <v>9487</v>
      </c>
      <c r="C8315" s="851" t="s">
        <v>9487</v>
      </c>
      <c r="D8315" s="852" t="s">
        <v>9665</v>
      </c>
      <c r="E8315" s="852">
        <v>100</v>
      </c>
      <c r="F8315" s="850">
        <v>30</v>
      </c>
      <c r="G8315" s="202" t="str">
        <f t="shared" si="129"/>
        <v/>
      </c>
    </row>
    <row r="8316" spans="1:7" s="172" customFormat="1" ht="15" customHeight="1" x14ac:dyDescent="0.25">
      <c r="A8316" s="837" t="s">
        <v>13142</v>
      </c>
      <c r="B8316" s="851" t="s">
        <v>9487</v>
      </c>
      <c r="C8316" s="851" t="s">
        <v>9487</v>
      </c>
      <c r="D8316" s="852" t="s">
        <v>9666</v>
      </c>
      <c r="E8316" s="852">
        <v>10</v>
      </c>
      <c r="F8316" s="850">
        <v>5</v>
      </c>
      <c r="G8316" s="202" t="str">
        <f t="shared" si="129"/>
        <v/>
      </c>
    </row>
    <row r="8317" spans="1:7" s="172" customFormat="1" ht="15" customHeight="1" x14ac:dyDescent="0.25">
      <c r="A8317" s="837" t="s">
        <v>13143</v>
      </c>
      <c r="B8317" s="851" t="s">
        <v>9487</v>
      </c>
      <c r="C8317" s="851" t="s">
        <v>9487</v>
      </c>
      <c r="D8317" s="852" t="s">
        <v>9667</v>
      </c>
      <c r="E8317" s="852">
        <v>25</v>
      </c>
      <c r="F8317" s="850">
        <v>5</v>
      </c>
      <c r="G8317" s="202" t="str">
        <f t="shared" si="129"/>
        <v/>
      </c>
    </row>
    <row r="8318" spans="1:7" s="172" customFormat="1" ht="15" customHeight="1" x14ac:dyDescent="0.25">
      <c r="A8318" s="837" t="s">
        <v>13144</v>
      </c>
      <c r="B8318" s="851" t="s">
        <v>9487</v>
      </c>
      <c r="C8318" s="851" t="s">
        <v>9487</v>
      </c>
      <c r="D8318" s="852" t="s">
        <v>9668</v>
      </c>
      <c r="E8318" s="852">
        <v>25</v>
      </c>
      <c r="F8318" s="850">
        <v>5</v>
      </c>
      <c r="G8318" s="202" t="str">
        <f t="shared" si="129"/>
        <v/>
      </c>
    </row>
    <row r="8319" spans="1:7" s="172" customFormat="1" ht="15" customHeight="1" x14ac:dyDescent="0.25">
      <c r="A8319" s="837" t="s">
        <v>13145</v>
      </c>
      <c r="B8319" s="851" t="s">
        <v>9487</v>
      </c>
      <c r="C8319" s="851" t="s">
        <v>9487</v>
      </c>
      <c r="D8319" s="852" t="s">
        <v>9669</v>
      </c>
      <c r="E8319" s="852">
        <v>30</v>
      </c>
      <c r="F8319" s="850">
        <v>10</v>
      </c>
      <c r="G8319" s="202" t="str">
        <f t="shared" si="129"/>
        <v/>
      </c>
    </row>
    <row r="8320" spans="1:7" s="172" customFormat="1" ht="15" customHeight="1" x14ac:dyDescent="0.25">
      <c r="A8320" s="837" t="s">
        <v>13146</v>
      </c>
      <c r="B8320" s="851" t="s">
        <v>9487</v>
      </c>
      <c r="C8320" s="851" t="s">
        <v>9487</v>
      </c>
      <c r="D8320" s="852" t="s">
        <v>9670</v>
      </c>
      <c r="E8320" s="852">
        <v>20</v>
      </c>
      <c r="F8320" s="850">
        <v>10</v>
      </c>
      <c r="G8320" s="202" t="str">
        <f t="shared" si="129"/>
        <v/>
      </c>
    </row>
    <row r="8321" spans="1:7" s="172" customFormat="1" ht="15" customHeight="1" x14ac:dyDescent="0.25">
      <c r="A8321" s="837" t="s">
        <v>6427</v>
      </c>
      <c r="B8321" s="851" t="s">
        <v>9487</v>
      </c>
      <c r="C8321" s="851" t="s">
        <v>9487</v>
      </c>
      <c r="D8321" s="852" t="s">
        <v>9671</v>
      </c>
      <c r="E8321" s="852">
        <v>40</v>
      </c>
      <c r="F8321" s="850">
        <v>10</v>
      </c>
      <c r="G8321" s="202" t="str">
        <f t="shared" si="129"/>
        <v/>
      </c>
    </row>
    <row r="8322" spans="1:7" s="172" customFormat="1" ht="15" customHeight="1" x14ac:dyDescent="0.25">
      <c r="A8322" s="837" t="s">
        <v>3130</v>
      </c>
      <c r="B8322" s="851" t="s">
        <v>9487</v>
      </c>
      <c r="C8322" s="851" t="s">
        <v>9487</v>
      </c>
      <c r="D8322" s="852" t="s">
        <v>9672</v>
      </c>
      <c r="E8322" s="852">
        <v>25</v>
      </c>
      <c r="F8322" s="850">
        <v>15</v>
      </c>
      <c r="G8322" s="202" t="str">
        <f t="shared" si="129"/>
        <v/>
      </c>
    </row>
    <row r="8323" spans="1:7" s="172" customFormat="1" ht="15" customHeight="1" x14ac:dyDescent="0.25">
      <c r="A8323" s="837" t="s">
        <v>13147</v>
      </c>
      <c r="B8323" s="851" t="s">
        <v>9487</v>
      </c>
      <c r="C8323" s="851" t="s">
        <v>9487</v>
      </c>
      <c r="D8323" s="852" t="s">
        <v>9673</v>
      </c>
      <c r="E8323" s="852">
        <v>30</v>
      </c>
      <c r="F8323" s="850">
        <v>5</v>
      </c>
      <c r="G8323" s="202" t="str">
        <f t="shared" si="129"/>
        <v/>
      </c>
    </row>
    <row r="8324" spans="1:7" s="172" customFormat="1" ht="15" customHeight="1" x14ac:dyDescent="0.25">
      <c r="A8324" s="837" t="s">
        <v>5736</v>
      </c>
      <c r="B8324" s="851" t="s">
        <v>9487</v>
      </c>
      <c r="C8324" s="851" t="s">
        <v>9487</v>
      </c>
      <c r="D8324" s="852" t="s">
        <v>9674</v>
      </c>
      <c r="E8324" s="852">
        <v>63</v>
      </c>
      <c r="F8324" s="850">
        <v>30</v>
      </c>
      <c r="G8324" s="202" t="str">
        <f t="shared" si="129"/>
        <v/>
      </c>
    </row>
    <row r="8325" spans="1:7" s="172" customFormat="1" ht="15" customHeight="1" x14ac:dyDescent="0.25">
      <c r="A8325" s="837" t="s">
        <v>5736</v>
      </c>
      <c r="B8325" s="851" t="s">
        <v>9487</v>
      </c>
      <c r="C8325" s="851" t="s">
        <v>9487</v>
      </c>
      <c r="D8325" s="852" t="s">
        <v>9675</v>
      </c>
      <c r="E8325" s="852">
        <v>100</v>
      </c>
      <c r="F8325" s="850">
        <v>80</v>
      </c>
      <c r="G8325" s="202" t="str">
        <f t="shared" si="129"/>
        <v/>
      </c>
    </row>
    <row r="8326" spans="1:7" s="172" customFormat="1" ht="15" customHeight="1" x14ac:dyDescent="0.25">
      <c r="A8326" s="837" t="s">
        <v>13148</v>
      </c>
      <c r="B8326" s="851" t="s">
        <v>9487</v>
      </c>
      <c r="C8326" s="851" t="s">
        <v>9487</v>
      </c>
      <c r="D8326" s="852" t="s">
        <v>9676</v>
      </c>
      <c r="E8326" s="852">
        <v>20</v>
      </c>
      <c r="F8326" s="850">
        <v>5</v>
      </c>
      <c r="G8326" s="202" t="str">
        <f t="shared" si="129"/>
        <v/>
      </c>
    </row>
    <row r="8327" spans="1:7" s="172" customFormat="1" ht="15" customHeight="1" x14ac:dyDescent="0.25">
      <c r="A8327" s="837" t="s">
        <v>13149</v>
      </c>
      <c r="B8327" s="851" t="s">
        <v>9487</v>
      </c>
      <c r="C8327" s="851" t="s">
        <v>9487</v>
      </c>
      <c r="D8327" s="852" t="s">
        <v>9677</v>
      </c>
      <c r="E8327" s="852">
        <v>10</v>
      </c>
      <c r="F8327" s="850">
        <v>3</v>
      </c>
      <c r="G8327" s="202" t="str">
        <f t="shared" si="129"/>
        <v/>
      </c>
    </row>
    <row r="8328" spans="1:7" s="172" customFormat="1" ht="15" customHeight="1" x14ac:dyDescent="0.25">
      <c r="A8328" s="837" t="s">
        <v>13150</v>
      </c>
      <c r="B8328" s="851" t="s">
        <v>9487</v>
      </c>
      <c r="C8328" s="851" t="s">
        <v>9487</v>
      </c>
      <c r="D8328" s="852" t="s">
        <v>9678</v>
      </c>
      <c r="E8328" s="852">
        <v>30</v>
      </c>
      <c r="F8328" s="850">
        <v>10</v>
      </c>
      <c r="G8328" s="202" t="str">
        <f t="shared" si="129"/>
        <v/>
      </c>
    </row>
    <row r="8329" spans="1:7" s="172" customFormat="1" ht="15" customHeight="1" x14ac:dyDescent="0.25">
      <c r="A8329" s="837" t="s">
        <v>4823</v>
      </c>
      <c r="B8329" s="851" t="s">
        <v>9487</v>
      </c>
      <c r="C8329" s="851" t="s">
        <v>9487</v>
      </c>
      <c r="D8329" s="852" t="s">
        <v>9679</v>
      </c>
      <c r="E8329" s="852">
        <v>60</v>
      </c>
      <c r="F8329" s="850">
        <v>10</v>
      </c>
      <c r="G8329" s="202" t="str">
        <f t="shared" si="129"/>
        <v/>
      </c>
    </row>
    <row r="8330" spans="1:7" s="172" customFormat="1" ht="15" customHeight="1" x14ac:dyDescent="0.25">
      <c r="A8330" s="837" t="s">
        <v>4823</v>
      </c>
      <c r="B8330" s="851" t="s">
        <v>9487</v>
      </c>
      <c r="C8330" s="851" t="s">
        <v>9487</v>
      </c>
      <c r="D8330" s="852" t="s">
        <v>9680</v>
      </c>
      <c r="E8330" s="852">
        <v>20</v>
      </c>
      <c r="F8330" s="850">
        <v>10</v>
      </c>
      <c r="G8330" s="202" t="str">
        <f t="shared" si="129"/>
        <v/>
      </c>
    </row>
    <row r="8331" spans="1:7" s="172" customFormat="1" ht="15" customHeight="1" x14ac:dyDescent="0.25">
      <c r="A8331" s="837" t="s">
        <v>13151</v>
      </c>
      <c r="B8331" s="851" t="s">
        <v>9487</v>
      </c>
      <c r="C8331" s="851" t="s">
        <v>9487</v>
      </c>
      <c r="D8331" s="852" t="s">
        <v>9681</v>
      </c>
      <c r="E8331" s="852">
        <v>30</v>
      </c>
      <c r="F8331" s="850">
        <v>5</v>
      </c>
      <c r="G8331" s="202" t="str">
        <f t="shared" si="129"/>
        <v/>
      </c>
    </row>
    <row r="8332" spans="1:7" s="172" customFormat="1" ht="15" customHeight="1" x14ac:dyDescent="0.25">
      <c r="A8332" s="837" t="s">
        <v>13152</v>
      </c>
      <c r="B8332" s="851" t="s">
        <v>9487</v>
      </c>
      <c r="C8332" s="851" t="s">
        <v>9487</v>
      </c>
      <c r="D8332" s="852" t="s">
        <v>9682</v>
      </c>
      <c r="E8332" s="852">
        <v>30</v>
      </c>
      <c r="F8332" s="850">
        <v>10</v>
      </c>
      <c r="G8332" s="202" t="str">
        <f t="shared" si="129"/>
        <v/>
      </c>
    </row>
    <row r="8333" spans="1:7" s="172" customFormat="1" ht="15" customHeight="1" x14ac:dyDescent="0.25">
      <c r="A8333" s="837" t="s">
        <v>13153</v>
      </c>
      <c r="B8333" s="851" t="s">
        <v>9487</v>
      </c>
      <c r="C8333" s="851" t="s">
        <v>9487</v>
      </c>
      <c r="D8333" s="852" t="s">
        <v>9683</v>
      </c>
      <c r="E8333" s="852">
        <v>20</v>
      </c>
      <c r="F8333" s="850">
        <v>5</v>
      </c>
      <c r="G8333" s="202" t="str">
        <f t="shared" si="129"/>
        <v/>
      </c>
    </row>
    <row r="8334" spans="1:7" s="172" customFormat="1" ht="15" customHeight="1" x14ac:dyDescent="0.25">
      <c r="A8334" s="837" t="s">
        <v>13154</v>
      </c>
      <c r="B8334" s="851" t="s">
        <v>9487</v>
      </c>
      <c r="C8334" s="851" t="s">
        <v>9487</v>
      </c>
      <c r="D8334" s="852" t="s">
        <v>9684</v>
      </c>
      <c r="E8334" s="852">
        <v>20</v>
      </c>
      <c r="F8334" s="850">
        <v>5</v>
      </c>
      <c r="G8334" s="202" t="str">
        <f t="shared" si="129"/>
        <v/>
      </c>
    </row>
    <row r="8335" spans="1:7" s="172" customFormat="1" ht="15" customHeight="1" x14ac:dyDescent="0.25">
      <c r="A8335" s="837" t="s">
        <v>13155</v>
      </c>
      <c r="B8335" s="851" t="s">
        <v>9487</v>
      </c>
      <c r="C8335" s="851" t="s">
        <v>9487</v>
      </c>
      <c r="D8335" s="852" t="s">
        <v>9685</v>
      </c>
      <c r="E8335" s="852">
        <v>20</v>
      </c>
      <c r="F8335" s="850">
        <v>5</v>
      </c>
      <c r="G8335" s="202" t="str">
        <f t="shared" si="129"/>
        <v/>
      </c>
    </row>
    <row r="8336" spans="1:7" s="172" customFormat="1" ht="15" customHeight="1" x14ac:dyDescent="0.25">
      <c r="A8336" s="837" t="s">
        <v>3799</v>
      </c>
      <c r="B8336" s="851" t="s">
        <v>9487</v>
      </c>
      <c r="C8336" s="851" t="s">
        <v>9487</v>
      </c>
      <c r="D8336" s="852" t="s">
        <v>9686</v>
      </c>
      <c r="E8336" s="852">
        <v>30</v>
      </c>
      <c r="F8336" s="850">
        <v>5</v>
      </c>
      <c r="G8336" s="202" t="str">
        <f t="shared" si="129"/>
        <v/>
      </c>
    </row>
    <row r="8337" spans="1:7" s="172" customFormat="1" ht="15" customHeight="1" x14ac:dyDescent="0.25">
      <c r="A8337" s="837" t="s">
        <v>13156</v>
      </c>
      <c r="B8337" s="851" t="s">
        <v>9487</v>
      </c>
      <c r="C8337" s="851" t="s">
        <v>9487</v>
      </c>
      <c r="D8337" s="852" t="s">
        <v>9687</v>
      </c>
      <c r="E8337" s="852">
        <v>20</v>
      </c>
      <c r="F8337" s="850">
        <v>10</v>
      </c>
      <c r="G8337" s="202" t="str">
        <f t="shared" si="129"/>
        <v/>
      </c>
    </row>
    <row r="8338" spans="1:7" s="172" customFormat="1" ht="15" customHeight="1" x14ac:dyDescent="0.25">
      <c r="A8338" s="837" t="s">
        <v>13157</v>
      </c>
      <c r="B8338" s="851" t="s">
        <v>9487</v>
      </c>
      <c r="C8338" s="851" t="s">
        <v>9487</v>
      </c>
      <c r="D8338" s="852" t="s">
        <v>9688</v>
      </c>
      <c r="E8338" s="852">
        <v>25</v>
      </c>
      <c r="F8338" s="850">
        <v>10</v>
      </c>
      <c r="G8338" s="202" t="str">
        <f t="shared" si="129"/>
        <v/>
      </c>
    </row>
    <row r="8339" spans="1:7" s="172" customFormat="1" ht="15" customHeight="1" x14ac:dyDescent="0.25">
      <c r="A8339" s="837" t="s">
        <v>5877</v>
      </c>
      <c r="B8339" s="851" t="s">
        <v>9487</v>
      </c>
      <c r="C8339" s="851" t="s">
        <v>9487</v>
      </c>
      <c r="D8339" s="852" t="s">
        <v>9689</v>
      </c>
      <c r="E8339" s="852">
        <v>30</v>
      </c>
      <c r="F8339" s="850">
        <v>10</v>
      </c>
      <c r="G8339" s="202" t="str">
        <f t="shared" si="129"/>
        <v/>
      </c>
    </row>
    <row r="8340" spans="1:7" s="172" customFormat="1" ht="15" customHeight="1" x14ac:dyDescent="0.25">
      <c r="A8340" s="837" t="s">
        <v>13158</v>
      </c>
      <c r="B8340" s="851" t="s">
        <v>9487</v>
      </c>
      <c r="C8340" s="851" t="s">
        <v>9487</v>
      </c>
      <c r="D8340" s="852" t="s">
        <v>9690</v>
      </c>
      <c r="E8340" s="852">
        <v>160</v>
      </c>
      <c r="F8340" s="850">
        <v>100</v>
      </c>
      <c r="G8340" s="202" t="str">
        <f t="shared" si="129"/>
        <v/>
      </c>
    </row>
    <row r="8341" spans="1:7" s="172" customFormat="1" ht="15" customHeight="1" x14ac:dyDescent="0.25">
      <c r="A8341" s="837" t="s">
        <v>13158</v>
      </c>
      <c r="B8341" s="851" t="s">
        <v>9487</v>
      </c>
      <c r="C8341" s="851" t="s">
        <v>9487</v>
      </c>
      <c r="D8341" s="852" t="s">
        <v>9691</v>
      </c>
      <c r="E8341" s="852">
        <v>60</v>
      </c>
      <c r="F8341" s="850">
        <v>10</v>
      </c>
      <c r="G8341" s="202" t="str">
        <f t="shared" si="129"/>
        <v/>
      </c>
    </row>
    <row r="8342" spans="1:7" s="172" customFormat="1" ht="15" customHeight="1" x14ac:dyDescent="0.25">
      <c r="A8342" s="837" t="s">
        <v>13158</v>
      </c>
      <c r="B8342" s="851" t="s">
        <v>9487</v>
      </c>
      <c r="C8342" s="851" t="s">
        <v>9487</v>
      </c>
      <c r="D8342" s="852" t="s">
        <v>9692</v>
      </c>
      <c r="E8342" s="852">
        <v>30</v>
      </c>
      <c r="F8342" s="850">
        <v>5</v>
      </c>
      <c r="G8342" s="202" t="str">
        <f t="shared" si="129"/>
        <v/>
      </c>
    </row>
    <row r="8343" spans="1:7" s="172" customFormat="1" ht="15" customHeight="1" x14ac:dyDescent="0.25">
      <c r="A8343" s="837" t="s">
        <v>3373</v>
      </c>
      <c r="B8343" s="851" t="s">
        <v>9487</v>
      </c>
      <c r="C8343" s="851" t="s">
        <v>9487</v>
      </c>
      <c r="D8343" s="852" t="s">
        <v>9693</v>
      </c>
      <c r="E8343" s="852">
        <v>0</v>
      </c>
      <c r="F8343" s="850">
        <v>0</v>
      </c>
      <c r="G8343" s="202" t="str">
        <f t="shared" si="129"/>
        <v>не загружен</v>
      </c>
    </row>
    <row r="8344" spans="1:7" s="172" customFormat="1" ht="15" customHeight="1" x14ac:dyDescent="0.25">
      <c r="A8344" s="837" t="s">
        <v>13159</v>
      </c>
      <c r="B8344" s="851" t="s">
        <v>9487</v>
      </c>
      <c r="C8344" s="851" t="s">
        <v>9487</v>
      </c>
      <c r="D8344" s="852" t="s">
        <v>9694</v>
      </c>
      <c r="E8344" s="852">
        <v>20</v>
      </c>
      <c r="F8344" s="850">
        <v>5</v>
      </c>
      <c r="G8344" s="202" t="str">
        <f t="shared" si="129"/>
        <v/>
      </c>
    </row>
    <row r="8345" spans="1:7" s="172" customFormat="1" ht="15" customHeight="1" x14ac:dyDescent="0.25">
      <c r="A8345" s="837" t="s">
        <v>13160</v>
      </c>
      <c r="B8345" s="851" t="s">
        <v>9487</v>
      </c>
      <c r="C8345" s="851" t="s">
        <v>9487</v>
      </c>
      <c r="D8345" s="852" t="s">
        <v>9695</v>
      </c>
      <c r="E8345" s="852">
        <v>30</v>
      </c>
      <c r="F8345" s="850">
        <v>5</v>
      </c>
      <c r="G8345" s="202" t="str">
        <f t="shared" si="129"/>
        <v/>
      </c>
    </row>
    <row r="8346" spans="1:7" s="172" customFormat="1" ht="15" customHeight="1" x14ac:dyDescent="0.25">
      <c r="A8346" s="837" t="s">
        <v>3699</v>
      </c>
      <c r="B8346" s="851" t="s">
        <v>9487</v>
      </c>
      <c r="C8346" s="851" t="s">
        <v>9487</v>
      </c>
      <c r="D8346" s="852" t="s">
        <v>9696</v>
      </c>
      <c r="E8346" s="852">
        <v>60</v>
      </c>
      <c r="F8346" s="850">
        <v>30</v>
      </c>
      <c r="G8346" s="202" t="str">
        <f t="shared" si="129"/>
        <v/>
      </c>
    </row>
    <row r="8347" spans="1:7" s="172" customFormat="1" ht="15" customHeight="1" x14ac:dyDescent="0.25">
      <c r="A8347" s="837" t="s">
        <v>3699</v>
      </c>
      <c r="B8347" s="851" t="s">
        <v>9487</v>
      </c>
      <c r="C8347" s="851" t="s">
        <v>9487</v>
      </c>
      <c r="D8347" s="852" t="s">
        <v>9697</v>
      </c>
      <c r="E8347" s="852">
        <v>250</v>
      </c>
      <c r="F8347" s="850">
        <v>180</v>
      </c>
      <c r="G8347" s="202" t="str">
        <f t="shared" si="129"/>
        <v/>
      </c>
    </row>
    <row r="8348" spans="1:7" s="172" customFormat="1" ht="15" customHeight="1" x14ac:dyDescent="0.25">
      <c r="A8348" s="837" t="s">
        <v>13161</v>
      </c>
      <c r="B8348" s="851" t="s">
        <v>9487</v>
      </c>
      <c r="C8348" s="851" t="s">
        <v>9487</v>
      </c>
      <c r="D8348" s="852" t="s">
        <v>9698</v>
      </c>
      <c r="E8348" s="852">
        <v>0</v>
      </c>
      <c r="F8348" s="850">
        <v>0</v>
      </c>
      <c r="G8348" s="202" t="str">
        <f t="shared" si="129"/>
        <v>не загружен</v>
      </c>
    </row>
    <row r="8349" spans="1:7" s="172" customFormat="1" ht="15" customHeight="1" x14ac:dyDescent="0.25">
      <c r="A8349" s="837" t="s">
        <v>2963</v>
      </c>
      <c r="B8349" s="851" t="s">
        <v>9487</v>
      </c>
      <c r="C8349" s="851" t="s">
        <v>9487</v>
      </c>
      <c r="D8349" s="852" t="s">
        <v>9699</v>
      </c>
      <c r="E8349" s="852">
        <v>0</v>
      </c>
      <c r="F8349" s="850">
        <v>0</v>
      </c>
      <c r="G8349" s="202" t="str">
        <f t="shared" si="129"/>
        <v>не загружен</v>
      </c>
    </row>
    <row r="8350" spans="1:7" s="172" customFormat="1" ht="15" customHeight="1" x14ac:dyDescent="0.25">
      <c r="A8350" s="837" t="s">
        <v>13162</v>
      </c>
      <c r="B8350" s="851" t="s">
        <v>9487</v>
      </c>
      <c r="C8350" s="851" t="s">
        <v>9487</v>
      </c>
      <c r="D8350" s="852" t="s">
        <v>9700</v>
      </c>
      <c r="E8350" s="852">
        <v>20</v>
      </c>
      <c r="F8350" s="850">
        <v>10</v>
      </c>
      <c r="G8350" s="202" t="str">
        <f t="shared" ref="G8350:G8413" si="130">IF(E8350=F8350,"не загружен","")</f>
        <v/>
      </c>
    </row>
    <row r="8351" spans="1:7" s="172" customFormat="1" ht="15" customHeight="1" x14ac:dyDescent="0.25">
      <c r="A8351" s="837" t="s">
        <v>13163</v>
      </c>
      <c r="B8351" s="851" t="s">
        <v>9487</v>
      </c>
      <c r="C8351" s="851" t="s">
        <v>9487</v>
      </c>
      <c r="D8351" s="852" t="s">
        <v>9701</v>
      </c>
      <c r="E8351" s="852">
        <v>0</v>
      </c>
      <c r="F8351" s="850">
        <v>0</v>
      </c>
      <c r="G8351" s="202" t="str">
        <f t="shared" si="130"/>
        <v>не загружен</v>
      </c>
    </row>
    <row r="8352" spans="1:7" s="172" customFormat="1" ht="15" customHeight="1" x14ac:dyDescent="0.25">
      <c r="A8352" s="837" t="s">
        <v>13164</v>
      </c>
      <c r="B8352" s="851" t="s">
        <v>9487</v>
      </c>
      <c r="C8352" s="851" t="s">
        <v>9487</v>
      </c>
      <c r="D8352" s="852" t="s">
        <v>9702</v>
      </c>
      <c r="E8352" s="852">
        <v>20</v>
      </c>
      <c r="F8352" s="850">
        <v>3</v>
      </c>
      <c r="G8352" s="202" t="str">
        <f t="shared" si="130"/>
        <v/>
      </c>
    </row>
    <row r="8353" spans="1:7" s="172" customFormat="1" ht="15" customHeight="1" x14ac:dyDescent="0.25">
      <c r="A8353" s="837" t="s">
        <v>13165</v>
      </c>
      <c r="B8353" s="851" t="s">
        <v>9487</v>
      </c>
      <c r="C8353" s="851" t="s">
        <v>9487</v>
      </c>
      <c r="D8353" s="852" t="s">
        <v>9703</v>
      </c>
      <c r="E8353" s="852">
        <v>20</v>
      </c>
      <c r="F8353" s="850">
        <v>10</v>
      </c>
      <c r="G8353" s="202" t="str">
        <f t="shared" si="130"/>
        <v/>
      </c>
    </row>
    <row r="8354" spans="1:7" s="172" customFormat="1" ht="15" customHeight="1" x14ac:dyDescent="0.25">
      <c r="A8354" s="837" t="s">
        <v>9246</v>
      </c>
      <c r="B8354" s="851" t="s">
        <v>9487</v>
      </c>
      <c r="C8354" s="851" t="s">
        <v>9487</v>
      </c>
      <c r="D8354" s="852" t="s">
        <v>9704</v>
      </c>
      <c r="E8354" s="852">
        <v>10</v>
      </c>
      <c r="F8354" s="850">
        <v>3</v>
      </c>
      <c r="G8354" s="202" t="str">
        <f t="shared" si="130"/>
        <v/>
      </c>
    </row>
    <row r="8355" spans="1:7" s="172" customFormat="1" ht="15" customHeight="1" x14ac:dyDescent="0.25">
      <c r="A8355" s="837" t="s">
        <v>2802</v>
      </c>
      <c r="B8355" s="851" t="s">
        <v>9487</v>
      </c>
      <c r="C8355" s="851" t="s">
        <v>9487</v>
      </c>
      <c r="D8355" s="852" t="s">
        <v>9705</v>
      </c>
      <c r="E8355" s="852">
        <v>100</v>
      </c>
      <c r="F8355" s="850">
        <v>20</v>
      </c>
      <c r="G8355" s="202" t="str">
        <f t="shared" si="130"/>
        <v/>
      </c>
    </row>
    <row r="8356" spans="1:7" s="172" customFormat="1" ht="15" customHeight="1" x14ac:dyDescent="0.25">
      <c r="A8356" s="837" t="s">
        <v>2980</v>
      </c>
      <c r="B8356" s="851" t="s">
        <v>9487</v>
      </c>
      <c r="C8356" s="851" t="s">
        <v>9487</v>
      </c>
      <c r="D8356" s="852" t="s">
        <v>9706</v>
      </c>
      <c r="E8356" s="852">
        <v>30</v>
      </c>
      <c r="F8356" s="850">
        <v>10</v>
      </c>
      <c r="G8356" s="202" t="str">
        <f t="shared" si="130"/>
        <v/>
      </c>
    </row>
    <row r="8357" spans="1:7" s="172" customFormat="1" ht="15" customHeight="1" x14ac:dyDescent="0.25">
      <c r="A8357" s="837" t="s">
        <v>7664</v>
      </c>
      <c r="B8357" s="851" t="s">
        <v>9487</v>
      </c>
      <c r="C8357" s="851" t="s">
        <v>9487</v>
      </c>
      <c r="D8357" s="852" t="s">
        <v>9707</v>
      </c>
      <c r="E8357" s="852">
        <v>60</v>
      </c>
      <c r="F8357" s="850">
        <v>5</v>
      </c>
      <c r="G8357" s="202" t="str">
        <f t="shared" si="130"/>
        <v/>
      </c>
    </row>
    <row r="8358" spans="1:7" s="172" customFormat="1" ht="15" customHeight="1" x14ac:dyDescent="0.25">
      <c r="A8358" s="837" t="s">
        <v>5955</v>
      </c>
      <c r="B8358" s="851" t="s">
        <v>9487</v>
      </c>
      <c r="C8358" s="851" t="s">
        <v>9487</v>
      </c>
      <c r="D8358" s="852" t="s">
        <v>9708</v>
      </c>
      <c r="E8358" s="852">
        <v>20</v>
      </c>
      <c r="F8358" s="850">
        <v>5</v>
      </c>
      <c r="G8358" s="202" t="str">
        <f t="shared" si="130"/>
        <v/>
      </c>
    </row>
    <row r="8359" spans="1:7" s="172" customFormat="1" ht="15" customHeight="1" x14ac:dyDescent="0.25">
      <c r="A8359" s="837" t="s">
        <v>13067</v>
      </c>
      <c r="B8359" s="851" t="s">
        <v>9487</v>
      </c>
      <c r="C8359" s="851" t="s">
        <v>9487</v>
      </c>
      <c r="D8359" s="852" t="s">
        <v>9709</v>
      </c>
      <c r="E8359" s="852">
        <v>20</v>
      </c>
      <c r="F8359" s="850">
        <v>10</v>
      </c>
      <c r="G8359" s="202" t="str">
        <f t="shared" si="130"/>
        <v/>
      </c>
    </row>
    <row r="8360" spans="1:7" s="172" customFormat="1" ht="15" customHeight="1" x14ac:dyDescent="0.25">
      <c r="A8360" s="837" t="s">
        <v>13166</v>
      </c>
      <c r="B8360" s="851" t="s">
        <v>9487</v>
      </c>
      <c r="C8360" s="851" t="s">
        <v>9487</v>
      </c>
      <c r="D8360" s="852" t="s">
        <v>9710</v>
      </c>
      <c r="E8360" s="852">
        <v>50</v>
      </c>
      <c r="F8360" s="850">
        <v>5</v>
      </c>
      <c r="G8360" s="202" t="str">
        <f t="shared" si="130"/>
        <v/>
      </c>
    </row>
    <row r="8361" spans="1:7" s="172" customFormat="1" ht="15" customHeight="1" x14ac:dyDescent="0.25">
      <c r="A8361" s="837" t="s">
        <v>3352</v>
      </c>
      <c r="B8361" s="851" t="s">
        <v>9487</v>
      </c>
      <c r="C8361" s="851" t="s">
        <v>9487</v>
      </c>
      <c r="D8361" s="852" t="s">
        <v>9711</v>
      </c>
      <c r="E8361" s="852">
        <v>30</v>
      </c>
      <c r="F8361" s="850">
        <v>10</v>
      </c>
      <c r="G8361" s="202" t="str">
        <f t="shared" si="130"/>
        <v/>
      </c>
    </row>
    <row r="8362" spans="1:7" s="172" customFormat="1" ht="15" customHeight="1" x14ac:dyDescent="0.25">
      <c r="A8362" s="837" t="s">
        <v>3352</v>
      </c>
      <c r="B8362" s="851" t="s">
        <v>9487</v>
      </c>
      <c r="C8362" s="851" t="s">
        <v>9487</v>
      </c>
      <c r="D8362" s="852" t="s">
        <v>9712</v>
      </c>
      <c r="E8362" s="852">
        <v>30</v>
      </c>
      <c r="F8362" s="850">
        <v>10</v>
      </c>
      <c r="G8362" s="202" t="str">
        <f t="shared" si="130"/>
        <v/>
      </c>
    </row>
    <row r="8363" spans="1:7" s="172" customFormat="1" ht="15" customHeight="1" x14ac:dyDescent="0.25">
      <c r="A8363" s="837" t="s">
        <v>16813</v>
      </c>
      <c r="B8363" s="851" t="s">
        <v>9487</v>
      </c>
      <c r="C8363" s="851" t="s">
        <v>9487</v>
      </c>
      <c r="D8363" s="852" t="s">
        <v>16814</v>
      </c>
      <c r="E8363" s="852">
        <v>10</v>
      </c>
      <c r="F8363" s="850">
        <v>3</v>
      </c>
      <c r="G8363" s="202" t="str">
        <f t="shared" si="130"/>
        <v/>
      </c>
    </row>
    <row r="8364" spans="1:7" s="172" customFormat="1" ht="15" customHeight="1" x14ac:dyDescent="0.25">
      <c r="A8364" s="837" t="s">
        <v>12507</v>
      </c>
      <c r="B8364" s="851" t="s">
        <v>9487</v>
      </c>
      <c r="C8364" s="851" t="s">
        <v>9487</v>
      </c>
      <c r="D8364" s="852" t="s">
        <v>9713</v>
      </c>
      <c r="E8364" s="852">
        <v>30</v>
      </c>
      <c r="F8364" s="850">
        <v>10</v>
      </c>
      <c r="G8364" s="202" t="str">
        <f t="shared" si="130"/>
        <v/>
      </c>
    </row>
    <row r="8365" spans="1:7" s="172" customFormat="1" ht="15" customHeight="1" x14ac:dyDescent="0.25">
      <c r="A8365" s="837" t="s">
        <v>13003</v>
      </c>
      <c r="B8365" s="851" t="s">
        <v>9487</v>
      </c>
      <c r="C8365" s="851" t="s">
        <v>9487</v>
      </c>
      <c r="D8365" s="852" t="s">
        <v>9714</v>
      </c>
      <c r="E8365" s="852">
        <v>100</v>
      </c>
      <c r="F8365" s="850">
        <v>20</v>
      </c>
      <c r="G8365" s="202" t="str">
        <f t="shared" si="130"/>
        <v/>
      </c>
    </row>
    <row r="8366" spans="1:7" s="172" customFormat="1" ht="15" customHeight="1" x14ac:dyDescent="0.25">
      <c r="A8366" s="837" t="s">
        <v>13003</v>
      </c>
      <c r="B8366" s="851" t="s">
        <v>9487</v>
      </c>
      <c r="C8366" s="851" t="s">
        <v>9487</v>
      </c>
      <c r="D8366" s="852" t="s">
        <v>9715</v>
      </c>
      <c r="E8366" s="852">
        <v>160</v>
      </c>
      <c r="F8366" s="850">
        <v>40</v>
      </c>
      <c r="G8366" s="202" t="str">
        <f t="shared" si="130"/>
        <v/>
      </c>
    </row>
    <row r="8367" spans="1:7" s="172" customFormat="1" ht="15" customHeight="1" x14ac:dyDescent="0.25">
      <c r="A8367" s="837" t="s">
        <v>13052</v>
      </c>
      <c r="B8367" s="851" t="s">
        <v>9487</v>
      </c>
      <c r="C8367" s="851" t="s">
        <v>9487</v>
      </c>
      <c r="D8367" s="852" t="s">
        <v>9716</v>
      </c>
      <c r="E8367" s="852">
        <v>63</v>
      </c>
      <c r="F8367" s="850">
        <v>40</v>
      </c>
      <c r="G8367" s="202" t="str">
        <f t="shared" si="130"/>
        <v/>
      </c>
    </row>
    <row r="8368" spans="1:7" s="172" customFormat="1" ht="15" customHeight="1" x14ac:dyDescent="0.25">
      <c r="A8368" s="837" t="s">
        <v>13091</v>
      </c>
      <c r="B8368" s="851" t="s">
        <v>9487</v>
      </c>
      <c r="C8368" s="851" t="s">
        <v>9487</v>
      </c>
      <c r="D8368" s="852" t="s">
        <v>9717</v>
      </c>
      <c r="E8368" s="852">
        <v>100</v>
      </c>
      <c r="F8368" s="850">
        <v>15</v>
      </c>
      <c r="G8368" s="202" t="str">
        <f t="shared" si="130"/>
        <v/>
      </c>
    </row>
    <row r="8369" spans="1:7" s="172" customFormat="1" ht="15" customHeight="1" x14ac:dyDescent="0.25">
      <c r="A8369" s="837" t="s">
        <v>12617</v>
      </c>
      <c r="B8369" s="851" t="s">
        <v>9487</v>
      </c>
      <c r="C8369" s="851" t="s">
        <v>9487</v>
      </c>
      <c r="D8369" s="852" t="s">
        <v>9718</v>
      </c>
      <c r="E8369" s="852">
        <v>100</v>
      </c>
      <c r="F8369" s="850">
        <v>20</v>
      </c>
      <c r="G8369" s="202" t="str">
        <f t="shared" si="130"/>
        <v/>
      </c>
    </row>
    <row r="8370" spans="1:7" s="172" customFormat="1" ht="15" customHeight="1" x14ac:dyDescent="0.25">
      <c r="A8370" s="837" t="s">
        <v>13167</v>
      </c>
      <c r="B8370" s="851" t="s">
        <v>9487</v>
      </c>
      <c r="C8370" s="851" t="s">
        <v>9487</v>
      </c>
      <c r="D8370" s="852" t="s">
        <v>9719</v>
      </c>
      <c r="E8370" s="852">
        <v>30</v>
      </c>
      <c r="F8370" s="850">
        <v>5</v>
      </c>
      <c r="G8370" s="202" t="str">
        <f t="shared" si="130"/>
        <v/>
      </c>
    </row>
    <row r="8371" spans="1:7" s="172" customFormat="1" ht="15" customHeight="1" x14ac:dyDescent="0.25">
      <c r="A8371" s="837" t="s">
        <v>13168</v>
      </c>
      <c r="B8371" s="851" t="s">
        <v>9487</v>
      </c>
      <c r="C8371" s="851" t="s">
        <v>9487</v>
      </c>
      <c r="D8371" s="852" t="s">
        <v>9720</v>
      </c>
      <c r="E8371" s="852">
        <v>25</v>
      </c>
      <c r="F8371" s="850">
        <v>10</v>
      </c>
      <c r="G8371" s="202" t="str">
        <f t="shared" si="130"/>
        <v/>
      </c>
    </row>
    <row r="8372" spans="1:7" s="172" customFormat="1" ht="15" customHeight="1" x14ac:dyDescent="0.25">
      <c r="A8372" s="837" t="s">
        <v>7379</v>
      </c>
      <c r="B8372" s="851" t="s">
        <v>9487</v>
      </c>
      <c r="C8372" s="851" t="s">
        <v>9487</v>
      </c>
      <c r="D8372" s="852" t="s">
        <v>9721</v>
      </c>
      <c r="E8372" s="852">
        <v>30</v>
      </c>
      <c r="F8372" s="850">
        <v>5</v>
      </c>
      <c r="G8372" s="202" t="str">
        <f t="shared" si="130"/>
        <v/>
      </c>
    </row>
    <row r="8373" spans="1:7" s="172" customFormat="1" ht="15" customHeight="1" x14ac:dyDescent="0.25">
      <c r="A8373" s="837" t="s">
        <v>13089</v>
      </c>
      <c r="B8373" s="851" t="s">
        <v>9487</v>
      </c>
      <c r="C8373" s="851" t="s">
        <v>9487</v>
      </c>
      <c r="D8373" s="852" t="s">
        <v>9722</v>
      </c>
      <c r="E8373" s="852">
        <v>63</v>
      </c>
      <c r="F8373" s="850">
        <v>10</v>
      </c>
      <c r="G8373" s="202" t="str">
        <f t="shared" si="130"/>
        <v/>
      </c>
    </row>
    <row r="8374" spans="1:7" s="172" customFormat="1" ht="15" customHeight="1" x14ac:dyDescent="0.25">
      <c r="A8374" s="837" t="s">
        <v>13169</v>
      </c>
      <c r="B8374" s="851" t="s">
        <v>9487</v>
      </c>
      <c r="C8374" s="851" t="s">
        <v>9487</v>
      </c>
      <c r="D8374" s="852" t="s">
        <v>9723</v>
      </c>
      <c r="E8374" s="852">
        <v>63</v>
      </c>
      <c r="F8374" s="850">
        <v>10</v>
      </c>
      <c r="G8374" s="202" t="str">
        <f t="shared" si="130"/>
        <v/>
      </c>
    </row>
    <row r="8375" spans="1:7" s="172" customFormat="1" ht="15" customHeight="1" x14ac:dyDescent="0.25">
      <c r="A8375" s="837" t="s">
        <v>7614</v>
      </c>
      <c r="B8375" s="851" t="s">
        <v>9487</v>
      </c>
      <c r="C8375" s="851" t="s">
        <v>9487</v>
      </c>
      <c r="D8375" s="852" t="s">
        <v>9724</v>
      </c>
      <c r="E8375" s="852">
        <v>20</v>
      </c>
      <c r="F8375" s="850">
        <v>10</v>
      </c>
      <c r="G8375" s="202" t="str">
        <f t="shared" si="130"/>
        <v/>
      </c>
    </row>
    <row r="8376" spans="1:7" s="172" customFormat="1" ht="15" customHeight="1" x14ac:dyDescent="0.25">
      <c r="A8376" s="837" t="s">
        <v>2991</v>
      </c>
      <c r="B8376" s="851" t="s">
        <v>9487</v>
      </c>
      <c r="C8376" s="851" t="s">
        <v>9487</v>
      </c>
      <c r="D8376" s="852" t="s">
        <v>3542</v>
      </c>
      <c r="E8376" s="852">
        <v>250</v>
      </c>
      <c r="F8376" s="850">
        <v>60</v>
      </c>
      <c r="G8376" s="202" t="str">
        <f t="shared" si="130"/>
        <v/>
      </c>
    </row>
    <row r="8377" spans="1:7" s="172" customFormat="1" ht="15" customHeight="1" x14ac:dyDescent="0.25">
      <c r="A8377" s="837" t="s">
        <v>9032</v>
      </c>
      <c r="B8377" s="851" t="s">
        <v>9487</v>
      </c>
      <c r="C8377" s="851" t="s">
        <v>9487</v>
      </c>
      <c r="D8377" s="852" t="s">
        <v>9725</v>
      </c>
      <c r="E8377" s="852">
        <v>100</v>
      </c>
      <c r="F8377" s="850">
        <v>20</v>
      </c>
      <c r="G8377" s="202" t="str">
        <f t="shared" si="130"/>
        <v/>
      </c>
    </row>
    <row r="8378" spans="1:7" s="172" customFormat="1" ht="15" customHeight="1" x14ac:dyDescent="0.25">
      <c r="A8378" s="837" t="s">
        <v>13170</v>
      </c>
      <c r="B8378" s="851" t="s">
        <v>9487</v>
      </c>
      <c r="C8378" s="851" t="s">
        <v>9487</v>
      </c>
      <c r="D8378" s="852" t="s">
        <v>9726</v>
      </c>
      <c r="E8378" s="852">
        <v>0</v>
      </c>
      <c r="F8378" s="850">
        <v>0</v>
      </c>
      <c r="G8378" s="202" t="str">
        <f t="shared" si="130"/>
        <v>не загружен</v>
      </c>
    </row>
    <row r="8379" spans="1:7" s="172" customFormat="1" ht="15" customHeight="1" x14ac:dyDescent="0.25">
      <c r="A8379" s="837" t="s">
        <v>13171</v>
      </c>
      <c r="B8379" s="851" t="s">
        <v>9487</v>
      </c>
      <c r="C8379" s="851" t="s">
        <v>9487</v>
      </c>
      <c r="D8379" s="852" t="s">
        <v>9727</v>
      </c>
      <c r="E8379" s="852">
        <v>0</v>
      </c>
      <c r="F8379" s="850">
        <v>0</v>
      </c>
      <c r="G8379" s="202" t="str">
        <f t="shared" si="130"/>
        <v>не загружен</v>
      </c>
    </row>
    <row r="8380" spans="1:7" s="172" customFormat="1" ht="15" customHeight="1" x14ac:dyDescent="0.25">
      <c r="A8380" s="837" t="s">
        <v>13172</v>
      </c>
      <c r="B8380" s="851" t="s">
        <v>9487</v>
      </c>
      <c r="C8380" s="851" t="s">
        <v>9487</v>
      </c>
      <c r="D8380" s="852" t="s">
        <v>16815</v>
      </c>
      <c r="E8380" s="852">
        <v>30</v>
      </c>
      <c r="F8380" s="850">
        <v>10</v>
      </c>
      <c r="G8380" s="202" t="str">
        <f t="shared" si="130"/>
        <v/>
      </c>
    </row>
    <row r="8381" spans="1:7" s="172" customFormat="1" ht="15" customHeight="1" x14ac:dyDescent="0.25">
      <c r="A8381" s="837" t="s">
        <v>13173</v>
      </c>
      <c r="B8381" s="851" t="s">
        <v>9487</v>
      </c>
      <c r="C8381" s="851" t="s">
        <v>9487</v>
      </c>
      <c r="D8381" s="852" t="s">
        <v>9728</v>
      </c>
      <c r="E8381" s="852">
        <v>0</v>
      </c>
      <c r="F8381" s="850">
        <v>0</v>
      </c>
      <c r="G8381" s="202" t="str">
        <f t="shared" si="130"/>
        <v>не загружен</v>
      </c>
    </row>
    <row r="8382" spans="1:7" s="172" customFormat="1" ht="15" customHeight="1" x14ac:dyDescent="0.25">
      <c r="A8382" s="837" t="s">
        <v>3395</v>
      </c>
      <c r="B8382" s="851" t="s">
        <v>9487</v>
      </c>
      <c r="C8382" s="851" t="s">
        <v>9487</v>
      </c>
      <c r="D8382" s="852" t="s">
        <v>9729</v>
      </c>
      <c r="E8382" s="852">
        <v>60</v>
      </c>
      <c r="F8382" s="850">
        <v>20</v>
      </c>
      <c r="G8382" s="202" t="str">
        <f t="shared" si="130"/>
        <v/>
      </c>
    </row>
    <row r="8383" spans="1:7" s="172" customFormat="1" ht="15" customHeight="1" x14ac:dyDescent="0.25">
      <c r="A8383" s="837" t="s">
        <v>13174</v>
      </c>
      <c r="B8383" s="851" t="s">
        <v>9487</v>
      </c>
      <c r="C8383" s="851" t="s">
        <v>9487</v>
      </c>
      <c r="D8383" s="852" t="s">
        <v>9730</v>
      </c>
      <c r="E8383" s="852">
        <v>25</v>
      </c>
      <c r="F8383" s="850">
        <v>5</v>
      </c>
      <c r="G8383" s="202" t="str">
        <f t="shared" si="130"/>
        <v/>
      </c>
    </row>
    <row r="8384" spans="1:7" s="172" customFormat="1" ht="15" customHeight="1" x14ac:dyDescent="0.25">
      <c r="A8384" s="837" t="s">
        <v>8201</v>
      </c>
      <c r="B8384" s="851" t="s">
        <v>9487</v>
      </c>
      <c r="C8384" s="851" t="s">
        <v>9487</v>
      </c>
      <c r="D8384" s="852" t="s">
        <v>9731</v>
      </c>
      <c r="E8384" s="852">
        <v>250</v>
      </c>
      <c r="F8384" s="850">
        <v>160</v>
      </c>
      <c r="G8384" s="202" t="str">
        <f t="shared" si="130"/>
        <v/>
      </c>
    </row>
    <row r="8385" spans="1:7" s="172" customFormat="1" ht="15" customHeight="1" x14ac:dyDescent="0.25">
      <c r="A8385" s="837" t="s">
        <v>13051</v>
      </c>
      <c r="B8385" s="851" t="s">
        <v>9487</v>
      </c>
      <c r="C8385" s="851" t="s">
        <v>9487</v>
      </c>
      <c r="D8385" s="852" t="s">
        <v>9732</v>
      </c>
      <c r="E8385" s="852">
        <v>250</v>
      </c>
      <c r="F8385" s="850">
        <v>50</v>
      </c>
      <c r="G8385" s="202" t="str">
        <f t="shared" si="130"/>
        <v/>
      </c>
    </row>
    <row r="8386" spans="1:7" s="172" customFormat="1" ht="15" customHeight="1" x14ac:dyDescent="0.25">
      <c r="A8386" s="837" t="s">
        <v>13052</v>
      </c>
      <c r="B8386" s="851" t="s">
        <v>9487</v>
      </c>
      <c r="C8386" s="851" t="s">
        <v>9487</v>
      </c>
      <c r="D8386" s="852" t="s">
        <v>9733</v>
      </c>
      <c r="E8386" s="852">
        <v>400</v>
      </c>
      <c r="F8386" s="850">
        <v>120</v>
      </c>
      <c r="G8386" s="202" t="str">
        <f t="shared" si="130"/>
        <v/>
      </c>
    </row>
    <row r="8387" spans="1:7" s="172" customFormat="1" ht="15" customHeight="1" x14ac:dyDescent="0.25">
      <c r="A8387" s="837" t="s">
        <v>11926</v>
      </c>
      <c r="B8387" s="851" t="s">
        <v>9487</v>
      </c>
      <c r="C8387" s="851" t="s">
        <v>9487</v>
      </c>
      <c r="D8387" s="852" t="s">
        <v>9734</v>
      </c>
      <c r="E8387" s="852">
        <v>250</v>
      </c>
      <c r="F8387" s="850">
        <v>60</v>
      </c>
      <c r="G8387" s="202" t="str">
        <f t="shared" si="130"/>
        <v/>
      </c>
    </row>
    <row r="8388" spans="1:7" s="172" customFormat="1" ht="15" customHeight="1" x14ac:dyDescent="0.25">
      <c r="A8388" s="837" t="s">
        <v>13051</v>
      </c>
      <c r="B8388" s="851" t="s">
        <v>9487</v>
      </c>
      <c r="C8388" s="851" t="s">
        <v>9487</v>
      </c>
      <c r="D8388" s="852" t="s">
        <v>9735</v>
      </c>
      <c r="E8388" s="852">
        <v>400</v>
      </c>
      <c r="F8388" s="850">
        <v>130</v>
      </c>
      <c r="G8388" s="202" t="str">
        <f t="shared" si="130"/>
        <v/>
      </c>
    </row>
    <row r="8389" spans="1:7" s="172" customFormat="1" ht="15" customHeight="1" x14ac:dyDescent="0.25">
      <c r="A8389" s="837" t="s">
        <v>13064</v>
      </c>
      <c r="B8389" s="851" t="s">
        <v>9487</v>
      </c>
      <c r="C8389" s="851" t="s">
        <v>9487</v>
      </c>
      <c r="D8389" s="852" t="s">
        <v>9736</v>
      </c>
      <c r="E8389" s="852">
        <v>250</v>
      </c>
      <c r="F8389" s="850">
        <v>100</v>
      </c>
      <c r="G8389" s="202" t="str">
        <f t="shared" si="130"/>
        <v/>
      </c>
    </row>
    <row r="8390" spans="1:7" s="172" customFormat="1" ht="15" customHeight="1" x14ac:dyDescent="0.25">
      <c r="A8390" s="837" t="s">
        <v>13064</v>
      </c>
      <c r="B8390" s="851" t="s">
        <v>9487</v>
      </c>
      <c r="C8390" s="851" t="s">
        <v>9487</v>
      </c>
      <c r="D8390" s="852" t="s">
        <v>9737</v>
      </c>
      <c r="E8390" s="852">
        <v>250</v>
      </c>
      <c r="F8390" s="850">
        <v>150</v>
      </c>
      <c r="G8390" s="202" t="str">
        <f t="shared" si="130"/>
        <v/>
      </c>
    </row>
    <row r="8391" spans="1:7" s="172" customFormat="1" ht="15" customHeight="1" x14ac:dyDescent="0.25">
      <c r="A8391" s="837" t="s">
        <v>4909</v>
      </c>
      <c r="B8391" s="851" t="s">
        <v>9487</v>
      </c>
      <c r="C8391" s="851" t="s">
        <v>9487</v>
      </c>
      <c r="D8391" s="852" t="s">
        <v>9738</v>
      </c>
      <c r="E8391" s="852">
        <v>250</v>
      </c>
      <c r="F8391" s="850">
        <v>80</v>
      </c>
      <c r="G8391" s="202" t="str">
        <f t="shared" si="130"/>
        <v/>
      </c>
    </row>
    <row r="8392" spans="1:7" s="172" customFormat="1" ht="15" customHeight="1" x14ac:dyDescent="0.25">
      <c r="A8392" s="837" t="s">
        <v>3557</v>
      </c>
      <c r="B8392" s="851" t="s">
        <v>9487</v>
      </c>
      <c r="C8392" s="851" t="s">
        <v>9487</v>
      </c>
      <c r="D8392" s="852" t="s">
        <v>9739</v>
      </c>
      <c r="E8392" s="852">
        <v>100</v>
      </c>
      <c r="F8392" s="850">
        <v>10</v>
      </c>
      <c r="G8392" s="202" t="str">
        <f t="shared" si="130"/>
        <v/>
      </c>
    </row>
    <row r="8393" spans="1:7" s="172" customFormat="1" ht="15" customHeight="1" x14ac:dyDescent="0.25">
      <c r="A8393" s="837" t="s">
        <v>13050</v>
      </c>
      <c r="B8393" s="851" t="s">
        <v>9487</v>
      </c>
      <c r="C8393" s="851" t="s">
        <v>9487</v>
      </c>
      <c r="D8393" s="852" t="s">
        <v>9740</v>
      </c>
      <c r="E8393" s="852">
        <v>100</v>
      </c>
      <c r="F8393" s="850">
        <v>20</v>
      </c>
      <c r="G8393" s="202" t="str">
        <f t="shared" si="130"/>
        <v/>
      </c>
    </row>
    <row r="8394" spans="1:7" s="172" customFormat="1" ht="15" customHeight="1" x14ac:dyDescent="0.25">
      <c r="A8394" s="837" t="s">
        <v>13089</v>
      </c>
      <c r="B8394" s="851" t="s">
        <v>9487</v>
      </c>
      <c r="C8394" s="851" t="s">
        <v>9487</v>
      </c>
      <c r="D8394" s="852" t="s">
        <v>9741</v>
      </c>
      <c r="E8394" s="852">
        <v>160</v>
      </c>
      <c r="F8394" s="850">
        <v>10</v>
      </c>
      <c r="G8394" s="202" t="str">
        <f t="shared" si="130"/>
        <v/>
      </c>
    </row>
    <row r="8395" spans="1:7" s="172" customFormat="1" ht="15" customHeight="1" x14ac:dyDescent="0.25">
      <c r="A8395" s="837" t="s">
        <v>12650</v>
      </c>
      <c r="B8395" s="851" t="s">
        <v>9487</v>
      </c>
      <c r="C8395" s="851" t="s">
        <v>9487</v>
      </c>
      <c r="D8395" s="852" t="s">
        <v>9742</v>
      </c>
      <c r="E8395" s="852">
        <v>250</v>
      </c>
      <c r="F8395" s="850">
        <v>100</v>
      </c>
      <c r="G8395" s="202" t="str">
        <f t="shared" si="130"/>
        <v/>
      </c>
    </row>
    <row r="8396" spans="1:7" s="172" customFormat="1" ht="15" customHeight="1" x14ac:dyDescent="0.25">
      <c r="A8396" s="837" t="s">
        <v>12650</v>
      </c>
      <c r="B8396" s="851" t="s">
        <v>9487</v>
      </c>
      <c r="C8396" s="851" t="s">
        <v>9487</v>
      </c>
      <c r="D8396" s="852" t="s">
        <v>9743</v>
      </c>
      <c r="E8396" s="852">
        <v>250</v>
      </c>
      <c r="F8396" s="850">
        <v>60</v>
      </c>
      <c r="G8396" s="202" t="str">
        <f t="shared" si="130"/>
        <v/>
      </c>
    </row>
    <row r="8397" spans="1:7" s="172" customFormat="1" ht="15" customHeight="1" x14ac:dyDescent="0.25">
      <c r="A8397" s="837" t="s">
        <v>3143</v>
      </c>
      <c r="B8397" s="851" t="s">
        <v>9487</v>
      </c>
      <c r="C8397" s="851" t="s">
        <v>9487</v>
      </c>
      <c r="D8397" s="852" t="s">
        <v>9744</v>
      </c>
      <c r="E8397" s="852">
        <v>100</v>
      </c>
      <c r="F8397" s="850">
        <v>20</v>
      </c>
      <c r="G8397" s="202" t="str">
        <f t="shared" si="130"/>
        <v/>
      </c>
    </row>
    <row r="8398" spans="1:7" s="172" customFormat="1" ht="15" customHeight="1" x14ac:dyDescent="0.25">
      <c r="A8398" s="837" t="s">
        <v>3143</v>
      </c>
      <c r="B8398" s="851" t="s">
        <v>9487</v>
      </c>
      <c r="C8398" s="851" t="s">
        <v>9487</v>
      </c>
      <c r="D8398" s="852" t="s">
        <v>9745</v>
      </c>
      <c r="E8398" s="852">
        <v>250</v>
      </c>
      <c r="F8398" s="850">
        <v>80</v>
      </c>
      <c r="G8398" s="202" t="str">
        <f t="shared" si="130"/>
        <v/>
      </c>
    </row>
    <row r="8399" spans="1:7" s="172" customFormat="1" ht="15" customHeight="1" x14ac:dyDescent="0.25">
      <c r="A8399" s="837" t="s">
        <v>3143</v>
      </c>
      <c r="B8399" s="851" t="s">
        <v>9487</v>
      </c>
      <c r="C8399" s="851" t="s">
        <v>9487</v>
      </c>
      <c r="D8399" s="852" t="s">
        <v>9746</v>
      </c>
      <c r="E8399" s="852">
        <v>250</v>
      </c>
      <c r="F8399" s="850">
        <v>150</v>
      </c>
      <c r="G8399" s="202" t="str">
        <f t="shared" si="130"/>
        <v/>
      </c>
    </row>
    <row r="8400" spans="1:7" s="172" customFormat="1" ht="15" customHeight="1" x14ac:dyDescent="0.25">
      <c r="A8400" s="837" t="s">
        <v>13175</v>
      </c>
      <c r="B8400" s="851" t="s">
        <v>9487</v>
      </c>
      <c r="C8400" s="851" t="s">
        <v>9487</v>
      </c>
      <c r="D8400" s="852" t="s">
        <v>9747</v>
      </c>
      <c r="E8400" s="852">
        <v>250</v>
      </c>
      <c r="F8400" s="850">
        <v>100</v>
      </c>
      <c r="G8400" s="202" t="str">
        <f t="shared" si="130"/>
        <v/>
      </c>
    </row>
    <row r="8401" spans="1:7" s="172" customFormat="1" ht="15" customHeight="1" x14ac:dyDescent="0.25">
      <c r="A8401" s="837" t="s">
        <v>13175</v>
      </c>
      <c r="B8401" s="851" t="s">
        <v>9487</v>
      </c>
      <c r="C8401" s="851" t="s">
        <v>9487</v>
      </c>
      <c r="D8401" s="852" t="s">
        <v>16816</v>
      </c>
      <c r="E8401" s="852">
        <v>250</v>
      </c>
      <c r="F8401" s="850">
        <v>10</v>
      </c>
      <c r="G8401" s="202" t="str">
        <f t="shared" si="130"/>
        <v/>
      </c>
    </row>
    <row r="8402" spans="1:7" s="172" customFormat="1" ht="15" customHeight="1" x14ac:dyDescent="0.25">
      <c r="A8402" s="837" t="s">
        <v>13175</v>
      </c>
      <c r="B8402" s="851" t="s">
        <v>9487</v>
      </c>
      <c r="C8402" s="851" t="s">
        <v>9487</v>
      </c>
      <c r="D8402" s="852" t="s">
        <v>9748</v>
      </c>
      <c r="E8402" s="852">
        <v>400</v>
      </c>
      <c r="F8402" s="850">
        <v>100</v>
      </c>
      <c r="G8402" s="202" t="str">
        <f t="shared" si="130"/>
        <v/>
      </c>
    </row>
    <row r="8403" spans="1:7" s="172" customFormat="1" ht="15" customHeight="1" x14ac:dyDescent="0.25">
      <c r="A8403" s="837" t="s">
        <v>13126</v>
      </c>
      <c r="B8403" s="851" t="s">
        <v>9487</v>
      </c>
      <c r="C8403" s="851" t="s">
        <v>9487</v>
      </c>
      <c r="D8403" s="852" t="s">
        <v>9749</v>
      </c>
      <c r="E8403" s="852">
        <v>160</v>
      </c>
      <c r="F8403" s="850">
        <v>120</v>
      </c>
      <c r="G8403" s="202" t="str">
        <f t="shared" si="130"/>
        <v/>
      </c>
    </row>
    <row r="8404" spans="1:7" s="172" customFormat="1" ht="15" customHeight="1" x14ac:dyDescent="0.25">
      <c r="A8404" s="837" t="s">
        <v>13126</v>
      </c>
      <c r="B8404" s="851" t="s">
        <v>9487</v>
      </c>
      <c r="C8404" s="851" t="s">
        <v>9487</v>
      </c>
      <c r="D8404" s="852" t="s">
        <v>9750</v>
      </c>
      <c r="E8404" s="852">
        <v>400</v>
      </c>
      <c r="F8404" s="850">
        <v>250</v>
      </c>
      <c r="G8404" s="202" t="str">
        <f t="shared" si="130"/>
        <v/>
      </c>
    </row>
    <row r="8405" spans="1:7" s="172" customFormat="1" ht="15" customHeight="1" x14ac:dyDescent="0.25">
      <c r="A8405" s="837" t="s">
        <v>13053</v>
      </c>
      <c r="B8405" s="851" t="s">
        <v>9487</v>
      </c>
      <c r="C8405" s="851" t="s">
        <v>9487</v>
      </c>
      <c r="D8405" s="852" t="s">
        <v>9751</v>
      </c>
      <c r="E8405" s="852">
        <v>160</v>
      </c>
      <c r="F8405" s="850">
        <v>100</v>
      </c>
      <c r="G8405" s="202" t="str">
        <f t="shared" si="130"/>
        <v/>
      </c>
    </row>
    <row r="8406" spans="1:7" s="172" customFormat="1" ht="15" customHeight="1" x14ac:dyDescent="0.25">
      <c r="A8406" s="837" t="s">
        <v>13053</v>
      </c>
      <c r="B8406" s="851" t="s">
        <v>9487</v>
      </c>
      <c r="C8406" s="851" t="s">
        <v>9487</v>
      </c>
      <c r="D8406" s="852" t="s">
        <v>9752</v>
      </c>
      <c r="E8406" s="852">
        <v>160</v>
      </c>
      <c r="F8406" s="850">
        <v>100</v>
      </c>
      <c r="G8406" s="202" t="str">
        <f t="shared" si="130"/>
        <v/>
      </c>
    </row>
    <row r="8407" spans="1:7" s="172" customFormat="1" ht="15" customHeight="1" x14ac:dyDescent="0.25">
      <c r="A8407" s="837" t="s">
        <v>13053</v>
      </c>
      <c r="B8407" s="851" t="s">
        <v>9487</v>
      </c>
      <c r="C8407" s="851" t="s">
        <v>9487</v>
      </c>
      <c r="D8407" s="852" t="s">
        <v>9753</v>
      </c>
      <c r="E8407" s="852">
        <v>160</v>
      </c>
      <c r="F8407" s="850">
        <v>20</v>
      </c>
      <c r="G8407" s="202" t="str">
        <f t="shared" si="130"/>
        <v/>
      </c>
    </row>
    <row r="8408" spans="1:7" s="172" customFormat="1" ht="15" customHeight="1" x14ac:dyDescent="0.25">
      <c r="A8408" s="837" t="s">
        <v>13176</v>
      </c>
      <c r="B8408" s="851" t="s">
        <v>9487</v>
      </c>
      <c r="C8408" s="851" t="s">
        <v>9487</v>
      </c>
      <c r="D8408" s="852" t="s">
        <v>9754</v>
      </c>
      <c r="E8408" s="852">
        <v>250</v>
      </c>
      <c r="F8408" s="850">
        <v>80</v>
      </c>
      <c r="G8408" s="202" t="str">
        <f t="shared" si="130"/>
        <v/>
      </c>
    </row>
    <row r="8409" spans="1:7" s="172" customFormat="1" ht="15" customHeight="1" x14ac:dyDescent="0.25">
      <c r="A8409" s="837" t="s">
        <v>13141</v>
      </c>
      <c r="B8409" s="851" t="s">
        <v>9487</v>
      </c>
      <c r="C8409" s="851" t="s">
        <v>9487</v>
      </c>
      <c r="D8409" s="852" t="s">
        <v>9755</v>
      </c>
      <c r="E8409" s="852">
        <v>100</v>
      </c>
      <c r="F8409" s="850">
        <v>60</v>
      </c>
      <c r="G8409" s="202" t="str">
        <f t="shared" si="130"/>
        <v/>
      </c>
    </row>
    <row r="8410" spans="1:7" s="172" customFormat="1" ht="15" customHeight="1" x14ac:dyDescent="0.25">
      <c r="A8410" s="837" t="s">
        <v>13003</v>
      </c>
      <c r="B8410" s="851" t="s">
        <v>9487</v>
      </c>
      <c r="C8410" s="851" t="s">
        <v>9487</v>
      </c>
      <c r="D8410" s="852" t="s">
        <v>9756</v>
      </c>
      <c r="E8410" s="852">
        <v>250</v>
      </c>
      <c r="F8410" s="850">
        <v>50</v>
      </c>
      <c r="G8410" s="202" t="str">
        <f t="shared" si="130"/>
        <v/>
      </c>
    </row>
    <row r="8411" spans="1:7" s="172" customFormat="1" ht="15" customHeight="1" x14ac:dyDescent="0.25">
      <c r="A8411" s="837" t="s">
        <v>13003</v>
      </c>
      <c r="B8411" s="851" t="s">
        <v>9487</v>
      </c>
      <c r="C8411" s="851" t="s">
        <v>9487</v>
      </c>
      <c r="D8411" s="852" t="s">
        <v>9757</v>
      </c>
      <c r="E8411" s="852">
        <v>400</v>
      </c>
      <c r="F8411" s="850">
        <v>360</v>
      </c>
      <c r="G8411" s="202" t="str">
        <f t="shared" si="130"/>
        <v/>
      </c>
    </row>
    <row r="8412" spans="1:7" s="172" customFormat="1" ht="15" customHeight="1" x14ac:dyDescent="0.25">
      <c r="A8412" s="837" t="s">
        <v>13158</v>
      </c>
      <c r="B8412" s="851" t="s">
        <v>9487</v>
      </c>
      <c r="C8412" s="851" t="s">
        <v>9487</v>
      </c>
      <c r="D8412" s="852" t="s">
        <v>9758</v>
      </c>
      <c r="E8412" s="852">
        <v>400</v>
      </c>
      <c r="F8412" s="850">
        <v>280</v>
      </c>
      <c r="G8412" s="202" t="str">
        <f t="shared" si="130"/>
        <v/>
      </c>
    </row>
    <row r="8413" spans="1:7" s="172" customFormat="1" ht="15" customHeight="1" x14ac:dyDescent="0.25">
      <c r="A8413" s="837" t="s">
        <v>13158</v>
      </c>
      <c r="B8413" s="851" t="s">
        <v>9487</v>
      </c>
      <c r="C8413" s="851" t="s">
        <v>9487</v>
      </c>
      <c r="D8413" s="852" t="s">
        <v>9759</v>
      </c>
      <c r="E8413" s="852">
        <v>160</v>
      </c>
      <c r="F8413" s="850">
        <v>50</v>
      </c>
      <c r="G8413" s="202" t="str">
        <f t="shared" si="130"/>
        <v/>
      </c>
    </row>
    <row r="8414" spans="1:7" s="172" customFormat="1" ht="15" customHeight="1" x14ac:dyDescent="0.25">
      <c r="A8414" s="837" t="s">
        <v>13177</v>
      </c>
      <c r="B8414" s="851" t="s">
        <v>9487</v>
      </c>
      <c r="C8414" s="851" t="s">
        <v>9487</v>
      </c>
      <c r="D8414" s="852" t="s">
        <v>9760</v>
      </c>
      <c r="E8414" s="852">
        <v>250</v>
      </c>
      <c r="F8414" s="850">
        <v>20</v>
      </c>
      <c r="G8414" s="202" t="str">
        <f t="shared" ref="G8414:G8477" si="131">IF(E8414=F8414,"не загружен","")</f>
        <v/>
      </c>
    </row>
    <row r="8415" spans="1:7" s="172" customFormat="1" ht="15" customHeight="1" x14ac:dyDescent="0.25">
      <c r="A8415" s="837" t="s">
        <v>8547</v>
      </c>
      <c r="B8415" s="851" t="s">
        <v>9487</v>
      </c>
      <c r="C8415" s="851" t="s">
        <v>9487</v>
      </c>
      <c r="D8415" s="852" t="s">
        <v>9761</v>
      </c>
      <c r="E8415" s="852">
        <v>250</v>
      </c>
      <c r="F8415" s="850">
        <v>210</v>
      </c>
      <c r="G8415" s="202" t="str">
        <f t="shared" si="131"/>
        <v/>
      </c>
    </row>
    <row r="8416" spans="1:7" s="172" customFormat="1" ht="15" customHeight="1" x14ac:dyDescent="0.25">
      <c r="A8416" s="837" t="s">
        <v>13158</v>
      </c>
      <c r="B8416" s="851" t="s">
        <v>9487</v>
      </c>
      <c r="C8416" s="851" t="s">
        <v>9487</v>
      </c>
      <c r="D8416" s="852" t="s">
        <v>9762</v>
      </c>
      <c r="E8416" s="852">
        <v>400</v>
      </c>
      <c r="F8416" s="850">
        <v>280</v>
      </c>
      <c r="G8416" s="202" t="str">
        <f t="shared" si="131"/>
        <v/>
      </c>
    </row>
    <row r="8417" spans="1:7" s="172" customFormat="1" ht="15" customHeight="1" x14ac:dyDescent="0.25">
      <c r="A8417" s="837" t="s">
        <v>6347</v>
      </c>
      <c r="B8417" s="851" t="s">
        <v>9487</v>
      </c>
      <c r="C8417" s="851" t="s">
        <v>9487</v>
      </c>
      <c r="D8417" s="852" t="s">
        <v>9763</v>
      </c>
      <c r="E8417" s="852">
        <v>250</v>
      </c>
      <c r="F8417" s="850">
        <v>70</v>
      </c>
      <c r="G8417" s="202" t="str">
        <f t="shared" si="131"/>
        <v/>
      </c>
    </row>
    <row r="8418" spans="1:7" s="172" customFormat="1" ht="15" customHeight="1" x14ac:dyDescent="0.25">
      <c r="A8418" s="837" t="s">
        <v>13052</v>
      </c>
      <c r="B8418" s="851" t="s">
        <v>9487</v>
      </c>
      <c r="C8418" s="851" t="s">
        <v>9487</v>
      </c>
      <c r="D8418" s="852" t="s">
        <v>9764</v>
      </c>
      <c r="E8418" s="852">
        <v>400</v>
      </c>
      <c r="F8418" s="850">
        <v>250</v>
      </c>
      <c r="G8418" s="202" t="str">
        <f t="shared" si="131"/>
        <v/>
      </c>
    </row>
    <row r="8419" spans="1:7" s="172" customFormat="1" ht="15" customHeight="1" x14ac:dyDescent="0.25">
      <c r="A8419" s="837" t="s">
        <v>13178</v>
      </c>
      <c r="B8419" s="851" t="s">
        <v>9487</v>
      </c>
      <c r="C8419" s="851" t="s">
        <v>9487</v>
      </c>
      <c r="D8419" s="852" t="s">
        <v>9765</v>
      </c>
      <c r="E8419" s="852">
        <v>10</v>
      </c>
      <c r="F8419" s="850">
        <v>3</v>
      </c>
      <c r="G8419" s="202" t="str">
        <f t="shared" si="131"/>
        <v/>
      </c>
    </row>
    <row r="8420" spans="1:7" s="172" customFormat="1" ht="15" customHeight="1" x14ac:dyDescent="0.25">
      <c r="A8420" s="837" t="s">
        <v>13179</v>
      </c>
      <c r="B8420" s="851" t="s">
        <v>9487</v>
      </c>
      <c r="C8420" s="851" t="s">
        <v>9487</v>
      </c>
      <c r="D8420" s="852" t="s">
        <v>9766</v>
      </c>
      <c r="E8420" s="852">
        <v>10</v>
      </c>
      <c r="F8420" s="850">
        <v>3</v>
      </c>
      <c r="G8420" s="202" t="str">
        <f t="shared" si="131"/>
        <v/>
      </c>
    </row>
    <row r="8421" spans="1:7" s="172" customFormat="1" ht="15" customHeight="1" x14ac:dyDescent="0.25">
      <c r="A8421" s="837" t="s">
        <v>13180</v>
      </c>
      <c r="B8421" s="851" t="s">
        <v>9487</v>
      </c>
      <c r="C8421" s="851" t="s">
        <v>9487</v>
      </c>
      <c r="D8421" s="852" t="s">
        <v>9767</v>
      </c>
      <c r="E8421" s="852">
        <v>20</v>
      </c>
      <c r="F8421" s="850">
        <v>5</v>
      </c>
      <c r="G8421" s="202" t="str">
        <f t="shared" si="131"/>
        <v/>
      </c>
    </row>
    <row r="8422" spans="1:7" s="172" customFormat="1" ht="15" customHeight="1" x14ac:dyDescent="0.25">
      <c r="A8422" s="837" t="s">
        <v>13051</v>
      </c>
      <c r="B8422" s="851" t="s">
        <v>9487</v>
      </c>
      <c r="C8422" s="851" t="s">
        <v>9487</v>
      </c>
      <c r="D8422" s="852" t="s">
        <v>9768</v>
      </c>
      <c r="E8422" s="852">
        <v>100</v>
      </c>
      <c r="F8422" s="850">
        <v>40</v>
      </c>
      <c r="G8422" s="202" t="str">
        <f t="shared" si="131"/>
        <v/>
      </c>
    </row>
    <row r="8423" spans="1:7" s="172" customFormat="1" ht="15" customHeight="1" x14ac:dyDescent="0.25">
      <c r="A8423" s="837" t="s">
        <v>12850</v>
      </c>
      <c r="B8423" s="851" t="s">
        <v>9487</v>
      </c>
      <c r="C8423" s="851" t="s">
        <v>9487</v>
      </c>
      <c r="D8423" s="852" t="s">
        <v>9769</v>
      </c>
      <c r="E8423" s="852">
        <v>10</v>
      </c>
      <c r="F8423" s="850">
        <v>3</v>
      </c>
      <c r="G8423" s="202" t="str">
        <f t="shared" si="131"/>
        <v/>
      </c>
    </row>
    <row r="8424" spans="1:7" s="172" customFormat="1" ht="15" customHeight="1" x14ac:dyDescent="0.25">
      <c r="A8424" s="837" t="s">
        <v>13064</v>
      </c>
      <c r="B8424" s="851" t="s">
        <v>9487</v>
      </c>
      <c r="C8424" s="851" t="s">
        <v>9487</v>
      </c>
      <c r="D8424" s="852" t="s">
        <v>9770</v>
      </c>
      <c r="E8424" s="852">
        <v>10</v>
      </c>
      <c r="F8424" s="850">
        <v>3</v>
      </c>
      <c r="G8424" s="202" t="str">
        <f t="shared" si="131"/>
        <v/>
      </c>
    </row>
    <row r="8425" spans="1:7" s="172" customFormat="1" ht="15" customHeight="1" x14ac:dyDescent="0.25">
      <c r="A8425" s="837" t="s">
        <v>13181</v>
      </c>
      <c r="B8425" s="851" t="s">
        <v>9487</v>
      </c>
      <c r="C8425" s="851" t="s">
        <v>9487</v>
      </c>
      <c r="D8425" s="852" t="s">
        <v>9771</v>
      </c>
      <c r="E8425" s="852">
        <v>25</v>
      </c>
      <c r="F8425" s="850">
        <v>10</v>
      </c>
      <c r="G8425" s="202" t="str">
        <f t="shared" si="131"/>
        <v/>
      </c>
    </row>
    <row r="8426" spans="1:7" s="172" customFormat="1" ht="15" customHeight="1" x14ac:dyDescent="0.25">
      <c r="A8426" s="837" t="s">
        <v>3545</v>
      </c>
      <c r="B8426" s="851" t="s">
        <v>9487</v>
      </c>
      <c r="C8426" s="851" t="s">
        <v>9487</v>
      </c>
      <c r="D8426" s="852" t="s">
        <v>9772</v>
      </c>
      <c r="E8426" s="852">
        <v>10</v>
      </c>
      <c r="F8426" s="850">
        <v>3</v>
      </c>
      <c r="G8426" s="202" t="str">
        <f t="shared" si="131"/>
        <v/>
      </c>
    </row>
    <row r="8427" spans="1:7" s="172" customFormat="1" ht="15" customHeight="1" x14ac:dyDescent="0.25">
      <c r="A8427" s="837" t="s">
        <v>7828</v>
      </c>
      <c r="B8427" s="851" t="s">
        <v>9487</v>
      </c>
      <c r="C8427" s="851" t="s">
        <v>9487</v>
      </c>
      <c r="D8427" s="852" t="s">
        <v>9773</v>
      </c>
      <c r="E8427" s="852">
        <v>10</v>
      </c>
      <c r="F8427" s="850">
        <v>3</v>
      </c>
      <c r="G8427" s="202" t="str">
        <f t="shared" si="131"/>
        <v/>
      </c>
    </row>
    <row r="8428" spans="1:7" s="172" customFormat="1" ht="15" customHeight="1" x14ac:dyDescent="0.25">
      <c r="A8428" s="837" t="s">
        <v>13182</v>
      </c>
      <c r="B8428" s="851" t="s">
        <v>9487</v>
      </c>
      <c r="C8428" s="851" t="s">
        <v>9487</v>
      </c>
      <c r="D8428" s="852" t="s">
        <v>9774</v>
      </c>
      <c r="E8428" s="852">
        <v>10</v>
      </c>
      <c r="F8428" s="850">
        <v>3</v>
      </c>
      <c r="G8428" s="202" t="str">
        <f t="shared" si="131"/>
        <v/>
      </c>
    </row>
    <row r="8429" spans="1:7" s="172" customFormat="1" ht="15" customHeight="1" x14ac:dyDescent="0.25">
      <c r="A8429" s="837" t="s">
        <v>6313</v>
      </c>
      <c r="B8429" s="851" t="s">
        <v>9487</v>
      </c>
      <c r="C8429" s="851" t="s">
        <v>9487</v>
      </c>
      <c r="D8429" s="852" t="s">
        <v>9775</v>
      </c>
      <c r="E8429" s="852">
        <v>30</v>
      </c>
      <c r="F8429" s="850">
        <v>10</v>
      </c>
      <c r="G8429" s="202" t="str">
        <f t="shared" si="131"/>
        <v/>
      </c>
    </row>
    <row r="8430" spans="1:7" s="172" customFormat="1" ht="15" customHeight="1" x14ac:dyDescent="0.25">
      <c r="A8430" s="837" t="s">
        <v>4812</v>
      </c>
      <c r="B8430" s="851" t="s">
        <v>9487</v>
      </c>
      <c r="C8430" s="851" t="s">
        <v>9487</v>
      </c>
      <c r="D8430" s="852" t="s">
        <v>9776</v>
      </c>
      <c r="E8430" s="852">
        <v>10</v>
      </c>
      <c r="F8430" s="850">
        <v>3</v>
      </c>
      <c r="G8430" s="202" t="str">
        <f t="shared" si="131"/>
        <v/>
      </c>
    </row>
    <row r="8431" spans="1:7" s="172" customFormat="1" ht="15" customHeight="1" x14ac:dyDescent="0.25">
      <c r="A8431" s="837" t="s">
        <v>13183</v>
      </c>
      <c r="B8431" s="851" t="s">
        <v>9487</v>
      </c>
      <c r="C8431" s="851" t="s">
        <v>9487</v>
      </c>
      <c r="D8431" s="852" t="s">
        <v>9777</v>
      </c>
      <c r="E8431" s="852">
        <v>10</v>
      </c>
      <c r="F8431" s="850">
        <v>1</v>
      </c>
      <c r="G8431" s="202" t="str">
        <f t="shared" si="131"/>
        <v/>
      </c>
    </row>
    <row r="8432" spans="1:7" s="172" customFormat="1" ht="15" customHeight="1" x14ac:dyDescent="0.25">
      <c r="A8432" s="837" t="s">
        <v>12867</v>
      </c>
      <c r="B8432" s="851" t="s">
        <v>9487</v>
      </c>
      <c r="C8432" s="851" t="s">
        <v>9487</v>
      </c>
      <c r="D8432" s="852" t="s">
        <v>9778</v>
      </c>
      <c r="E8432" s="852">
        <v>10</v>
      </c>
      <c r="F8432" s="850">
        <v>1</v>
      </c>
      <c r="G8432" s="202" t="str">
        <f t="shared" si="131"/>
        <v/>
      </c>
    </row>
    <row r="8433" spans="1:7" s="172" customFormat="1" ht="15" customHeight="1" x14ac:dyDescent="0.25">
      <c r="A8433" s="837" t="s">
        <v>5030</v>
      </c>
      <c r="B8433" s="851" t="s">
        <v>9487</v>
      </c>
      <c r="C8433" s="851" t="s">
        <v>9487</v>
      </c>
      <c r="D8433" s="852" t="s">
        <v>9779</v>
      </c>
      <c r="E8433" s="852">
        <v>10</v>
      </c>
      <c r="F8433" s="850">
        <v>1</v>
      </c>
      <c r="G8433" s="202" t="str">
        <f t="shared" si="131"/>
        <v/>
      </c>
    </row>
    <row r="8434" spans="1:7" s="172" customFormat="1" ht="15" customHeight="1" x14ac:dyDescent="0.25">
      <c r="A8434" s="837" t="s">
        <v>11972</v>
      </c>
      <c r="B8434" s="851" t="s">
        <v>9487</v>
      </c>
      <c r="C8434" s="851" t="s">
        <v>9487</v>
      </c>
      <c r="D8434" s="852" t="s">
        <v>9780</v>
      </c>
      <c r="E8434" s="852">
        <v>10</v>
      </c>
      <c r="F8434" s="850">
        <v>3</v>
      </c>
      <c r="G8434" s="202" t="str">
        <f t="shared" si="131"/>
        <v/>
      </c>
    </row>
    <row r="8435" spans="1:7" s="172" customFormat="1" ht="15" customHeight="1" x14ac:dyDescent="0.25">
      <c r="A8435" s="837" t="s">
        <v>13184</v>
      </c>
      <c r="B8435" s="851" t="s">
        <v>9487</v>
      </c>
      <c r="C8435" s="851" t="s">
        <v>9487</v>
      </c>
      <c r="D8435" s="852" t="s">
        <v>9781</v>
      </c>
      <c r="E8435" s="852">
        <v>0</v>
      </c>
      <c r="F8435" s="850">
        <v>0</v>
      </c>
      <c r="G8435" s="202" t="str">
        <f t="shared" si="131"/>
        <v>не загружен</v>
      </c>
    </row>
    <row r="8436" spans="1:7" s="172" customFormat="1" ht="15" customHeight="1" x14ac:dyDescent="0.25">
      <c r="A8436" s="837" t="s">
        <v>13185</v>
      </c>
      <c r="B8436" s="851" t="s">
        <v>9487</v>
      </c>
      <c r="C8436" s="851" t="s">
        <v>9487</v>
      </c>
      <c r="D8436" s="852" t="s">
        <v>9782</v>
      </c>
      <c r="E8436" s="852">
        <v>5</v>
      </c>
      <c r="F8436" s="850">
        <v>1</v>
      </c>
      <c r="G8436" s="202" t="str">
        <f t="shared" si="131"/>
        <v/>
      </c>
    </row>
    <row r="8437" spans="1:7" s="172" customFormat="1" ht="15" customHeight="1" x14ac:dyDescent="0.25">
      <c r="A8437" s="837" t="s">
        <v>4840</v>
      </c>
      <c r="B8437" s="851" t="s">
        <v>9487</v>
      </c>
      <c r="C8437" s="851" t="s">
        <v>9487</v>
      </c>
      <c r="D8437" s="852" t="s">
        <v>9783</v>
      </c>
      <c r="E8437" s="852">
        <v>10</v>
      </c>
      <c r="F8437" s="850">
        <v>3</v>
      </c>
      <c r="G8437" s="202" t="str">
        <f t="shared" si="131"/>
        <v/>
      </c>
    </row>
    <row r="8438" spans="1:7" s="172" customFormat="1" ht="15" customHeight="1" x14ac:dyDescent="0.25">
      <c r="A8438" s="837" t="s">
        <v>13186</v>
      </c>
      <c r="B8438" s="851" t="s">
        <v>9487</v>
      </c>
      <c r="C8438" s="851" t="s">
        <v>9487</v>
      </c>
      <c r="D8438" s="852" t="s">
        <v>9784</v>
      </c>
      <c r="E8438" s="852">
        <v>10</v>
      </c>
      <c r="F8438" s="850">
        <v>1</v>
      </c>
      <c r="G8438" s="202" t="str">
        <f t="shared" si="131"/>
        <v/>
      </c>
    </row>
    <row r="8439" spans="1:7" s="172" customFormat="1" ht="15" customHeight="1" x14ac:dyDescent="0.25">
      <c r="A8439" s="837" t="s">
        <v>13187</v>
      </c>
      <c r="B8439" s="851" t="s">
        <v>9487</v>
      </c>
      <c r="C8439" s="851" t="s">
        <v>9487</v>
      </c>
      <c r="D8439" s="852" t="s">
        <v>9785</v>
      </c>
      <c r="E8439" s="852">
        <v>63</v>
      </c>
      <c r="F8439" s="850">
        <v>10</v>
      </c>
      <c r="G8439" s="202" t="str">
        <f t="shared" si="131"/>
        <v/>
      </c>
    </row>
    <row r="8440" spans="1:7" s="172" customFormat="1" ht="15" customHeight="1" x14ac:dyDescent="0.25">
      <c r="A8440" s="837" t="s">
        <v>13188</v>
      </c>
      <c r="B8440" s="851" t="s">
        <v>9487</v>
      </c>
      <c r="C8440" s="851" t="s">
        <v>9487</v>
      </c>
      <c r="D8440" s="852" t="s">
        <v>9786</v>
      </c>
      <c r="E8440" s="852">
        <v>10</v>
      </c>
      <c r="F8440" s="850">
        <v>1</v>
      </c>
      <c r="G8440" s="202" t="str">
        <f t="shared" si="131"/>
        <v/>
      </c>
    </row>
    <row r="8441" spans="1:7" s="172" customFormat="1" ht="15" customHeight="1" x14ac:dyDescent="0.25">
      <c r="A8441" s="837" t="s">
        <v>13189</v>
      </c>
      <c r="B8441" s="851" t="s">
        <v>9487</v>
      </c>
      <c r="C8441" s="851" t="s">
        <v>9487</v>
      </c>
      <c r="D8441" s="852" t="s">
        <v>9787</v>
      </c>
      <c r="E8441" s="852">
        <v>10</v>
      </c>
      <c r="F8441" s="850">
        <v>1</v>
      </c>
      <c r="G8441" s="202" t="str">
        <f t="shared" si="131"/>
        <v/>
      </c>
    </row>
    <row r="8442" spans="1:7" s="172" customFormat="1" ht="15" customHeight="1" x14ac:dyDescent="0.25">
      <c r="A8442" s="837" t="s">
        <v>13190</v>
      </c>
      <c r="B8442" s="851" t="s">
        <v>9487</v>
      </c>
      <c r="C8442" s="851" t="s">
        <v>9487</v>
      </c>
      <c r="D8442" s="852" t="s">
        <v>9788</v>
      </c>
      <c r="E8442" s="852">
        <v>60</v>
      </c>
      <c r="F8442" s="850">
        <v>10</v>
      </c>
      <c r="G8442" s="202" t="str">
        <f t="shared" si="131"/>
        <v/>
      </c>
    </row>
    <row r="8443" spans="1:7" s="172" customFormat="1" ht="15" customHeight="1" x14ac:dyDescent="0.25">
      <c r="A8443" s="837" t="s">
        <v>12175</v>
      </c>
      <c r="B8443" s="851" t="s">
        <v>9487</v>
      </c>
      <c r="C8443" s="851" t="s">
        <v>9487</v>
      </c>
      <c r="D8443" s="852" t="s">
        <v>9789</v>
      </c>
      <c r="E8443" s="852">
        <v>10</v>
      </c>
      <c r="F8443" s="850">
        <v>2</v>
      </c>
      <c r="G8443" s="202" t="str">
        <f t="shared" si="131"/>
        <v/>
      </c>
    </row>
    <row r="8444" spans="1:7" s="172" customFormat="1" ht="15" customHeight="1" x14ac:dyDescent="0.25">
      <c r="A8444" s="837" t="s">
        <v>13191</v>
      </c>
      <c r="B8444" s="851" t="s">
        <v>9487</v>
      </c>
      <c r="C8444" s="851" t="s">
        <v>9487</v>
      </c>
      <c r="D8444" s="852" t="s">
        <v>9790</v>
      </c>
      <c r="E8444" s="852">
        <v>0</v>
      </c>
      <c r="F8444" s="850">
        <v>0</v>
      </c>
      <c r="G8444" s="202" t="str">
        <f t="shared" si="131"/>
        <v>не загружен</v>
      </c>
    </row>
    <row r="8445" spans="1:7" s="172" customFormat="1" ht="15" customHeight="1" x14ac:dyDescent="0.25">
      <c r="A8445" s="837" t="s">
        <v>13192</v>
      </c>
      <c r="B8445" s="851" t="s">
        <v>9487</v>
      </c>
      <c r="C8445" s="851" t="s">
        <v>9487</v>
      </c>
      <c r="D8445" s="852" t="s">
        <v>9791</v>
      </c>
      <c r="E8445" s="852">
        <v>10</v>
      </c>
      <c r="F8445" s="850">
        <v>3</v>
      </c>
      <c r="G8445" s="202" t="str">
        <f t="shared" si="131"/>
        <v/>
      </c>
    </row>
    <row r="8446" spans="1:7" s="172" customFormat="1" ht="15" customHeight="1" x14ac:dyDescent="0.25">
      <c r="A8446" s="837" t="s">
        <v>12532</v>
      </c>
      <c r="B8446" s="851" t="s">
        <v>9487</v>
      </c>
      <c r="C8446" s="851" t="s">
        <v>9487</v>
      </c>
      <c r="D8446" s="852" t="s">
        <v>9792</v>
      </c>
      <c r="E8446" s="852">
        <v>10</v>
      </c>
      <c r="F8446" s="850">
        <v>3</v>
      </c>
      <c r="G8446" s="202" t="str">
        <f t="shared" si="131"/>
        <v/>
      </c>
    </row>
    <row r="8447" spans="1:7" s="172" customFormat="1" ht="15" customHeight="1" x14ac:dyDescent="0.25">
      <c r="A8447" s="837" t="s">
        <v>13193</v>
      </c>
      <c r="B8447" s="851" t="s">
        <v>9487</v>
      </c>
      <c r="C8447" s="851" t="s">
        <v>9487</v>
      </c>
      <c r="D8447" s="852" t="s">
        <v>9793</v>
      </c>
      <c r="E8447" s="852">
        <v>30</v>
      </c>
      <c r="F8447" s="850">
        <v>15</v>
      </c>
      <c r="G8447" s="202" t="str">
        <f t="shared" si="131"/>
        <v/>
      </c>
    </row>
    <row r="8448" spans="1:7" s="172" customFormat="1" ht="15" customHeight="1" x14ac:dyDescent="0.25">
      <c r="A8448" s="837" t="s">
        <v>13194</v>
      </c>
      <c r="B8448" s="851" t="s">
        <v>9487</v>
      </c>
      <c r="C8448" s="851" t="s">
        <v>9487</v>
      </c>
      <c r="D8448" s="852" t="s">
        <v>9794</v>
      </c>
      <c r="E8448" s="852">
        <v>10</v>
      </c>
      <c r="F8448" s="850">
        <v>3</v>
      </c>
      <c r="G8448" s="202" t="str">
        <f t="shared" si="131"/>
        <v/>
      </c>
    </row>
    <row r="8449" spans="1:7" s="172" customFormat="1" ht="15" customHeight="1" x14ac:dyDescent="0.25">
      <c r="A8449" s="837" t="s">
        <v>3510</v>
      </c>
      <c r="B8449" s="851" t="s">
        <v>9487</v>
      </c>
      <c r="C8449" s="851" t="s">
        <v>9487</v>
      </c>
      <c r="D8449" s="852" t="s">
        <v>9795</v>
      </c>
      <c r="E8449" s="852">
        <v>10</v>
      </c>
      <c r="F8449" s="850">
        <v>1</v>
      </c>
      <c r="G8449" s="202" t="str">
        <f t="shared" si="131"/>
        <v/>
      </c>
    </row>
    <row r="8450" spans="1:7" s="172" customFormat="1" ht="15" customHeight="1" x14ac:dyDescent="0.25">
      <c r="A8450" s="837" t="s">
        <v>13195</v>
      </c>
      <c r="B8450" s="851" t="s">
        <v>9487</v>
      </c>
      <c r="C8450" s="851" t="s">
        <v>9487</v>
      </c>
      <c r="D8450" s="852" t="s">
        <v>9796</v>
      </c>
      <c r="E8450" s="852">
        <v>10</v>
      </c>
      <c r="F8450" s="850">
        <v>3</v>
      </c>
      <c r="G8450" s="202" t="str">
        <f t="shared" si="131"/>
        <v/>
      </c>
    </row>
    <row r="8451" spans="1:7" s="172" customFormat="1" ht="15" customHeight="1" x14ac:dyDescent="0.25">
      <c r="A8451" s="837" t="s">
        <v>3125</v>
      </c>
      <c r="B8451" s="851" t="s">
        <v>9487</v>
      </c>
      <c r="C8451" s="851" t="s">
        <v>9487</v>
      </c>
      <c r="D8451" s="852" t="s">
        <v>9797</v>
      </c>
      <c r="E8451" s="852">
        <v>10</v>
      </c>
      <c r="F8451" s="850">
        <v>2</v>
      </c>
      <c r="G8451" s="202" t="str">
        <f t="shared" si="131"/>
        <v/>
      </c>
    </row>
    <row r="8452" spans="1:7" s="172" customFormat="1" ht="15" customHeight="1" x14ac:dyDescent="0.25">
      <c r="A8452" s="837" t="s">
        <v>13196</v>
      </c>
      <c r="B8452" s="851" t="s">
        <v>9487</v>
      </c>
      <c r="C8452" s="851" t="s">
        <v>9487</v>
      </c>
      <c r="D8452" s="852" t="s">
        <v>9798</v>
      </c>
      <c r="E8452" s="852">
        <v>0</v>
      </c>
      <c r="F8452" s="850">
        <v>0</v>
      </c>
      <c r="G8452" s="202" t="str">
        <f t="shared" si="131"/>
        <v>не загружен</v>
      </c>
    </row>
    <row r="8453" spans="1:7" s="172" customFormat="1" ht="15" customHeight="1" x14ac:dyDescent="0.25">
      <c r="A8453" s="837" t="s">
        <v>7379</v>
      </c>
      <c r="B8453" s="851" t="s">
        <v>9487</v>
      </c>
      <c r="C8453" s="851" t="s">
        <v>9487</v>
      </c>
      <c r="D8453" s="852" t="s">
        <v>9799</v>
      </c>
      <c r="E8453" s="852">
        <v>10</v>
      </c>
      <c r="F8453" s="850">
        <v>3</v>
      </c>
      <c r="G8453" s="202" t="str">
        <f t="shared" si="131"/>
        <v/>
      </c>
    </row>
    <row r="8454" spans="1:7" s="172" customFormat="1" ht="15" customHeight="1" x14ac:dyDescent="0.25">
      <c r="A8454" s="837" t="s">
        <v>7379</v>
      </c>
      <c r="B8454" s="851" t="s">
        <v>9487</v>
      </c>
      <c r="C8454" s="851" t="s">
        <v>9487</v>
      </c>
      <c r="D8454" s="852" t="s">
        <v>9800</v>
      </c>
      <c r="E8454" s="852">
        <v>20</v>
      </c>
      <c r="F8454" s="850">
        <v>5</v>
      </c>
      <c r="G8454" s="202" t="str">
        <f t="shared" si="131"/>
        <v/>
      </c>
    </row>
    <row r="8455" spans="1:7" s="172" customFormat="1" ht="15" customHeight="1" x14ac:dyDescent="0.25">
      <c r="A8455" s="837" t="s">
        <v>13197</v>
      </c>
      <c r="B8455" s="851" t="s">
        <v>9487</v>
      </c>
      <c r="C8455" s="851" t="s">
        <v>9487</v>
      </c>
      <c r="D8455" s="852" t="s">
        <v>9801</v>
      </c>
      <c r="E8455" s="852">
        <v>5</v>
      </c>
      <c r="F8455" s="850">
        <v>2</v>
      </c>
      <c r="G8455" s="202" t="str">
        <f t="shared" si="131"/>
        <v/>
      </c>
    </row>
    <row r="8456" spans="1:7" s="172" customFormat="1" ht="15" customHeight="1" x14ac:dyDescent="0.25">
      <c r="A8456" s="837" t="s">
        <v>13198</v>
      </c>
      <c r="B8456" s="851" t="s">
        <v>9487</v>
      </c>
      <c r="C8456" s="851" t="s">
        <v>9487</v>
      </c>
      <c r="D8456" s="852" t="s">
        <v>9802</v>
      </c>
      <c r="E8456" s="852">
        <v>10</v>
      </c>
      <c r="F8456" s="850">
        <v>3</v>
      </c>
      <c r="G8456" s="202" t="str">
        <f t="shared" si="131"/>
        <v/>
      </c>
    </row>
    <row r="8457" spans="1:7" s="172" customFormat="1" ht="15" customHeight="1" x14ac:dyDescent="0.25">
      <c r="A8457" s="837" t="s">
        <v>13199</v>
      </c>
      <c r="B8457" s="851" t="s">
        <v>9487</v>
      </c>
      <c r="C8457" s="851" t="s">
        <v>9487</v>
      </c>
      <c r="D8457" s="852" t="s">
        <v>9803</v>
      </c>
      <c r="E8457" s="852">
        <v>10</v>
      </c>
      <c r="F8457" s="850">
        <v>5</v>
      </c>
      <c r="G8457" s="202" t="str">
        <f t="shared" si="131"/>
        <v/>
      </c>
    </row>
    <row r="8458" spans="1:7" s="172" customFormat="1" ht="15" customHeight="1" x14ac:dyDescent="0.25">
      <c r="A8458" s="837" t="s">
        <v>3146</v>
      </c>
      <c r="B8458" s="851" t="s">
        <v>9487</v>
      </c>
      <c r="C8458" s="851" t="s">
        <v>9487</v>
      </c>
      <c r="D8458" s="852" t="s">
        <v>9804</v>
      </c>
      <c r="E8458" s="852">
        <v>30</v>
      </c>
      <c r="F8458" s="850">
        <v>10</v>
      </c>
      <c r="G8458" s="202" t="str">
        <f t="shared" si="131"/>
        <v/>
      </c>
    </row>
    <row r="8459" spans="1:7" s="172" customFormat="1" ht="15" customHeight="1" x14ac:dyDescent="0.25">
      <c r="A8459" s="837" t="s">
        <v>13200</v>
      </c>
      <c r="B8459" s="851" t="s">
        <v>9487</v>
      </c>
      <c r="C8459" s="851" t="s">
        <v>9487</v>
      </c>
      <c r="D8459" s="852" t="s">
        <v>9805</v>
      </c>
      <c r="E8459" s="852">
        <v>10</v>
      </c>
      <c r="F8459" s="850">
        <v>1</v>
      </c>
      <c r="G8459" s="202" t="str">
        <f t="shared" si="131"/>
        <v/>
      </c>
    </row>
    <row r="8460" spans="1:7" s="172" customFormat="1" ht="15" customHeight="1" x14ac:dyDescent="0.25">
      <c r="A8460" s="837" t="s">
        <v>13201</v>
      </c>
      <c r="B8460" s="851" t="s">
        <v>9487</v>
      </c>
      <c r="C8460" s="851" t="s">
        <v>9487</v>
      </c>
      <c r="D8460" s="852" t="s">
        <v>9806</v>
      </c>
      <c r="E8460" s="852">
        <v>25</v>
      </c>
      <c r="F8460" s="850">
        <v>10</v>
      </c>
      <c r="G8460" s="202" t="str">
        <f t="shared" si="131"/>
        <v/>
      </c>
    </row>
    <row r="8461" spans="1:7" s="172" customFormat="1" ht="15" customHeight="1" x14ac:dyDescent="0.25">
      <c r="A8461" s="837" t="s">
        <v>13202</v>
      </c>
      <c r="B8461" s="851" t="s">
        <v>9487</v>
      </c>
      <c r="C8461" s="851" t="s">
        <v>9487</v>
      </c>
      <c r="D8461" s="852" t="s">
        <v>9807</v>
      </c>
      <c r="E8461" s="852">
        <v>20</v>
      </c>
      <c r="F8461" s="850">
        <v>5</v>
      </c>
      <c r="G8461" s="202" t="str">
        <f t="shared" si="131"/>
        <v/>
      </c>
    </row>
    <row r="8462" spans="1:7" s="172" customFormat="1" ht="15" customHeight="1" x14ac:dyDescent="0.25">
      <c r="A8462" s="837" t="s">
        <v>13203</v>
      </c>
      <c r="B8462" s="851" t="s">
        <v>9487</v>
      </c>
      <c r="C8462" s="851" t="s">
        <v>9487</v>
      </c>
      <c r="D8462" s="852" t="s">
        <v>9808</v>
      </c>
      <c r="E8462" s="852">
        <v>10</v>
      </c>
      <c r="F8462" s="850">
        <v>1</v>
      </c>
      <c r="G8462" s="202" t="str">
        <f t="shared" si="131"/>
        <v/>
      </c>
    </row>
    <row r="8463" spans="1:7" s="172" customFormat="1" ht="15" customHeight="1" x14ac:dyDescent="0.25">
      <c r="A8463" s="837" t="s">
        <v>13204</v>
      </c>
      <c r="B8463" s="851" t="s">
        <v>9487</v>
      </c>
      <c r="C8463" s="851" t="s">
        <v>9487</v>
      </c>
      <c r="D8463" s="852" t="s">
        <v>9809</v>
      </c>
      <c r="E8463" s="852">
        <v>0</v>
      </c>
      <c r="F8463" s="850">
        <v>0</v>
      </c>
      <c r="G8463" s="202" t="str">
        <f t="shared" si="131"/>
        <v>не загружен</v>
      </c>
    </row>
    <row r="8464" spans="1:7" s="172" customFormat="1" ht="15" customHeight="1" x14ac:dyDescent="0.25">
      <c r="A8464" s="837" t="s">
        <v>13205</v>
      </c>
      <c r="B8464" s="851" t="s">
        <v>9487</v>
      </c>
      <c r="C8464" s="851" t="s">
        <v>9487</v>
      </c>
      <c r="D8464" s="852" t="s">
        <v>9810</v>
      </c>
      <c r="E8464" s="852">
        <v>63</v>
      </c>
      <c r="F8464" s="850">
        <v>10</v>
      </c>
      <c r="G8464" s="202" t="str">
        <f t="shared" si="131"/>
        <v/>
      </c>
    </row>
    <row r="8465" spans="1:7" s="172" customFormat="1" ht="15" customHeight="1" x14ac:dyDescent="0.25">
      <c r="A8465" s="837" t="s">
        <v>13052</v>
      </c>
      <c r="B8465" s="851" t="s">
        <v>9487</v>
      </c>
      <c r="C8465" s="851" t="s">
        <v>9487</v>
      </c>
      <c r="D8465" s="852" t="s">
        <v>9811</v>
      </c>
      <c r="E8465" s="852">
        <v>250</v>
      </c>
      <c r="F8465" s="850">
        <v>50</v>
      </c>
      <c r="G8465" s="202" t="str">
        <f t="shared" si="131"/>
        <v/>
      </c>
    </row>
    <row r="8466" spans="1:7" s="172" customFormat="1" ht="15" customHeight="1" x14ac:dyDescent="0.25">
      <c r="A8466" s="837" t="s">
        <v>7664</v>
      </c>
      <c r="B8466" s="851" t="s">
        <v>9487</v>
      </c>
      <c r="C8466" s="851" t="s">
        <v>9487</v>
      </c>
      <c r="D8466" s="852" t="s">
        <v>9812</v>
      </c>
      <c r="E8466" s="852">
        <v>10</v>
      </c>
      <c r="F8466" s="850">
        <v>3</v>
      </c>
      <c r="G8466" s="202" t="str">
        <f t="shared" si="131"/>
        <v/>
      </c>
    </row>
    <row r="8467" spans="1:7" s="172" customFormat="1" ht="15" customHeight="1" x14ac:dyDescent="0.25">
      <c r="A8467" s="837" t="s">
        <v>13206</v>
      </c>
      <c r="B8467" s="851" t="s">
        <v>9487</v>
      </c>
      <c r="C8467" s="851" t="s">
        <v>9487</v>
      </c>
      <c r="D8467" s="852" t="s">
        <v>9813</v>
      </c>
      <c r="E8467" s="852">
        <v>20</v>
      </c>
      <c r="F8467" s="850">
        <v>15</v>
      </c>
      <c r="G8467" s="202" t="str">
        <f t="shared" si="131"/>
        <v/>
      </c>
    </row>
    <row r="8468" spans="1:7" s="172" customFormat="1" ht="15" customHeight="1" x14ac:dyDescent="0.25">
      <c r="A8468" s="837" t="s">
        <v>3125</v>
      </c>
      <c r="B8468" s="851" t="s">
        <v>9487</v>
      </c>
      <c r="C8468" s="851" t="s">
        <v>9487</v>
      </c>
      <c r="D8468" s="852" t="s">
        <v>9814</v>
      </c>
      <c r="E8468" s="852">
        <v>10</v>
      </c>
      <c r="F8468" s="850">
        <v>3</v>
      </c>
      <c r="G8468" s="202" t="str">
        <f t="shared" si="131"/>
        <v/>
      </c>
    </row>
    <row r="8469" spans="1:7" s="172" customFormat="1" ht="15" customHeight="1" x14ac:dyDescent="0.25">
      <c r="A8469" s="837" t="s">
        <v>13207</v>
      </c>
      <c r="B8469" s="851" t="s">
        <v>9487</v>
      </c>
      <c r="C8469" s="851" t="s">
        <v>9487</v>
      </c>
      <c r="D8469" s="852" t="s">
        <v>9815</v>
      </c>
      <c r="E8469" s="852">
        <v>10</v>
      </c>
      <c r="F8469" s="850">
        <v>2</v>
      </c>
      <c r="G8469" s="202" t="str">
        <f t="shared" si="131"/>
        <v/>
      </c>
    </row>
    <row r="8470" spans="1:7" s="172" customFormat="1" ht="15" customHeight="1" x14ac:dyDescent="0.25">
      <c r="A8470" s="837" t="s">
        <v>5502</v>
      </c>
      <c r="B8470" s="851" t="s">
        <v>5503</v>
      </c>
      <c r="C8470" s="851" t="s">
        <v>5503</v>
      </c>
      <c r="D8470" s="852" t="s">
        <v>5504</v>
      </c>
      <c r="E8470" s="852">
        <v>60</v>
      </c>
      <c r="F8470" s="850">
        <v>40</v>
      </c>
      <c r="G8470" s="202" t="str">
        <f t="shared" si="131"/>
        <v/>
      </c>
    </row>
    <row r="8471" spans="1:7" s="172" customFormat="1" ht="15" customHeight="1" x14ac:dyDescent="0.25">
      <c r="A8471" s="837" t="s">
        <v>5505</v>
      </c>
      <c r="B8471" s="851" t="s">
        <v>5503</v>
      </c>
      <c r="C8471" s="851" t="s">
        <v>5503</v>
      </c>
      <c r="D8471" s="852" t="s">
        <v>5506</v>
      </c>
      <c r="E8471" s="852">
        <v>630</v>
      </c>
      <c r="F8471" s="850">
        <v>120</v>
      </c>
      <c r="G8471" s="202" t="str">
        <f t="shared" si="131"/>
        <v/>
      </c>
    </row>
    <row r="8472" spans="1:7" s="172" customFormat="1" ht="15" customHeight="1" x14ac:dyDescent="0.25">
      <c r="A8472" s="837" t="s">
        <v>5505</v>
      </c>
      <c r="B8472" s="851" t="s">
        <v>5503</v>
      </c>
      <c r="C8472" s="851" t="s">
        <v>5503</v>
      </c>
      <c r="D8472" s="852" t="s">
        <v>5507</v>
      </c>
      <c r="E8472" s="852">
        <v>400</v>
      </c>
      <c r="F8472" s="850">
        <v>150</v>
      </c>
      <c r="G8472" s="202" t="str">
        <f t="shared" si="131"/>
        <v/>
      </c>
    </row>
    <row r="8473" spans="1:7" s="172" customFormat="1" ht="15" customHeight="1" x14ac:dyDescent="0.25">
      <c r="A8473" s="837" t="s">
        <v>5505</v>
      </c>
      <c r="B8473" s="851" t="s">
        <v>5503</v>
      </c>
      <c r="C8473" s="851" t="s">
        <v>5503</v>
      </c>
      <c r="D8473" s="852" t="s">
        <v>5508</v>
      </c>
      <c r="E8473" s="852">
        <v>400</v>
      </c>
      <c r="F8473" s="850">
        <v>130</v>
      </c>
      <c r="G8473" s="202" t="str">
        <f t="shared" si="131"/>
        <v/>
      </c>
    </row>
    <row r="8474" spans="1:7" s="172" customFormat="1" ht="15" customHeight="1" x14ac:dyDescent="0.25">
      <c r="A8474" s="837" t="s">
        <v>5505</v>
      </c>
      <c r="B8474" s="851" t="s">
        <v>5503</v>
      </c>
      <c r="C8474" s="851" t="s">
        <v>5503</v>
      </c>
      <c r="D8474" s="852" t="s">
        <v>5509</v>
      </c>
      <c r="E8474" s="852">
        <v>400</v>
      </c>
      <c r="F8474" s="850">
        <v>150</v>
      </c>
      <c r="G8474" s="202" t="str">
        <f t="shared" si="131"/>
        <v/>
      </c>
    </row>
    <row r="8475" spans="1:7" s="172" customFormat="1" ht="15" customHeight="1" x14ac:dyDescent="0.25">
      <c r="A8475" s="837" t="s">
        <v>5505</v>
      </c>
      <c r="B8475" s="851" t="s">
        <v>5503</v>
      </c>
      <c r="C8475" s="851" t="s">
        <v>5503</v>
      </c>
      <c r="D8475" s="852" t="s">
        <v>5510</v>
      </c>
      <c r="E8475" s="852">
        <v>250</v>
      </c>
      <c r="F8475" s="850">
        <v>200</v>
      </c>
      <c r="G8475" s="202" t="str">
        <f t="shared" si="131"/>
        <v/>
      </c>
    </row>
    <row r="8476" spans="1:7" s="172" customFormat="1" ht="15" customHeight="1" x14ac:dyDescent="0.25">
      <c r="A8476" s="837" t="s">
        <v>5511</v>
      </c>
      <c r="B8476" s="851" t="s">
        <v>5503</v>
      </c>
      <c r="C8476" s="851" t="s">
        <v>5503</v>
      </c>
      <c r="D8476" s="852" t="s">
        <v>5512</v>
      </c>
      <c r="E8476" s="852">
        <v>180</v>
      </c>
      <c r="F8476" s="850">
        <v>100</v>
      </c>
      <c r="G8476" s="202" t="str">
        <f t="shared" si="131"/>
        <v/>
      </c>
    </row>
    <row r="8477" spans="1:7" s="172" customFormat="1" ht="15" customHeight="1" x14ac:dyDescent="0.25">
      <c r="A8477" s="837" t="s">
        <v>3023</v>
      </c>
      <c r="B8477" s="851" t="s">
        <v>5503</v>
      </c>
      <c r="C8477" s="851" t="s">
        <v>5503</v>
      </c>
      <c r="D8477" s="852" t="s">
        <v>3094</v>
      </c>
      <c r="E8477" s="852">
        <v>63</v>
      </c>
      <c r="F8477" s="850">
        <v>60</v>
      </c>
      <c r="G8477" s="202" t="str">
        <f t="shared" si="131"/>
        <v/>
      </c>
    </row>
    <row r="8478" spans="1:7" s="172" customFormat="1" ht="15" customHeight="1" x14ac:dyDescent="0.25">
      <c r="A8478" s="837" t="s">
        <v>5511</v>
      </c>
      <c r="B8478" s="851" t="s">
        <v>5503</v>
      </c>
      <c r="C8478" s="851" t="s">
        <v>5503</v>
      </c>
      <c r="D8478" s="852" t="s">
        <v>5513</v>
      </c>
      <c r="E8478" s="852">
        <v>60</v>
      </c>
      <c r="F8478" s="850">
        <v>30</v>
      </c>
      <c r="G8478" s="202" t="str">
        <f t="shared" ref="G8478:G8541" si="132">IF(E8478=F8478,"не загружен","")</f>
        <v/>
      </c>
    </row>
    <row r="8479" spans="1:7" s="172" customFormat="1" ht="15" customHeight="1" x14ac:dyDescent="0.25">
      <c r="A8479" s="837" t="s">
        <v>12150</v>
      </c>
      <c r="B8479" s="851" t="s">
        <v>5503</v>
      </c>
      <c r="C8479" s="851" t="s">
        <v>5503</v>
      </c>
      <c r="D8479" s="852" t="s">
        <v>5514</v>
      </c>
      <c r="E8479" s="852">
        <v>30</v>
      </c>
      <c r="F8479" s="850">
        <v>0</v>
      </c>
      <c r="G8479" s="202" t="str">
        <f t="shared" si="132"/>
        <v/>
      </c>
    </row>
    <row r="8480" spans="1:7" s="172" customFormat="1" ht="15" customHeight="1" x14ac:dyDescent="0.25">
      <c r="A8480" s="837" t="s">
        <v>12151</v>
      </c>
      <c r="B8480" s="851" t="s">
        <v>5503</v>
      </c>
      <c r="C8480" s="851" t="s">
        <v>5503</v>
      </c>
      <c r="D8480" s="852" t="s">
        <v>5515</v>
      </c>
      <c r="E8480" s="852">
        <v>160</v>
      </c>
      <c r="F8480" s="850">
        <v>50</v>
      </c>
      <c r="G8480" s="202" t="str">
        <f t="shared" si="132"/>
        <v/>
      </c>
    </row>
    <row r="8481" spans="1:7" s="172" customFormat="1" ht="15" customHeight="1" x14ac:dyDescent="0.25">
      <c r="A8481" s="837" t="s">
        <v>5516</v>
      </c>
      <c r="B8481" s="851" t="s">
        <v>5503</v>
      </c>
      <c r="C8481" s="851" t="s">
        <v>5503</v>
      </c>
      <c r="D8481" s="852" t="s">
        <v>5517</v>
      </c>
      <c r="E8481" s="852">
        <v>30</v>
      </c>
      <c r="F8481" s="850">
        <v>15</v>
      </c>
      <c r="G8481" s="202" t="str">
        <f t="shared" si="132"/>
        <v/>
      </c>
    </row>
    <row r="8482" spans="1:7" s="172" customFormat="1" ht="15" customHeight="1" x14ac:dyDescent="0.25">
      <c r="A8482" s="837" t="s">
        <v>12152</v>
      </c>
      <c r="B8482" s="851" t="s">
        <v>5503</v>
      </c>
      <c r="C8482" s="851" t="s">
        <v>5503</v>
      </c>
      <c r="D8482" s="852" t="s">
        <v>5518</v>
      </c>
      <c r="E8482" s="852">
        <v>63</v>
      </c>
      <c r="F8482" s="850">
        <v>15</v>
      </c>
      <c r="G8482" s="202" t="str">
        <f t="shared" si="132"/>
        <v/>
      </c>
    </row>
    <row r="8483" spans="1:7" s="172" customFormat="1" ht="15" customHeight="1" x14ac:dyDescent="0.25">
      <c r="A8483" s="837" t="s">
        <v>5519</v>
      </c>
      <c r="B8483" s="851" t="s">
        <v>5503</v>
      </c>
      <c r="C8483" s="851" t="s">
        <v>5503</v>
      </c>
      <c r="D8483" s="852" t="s">
        <v>5520</v>
      </c>
      <c r="E8483" s="852">
        <v>60</v>
      </c>
      <c r="F8483" s="850">
        <v>15</v>
      </c>
      <c r="G8483" s="202" t="str">
        <f t="shared" si="132"/>
        <v/>
      </c>
    </row>
    <row r="8484" spans="1:7" s="172" customFormat="1" ht="15" customHeight="1" x14ac:dyDescent="0.25">
      <c r="A8484" s="837" t="s">
        <v>4851</v>
      </c>
      <c r="B8484" s="851" t="s">
        <v>5503</v>
      </c>
      <c r="C8484" s="851" t="s">
        <v>5503</v>
      </c>
      <c r="D8484" s="852" t="s">
        <v>5521</v>
      </c>
      <c r="E8484" s="852">
        <v>63</v>
      </c>
      <c r="F8484" s="850">
        <v>10</v>
      </c>
      <c r="G8484" s="202" t="str">
        <f t="shared" si="132"/>
        <v/>
      </c>
    </row>
    <row r="8485" spans="1:7" s="172" customFormat="1" ht="15" customHeight="1" x14ac:dyDescent="0.25">
      <c r="A8485" s="837" t="s">
        <v>4851</v>
      </c>
      <c r="B8485" s="851" t="s">
        <v>5503</v>
      </c>
      <c r="C8485" s="851" t="s">
        <v>5503</v>
      </c>
      <c r="D8485" s="852" t="s">
        <v>5522</v>
      </c>
      <c r="E8485" s="852">
        <v>63</v>
      </c>
      <c r="F8485" s="850">
        <v>15</v>
      </c>
      <c r="G8485" s="202" t="str">
        <f t="shared" si="132"/>
        <v/>
      </c>
    </row>
    <row r="8486" spans="1:7" s="172" customFormat="1" ht="15" customHeight="1" x14ac:dyDescent="0.25">
      <c r="A8486" s="837" t="s">
        <v>2689</v>
      </c>
      <c r="B8486" s="851" t="s">
        <v>5503</v>
      </c>
      <c r="C8486" s="851" t="s">
        <v>5503</v>
      </c>
      <c r="D8486" s="852" t="s">
        <v>3108</v>
      </c>
      <c r="E8486" s="852">
        <v>60</v>
      </c>
      <c r="F8486" s="850">
        <v>55</v>
      </c>
      <c r="G8486" s="202" t="str">
        <f t="shared" si="132"/>
        <v/>
      </c>
    </row>
    <row r="8487" spans="1:7" s="172" customFormat="1" ht="15" customHeight="1" x14ac:dyDescent="0.25">
      <c r="A8487" s="837" t="s">
        <v>3462</v>
      </c>
      <c r="B8487" s="851" t="s">
        <v>5503</v>
      </c>
      <c r="C8487" s="851" t="s">
        <v>5503</v>
      </c>
      <c r="D8487" s="852" t="s">
        <v>5523</v>
      </c>
      <c r="E8487" s="852">
        <v>100</v>
      </c>
      <c r="F8487" s="850">
        <v>70</v>
      </c>
      <c r="G8487" s="202" t="str">
        <f t="shared" si="132"/>
        <v/>
      </c>
    </row>
    <row r="8488" spans="1:7" s="172" customFormat="1" ht="15" customHeight="1" x14ac:dyDescent="0.25">
      <c r="A8488" s="837" t="s">
        <v>3462</v>
      </c>
      <c r="B8488" s="851" t="s">
        <v>5503</v>
      </c>
      <c r="C8488" s="851" t="s">
        <v>5503</v>
      </c>
      <c r="D8488" s="852" t="s">
        <v>5524</v>
      </c>
      <c r="E8488" s="852">
        <v>250</v>
      </c>
      <c r="F8488" s="850">
        <v>245</v>
      </c>
      <c r="G8488" s="202" t="str">
        <f t="shared" si="132"/>
        <v/>
      </c>
    </row>
    <row r="8489" spans="1:7" s="172" customFormat="1" ht="15" customHeight="1" x14ac:dyDescent="0.25">
      <c r="A8489" s="837" t="s">
        <v>5528</v>
      </c>
      <c r="B8489" s="851" t="s">
        <v>5503</v>
      </c>
      <c r="C8489" s="851" t="s">
        <v>5503</v>
      </c>
      <c r="D8489" s="852" t="s">
        <v>5525</v>
      </c>
      <c r="E8489" s="852">
        <v>160</v>
      </c>
      <c r="F8489" s="850">
        <v>15</v>
      </c>
      <c r="G8489" s="202" t="str">
        <f t="shared" si="132"/>
        <v/>
      </c>
    </row>
    <row r="8490" spans="1:7" s="172" customFormat="1" ht="15" customHeight="1" x14ac:dyDescent="0.25">
      <c r="A8490" s="837" t="s">
        <v>5528</v>
      </c>
      <c r="B8490" s="851" t="s">
        <v>5503</v>
      </c>
      <c r="C8490" s="851" t="s">
        <v>5503</v>
      </c>
      <c r="D8490" s="852" t="s">
        <v>5526</v>
      </c>
      <c r="E8490" s="852">
        <v>100</v>
      </c>
      <c r="F8490" s="850">
        <v>15</v>
      </c>
      <c r="G8490" s="202" t="str">
        <f t="shared" si="132"/>
        <v/>
      </c>
    </row>
    <row r="8491" spans="1:7" s="172" customFormat="1" ht="15" customHeight="1" x14ac:dyDescent="0.25">
      <c r="A8491" s="837" t="s">
        <v>5528</v>
      </c>
      <c r="B8491" s="851" t="s">
        <v>5503</v>
      </c>
      <c r="C8491" s="851" t="s">
        <v>5503</v>
      </c>
      <c r="D8491" s="852" t="s">
        <v>5527</v>
      </c>
      <c r="E8491" s="852">
        <v>63</v>
      </c>
      <c r="F8491" s="850">
        <v>20</v>
      </c>
      <c r="G8491" s="202" t="str">
        <f t="shared" si="132"/>
        <v/>
      </c>
    </row>
    <row r="8492" spans="1:7" s="172" customFormat="1" ht="15" customHeight="1" x14ac:dyDescent="0.25">
      <c r="A8492" s="837" t="s">
        <v>5528</v>
      </c>
      <c r="B8492" s="851" t="s">
        <v>5503</v>
      </c>
      <c r="C8492" s="851" t="s">
        <v>5503</v>
      </c>
      <c r="D8492" s="852" t="s">
        <v>5529</v>
      </c>
      <c r="E8492" s="852">
        <v>100</v>
      </c>
      <c r="F8492" s="850">
        <v>50</v>
      </c>
      <c r="G8492" s="202" t="str">
        <f t="shared" si="132"/>
        <v/>
      </c>
    </row>
    <row r="8493" spans="1:7" s="172" customFormat="1" ht="15" customHeight="1" x14ac:dyDescent="0.25">
      <c r="A8493" s="837" t="s">
        <v>5530</v>
      </c>
      <c r="B8493" s="851" t="s">
        <v>5503</v>
      </c>
      <c r="C8493" s="851" t="s">
        <v>5503</v>
      </c>
      <c r="D8493" s="852" t="s">
        <v>5531</v>
      </c>
      <c r="E8493" s="852">
        <v>10</v>
      </c>
      <c r="F8493" s="850">
        <v>3</v>
      </c>
      <c r="G8493" s="202" t="str">
        <f t="shared" si="132"/>
        <v/>
      </c>
    </row>
    <row r="8494" spans="1:7" s="172" customFormat="1" ht="15" customHeight="1" x14ac:dyDescent="0.25">
      <c r="A8494" s="837" t="s">
        <v>5532</v>
      </c>
      <c r="B8494" s="851" t="s">
        <v>5503</v>
      </c>
      <c r="C8494" s="851" t="s">
        <v>5503</v>
      </c>
      <c r="D8494" s="852" t="s">
        <v>5533</v>
      </c>
      <c r="E8494" s="852">
        <v>63</v>
      </c>
      <c r="F8494" s="850">
        <v>35</v>
      </c>
      <c r="G8494" s="202" t="str">
        <f t="shared" si="132"/>
        <v/>
      </c>
    </row>
    <row r="8495" spans="1:7" s="172" customFormat="1" ht="15" customHeight="1" x14ac:dyDescent="0.25">
      <c r="A8495" s="837" t="s">
        <v>5534</v>
      </c>
      <c r="B8495" s="851" t="s">
        <v>5503</v>
      </c>
      <c r="C8495" s="851" t="s">
        <v>5503</v>
      </c>
      <c r="D8495" s="852" t="s">
        <v>5535</v>
      </c>
      <c r="E8495" s="852">
        <v>30</v>
      </c>
      <c r="F8495" s="850">
        <v>15</v>
      </c>
      <c r="G8495" s="202" t="str">
        <f t="shared" si="132"/>
        <v/>
      </c>
    </row>
    <row r="8496" spans="1:7" s="172" customFormat="1" ht="15" customHeight="1" x14ac:dyDescent="0.25">
      <c r="A8496" s="837" t="s">
        <v>5536</v>
      </c>
      <c r="B8496" s="851" t="s">
        <v>5503</v>
      </c>
      <c r="C8496" s="851" t="s">
        <v>5503</v>
      </c>
      <c r="D8496" s="852" t="s">
        <v>5537</v>
      </c>
      <c r="E8496" s="852">
        <v>30</v>
      </c>
      <c r="F8496" s="850">
        <v>10</v>
      </c>
      <c r="G8496" s="202" t="str">
        <f t="shared" si="132"/>
        <v/>
      </c>
    </row>
    <row r="8497" spans="1:7" s="172" customFormat="1" ht="15" customHeight="1" x14ac:dyDescent="0.25">
      <c r="A8497" s="837" t="s">
        <v>5538</v>
      </c>
      <c r="B8497" s="851" t="s">
        <v>5503</v>
      </c>
      <c r="C8497" s="851" t="s">
        <v>5503</v>
      </c>
      <c r="D8497" s="852" t="s">
        <v>5539</v>
      </c>
      <c r="E8497" s="852">
        <v>40</v>
      </c>
      <c r="F8497" s="850">
        <v>10</v>
      </c>
      <c r="G8497" s="202" t="str">
        <f t="shared" si="132"/>
        <v/>
      </c>
    </row>
    <row r="8498" spans="1:7" s="172" customFormat="1" ht="15" customHeight="1" x14ac:dyDescent="0.25">
      <c r="A8498" s="837" t="s">
        <v>5540</v>
      </c>
      <c r="B8498" s="851" t="s">
        <v>5503</v>
      </c>
      <c r="C8498" s="851" t="s">
        <v>5503</v>
      </c>
      <c r="D8498" s="852" t="s">
        <v>5541</v>
      </c>
      <c r="E8498" s="852">
        <v>30</v>
      </c>
      <c r="F8498" s="850">
        <v>20</v>
      </c>
      <c r="G8498" s="202" t="str">
        <f t="shared" si="132"/>
        <v/>
      </c>
    </row>
    <row r="8499" spans="1:7" s="172" customFormat="1" ht="15" customHeight="1" x14ac:dyDescent="0.25">
      <c r="A8499" s="837" t="s">
        <v>12153</v>
      </c>
      <c r="B8499" s="851" t="s">
        <v>5503</v>
      </c>
      <c r="C8499" s="851" t="s">
        <v>5503</v>
      </c>
      <c r="D8499" s="852" t="s">
        <v>5542</v>
      </c>
      <c r="E8499" s="852">
        <v>40</v>
      </c>
      <c r="F8499" s="850">
        <v>10</v>
      </c>
      <c r="G8499" s="202" t="str">
        <f t="shared" si="132"/>
        <v/>
      </c>
    </row>
    <row r="8500" spans="1:7" s="172" customFormat="1" ht="15" customHeight="1" x14ac:dyDescent="0.25">
      <c r="A8500" s="837" t="s">
        <v>2833</v>
      </c>
      <c r="B8500" s="851" t="s">
        <v>5503</v>
      </c>
      <c r="C8500" s="851" t="s">
        <v>5503</v>
      </c>
      <c r="D8500" s="852" t="s">
        <v>5543</v>
      </c>
      <c r="E8500" s="852">
        <v>63</v>
      </c>
      <c r="F8500" s="850">
        <v>20</v>
      </c>
      <c r="G8500" s="202" t="str">
        <f t="shared" si="132"/>
        <v/>
      </c>
    </row>
    <row r="8501" spans="1:7" s="172" customFormat="1" ht="15" customHeight="1" x14ac:dyDescent="0.25">
      <c r="A8501" s="837" t="s">
        <v>5547</v>
      </c>
      <c r="B8501" s="851" t="s">
        <v>5503</v>
      </c>
      <c r="C8501" s="851" t="s">
        <v>5503</v>
      </c>
      <c r="D8501" s="852" t="s">
        <v>5544</v>
      </c>
      <c r="E8501" s="852">
        <v>400</v>
      </c>
      <c r="F8501" s="850">
        <v>0</v>
      </c>
      <c r="G8501" s="202" t="str">
        <f t="shared" si="132"/>
        <v/>
      </c>
    </row>
    <row r="8502" spans="1:7" s="172" customFormat="1" ht="15" customHeight="1" x14ac:dyDescent="0.25">
      <c r="A8502" s="851" t="s">
        <v>5547</v>
      </c>
      <c r="B8502" s="851" t="s">
        <v>5503</v>
      </c>
      <c r="C8502" s="851" t="s">
        <v>5503</v>
      </c>
      <c r="D8502" s="851" t="s">
        <v>5545</v>
      </c>
      <c r="E8502" s="853">
        <v>160</v>
      </c>
      <c r="F8502" s="853">
        <v>50</v>
      </c>
      <c r="G8502" s="202" t="str">
        <f t="shared" si="132"/>
        <v/>
      </c>
    </row>
    <row r="8503" spans="1:7" s="172" customFormat="1" ht="15" customHeight="1" x14ac:dyDescent="0.25">
      <c r="A8503" s="837" t="s">
        <v>5547</v>
      </c>
      <c r="B8503" s="851" t="s">
        <v>5503</v>
      </c>
      <c r="C8503" s="851" t="s">
        <v>5503</v>
      </c>
      <c r="D8503" s="851" t="s">
        <v>5546</v>
      </c>
      <c r="E8503" s="837">
        <v>250</v>
      </c>
      <c r="F8503" s="853">
        <v>200</v>
      </c>
      <c r="G8503" s="202" t="str">
        <f t="shared" si="132"/>
        <v/>
      </c>
    </row>
    <row r="8504" spans="1:7" s="172" customFormat="1" ht="15" customHeight="1" x14ac:dyDescent="0.25">
      <c r="A8504" s="837" t="s">
        <v>5547</v>
      </c>
      <c r="B8504" s="851" t="s">
        <v>5503</v>
      </c>
      <c r="C8504" s="851" t="s">
        <v>5503</v>
      </c>
      <c r="D8504" s="851" t="s">
        <v>5548</v>
      </c>
      <c r="E8504" s="837">
        <v>250</v>
      </c>
      <c r="F8504" s="853">
        <v>200</v>
      </c>
      <c r="G8504" s="202" t="str">
        <f t="shared" si="132"/>
        <v/>
      </c>
    </row>
    <row r="8505" spans="1:7" s="172" customFormat="1" ht="15" customHeight="1" x14ac:dyDescent="0.25">
      <c r="A8505" s="837" t="s">
        <v>5547</v>
      </c>
      <c r="B8505" s="851" t="s">
        <v>5503</v>
      </c>
      <c r="C8505" s="851" t="s">
        <v>5503</v>
      </c>
      <c r="D8505" s="837" t="s">
        <v>5549</v>
      </c>
      <c r="E8505" s="837">
        <v>400</v>
      </c>
      <c r="F8505" s="853">
        <v>350</v>
      </c>
      <c r="G8505" s="202" t="str">
        <f t="shared" si="132"/>
        <v/>
      </c>
    </row>
    <row r="8506" spans="1:7" s="172" customFormat="1" ht="15" customHeight="1" x14ac:dyDescent="0.25">
      <c r="A8506" s="837" t="s">
        <v>5550</v>
      </c>
      <c r="B8506" s="851" t="s">
        <v>5503</v>
      </c>
      <c r="C8506" s="851" t="s">
        <v>5503</v>
      </c>
      <c r="D8506" s="837" t="s">
        <v>5551</v>
      </c>
      <c r="E8506" s="837">
        <v>160</v>
      </c>
      <c r="F8506" s="853">
        <v>60</v>
      </c>
      <c r="G8506" s="202" t="str">
        <f t="shared" si="132"/>
        <v/>
      </c>
    </row>
    <row r="8507" spans="1:7" s="172" customFormat="1" ht="15" customHeight="1" x14ac:dyDescent="0.25">
      <c r="A8507" s="837" t="s">
        <v>5550</v>
      </c>
      <c r="B8507" s="851" t="s">
        <v>5503</v>
      </c>
      <c r="C8507" s="851" t="s">
        <v>5503</v>
      </c>
      <c r="D8507" s="837" t="s">
        <v>5552</v>
      </c>
      <c r="E8507" s="837">
        <v>250</v>
      </c>
      <c r="F8507" s="853">
        <v>160</v>
      </c>
      <c r="G8507" s="202" t="str">
        <f t="shared" si="132"/>
        <v/>
      </c>
    </row>
    <row r="8508" spans="1:7" s="172" customFormat="1" ht="15" customHeight="1" x14ac:dyDescent="0.25">
      <c r="A8508" s="837" t="s">
        <v>5550</v>
      </c>
      <c r="B8508" s="851" t="s">
        <v>5503</v>
      </c>
      <c r="C8508" s="851" t="s">
        <v>5503</v>
      </c>
      <c r="D8508" s="837" t="s">
        <v>5553</v>
      </c>
      <c r="E8508" s="837">
        <v>250</v>
      </c>
      <c r="F8508" s="853">
        <v>120</v>
      </c>
      <c r="G8508" s="202" t="str">
        <f t="shared" si="132"/>
        <v/>
      </c>
    </row>
    <row r="8509" spans="1:7" s="172" customFormat="1" ht="15" customHeight="1" x14ac:dyDescent="0.25">
      <c r="A8509" s="837" t="s">
        <v>5550</v>
      </c>
      <c r="B8509" s="851" t="s">
        <v>5503</v>
      </c>
      <c r="C8509" s="851" t="s">
        <v>5503</v>
      </c>
      <c r="D8509" s="837" t="s">
        <v>5554</v>
      </c>
      <c r="E8509" s="837">
        <v>100</v>
      </c>
      <c r="F8509" s="853">
        <v>10</v>
      </c>
      <c r="G8509" s="202" t="str">
        <f t="shared" si="132"/>
        <v/>
      </c>
    </row>
    <row r="8510" spans="1:7" s="172" customFormat="1" ht="15" customHeight="1" x14ac:dyDescent="0.25">
      <c r="A8510" s="837" t="s">
        <v>5550</v>
      </c>
      <c r="B8510" s="851" t="s">
        <v>5503</v>
      </c>
      <c r="C8510" s="851" t="s">
        <v>5503</v>
      </c>
      <c r="D8510" s="837" t="s">
        <v>5555</v>
      </c>
      <c r="E8510" s="837">
        <v>250</v>
      </c>
      <c r="F8510" s="853">
        <v>15</v>
      </c>
      <c r="G8510" s="202" t="str">
        <f t="shared" si="132"/>
        <v/>
      </c>
    </row>
    <row r="8511" spans="1:7" s="172" customFormat="1" ht="15" customHeight="1" x14ac:dyDescent="0.25">
      <c r="A8511" s="837" t="s">
        <v>5550</v>
      </c>
      <c r="B8511" s="851" t="s">
        <v>5503</v>
      </c>
      <c r="C8511" s="851" t="s">
        <v>5503</v>
      </c>
      <c r="D8511" s="837" t="s">
        <v>5556</v>
      </c>
      <c r="E8511" s="837">
        <v>100</v>
      </c>
      <c r="F8511" s="853">
        <v>15</v>
      </c>
      <c r="G8511" s="202" t="str">
        <f t="shared" si="132"/>
        <v/>
      </c>
    </row>
    <row r="8512" spans="1:7" s="172" customFormat="1" ht="15" customHeight="1" x14ac:dyDescent="0.25">
      <c r="A8512" s="837" t="s">
        <v>5557</v>
      </c>
      <c r="B8512" s="851" t="s">
        <v>5503</v>
      </c>
      <c r="C8512" s="851" t="s">
        <v>5503</v>
      </c>
      <c r="D8512" s="837" t="s">
        <v>5558</v>
      </c>
      <c r="E8512" s="837">
        <v>100</v>
      </c>
      <c r="F8512" s="853">
        <v>60</v>
      </c>
      <c r="G8512" s="202" t="str">
        <f t="shared" si="132"/>
        <v/>
      </c>
    </row>
    <row r="8513" spans="1:7" s="172" customFormat="1" ht="15" customHeight="1" x14ac:dyDescent="0.25">
      <c r="A8513" s="837" t="s">
        <v>5559</v>
      </c>
      <c r="B8513" s="851" t="s">
        <v>5503</v>
      </c>
      <c r="C8513" s="851" t="s">
        <v>5503</v>
      </c>
      <c r="D8513" s="837" t="s">
        <v>5560</v>
      </c>
      <c r="E8513" s="837">
        <v>100</v>
      </c>
      <c r="F8513" s="853">
        <v>25</v>
      </c>
      <c r="G8513" s="202" t="str">
        <f t="shared" si="132"/>
        <v/>
      </c>
    </row>
    <row r="8514" spans="1:7" s="172" customFormat="1" ht="15" customHeight="1" x14ac:dyDescent="0.25">
      <c r="A8514" s="837" t="s">
        <v>5561</v>
      </c>
      <c r="B8514" s="851" t="s">
        <v>5503</v>
      </c>
      <c r="C8514" s="851" t="s">
        <v>5503</v>
      </c>
      <c r="D8514" s="837" t="s">
        <v>5562</v>
      </c>
      <c r="E8514" s="837">
        <v>400</v>
      </c>
      <c r="F8514" s="853">
        <v>250</v>
      </c>
      <c r="G8514" s="202" t="str">
        <f t="shared" si="132"/>
        <v/>
      </c>
    </row>
    <row r="8515" spans="1:7" s="172" customFormat="1" ht="15" customHeight="1" x14ac:dyDescent="0.25">
      <c r="A8515" s="837" t="s">
        <v>12154</v>
      </c>
      <c r="B8515" s="851" t="s">
        <v>5503</v>
      </c>
      <c r="C8515" s="851" t="s">
        <v>5503</v>
      </c>
      <c r="D8515" s="837" t="s">
        <v>5563</v>
      </c>
      <c r="E8515" s="837">
        <v>160</v>
      </c>
      <c r="F8515" s="853">
        <v>100</v>
      </c>
      <c r="G8515" s="202" t="str">
        <f t="shared" si="132"/>
        <v/>
      </c>
    </row>
    <row r="8516" spans="1:7" s="172" customFormat="1" ht="15" customHeight="1" x14ac:dyDescent="0.25">
      <c r="A8516" s="837" t="s">
        <v>4821</v>
      </c>
      <c r="B8516" s="851" t="s">
        <v>5503</v>
      </c>
      <c r="C8516" s="851" t="s">
        <v>5503</v>
      </c>
      <c r="D8516" s="837" t="s">
        <v>5564</v>
      </c>
      <c r="E8516" s="837">
        <v>30</v>
      </c>
      <c r="F8516" s="853">
        <v>0</v>
      </c>
      <c r="G8516" s="202" t="str">
        <f t="shared" si="132"/>
        <v/>
      </c>
    </row>
    <row r="8517" spans="1:7" s="172" customFormat="1" ht="15" customHeight="1" x14ac:dyDescent="0.25">
      <c r="A8517" s="837" t="s">
        <v>5565</v>
      </c>
      <c r="B8517" s="851" t="s">
        <v>5503</v>
      </c>
      <c r="C8517" s="851" t="s">
        <v>5503</v>
      </c>
      <c r="D8517" s="837" t="s">
        <v>5566</v>
      </c>
      <c r="E8517" s="837">
        <v>60</v>
      </c>
      <c r="F8517" s="853">
        <v>55</v>
      </c>
      <c r="G8517" s="202" t="str">
        <f t="shared" si="132"/>
        <v/>
      </c>
    </row>
    <row r="8518" spans="1:7" s="172" customFormat="1" ht="15" customHeight="1" x14ac:dyDescent="0.25">
      <c r="A8518" s="837" t="s">
        <v>5567</v>
      </c>
      <c r="B8518" s="851" t="s">
        <v>5503</v>
      </c>
      <c r="C8518" s="851" t="s">
        <v>5503</v>
      </c>
      <c r="D8518" s="837" t="s">
        <v>5568</v>
      </c>
      <c r="E8518" s="837">
        <v>60</v>
      </c>
      <c r="F8518" s="853">
        <v>25</v>
      </c>
      <c r="G8518" s="202" t="str">
        <f t="shared" si="132"/>
        <v/>
      </c>
    </row>
    <row r="8519" spans="1:7" s="172" customFormat="1" ht="15" customHeight="1" x14ac:dyDescent="0.25">
      <c r="A8519" s="837" t="s">
        <v>10337</v>
      </c>
      <c r="B8519" s="851" t="s">
        <v>5503</v>
      </c>
      <c r="C8519" s="851" t="s">
        <v>5503</v>
      </c>
      <c r="D8519" s="837" t="s">
        <v>5569</v>
      </c>
      <c r="E8519" s="837">
        <v>100</v>
      </c>
      <c r="F8519" s="853">
        <v>50</v>
      </c>
      <c r="G8519" s="202" t="str">
        <f t="shared" si="132"/>
        <v/>
      </c>
    </row>
    <row r="8520" spans="1:7" s="172" customFormat="1" ht="15" customHeight="1" x14ac:dyDescent="0.25">
      <c r="A8520" s="837" t="s">
        <v>5570</v>
      </c>
      <c r="B8520" s="851" t="s">
        <v>5503</v>
      </c>
      <c r="C8520" s="851" t="s">
        <v>5503</v>
      </c>
      <c r="D8520" s="837" t="s">
        <v>5571</v>
      </c>
      <c r="E8520" s="837">
        <v>60</v>
      </c>
      <c r="F8520" s="853">
        <v>35</v>
      </c>
      <c r="G8520" s="202" t="str">
        <f t="shared" si="132"/>
        <v/>
      </c>
    </row>
    <row r="8521" spans="1:7" s="172" customFormat="1" ht="15" customHeight="1" x14ac:dyDescent="0.25">
      <c r="A8521" s="837" t="s">
        <v>5572</v>
      </c>
      <c r="B8521" s="851" t="s">
        <v>5503</v>
      </c>
      <c r="C8521" s="851" t="s">
        <v>5503</v>
      </c>
      <c r="D8521" s="837" t="s">
        <v>5573</v>
      </c>
      <c r="E8521" s="837">
        <v>63</v>
      </c>
      <c r="F8521" s="853">
        <v>55</v>
      </c>
      <c r="G8521" s="202" t="str">
        <f t="shared" si="132"/>
        <v/>
      </c>
    </row>
    <row r="8522" spans="1:7" s="172" customFormat="1" ht="15" customHeight="1" x14ac:dyDescent="0.25">
      <c r="A8522" s="837" t="s">
        <v>5574</v>
      </c>
      <c r="B8522" s="851" t="s">
        <v>5503</v>
      </c>
      <c r="C8522" s="851" t="s">
        <v>5503</v>
      </c>
      <c r="D8522" s="837" t="s">
        <v>20160</v>
      </c>
      <c r="E8522" s="837">
        <v>60</v>
      </c>
      <c r="F8522" s="853">
        <v>5</v>
      </c>
      <c r="G8522" s="202" t="str">
        <f t="shared" si="132"/>
        <v/>
      </c>
    </row>
    <row r="8523" spans="1:7" s="172" customFormat="1" ht="15" customHeight="1" x14ac:dyDescent="0.25">
      <c r="A8523" s="837" t="s">
        <v>3511</v>
      </c>
      <c r="B8523" s="851" t="s">
        <v>5503</v>
      </c>
      <c r="C8523" s="851" t="s">
        <v>5503</v>
      </c>
      <c r="D8523" s="837" t="s">
        <v>5575</v>
      </c>
      <c r="E8523" s="837">
        <v>60</v>
      </c>
      <c r="F8523" s="853">
        <v>25</v>
      </c>
      <c r="G8523" s="202" t="str">
        <f t="shared" si="132"/>
        <v/>
      </c>
    </row>
    <row r="8524" spans="1:7" s="172" customFormat="1" ht="15" customHeight="1" x14ac:dyDescent="0.25">
      <c r="A8524" s="837" t="s">
        <v>12155</v>
      </c>
      <c r="B8524" s="851" t="s">
        <v>5503</v>
      </c>
      <c r="C8524" s="851" t="s">
        <v>5503</v>
      </c>
      <c r="D8524" s="837" t="s">
        <v>5576</v>
      </c>
      <c r="E8524" s="837">
        <v>100</v>
      </c>
      <c r="F8524" s="853">
        <v>25</v>
      </c>
      <c r="G8524" s="202" t="str">
        <f t="shared" si="132"/>
        <v/>
      </c>
    </row>
    <row r="8525" spans="1:7" s="172" customFormat="1" ht="15" customHeight="1" x14ac:dyDescent="0.25">
      <c r="A8525" s="837" t="s">
        <v>2922</v>
      </c>
      <c r="B8525" s="851" t="s">
        <v>5503</v>
      </c>
      <c r="C8525" s="851" t="s">
        <v>5503</v>
      </c>
      <c r="D8525" s="837" t="s">
        <v>5577</v>
      </c>
      <c r="E8525" s="837">
        <v>60</v>
      </c>
      <c r="F8525" s="853">
        <v>20</v>
      </c>
      <c r="G8525" s="202" t="str">
        <f t="shared" si="132"/>
        <v/>
      </c>
    </row>
    <row r="8526" spans="1:7" s="172" customFormat="1" ht="15" customHeight="1" x14ac:dyDescent="0.25">
      <c r="A8526" s="837" t="s">
        <v>5578</v>
      </c>
      <c r="B8526" s="851" t="s">
        <v>5503</v>
      </c>
      <c r="C8526" s="851" t="s">
        <v>5503</v>
      </c>
      <c r="D8526" s="837" t="s">
        <v>5579</v>
      </c>
      <c r="E8526" s="837">
        <v>160</v>
      </c>
      <c r="F8526" s="853">
        <v>70</v>
      </c>
      <c r="G8526" s="202" t="str">
        <f t="shared" si="132"/>
        <v/>
      </c>
    </row>
    <row r="8527" spans="1:7" s="172" customFormat="1" ht="15" customHeight="1" x14ac:dyDescent="0.25">
      <c r="A8527" s="837" t="s">
        <v>5578</v>
      </c>
      <c r="B8527" s="851" t="s">
        <v>5503</v>
      </c>
      <c r="C8527" s="851" t="s">
        <v>5503</v>
      </c>
      <c r="D8527" s="837" t="s">
        <v>5580</v>
      </c>
      <c r="E8527" s="837">
        <v>100</v>
      </c>
      <c r="F8527" s="853">
        <v>50</v>
      </c>
      <c r="G8527" s="202" t="str">
        <f t="shared" si="132"/>
        <v/>
      </c>
    </row>
    <row r="8528" spans="1:7" s="172" customFormat="1" ht="15" customHeight="1" x14ac:dyDescent="0.25">
      <c r="A8528" s="837" t="s">
        <v>5028</v>
      </c>
      <c r="B8528" s="851" t="s">
        <v>5503</v>
      </c>
      <c r="C8528" s="851" t="s">
        <v>5503</v>
      </c>
      <c r="D8528" s="837" t="s">
        <v>5581</v>
      </c>
      <c r="E8528" s="837">
        <v>100</v>
      </c>
      <c r="F8528" s="853">
        <v>85</v>
      </c>
      <c r="G8528" s="202" t="str">
        <f t="shared" si="132"/>
        <v/>
      </c>
    </row>
    <row r="8529" spans="1:7" s="172" customFormat="1" ht="15" customHeight="1" x14ac:dyDescent="0.25">
      <c r="A8529" s="837" t="s">
        <v>4131</v>
      </c>
      <c r="B8529" s="851" t="s">
        <v>5503</v>
      </c>
      <c r="C8529" s="851" t="s">
        <v>5503</v>
      </c>
      <c r="D8529" s="837" t="s">
        <v>5582</v>
      </c>
      <c r="E8529" s="837">
        <v>100</v>
      </c>
      <c r="F8529" s="853">
        <v>50</v>
      </c>
      <c r="G8529" s="202" t="str">
        <f t="shared" si="132"/>
        <v/>
      </c>
    </row>
    <row r="8530" spans="1:7" s="172" customFormat="1" ht="15" customHeight="1" x14ac:dyDescent="0.25">
      <c r="A8530" s="837" t="s">
        <v>5583</v>
      </c>
      <c r="B8530" s="851" t="s">
        <v>5503</v>
      </c>
      <c r="C8530" s="851" t="s">
        <v>5503</v>
      </c>
      <c r="D8530" s="837" t="s">
        <v>5584</v>
      </c>
      <c r="E8530" s="837">
        <v>250</v>
      </c>
      <c r="F8530" s="853">
        <v>150</v>
      </c>
      <c r="G8530" s="202" t="str">
        <f t="shared" si="132"/>
        <v/>
      </c>
    </row>
    <row r="8531" spans="1:7" s="172" customFormat="1" ht="15" customHeight="1" x14ac:dyDescent="0.25">
      <c r="A8531" s="837" t="s">
        <v>5583</v>
      </c>
      <c r="B8531" s="851" t="s">
        <v>5503</v>
      </c>
      <c r="C8531" s="851" t="s">
        <v>5503</v>
      </c>
      <c r="D8531" s="837" t="s">
        <v>5585</v>
      </c>
      <c r="E8531" s="837">
        <v>160</v>
      </c>
      <c r="F8531" s="853">
        <v>70</v>
      </c>
      <c r="G8531" s="202" t="str">
        <f t="shared" si="132"/>
        <v/>
      </c>
    </row>
    <row r="8532" spans="1:7" s="172" customFormat="1" ht="15" customHeight="1" x14ac:dyDescent="0.25">
      <c r="A8532" s="837" t="s">
        <v>5583</v>
      </c>
      <c r="B8532" s="851" t="s">
        <v>5503</v>
      </c>
      <c r="C8532" s="851" t="s">
        <v>5503</v>
      </c>
      <c r="D8532" s="837" t="s">
        <v>5586</v>
      </c>
      <c r="E8532" s="837">
        <v>100</v>
      </c>
      <c r="F8532" s="853">
        <v>10</v>
      </c>
      <c r="G8532" s="202" t="str">
        <f t="shared" si="132"/>
        <v/>
      </c>
    </row>
    <row r="8533" spans="1:7" s="172" customFormat="1" ht="15" customHeight="1" x14ac:dyDescent="0.25">
      <c r="A8533" s="837" t="s">
        <v>5583</v>
      </c>
      <c r="B8533" s="851" t="s">
        <v>5503</v>
      </c>
      <c r="C8533" s="851" t="s">
        <v>5503</v>
      </c>
      <c r="D8533" s="837" t="s">
        <v>5587</v>
      </c>
      <c r="E8533" s="837">
        <v>160</v>
      </c>
      <c r="F8533" s="853">
        <v>120</v>
      </c>
      <c r="G8533" s="202" t="str">
        <f t="shared" si="132"/>
        <v/>
      </c>
    </row>
    <row r="8534" spans="1:7" s="172" customFormat="1" ht="15" customHeight="1" x14ac:dyDescent="0.25">
      <c r="A8534" s="837" t="s">
        <v>5588</v>
      </c>
      <c r="B8534" s="851" t="s">
        <v>5503</v>
      </c>
      <c r="C8534" s="851" t="s">
        <v>5503</v>
      </c>
      <c r="D8534" s="837" t="s">
        <v>5589</v>
      </c>
      <c r="E8534" s="837">
        <v>60</v>
      </c>
      <c r="F8534" s="853">
        <v>60</v>
      </c>
      <c r="G8534" s="202" t="str">
        <f t="shared" si="132"/>
        <v>не загружен</v>
      </c>
    </row>
    <row r="8535" spans="1:7" s="172" customFormat="1" ht="15" customHeight="1" x14ac:dyDescent="0.25">
      <c r="A8535" s="837" t="s">
        <v>4838</v>
      </c>
      <c r="B8535" s="851" t="s">
        <v>5503</v>
      </c>
      <c r="C8535" s="851" t="s">
        <v>5503</v>
      </c>
      <c r="D8535" s="837" t="s">
        <v>5590</v>
      </c>
      <c r="E8535" s="837">
        <v>60</v>
      </c>
      <c r="F8535" s="853">
        <v>10</v>
      </c>
      <c r="G8535" s="202" t="str">
        <f t="shared" si="132"/>
        <v/>
      </c>
    </row>
    <row r="8536" spans="1:7" s="172" customFormat="1" ht="15" customHeight="1" x14ac:dyDescent="0.25">
      <c r="A8536" s="837" t="s">
        <v>5591</v>
      </c>
      <c r="B8536" s="851" t="s">
        <v>5503</v>
      </c>
      <c r="C8536" s="851" t="s">
        <v>5503</v>
      </c>
      <c r="D8536" s="837" t="s">
        <v>5592</v>
      </c>
      <c r="E8536" s="837">
        <v>160</v>
      </c>
      <c r="F8536" s="853">
        <v>100</v>
      </c>
      <c r="G8536" s="202" t="str">
        <f t="shared" si="132"/>
        <v/>
      </c>
    </row>
    <row r="8537" spans="1:7" s="172" customFormat="1" ht="15" customHeight="1" x14ac:dyDescent="0.25">
      <c r="A8537" s="837" t="s">
        <v>5591</v>
      </c>
      <c r="B8537" s="851" t="s">
        <v>5503</v>
      </c>
      <c r="C8537" s="851" t="s">
        <v>5503</v>
      </c>
      <c r="D8537" s="837" t="s">
        <v>5593</v>
      </c>
      <c r="E8537" s="837">
        <v>160</v>
      </c>
      <c r="F8537" s="853">
        <v>50</v>
      </c>
      <c r="G8537" s="202" t="str">
        <f t="shared" si="132"/>
        <v/>
      </c>
    </row>
    <row r="8538" spans="1:7" s="172" customFormat="1" ht="15" customHeight="1" x14ac:dyDescent="0.25">
      <c r="A8538" s="837" t="s">
        <v>5591</v>
      </c>
      <c r="B8538" s="851" t="s">
        <v>5503</v>
      </c>
      <c r="C8538" s="851" t="s">
        <v>5503</v>
      </c>
      <c r="D8538" s="837" t="s">
        <v>5594</v>
      </c>
      <c r="E8538" s="837">
        <v>100</v>
      </c>
      <c r="F8538" s="853">
        <v>50</v>
      </c>
      <c r="G8538" s="202" t="str">
        <f t="shared" si="132"/>
        <v/>
      </c>
    </row>
    <row r="8539" spans="1:7" s="172" customFormat="1" ht="15" customHeight="1" x14ac:dyDescent="0.25">
      <c r="A8539" s="837" t="s">
        <v>5591</v>
      </c>
      <c r="B8539" s="851" t="s">
        <v>5503</v>
      </c>
      <c r="C8539" s="851" t="s">
        <v>5503</v>
      </c>
      <c r="D8539" s="837" t="s">
        <v>5595</v>
      </c>
      <c r="E8539" s="837">
        <v>250</v>
      </c>
      <c r="F8539" s="853">
        <v>230</v>
      </c>
      <c r="G8539" s="202" t="str">
        <f t="shared" si="132"/>
        <v/>
      </c>
    </row>
    <row r="8540" spans="1:7" s="172" customFormat="1" ht="15" customHeight="1" x14ac:dyDescent="0.25">
      <c r="A8540" s="837" t="s">
        <v>5591</v>
      </c>
      <c r="B8540" s="851" t="s">
        <v>5503</v>
      </c>
      <c r="C8540" s="851" t="s">
        <v>5503</v>
      </c>
      <c r="D8540" s="837" t="s">
        <v>5596</v>
      </c>
      <c r="E8540" s="837">
        <v>250</v>
      </c>
      <c r="F8540" s="853">
        <v>210</v>
      </c>
      <c r="G8540" s="202" t="str">
        <f t="shared" si="132"/>
        <v/>
      </c>
    </row>
    <row r="8541" spans="1:7" s="172" customFormat="1" ht="15" customHeight="1" x14ac:dyDescent="0.25">
      <c r="A8541" s="837" t="s">
        <v>5591</v>
      </c>
      <c r="B8541" s="851" t="s">
        <v>5503</v>
      </c>
      <c r="C8541" s="851" t="s">
        <v>5503</v>
      </c>
      <c r="D8541" s="837" t="s">
        <v>5597</v>
      </c>
      <c r="E8541" s="837">
        <v>250</v>
      </c>
      <c r="F8541" s="853">
        <v>250</v>
      </c>
      <c r="G8541" s="202" t="str">
        <f t="shared" si="132"/>
        <v>не загружен</v>
      </c>
    </row>
    <row r="8542" spans="1:7" s="172" customFormat="1" ht="15" customHeight="1" x14ac:dyDescent="0.25">
      <c r="A8542" s="837" t="s">
        <v>5591</v>
      </c>
      <c r="B8542" s="851" t="s">
        <v>5503</v>
      </c>
      <c r="C8542" s="851" t="s">
        <v>5503</v>
      </c>
      <c r="D8542" s="837" t="s">
        <v>5598</v>
      </c>
      <c r="E8542" s="837">
        <v>160</v>
      </c>
      <c r="F8542" s="853">
        <v>100</v>
      </c>
      <c r="G8542" s="202" t="str">
        <f t="shared" ref="G8542:G8605" si="133">IF(E8542=F8542,"не загружен","")</f>
        <v/>
      </c>
    </row>
    <row r="8543" spans="1:7" s="172" customFormat="1" ht="15" customHeight="1" x14ac:dyDescent="0.25">
      <c r="A8543" s="837" t="s">
        <v>5599</v>
      </c>
      <c r="B8543" s="851" t="s">
        <v>5503</v>
      </c>
      <c r="C8543" s="851" t="s">
        <v>5503</v>
      </c>
      <c r="D8543" s="837" t="s">
        <v>5600</v>
      </c>
      <c r="E8543" s="837">
        <v>100</v>
      </c>
      <c r="F8543" s="853">
        <v>30</v>
      </c>
      <c r="G8543" s="202" t="str">
        <f t="shared" si="133"/>
        <v/>
      </c>
    </row>
    <row r="8544" spans="1:7" s="172" customFormat="1" ht="15" customHeight="1" x14ac:dyDescent="0.25">
      <c r="A8544" s="837" t="s">
        <v>5599</v>
      </c>
      <c r="B8544" s="851" t="s">
        <v>5503</v>
      </c>
      <c r="C8544" s="851" t="s">
        <v>5503</v>
      </c>
      <c r="D8544" s="837" t="s">
        <v>5601</v>
      </c>
      <c r="E8544" s="837">
        <v>100</v>
      </c>
      <c r="F8544" s="853">
        <v>15</v>
      </c>
      <c r="G8544" s="202" t="str">
        <f t="shared" si="133"/>
        <v/>
      </c>
    </row>
    <row r="8545" spans="1:7" s="172" customFormat="1" ht="15" customHeight="1" x14ac:dyDescent="0.25">
      <c r="A8545" s="837" t="s">
        <v>5602</v>
      </c>
      <c r="B8545" s="851" t="s">
        <v>5503</v>
      </c>
      <c r="C8545" s="851" t="s">
        <v>5503</v>
      </c>
      <c r="D8545" s="837" t="s">
        <v>5603</v>
      </c>
      <c r="E8545" s="837">
        <v>60</v>
      </c>
      <c r="F8545" s="853">
        <v>40</v>
      </c>
      <c r="G8545" s="202" t="str">
        <f t="shared" si="133"/>
        <v/>
      </c>
    </row>
    <row r="8546" spans="1:7" s="172" customFormat="1" ht="15" customHeight="1" x14ac:dyDescent="0.25">
      <c r="A8546" s="837" t="s">
        <v>5604</v>
      </c>
      <c r="B8546" s="851" t="s">
        <v>5503</v>
      </c>
      <c r="C8546" s="851" t="s">
        <v>5503</v>
      </c>
      <c r="D8546" s="837" t="s">
        <v>5605</v>
      </c>
      <c r="E8546" s="837">
        <v>60</v>
      </c>
      <c r="F8546" s="853">
        <v>20</v>
      </c>
      <c r="G8546" s="202" t="str">
        <f t="shared" si="133"/>
        <v/>
      </c>
    </row>
    <row r="8547" spans="1:7" s="172" customFormat="1" ht="15" customHeight="1" x14ac:dyDescent="0.25">
      <c r="A8547" s="837" t="s">
        <v>5604</v>
      </c>
      <c r="B8547" s="851" t="s">
        <v>5503</v>
      </c>
      <c r="C8547" s="851" t="s">
        <v>5503</v>
      </c>
      <c r="D8547" s="837" t="s">
        <v>5606</v>
      </c>
      <c r="E8547" s="837">
        <v>100</v>
      </c>
      <c r="F8547" s="853">
        <v>95</v>
      </c>
      <c r="G8547" s="202" t="str">
        <f t="shared" si="133"/>
        <v/>
      </c>
    </row>
    <row r="8548" spans="1:7" s="172" customFormat="1" ht="15" customHeight="1" x14ac:dyDescent="0.25">
      <c r="A8548" s="837" t="s">
        <v>5607</v>
      </c>
      <c r="B8548" s="851" t="s">
        <v>5503</v>
      </c>
      <c r="C8548" s="851" t="s">
        <v>5503</v>
      </c>
      <c r="D8548" s="837" t="s">
        <v>5608</v>
      </c>
      <c r="E8548" s="837">
        <v>100</v>
      </c>
      <c r="F8548" s="853">
        <v>10</v>
      </c>
      <c r="G8548" s="202" t="str">
        <f t="shared" si="133"/>
        <v/>
      </c>
    </row>
    <row r="8549" spans="1:7" s="172" customFormat="1" ht="15" customHeight="1" x14ac:dyDescent="0.25">
      <c r="A8549" s="837" t="s">
        <v>5607</v>
      </c>
      <c r="B8549" s="851" t="s">
        <v>5503</v>
      </c>
      <c r="C8549" s="851" t="s">
        <v>5503</v>
      </c>
      <c r="D8549" s="837" t="s">
        <v>5609</v>
      </c>
      <c r="E8549" s="837">
        <v>250</v>
      </c>
      <c r="F8549" s="853">
        <v>245</v>
      </c>
      <c r="G8549" s="202" t="str">
        <f t="shared" si="133"/>
        <v/>
      </c>
    </row>
    <row r="8550" spans="1:7" s="172" customFormat="1" ht="15" customHeight="1" x14ac:dyDescent="0.25">
      <c r="A8550" s="837" t="s">
        <v>5610</v>
      </c>
      <c r="B8550" s="851" t="s">
        <v>5503</v>
      </c>
      <c r="C8550" s="851" t="s">
        <v>5503</v>
      </c>
      <c r="D8550" s="837" t="s">
        <v>5611</v>
      </c>
      <c r="E8550" s="837">
        <v>100</v>
      </c>
      <c r="F8550" s="853">
        <v>30</v>
      </c>
      <c r="G8550" s="202" t="str">
        <f t="shared" si="133"/>
        <v/>
      </c>
    </row>
    <row r="8551" spans="1:7" s="172" customFormat="1" ht="15" customHeight="1" x14ac:dyDescent="0.25">
      <c r="A8551" s="837" t="s">
        <v>5612</v>
      </c>
      <c r="B8551" s="851" t="s">
        <v>5503</v>
      </c>
      <c r="C8551" s="851" t="s">
        <v>5503</v>
      </c>
      <c r="D8551" s="837" t="s">
        <v>5613</v>
      </c>
      <c r="E8551" s="837">
        <v>30</v>
      </c>
      <c r="F8551" s="853">
        <v>20</v>
      </c>
      <c r="G8551" s="202" t="str">
        <f t="shared" si="133"/>
        <v/>
      </c>
    </row>
    <row r="8552" spans="1:7" s="172" customFormat="1" ht="15" customHeight="1" x14ac:dyDescent="0.25">
      <c r="A8552" s="837" t="s">
        <v>12156</v>
      </c>
      <c r="B8552" s="851" t="s">
        <v>5503</v>
      </c>
      <c r="C8552" s="851" t="s">
        <v>5503</v>
      </c>
      <c r="D8552" s="837" t="s">
        <v>5614</v>
      </c>
      <c r="E8552" s="837">
        <v>160</v>
      </c>
      <c r="F8552" s="853">
        <v>80</v>
      </c>
      <c r="G8552" s="202" t="str">
        <f t="shared" si="133"/>
        <v/>
      </c>
    </row>
    <row r="8553" spans="1:7" s="172" customFormat="1" ht="15" customHeight="1" x14ac:dyDescent="0.25">
      <c r="A8553" s="837" t="s">
        <v>5615</v>
      </c>
      <c r="B8553" s="851" t="s">
        <v>5503</v>
      </c>
      <c r="C8553" s="851" t="s">
        <v>5503</v>
      </c>
      <c r="D8553" s="837" t="s">
        <v>5616</v>
      </c>
      <c r="E8553" s="837">
        <v>60</v>
      </c>
      <c r="F8553" s="853">
        <v>10</v>
      </c>
      <c r="G8553" s="202" t="str">
        <f t="shared" si="133"/>
        <v/>
      </c>
    </row>
    <row r="8554" spans="1:7" s="172" customFormat="1" ht="15" customHeight="1" x14ac:dyDescent="0.25">
      <c r="A8554" s="837" t="s">
        <v>12157</v>
      </c>
      <c r="B8554" s="851" t="s">
        <v>5503</v>
      </c>
      <c r="C8554" s="851" t="s">
        <v>5503</v>
      </c>
      <c r="D8554" s="837" t="s">
        <v>5617</v>
      </c>
      <c r="E8554" s="837">
        <v>30</v>
      </c>
      <c r="F8554" s="853">
        <v>0</v>
      </c>
      <c r="G8554" s="202" t="str">
        <f t="shared" si="133"/>
        <v/>
      </c>
    </row>
    <row r="8555" spans="1:7" s="172" customFormat="1" ht="15" customHeight="1" x14ac:dyDescent="0.25">
      <c r="A8555" s="837" t="s">
        <v>5599</v>
      </c>
      <c r="B8555" s="851" t="s">
        <v>5503</v>
      </c>
      <c r="C8555" s="851" t="s">
        <v>5503</v>
      </c>
      <c r="D8555" s="837" t="s">
        <v>5618</v>
      </c>
      <c r="E8555" s="837">
        <v>30</v>
      </c>
      <c r="F8555" s="853">
        <v>10</v>
      </c>
      <c r="G8555" s="202" t="str">
        <f t="shared" si="133"/>
        <v/>
      </c>
    </row>
    <row r="8556" spans="1:7" s="172" customFormat="1" ht="15" customHeight="1" x14ac:dyDescent="0.25">
      <c r="A8556" s="837" t="s">
        <v>12158</v>
      </c>
      <c r="B8556" s="851" t="s">
        <v>5503</v>
      </c>
      <c r="C8556" s="851" t="s">
        <v>5503</v>
      </c>
      <c r="D8556" s="837" t="s">
        <v>5619</v>
      </c>
      <c r="E8556" s="837">
        <v>25</v>
      </c>
      <c r="F8556" s="853">
        <v>5</v>
      </c>
      <c r="G8556" s="202" t="str">
        <f t="shared" si="133"/>
        <v/>
      </c>
    </row>
    <row r="8557" spans="1:7" s="172" customFormat="1" ht="15" customHeight="1" x14ac:dyDescent="0.25">
      <c r="A8557" s="837" t="s">
        <v>5620</v>
      </c>
      <c r="B8557" s="851" t="s">
        <v>5503</v>
      </c>
      <c r="C8557" s="851" t="s">
        <v>5503</v>
      </c>
      <c r="D8557" s="837" t="s">
        <v>5621</v>
      </c>
      <c r="E8557" s="837">
        <v>100</v>
      </c>
      <c r="F8557" s="853">
        <v>50</v>
      </c>
      <c r="G8557" s="202" t="str">
        <f t="shared" si="133"/>
        <v/>
      </c>
    </row>
    <row r="8558" spans="1:7" s="172" customFormat="1" ht="15" customHeight="1" x14ac:dyDescent="0.25">
      <c r="A8558" s="837" t="s">
        <v>5620</v>
      </c>
      <c r="B8558" s="851" t="s">
        <v>5503</v>
      </c>
      <c r="C8558" s="851" t="s">
        <v>5503</v>
      </c>
      <c r="D8558" s="837" t="s">
        <v>5622</v>
      </c>
      <c r="E8558" s="837">
        <v>250</v>
      </c>
      <c r="F8558" s="853">
        <v>180</v>
      </c>
      <c r="G8558" s="202" t="str">
        <f t="shared" si="133"/>
        <v/>
      </c>
    </row>
    <row r="8559" spans="1:7" s="172" customFormat="1" ht="15" customHeight="1" x14ac:dyDescent="0.25">
      <c r="A8559" s="837" t="s">
        <v>5620</v>
      </c>
      <c r="B8559" s="851" t="s">
        <v>5503</v>
      </c>
      <c r="C8559" s="851" t="s">
        <v>5503</v>
      </c>
      <c r="D8559" s="837" t="s">
        <v>5623</v>
      </c>
      <c r="E8559" s="837">
        <v>160</v>
      </c>
      <c r="F8559" s="853">
        <v>60</v>
      </c>
      <c r="G8559" s="202" t="str">
        <f t="shared" si="133"/>
        <v/>
      </c>
    </row>
    <row r="8560" spans="1:7" s="172" customFormat="1" ht="15" customHeight="1" x14ac:dyDescent="0.25">
      <c r="A8560" s="837" t="s">
        <v>5620</v>
      </c>
      <c r="B8560" s="851" t="s">
        <v>5503</v>
      </c>
      <c r="C8560" s="851" t="s">
        <v>5503</v>
      </c>
      <c r="D8560" s="837" t="s">
        <v>5624</v>
      </c>
      <c r="E8560" s="837">
        <v>250</v>
      </c>
      <c r="F8560" s="853">
        <v>245</v>
      </c>
      <c r="G8560" s="202" t="str">
        <f t="shared" si="133"/>
        <v/>
      </c>
    </row>
    <row r="8561" spans="1:7" s="172" customFormat="1" ht="15" customHeight="1" x14ac:dyDescent="0.25">
      <c r="A8561" s="837" t="s">
        <v>7340</v>
      </c>
      <c r="B8561" s="851" t="s">
        <v>5503</v>
      </c>
      <c r="C8561" s="851" t="s">
        <v>5503</v>
      </c>
      <c r="D8561" s="837" t="s">
        <v>5625</v>
      </c>
      <c r="E8561" s="837">
        <v>100</v>
      </c>
      <c r="F8561" s="853">
        <v>70</v>
      </c>
      <c r="G8561" s="202" t="str">
        <f t="shared" si="133"/>
        <v/>
      </c>
    </row>
    <row r="8562" spans="1:7" s="172" customFormat="1" ht="15" customHeight="1" x14ac:dyDescent="0.25">
      <c r="A8562" s="837" t="s">
        <v>10002</v>
      </c>
      <c r="B8562" s="851" t="s">
        <v>5503</v>
      </c>
      <c r="C8562" s="851" t="s">
        <v>5503</v>
      </c>
      <c r="D8562" s="837" t="s">
        <v>5626</v>
      </c>
      <c r="E8562" s="837">
        <v>100</v>
      </c>
      <c r="F8562" s="853">
        <v>40</v>
      </c>
      <c r="G8562" s="202" t="str">
        <f t="shared" si="133"/>
        <v/>
      </c>
    </row>
    <row r="8563" spans="1:7" s="172" customFormat="1" ht="15" customHeight="1" x14ac:dyDescent="0.25">
      <c r="A8563" s="837" t="s">
        <v>10002</v>
      </c>
      <c r="B8563" s="851" t="s">
        <v>5503</v>
      </c>
      <c r="C8563" s="851" t="s">
        <v>5503</v>
      </c>
      <c r="D8563" s="837" t="s">
        <v>5627</v>
      </c>
      <c r="E8563" s="837">
        <v>250</v>
      </c>
      <c r="F8563" s="853">
        <v>120</v>
      </c>
      <c r="G8563" s="202" t="str">
        <f t="shared" si="133"/>
        <v/>
      </c>
    </row>
    <row r="8564" spans="1:7" s="172" customFormat="1" ht="15" customHeight="1" x14ac:dyDescent="0.25">
      <c r="A8564" s="837" t="s">
        <v>5628</v>
      </c>
      <c r="B8564" s="851" t="s">
        <v>5503</v>
      </c>
      <c r="C8564" s="851" t="s">
        <v>5503</v>
      </c>
      <c r="D8564" s="837" t="s">
        <v>5629</v>
      </c>
      <c r="E8564" s="837">
        <v>100</v>
      </c>
      <c r="F8564" s="853">
        <v>50</v>
      </c>
      <c r="G8564" s="202" t="str">
        <f t="shared" si="133"/>
        <v/>
      </c>
    </row>
    <row r="8565" spans="1:7" s="172" customFormat="1" ht="15" customHeight="1" x14ac:dyDescent="0.25">
      <c r="A8565" s="837" t="s">
        <v>5630</v>
      </c>
      <c r="B8565" s="851" t="s">
        <v>5503</v>
      </c>
      <c r="C8565" s="851" t="s">
        <v>5503</v>
      </c>
      <c r="D8565" s="837" t="s">
        <v>5631</v>
      </c>
      <c r="E8565" s="837">
        <v>100</v>
      </c>
      <c r="F8565" s="853">
        <v>70</v>
      </c>
      <c r="G8565" s="202" t="str">
        <f t="shared" si="133"/>
        <v/>
      </c>
    </row>
    <row r="8566" spans="1:7" s="172" customFormat="1" ht="15" customHeight="1" x14ac:dyDescent="0.25">
      <c r="A8566" s="837" t="s">
        <v>5632</v>
      </c>
      <c r="B8566" s="851" t="s">
        <v>5503</v>
      </c>
      <c r="C8566" s="851" t="s">
        <v>5503</v>
      </c>
      <c r="D8566" s="837" t="s">
        <v>5633</v>
      </c>
      <c r="E8566" s="837">
        <v>30</v>
      </c>
      <c r="F8566" s="853">
        <v>15</v>
      </c>
      <c r="G8566" s="202" t="str">
        <f t="shared" si="133"/>
        <v/>
      </c>
    </row>
    <row r="8567" spans="1:7" s="172" customFormat="1" ht="15" customHeight="1" x14ac:dyDescent="0.25">
      <c r="A8567" s="837" t="s">
        <v>12159</v>
      </c>
      <c r="B8567" s="851" t="s">
        <v>5503</v>
      </c>
      <c r="C8567" s="851" t="s">
        <v>5503</v>
      </c>
      <c r="D8567" s="837" t="s">
        <v>5634</v>
      </c>
      <c r="E8567" s="837">
        <v>10</v>
      </c>
      <c r="F8567" s="853">
        <v>5</v>
      </c>
      <c r="G8567" s="202" t="str">
        <f t="shared" si="133"/>
        <v/>
      </c>
    </row>
    <row r="8568" spans="1:7" s="172" customFormat="1" ht="15" customHeight="1" x14ac:dyDescent="0.25">
      <c r="A8568" s="837" t="s">
        <v>5635</v>
      </c>
      <c r="B8568" s="851" t="s">
        <v>5503</v>
      </c>
      <c r="C8568" s="851" t="s">
        <v>5503</v>
      </c>
      <c r="D8568" s="837" t="s">
        <v>5636</v>
      </c>
      <c r="E8568" s="837">
        <v>160</v>
      </c>
      <c r="F8568" s="853">
        <v>120</v>
      </c>
      <c r="G8568" s="202" t="str">
        <f t="shared" si="133"/>
        <v/>
      </c>
    </row>
    <row r="8569" spans="1:7" s="172" customFormat="1" ht="15" customHeight="1" x14ac:dyDescent="0.25">
      <c r="A8569" s="837" t="s">
        <v>5637</v>
      </c>
      <c r="B8569" s="851" t="s">
        <v>5503</v>
      </c>
      <c r="C8569" s="851" t="s">
        <v>5503</v>
      </c>
      <c r="D8569" s="837" t="s">
        <v>5638</v>
      </c>
      <c r="E8569" s="837">
        <v>30</v>
      </c>
      <c r="F8569" s="853">
        <v>25</v>
      </c>
      <c r="G8569" s="202" t="str">
        <f t="shared" si="133"/>
        <v/>
      </c>
    </row>
    <row r="8570" spans="1:7" s="172" customFormat="1" ht="15" customHeight="1" x14ac:dyDescent="0.25">
      <c r="A8570" s="837" t="s">
        <v>5639</v>
      </c>
      <c r="B8570" s="851" t="s">
        <v>5503</v>
      </c>
      <c r="C8570" s="851" t="s">
        <v>5503</v>
      </c>
      <c r="D8570" s="837" t="s">
        <v>5640</v>
      </c>
      <c r="E8570" s="837">
        <v>30</v>
      </c>
      <c r="F8570" s="853">
        <v>10</v>
      </c>
      <c r="G8570" s="202" t="str">
        <f t="shared" si="133"/>
        <v/>
      </c>
    </row>
    <row r="8571" spans="1:7" s="172" customFormat="1" ht="15" customHeight="1" x14ac:dyDescent="0.25">
      <c r="A8571" s="837" t="s">
        <v>5297</v>
      </c>
      <c r="B8571" s="851" t="s">
        <v>5503</v>
      </c>
      <c r="C8571" s="851" t="s">
        <v>5503</v>
      </c>
      <c r="D8571" s="837" t="s">
        <v>5641</v>
      </c>
      <c r="E8571" s="837">
        <v>63</v>
      </c>
      <c r="F8571" s="853">
        <v>10</v>
      </c>
      <c r="G8571" s="202" t="str">
        <f t="shared" si="133"/>
        <v/>
      </c>
    </row>
    <row r="8572" spans="1:7" s="172" customFormat="1" ht="15" customHeight="1" x14ac:dyDescent="0.25">
      <c r="A8572" s="837" t="s">
        <v>5297</v>
      </c>
      <c r="B8572" s="851" t="s">
        <v>5503</v>
      </c>
      <c r="C8572" s="851" t="s">
        <v>5503</v>
      </c>
      <c r="D8572" s="837" t="s">
        <v>5642</v>
      </c>
      <c r="E8572" s="837">
        <v>60</v>
      </c>
      <c r="F8572" s="853">
        <v>25</v>
      </c>
      <c r="G8572" s="202" t="str">
        <f t="shared" si="133"/>
        <v/>
      </c>
    </row>
    <row r="8573" spans="1:7" s="172" customFormat="1" ht="15" customHeight="1" x14ac:dyDescent="0.25">
      <c r="A8573" s="837" t="s">
        <v>5643</v>
      </c>
      <c r="B8573" s="851" t="s">
        <v>5503</v>
      </c>
      <c r="C8573" s="851" t="s">
        <v>5503</v>
      </c>
      <c r="D8573" s="837" t="s">
        <v>5644</v>
      </c>
      <c r="E8573" s="837">
        <v>30</v>
      </c>
      <c r="F8573" s="853">
        <v>5</v>
      </c>
      <c r="G8573" s="202" t="str">
        <f t="shared" si="133"/>
        <v/>
      </c>
    </row>
    <row r="8574" spans="1:7" s="172" customFormat="1" ht="15" customHeight="1" x14ac:dyDescent="0.25">
      <c r="A8574" s="837" t="s">
        <v>5645</v>
      </c>
      <c r="B8574" s="851" t="s">
        <v>5503</v>
      </c>
      <c r="C8574" s="851" t="s">
        <v>5503</v>
      </c>
      <c r="D8574" s="837" t="s">
        <v>5646</v>
      </c>
      <c r="E8574" s="837">
        <v>100</v>
      </c>
      <c r="F8574" s="853">
        <v>5</v>
      </c>
      <c r="G8574" s="202" t="str">
        <f t="shared" si="133"/>
        <v/>
      </c>
    </row>
    <row r="8575" spans="1:7" s="172" customFormat="1" ht="15" customHeight="1" x14ac:dyDescent="0.25">
      <c r="A8575" s="837" t="s">
        <v>5645</v>
      </c>
      <c r="B8575" s="851" t="s">
        <v>5503</v>
      </c>
      <c r="C8575" s="851" t="s">
        <v>5503</v>
      </c>
      <c r="D8575" s="837" t="s">
        <v>5647</v>
      </c>
      <c r="E8575" s="837">
        <v>60</v>
      </c>
      <c r="F8575" s="853">
        <v>55</v>
      </c>
      <c r="G8575" s="202" t="str">
        <f t="shared" si="133"/>
        <v/>
      </c>
    </row>
    <row r="8576" spans="1:7" s="172" customFormat="1" ht="15" customHeight="1" x14ac:dyDescent="0.25">
      <c r="A8576" s="837" t="s">
        <v>5645</v>
      </c>
      <c r="B8576" s="851" t="s">
        <v>5503</v>
      </c>
      <c r="C8576" s="851" t="s">
        <v>5503</v>
      </c>
      <c r="D8576" s="837" t="s">
        <v>5648</v>
      </c>
      <c r="E8576" s="837">
        <v>63</v>
      </c>
      <c r="F8576" s="853">
        <v>5</v>
      </c>
      <c r="G8576" s="202" t="str">
        <f t="shared" si="133"/>
        <v/>
      </c>
    </row>
    <row r="8577" spans="1:7" s="172" customFormat="1" ht="15" customHeight="1" x14ac:dyDescent="0.25">
      <c r="A8577" s="837" t="s">
        <v>5649</v>
      </c>
      <c r="B8577" s="851" t="s">
        <v>5503</v>
      </c>
      <c r="C8577" s="851" t="s">
        <v>5503</v>
      </c>
      <c r="D8577" s="837" t="s">
        <v>5650</v>
      </c>
      <c r="E8577" s="837">
        <v>10</v>
      </c>
      <c r="F8577" s="853">
        <v>0</v>
      </c>
      <c r="G8577" s="202" t="str">
        <f t="shared" si="133"/>
        <v/>
      </c>
    </row>
    <row r="8578" spans="1:7" s="172" customFormat="1" ht="15" customHeight="1" x14ac:dyDescent="0.25">
      <c r="A8578" s="837" t="s">
        <v>5651</v>
      </c>
      <c r="B8578" s="851" t="s">
        <v>5503</v>
      </c>
      <c r="C8578" s="851" t="s">
        <v>5503</v>
      </c>
      <c r="D8578" s="837" t="s">
        <v>5652</v>
      </c>
      <c r="E8578" s="837">
        <v>40</v>
      </c>
      <c r="F8578" s="853">
        <v>0</v>
      </c>
      <c r="G8578" s="202" t="str">
        <f t="shared" si="133"/>
        <v/>
      </c>
    </row>
    <row r="8579" spans="1:7" s="172" customFormat="1" ht="15" customHeight="1" x14ac:dyDescent="0.25">
      <c r="A8579" s="837" t="s">
        <v>5653</v>
      </c>
      <c r="B8579" s="851" t="s">
        <v>5503</v>
      </c>
      <c r="C8579" s="851" t="s">
        <v>5503</v>
      </c>
      <c r="D8579" s="837" t="s">
        <v>5654</v>
      </c>
      <c r="E8579" s="837">
        <v>100</v>
      </c>
      <c r="F8579" s="853">
        <v>70</v>
      </c>
      <c r="G8579" s="202" t="str">
        <f t="shared" si="133"/>
        <v/>
      </c>
    </row>
    <row r="8580" spans="1:7" s="172" customFormat="1" ht="15" customHeight="1" x14ac:dyDescent="0.25">
      <c r="A8580" s="837" t="s">
        <v>2922</v>
      </c>
      <c r="B8580" s="851" t="s">
        <v>5503</v>
      </c>
      <c r="C8580" s="851" t="s">
        <v>5503</v>
      </c>
      <c r="D8580" s="837" t="s">
        <v>5655</v>
      </c>
      <c r="E8580" s="837">
        <v>160</v>
      </c>
      <c r="F8580" s="853">
        <v>0</v>
      </c>
      <c r="G8580" s="202" t="str">
        <f t="shared" si="133"/>
        <v/>
      </c>
    </row>
    <row r="8581" spans="1:7" s="172" customFormat="1" ht="15" customHeight="1" x14ac:dyDescent="0.25">
      <c r="A8581" s="837" t="s">
        <v>5656</v>
      </c>
      <c r="B8581" s="851" t="s">
        <v>5503</v>
      </c>
      <c r="C8581" s="851" t="s">
        <v>5503</v>
      </c>
      <c r="D8581" s="837" t="s">
        <v>5657</v>
      </c>
      <c r="E8581" s="837">
        <v>63</v>
      </c>
      <c r="F8581" s="853">
        <v>50</v>
      </c>
      <c r="G8581" s="202" t="str">
        <f t="shared" si="133"/>
        <v/>
      </c>
    </row>
    <row r="8582" spans="1:7" s="172" customFormat="1" ht="15" customHeight="1" x14ac:dyDescent="0.25">
      <c r="A8582" s="837" t="s">
        <v>5656</v>
      </c>
      <c r="B8582" s="851" t="s">
        <v>5503</v>
      </c>
      <c r="C8582" s="851" t="s">
        <v>5503</v>
      </c>
      <c r="D8582" s="837" t="s">
        <v>5658</v>
      </c>
      <c r="E8582" s="837">
        <v>30</v>
      </c>
      <c r="F8582" s="853">
        <v>10</v>
      </c>
      <c r="G8582" s="202" t="str">
        <f t="shared" si="133"/>
        <v/>
      </c>
    </row>
    <row r="8583" spans="1:7" s="172" customFormat="1" ht="15" customHeight="1" x14ac:dyDescent="0.25">
      <c r="A8583" s="837" t="s">
        <v>5659</v>
      </c>
      <c r="B8583" s="851" t="s">
        <v>5503</v>
      </c>
      <c r="C8583" s="851" t="s">
        <v>5503</v>
      </c>
      <c r="D8583" s="837" t="s">
        <v>5660</v>
      </c>
      <c r="E8583" s="837">
        <v>100</v>
      </c>
      <c r="F8583" s="853">
        <v>60</v>
      </c>
      <c r="G8583" s="202" t="str">
        <f t="shared" si="133"/>
        <v/>
      </c>
    </row>
    <row r="8584" spans="1:7" s="172" customFormat="1" ht="15" customHeight="1" x14ac:dyDescent="0.25">
      <c r="A8584" s="837" t="s">
        <v>2922</v>
      </c>
      <c r="B8584" s="851" t="s">
        <v>5503</v>
      </c>
      <c r="C8584" s="851" t="s">
        <v>5503</v>
      </c>
      <c r="D8584" s="837" t="s">
        <v>5661</v>
      </c>
      <c r="E8584" s="837">
        <v>30</v>
      </c>
      <c r="F8584" s="853">
        <v>10</v>
      </c>
      <c r="G8584" s="202" t="str">
        <f t="shared" si="133"/>
        <v/>
      </c>
    </row>
    <row r="8585" spans="1:7" s="172" customFormat="1" ht="15" customHeight="1" x14ac:dyDescent="0.25">
      <c r="A8585" s="837" t="s">
        <v>4857</v>
      </c>
      <c r="B8585" s="851" t="s">
        <v>5503</v>
      </c>
      <c r="C8585" s="851" t="s">
        <v>5503</v>
      </c>
      <c r="D8585" s="837" t="s">
        <v>5662</v>
      </c>
      <c r="E8585" s="837">
        <v>160</v>
      </c>
      <c r="F8585" s="853">
        <v>100</v>
      </c>
      <c r="G8585" s="202" t="str">
        <f t="shared" si="133"/>
        <v/>
      </c>
    </row>
    <row r="8586" spans="1:7" s="172" customFormat="1" ht="15" customHeight="1" x14ac:dyDescent="0.25">
      <c r="A8586" s="837" t="s">
        <v>5663</v>
      </c>
      <c r="B8586" s="851" t="s">
        <v>5503</v>
      </c>
      <c r="C8586" s="851" t="s">
        <v>5503</v>
      </c>
      <c r="D8586" s="837" t="s">
        <v>5664</v>
      </c>
      <c r="E8586" s="837">
        <v>63</v>
      </c>
      <c r="F8586" s="853">
        <v>30</v>
      </c>
      <c r="G8586" s="202" t="str">
        <f t="shared" si="133"/>
        <v/>
      </c>
    </row>
    <row r="8587" spans="1:7" s="172" customFormat="1" ht="15" customHeight="1" x14ac:dyDescent="0.25">
      <c r="A8587" s="837" t="s">
        <v>5665</v>
      </c>
      <c r="B8587" s="851" t="s">
        <v>5503</v>
      </c>
      <c r="C8587" s="851" t="s">
        <v>5503</v>
      </c>
      <c r="D8587" s="837" t="s">
        <v>5666</v>
      </c>
      <c r="E8587" s="837">
        <v>60</v>
      </c>
      <c r="F8587" s="853">
        <v>40</v>
      </c>
      <c r="G8587" s="202" t="str">
        <f t="shared" si="133"/>
        <v/>
      </c>
    </row>
    <row r="8588" spans="1:7" s="172" customFormat="1" ht="15" customHeight="1" x14ac:dyDescent="0.25">
      <c r="A8588" s="837" t="s">
        <v>5667</v>
      </c>
      <c r="B8588" s="851" t="s">
        <v>5503</v>
      </c>
      <c r="C8588" s="851" t="s">
        <v>5503</v>
      </c>
      <c r="D8588" s="837" t="s">
        <v>5668</v>
      </c>
      <c r="E8588" s="837">
        <v>60</v>
      </c>
      <c r="F8588" s="853">
        <v>40</v>
      </c>
      <c r="G8588" s="202" t="str">
        <f t="shared" si="133"/>
        <v/>
      </c>
    </row>
    <row r="8589" spans="1:7" s="172" customFormat="1" ht="15" customHeight="1" x14ac:dyDescent="0.25">
      <c r="A8589" s="837" t="s">
        <v>5669</v>
      </c>
      <c r="B8589" s="851" t="s">
        <v>5503</v>
      </c>
      <c r="C8589" s="851" t="s">
        <v>5503</v>
      </c>
      <c r="D8589" s="837" t="s">
        <v>5670</v>
      </c>
      <c r="E8589" s="837">
        <v>10</v>
      </c>
      <c r="F8589" s="853">
        <v>5</v>
      </c>
      <c r="G8589" s="202" t="str">
        <f t="shared" si="133"/>
        <v/>
      </c>
    </row>
    <row r="8590" spans="1:7" s="172" customFormat="1" ht="15" customHeight="1" x14ac:dyDescent="0.25">
      <c r="A8590" s="837" t="s">
        <v>5671</v>
      </c>
      <c r="B8590" s="851" t="s">
        <v>5503</v>
      </c>
      <c r="C8590" s="851" t="s">
        <v>5503</v>
      </c>
      <c r="D8590" s="837" t="s">
        <v>3184</v>
      </c>
      <c r="E8590" s="837">
        <v>100</v>
      </c>
      <c r="F8590" s="853">
        <v>70</v>
      </c>
      <c r="G8590" s="202" t="str">
        <f t="shared" si="133"/>
        <v/>
      </c>
    </row>
    <row r="8591" spans="1:7" s="172" customFormat="1" ht="15" customHeight="1" x14ac:dyDescent="0.25">
      <c r="A8591" s="837" t="s">
        <v>5672</v>
      </c>
      <c r="B8591" s="851" t="s">
        <v>5503</v>
      </c>
      <c r="C8591" s="851" t="s">
        <v>5503</v>
      </c>
      <c r="D8591" s="837" t="s">
        <v>5673</v>
      </c>
      <c r="E8591" s="837">
        <v>60</v>
      </c>
      <c r="F8591" s="853">
        <v>35</v>
      </c>
      <c r="G8591" s="202" t="str">
        <f t="shared" si="133"/>
        <v/>
      </c>
    </row>
    <row r="8592" spans="1:7" s="172" customFormat="1" ht="15" customHeight="1" x14ac:dyDescent="0.25">
      <c r="A8592" s="837" t="s">
        <v>5674</v>
      </c>
      <c r="B8592" s="851" t="s">
        <v>5503</v>
      </c>
      <c r="C8592" s="851" t="s">
        <v>5503</v>
      </c>
      <c r="D8592" s="837" t="s">
        <v>5675</v>
      </c>
      <c r="E8592" s="837">
        <v>30</v>
      </c>
      <c r="F8592" s="853">
        <v>10</v>
      </c>
      <c r="G8592" s="202" t="str">
        <f t="shared" si="133"/>
        <v/>
      </c>
    </row>
    <row r="8593" spans="1:7" s="172" customFormat="1" ht="15" customHeight="1" x14ac:dyDescent="0.25">
      <c r="A8593" s="837" t="s">
        <v>5676</v>
      </c>
      <c r="B8593" s="851" t="s">
        <v>5503</v>
      </c>
      <c r="C8593" s="851" t="s">
        <v>5503</v>
      </c>
      <c r="D8593" s="837" t="s">
        <v>5677</v>
      </c>
      <c r="E8593" s="837">
        <v>100</v>
      </c>
      <c r="F8593" s="853">
        <v>10</v>
      </c>
      <c r="G8593" s="202" t="str">
        <f t="shared" si="133"/>
        <v/>
      </c>
    </row>
    <row r="8594" spans="1:7" s="172" customFormat="1" ht="15" customHeight="1" x14ac:dyDescent="0.25">
      <c r="A8594" s="837" t="s">
        <v>5676</v>
      </c>
      <c r="B8594" s="851" t="s">
        <v>5503</v>
      </c>
      <c r="C8594" s="851" t="s">
        <v>5503</v>
      </c>
      <c r="D8594" s="837" t="s">
        <v>5678</v>
      </c>
      <c r="E8594" s="837">
        <v>100</v>
      </c>
      <c r="F8594" s="853">
        <v>10</v>
      </c>
      <c r="G8594" s="202" t="str">
        <f t="shared" si="133"/>
        <v/>
      </c>
    </row>
    <row r="8595" spans="1:7" s="172" customFormat="1" ht="15" customHeight="1" x14ac:dyDescent="0.25">
      <c r="A8595" s="837" t="s">
        <v>5505</v>
      </c>
      <c r="B8595" s="851" t="s">
        <v>5503</v>
      </c>
      <c r="C8595" s="851" t="s">
        <v>5503</v>
      </c>
      <c r="D8595" s="837" t="s">
        <v>5679</v>
      </c>
      <c r="E8595" s="837">
        <v>160</v>
      </c>
      <c r="F8595" s="853">
        <v>25</v>
      </c>
      <c r="G8595" s="202" t="str">
        <f t="shared" si="133"/>
        <v/>
      </c>
    </row>
    <row r="8596" spans="1:7" s="172" customFormat="1" ht="15" customHeight="1" x14ac:dyDescent="0.25">
      <c r="A8596" s="837" t="s">
        <v>5505</v>
      </c>
      <c r="B8596" s="851" t="s">
        <v>5503</v>
      </c>
      <c r="C8596" s="851" t="s">
        <v>5503</v>
      </c>
      <c r="D8596" s="837" t="s">
        <v>5680</v>
      </c>
      <c r="E8596" s="837">
        <v>160</v>
      </c>
      <c r="F8596" s="853">
        <v>160</v>
      </c>
      <c r="G8596" s="202" t="str">
        <f t="shared" si="133"/>
        <v>не загружен</v>
      </c>
    </row>
    <row r="8597" spans="1:7" s="172" customFormat="1" ht="15" customHeight="1" x14ac:dyDescent="0.25">
      <c r="A8597" s="837" t="s">
        <v>5505</v>
      </c>
      <c r="B8597" s="851" t="s">
        <v>5503</v>
      </c>
      <c r="C8597" s="851" t="s">
        <v>5503</v>
      </c>
      <c r="D8597" s="837" t="s">
        <v>5681</v>
      </c>
      <c r="E8597" s="837">
        <v>160</v>
      </c>
      <c r="F8597" s="853">
        <v>10</v>
      </c>
      <c r="G8597" s="202" t="str">
        <f t="shared" si="133"/>
        <v/>
      </c>
    </row>
    <row r="8598" spans="1:7" s="172" customFormat="1" ht="15" customHeight="1" x14ac:dyDescent="0.25">
      <c r="A8598" s="837" t="s">
        <v>5505</v>
      </c>
      <c r="B8598" s="851" t="s">
        <v>5503</v>
      </c>
      <c r="C8598" s="851" t="s">
        <v>5503</v>
      </c>
      <c r="D8598" s="837" t="s">
        <v>5682</v>
      </c>
      <c r="E8598" s="837">
        <v>160</v>
      </c>
      <c r="F8598" s="853">
        <v>-5</v>
      </c>
      <c r="G8598" s="202" t="str">
        <f t="shared" si="133"/>
        <v/>
      </c>
    </row>
    <row r="8599" spans="1:7" s="172" customFormat="1" ht="15" customHeight="1" x14ac:dyDescent="0.25">
      <c r="A8599" s="837" t="s">
        <v>5505</v>
      </c>
      <c r="B8599" s="851" t="s">
        <v>5503</v>
      </c>
      <c r="C8599" s="851" t="s">
        <v>5503</v>
      </c>
      <c r="D8599" s="837" t="s">
        <v>5683</v>
      </c>
      <c r="E8599" s="837">
        <v>160</v>
      </c>
      <c r="F8599" s="853">
        <v>10</v>
      </c>
      <c r="G8599" s="202" t="str">
        <f t="shared" si="133"/>
        <v/>
      </c>
    </row>
    <row r="8600" spans="1:7" s="172" customFormat="1" ht="15" customHeight="1" x14ac:dyDescent="0.25">
      <c r="A8600" s="837" t="s">
        <v>5505</v>
      </c>
      <c r="B8600" s="851" t="s">
        <v>5503</v>
      </c>
      <c r="C8600" s="851" t="s">
        <v>5503</v>
      </c>
      <c r="D8600" s="837" t="s">
        <v>5684</v>
      </c>
      <c r="E8600" s="837">
        <v>250</v>
      </c>
      <c r="F8600" s="853">
        <v>-5</v>
      </c>
      <c r="G8600" s="202" t="str">
        <f t="shared" si="133"/>
        <v/>
      </c>
    </row>
    <row r="8601" spans="1:7" s="172" customFormat="1" ht="15" customHeight="1" x14ac:dyDescent="0.25">
      <c r="A8601" s="837" t="s">
        <v>5685</v>
      </c>
      <c r="B8601" s="851" t="s">
        <v>5503</v>
      </c>
      <c r="C8601" s="851" t="s">
        <v>5503</v>
      </c>
      <c r="D8601" s="837" t="s">
        <v>5686</v>
      </c>
      <c r="E8601" s="837">
        <v>100</v>
      </c>
      <c r="F8601" s="853">
        <v>70</v>
      </c>
      <c r="G8601" s="202" t="str">
        <f t="shared" si="133"/>
        <v/>
      </c>
    </row>
    <row r="8602" spans="1:7" s="172" customFormat="1" ht="15" customHeight="1" x14ac:dyDescent="0.25">
      <c r="A8602" s="837" t="s">
        <v>5687</v>
      </c>
      <c r="B8602" s="851" t="s">
        <v>5503</v>
      </c>
      <c r="C8602" s="851" t="s">
        <v>5503</v>
      </c>
      <c r="D8602" s="837" t="s">
        <v>5688</v>
      </c>
      <c r="E8602" s="837">
        <v>60</v>
      </c>
      <c r="F8602" s="853">
        <v>10</v>
      </c>
      <c r="G8602" s="202" t="str">
        <f t="shared" si="133"/>
        <v/>
      </c>
    </row>
    <row r="8603" spans="1:7" s="172" customFormat="1" ht="15" customHeight="1" x14ac:dyDescent="0.25">
      <c r="A8603" s="837" t="s">
        <v>5689</v>
      </c>
      <c r="B8603" s="851" t="s">
        <v>5503</v>
      </c>
      <c r="C8603" s="851" t="s">
        <v>5503</v>
      </c>
      <c r="D8603" s="837" t="s">
        <v>5690</v>
      </c>
      <c r="E8603" s="837">
        <v>30</v>
      </c>
      <c r="F8603" s="853">
        <v>10</v>
      </c>
      <c r="G8603" s="202" t="str">
        <f t="shared" si="133"/>
        <v/>
      </c>
    </row>
    <row r="8604" spans="1:7" s="172" customFormat="1" ht="15" customHeight="1" x14ac:dyDescent="0.25">
      <c r="A8604" s="837" t="s">
        <v>5691</v>
      </c>
      <c r="B8604" s="851" t="s">
        <v>5503</v>
      </c>
      <c r="C8604" s="851" t="s">
        <v>5503</v>
      </c>
      <c r="D8604" s="837" t="s">
        <v>5692</v>
      </c>
      <c r="E8604" s="837">
        <v>100</v>
      </c>
      <c r="F8604" s="853">
        <v>15</v>
      </c>
      <c r="G8604" s="202" t="str">
        <f t="shared" si="133"/>
        <v/>
      </c>
    </row>
    <row r="8605" spans="1:7" s="172" customFormat="1" ht="15" customHeight="1" x14ac:dyDescent="0.25">
      <c r="A8605" s="837" t="s">
        <v>5691</v>
      </c>
      <c r="B8605" s="851" t="s">
        <v>5503</v>
      </c>
      <c r="C8605" s="851" t="s">
        <v>5503</v>
      </c>
      <c r="D8605" s="837" t="s">
        <v>5693</v>
      </c>
      <c r="E8605" s="837">
        <v>250</v>
      </c>
      <c r="F8605" s="853">
        <v>120</v>
      </c>
      <c r="G8605" s="202" t="str">
        <f t="shared" si="133"/>
        <v/>
      </c>
    </row>
    <row r="8606" spans="1:7" s="172" customFormat="1" ht="15" customHeight="1" x14ac:dyDescent="0.25">
      <c r="A8606" s="837" t="s">
        <v>5694</v>
      </c>
      <c r="B8606" s="851" t="s">
        <v>5503</v>
      </c>
      <c r="C8606" s="851" t="s">
        <v>5503</v>
      </c>
      <c r="D8606" s="837" t="s">
        <v>5695</v>
      </c>
      <c r="E8606" s="837">
        <v>100</v>
      </c>
      <c r="F8606" s="853">
        <v>10</v>
      </c>
      <c r="G8606" s="202" t="str">
        <f t="shared" ref="G8606:G8669" si="134">IF(E8606=F8606,"не загружен","")</f>
        <v/>
      </c>
    </row>
    <row r="8607" spans="1:7" s="172" customFormat="1" ht="15" customHeight="1" x14ac:dyDescent="0.25">
      <c r="A8607" s="837" t="s">
        <v>3424</v>
      </c>
      <c r="B8607" s="851" t="s">
        <v>5503</v>
      </c>
      <c r="C8607" s="851" t="s">
        <v>5503</v>
      </c>
      <c r="D8607" s="837" t="s">
        <v>5696</v>
      </c>
      <c r="E8607" s="837">
        <v>60</v>
      </c>
      <c r="F8607" s="853">
        <v>15</v>
      </c>
      <c r="G8607" s="202" t="str">
        <f t="shared" si="134"/>
        <v/>
      </c>
    </row>
    <row r="8608" spans="1:7" s="172" customFormat="1" ht="15" customHeight="1" x14ac:dyDescent="0.25">
      <c r="A8608" s="837" t="s">
        <v>3424</v>
      </c>
      <c r="B8608" s="851" t="s">
        <v>5503</v>
      </c>
      <c r="C8608" s="851" t="s">
        <v>5503</v>
      </c>
      <c r="D8608" s="837" t="s">
        <v>5697</v>
      </c>
      <c r="E8608" s="837">
        <v>100</v>
      </c>
      <c r="F8608" s="853">
        <v>25</v>
      </c>
      <c r="G8608" s="202" t="str">
        <f t="shared" si="134"/>
        <v/>
      </c>
    </row>
    <row r="8609" spans="1:7" s="172" customFormat="1" ht="15" customHeight="1" x14ac:dyDescent="0.25">
      <c r="A8609" s="837" t="s">
        <v>3424</v>
      </c>
      <c r="B8609" s="851" t="s">
        <v>5503</v>
      </c>
      <c r="C8609" s="851" t="s">
        <v>5503</v>
      </c>
      <c r="D8609" s="837" t="s">
        <v>5698</v>
      </c>
      <c r="E8609" s="837">
        <v>60</v>
      </c>
      <c r="F8609" s="853">
        <v>50</v>
      </c>
      <c r="G8609" s="202" t="str">
        <f t="shared" si="134"/>
        <v/>
      </c>
    </row>
    <row r="8610" spans="1:7" s="172" customFormat="1" ht="15" customHeight="1" x14ac:dyDescent="0.25">
      <c r="A8610" s="837" t="s">
        <v>5699</v>
      </c>
      <c r="B8610" s="851" t="s">
        <v>5503</v>
      </c>
      <c r="C8610" s="851" t="s">
        <v>5503</v>
      </c>
      <c r="D8610" s="837" t="s">
        <v>5700</v>
      </c>
      <c r="E8610" s="837">
        <v>30</v>
      </c>
      <c r="F8610" s="853">
        <v>20</v>
      </c>
      <c r="G8610" s="202" t="str">
        <f t="shared" si="134"/>
        <v/>
      </c>
    </row>
    <row r="8611" spans="1:7" s="172" customFormat="1" ht="15" customHeight="1" x14ac:dyDescent="0.25">
      <c r="A8611" s="837" t="s">
        <v>5701</v>
      </c>
      <c r="B8611" s="851" t="s">
        <v>5503</v>
      </c>
      <c r="C8611" s="851" t="s">
        <v>5503</v>
      </c>
      <c r="D8611" s="837" t="s">
        <v>5702</v>
      </c>
      <c r="E8611" s="837">
        <v>30</v>
      </c>
      <c r="F8611" s="853">
        <v>20</v>
      </c>
      <c r="G8611" s="202" t="str">
        <f t="shared" si="134"/>
        <v/>
      </c>
    </row>
    <row r="8612" spans="1:7" s="172" customFormat="1" ht="15" customHeight="1" x14ac:dyDescent="0.25">
      <c r="A8612" s="837" t="s">
        <v>12160</v>
      </c>
      <c r="B8612" s="851" t="s">
        <v>5503</v>
      </c>
      <c r="C8612" s="851" t="s">
        <v>5503</v>
      </c>
      <c r="D8612" s="837" t="s">
        <v>5703</v>
      </c>
      <c r="E8612" s="837">
        <v>30</v>
      </c>
      <c r="F8612" s="853">
        <v>20</v>
      </c>
      <c r="G8612" s="202" t="str">
        <f t="shared" si="134"/>
        <v/>
      </c>
    </row>
    <row r="8613" spans="1:7" s="172" customFormat="1" ht="15" customHeight="1" x14ac:dyDescent="0.25">
      <c r="A8613" s="837" t="s">
        <v>5704</v>
      </c>
      <c r="B8613" s="851" t="s">
        <v>5503</v>
      </c>
      <c r="C8613" s="851" t="s">
        <v>5503</v>
      </c>
      <c r="D8613" s="837" t="s">
        <v>5705</v>
      </c>
      <c r="E8613" s="837">
        <v>100</v>
      </c>
      <c r="F8613" s="853">
        <v>95</v>
      </c>
      <c r="G8613" s="202" t="str">
        <f t="shared" si="134"/>
        <v/>
      </c>
    </row>
    <row r="8614" spans="1:7" s="172" customFormat="1" ht="15" customHeight="1" x14ac:dyDescent="0.25">
      <c r="A8614" s="837" t="s">
        <v>5706</v>
      </c>
      <c r="B8614" s="851" t="s">
        <v>5503</v>
      </c>
      <c r="C8614" s="851" t="s">
        <v>5503</v>
      </c>
      <c r="D8614" s="837" t="s">
        <v>5707</v>
      </c>
      <c r="E8614" s="837">
        <v>100</v>
      </c>
      <c r="F8614" s="853">
        <v>20</v>
      </c>
      <c r="G8614" s="202" t="str">
        <f t="shared" si="134"/>
        <v/>
      </c>
    </row>
    <row r="8615" spans="1:7" s="172" customFormat="1" ht="15" customHeight="1" x14ac:dyDescent="0.25">
      <c r="A8615" s="837" t="s">
        <v>5706</v>
      </c>
      <c r="B8615" s="851" t="s">
        <v>5503</v>
      </c>
      <c r="C8615" s="851" t="s">
        <v>5503</v>
      </c>
      <c r="D8615" s="837" t="s">
        <v>5708</v>
      </c>
      <c r="E8615" s="837">
        <v>160</v>
      </c>
      <c r="F8615" s="853">
        <v>152</v>
      </c>
      <c r="G8615" s="202" t="str">
        <f t="shared" si="134"/>
        <v/>
      </c>
    </row>
    <row r="8616" spans="1:7" s="172" customFormat="1" ht="15" customHeight="1" x14ac:dyDescent="0.25">
      <c r="A8616" s="837" t="s">
        <v>5706</v>
      </c>
      <c r="B8616" s="851" t="s">
        <v>5503</v>
      </c>
      <c r="C8616" s="851" t="s">
        <v>5503</v>
      </c>
      <c r="D8616" s="837" t="s">
        <v>5709</v>
      </c>
      <c r="E8616" s="837">
        <v>63</v>
      </c>
      <c r="F8616" s="853">
        <v>15</v>
      </c>
      <c r="G8616" s="202" t="str">
        <f t="shared" si="134"/>
        <v/>
      </c>
    </row>
    <row r="8617" spans="1:7" s="172" customFormat="1" ht="15" customHeight="1" x14ac:dyDescent="0.25">
      <c r="A8617" s="837" t="s">
        <v>12161</v>
      </c>
      <c r="B8617" s="851" t="s">
        <v>5503</v>
      </c>
      <c r="C8617" s="851" t="s">
        <v>5503</v>
      </c>
      <c r="D8617" s="837" t="s">
        <v>5710</v>
      </c>
      <c r="E8617" s="837">
        <v>25</v>
      </c>
      <c r="F8617" s="853">
        <v>15</v>
      </c>
      <c r="G8617" s="202" t="str">
        <f t="shared" si="134"/>
        <v/>
      </c>
    </row>
    <row r="8618" spans="1:7" s="172" customFormat="1" ht="15" customHeight="1" x14ac:dyDescent="0.25">
      <c r="A8618" s="837" t="s">
        <v>5711</v>
      </c>
      <c r="B8618" s="851" t="s">
        <v>5503</v>
      </c>
      <c r="C8618" s="851" t="s">
        <v>5503</v>
      </c>
      <c r="D8618" s="837" t="s">
        <v>5712</v>
      </c>
      <c r="E8618" s="837">
        <v>30</v>
      </c>
      <c r="F8618" s="853">
        <v>15</v>
      </c>
      <c r="G8618" s="202" t="str">
        <f t="shared" si="134"/>
        <v/>
      </c>
    </row>
    <row r="8619" spans="1:7" s="172" customFormat="1" ht="15" customHeight="1" x14ac:dyDescent="0.25">
      <c r="A8619" s="837" t="s">
        <v>5713</v>
      </c>
      <c r="B8619" s="851" t="s">
        <v>5503</v>
      </c>
      <c r="C8619" s="851" t="s">
        <v>5503</v>
      </c>
      <c r="D8619" s="837" t="s">
        <v>5714</v>
      </c>
      <c r="E8619" s="837">
        <v>30</v>
      </c>
      <c r="F8619" s="853">
        <v>10</v>
      </c>
      <c r="G8619" s="202" t="str">
        <f t="shared" si="134"/>
        <v/>
      </c>
    </row>
    <row r="8620" spans="1:7" s="172" customFormat="1" ht="15" customHeight="1" x14ac:dyDescent="0.25">
      <c r="A8620" s="837" t="s">
        <v>5715</v>
      </c>
      <c r="B8620" s="851" t="s">
        <v>5503</v>
      </c>
      <c r="C8620" s="851" t="s">
        <v>5503</v>
      </c>
      <c r="D8620" s="837" t="s">
        <v>5716</v>
      </c>
      <c r="E8620" s="837">
        <v>100</v>
      </c>
      <c r="F8620" s="853">
        <v>50</v>
      </c>
      <c r="G8620" s="202" t="str">
        <f t="shared" si="134"/>
        <v/>
      </c>
    </row>
    <row r="8621" spans="1:7" s="172" customFormat="1" ht="15" customHeight="1" x14ac:dyDescent="0.25">
      <c r="A8621" s="837" t="s">
        <v>5715</v>
      </c>
      <c r="B8621" s="851" t="s">
        <v>5503</v>
      </c>
      <c r="C8621" s="851" t="s">
        <v>5503</v>
      </c>
      <c r="D8621" s="837" t="s">
        <v>5717</v>
      </c>
      <c r="E8621" s="837">
        <v>400</v>
      </c>
      <c r="F8621" s="853">
        <v>310</v>
      </c>
      <c r="G8621" s="202" t="str">
        <f t="shared" si="134"/>
        <v/>
      </c>
    </row>
    <row r="8622" spans="1:7" s="172" customFormat="1" ht="15" customHeight="1" x14ac:dyDescent="0.25">
      <c r="A8622" s="837" t="s">
        <v>5715</v>
      </c>
      <c r="B8622" s="851" t="s">
        <v>5503</v>
      </c>
      <c r="C8622" s="851" t="s">
        <v>5503</v>
      </c>
      <c r="D8622" s="837" t="s">
        <v>5718</v>
      </c>
      <c r="E8622" s="837">
        <v>250</v>
      </c>
      <c r="F8622" s="853">
        <v>60</v>
      </c>
      <c r="G8622" s="202" t="str">
        <f t="shared" si="134"/>
        <v/>
      </c>
    </row>
    <row r="8623" spans="1:7" s="172" customFormat="1" ht="15" customHeight="1" x14ac:dyDescent="0.25">
      <c r="A8623" s="837" t="s">
        <v>5719</v>
      </c>
      <c r="B8623" s="851" t="s">
        <v>5503</v>
      </c>
      <c r="C8623" s="851" t="s">
        <v>5503</v>
      </c>
      <c r="D8623" s="837" t="s">
        <v>5720</v>
      </c>
      <c r="E8623" s="837">
        <v>160</v>
      </c>
      <c r="F8623" s="853">
        <v>100</v>
      </c>
      <c r="G8623" s="202" t="str">
        <f t="shared" si="134"/>
        <v/>
      </c>
    </row>
    <row r="8624" spans="1:7" s="172" customFormat="1" ht="15" customHeight="1" x14ac:dyDescent="0.25">
      <c r="A8624" s="837" t="s">
        <v>5719</v>
      </c>
      <c r="B8624" s="851" t="s">
        <v>5503</v>
      </c>
      <c r="C8624" s="851" t="s">
        <v>5503</v>
      </c>
      <c r="D8624" s="837" t="s">
        <v>5721</v>
      </c>
      <c r="E8624" s="837">
        <v>400</v>
      </c>
      <c r="F8624" s="853">
        <v>320</v>
      </c>
      <c r="G8624" s="202" t="str">
        <f t="shared" si="134"/>
        <v/>
      </c>
    </row>
    <row r="8625" spans="1:7" s="172" customFormat="1" ht="15" customHeight="1" x14ac:dyDescent="0.25">
      <c r="A8625" s="837" t="s">
        <v>5719</v>
      </c>
      <c r="B8625" s="851" t="s">
        <v>5503</v>
      </c>
      <c r="C8625" s="851" t="s">
        <v>5503</v>
      </c>
      <c r="D8625" s="837" t="s">
        <v>5722</v>
      </c>
      <c r="E8625" s="837">
        <v>100</v>
      </c>
      <c r="F8625" s="853">
        <v>80</v>
      </c>
      <c r="G8625" s="202" t="str">
        <f t="shared" si="134"/>
        <v/>
      </c>
    </row>
    <row r="8626" spans="1:7" s="172" customFormat="1" ht="15" customHeight="1" x14ac:dyDescent="0.25">
      <c r="A8626" s="837" t="s">
        <v>5723</v>
      </c>
      <c r="B8626" s="851" t="s">
        <v>5503</v>
      </c>
      <c r="C8626" s="851" t="s">
        <v>5503</v>
      </c>
      <c r="D8626" s="837" t="s">
        <v>5724</v>
      </c>
      <c r="E8626" s="837">
        <v>63</v>
      </c>
      <c r="F8626" s="853">
        <v>45</v>
      </c>
      <c r="G8626" s="202" t="str">
        <f t="shared" si="134"/>
        <v/>
      </c>
    </row>
    <row r="8627" spans="1:7" s="172" customFormat="1" ht="15" customHeight="1" x14ac:dyDescent="0.25">
      <c r="A8627" s="837" t="s">
        <v>5725</v>
      </c>
      <c r="B8627" s="851" t="s">
        <v>5503</v>
      </c>
      <c r="C8627" s="851" t="s">
        <v>5503</v>
      </c>
      <c r="D8627" s="837" t="s">
        <v>5726</v>
      </c>
      <c r="E8627" s="837">
        <v>60</v>
      </c>
      <c r="F8627" s="853">
        <v>15</v>
      </c>
      <c r="G8627" s="202" t="str">
        <f t="shared" si="134"/>
        <v/>
      </c>
    </row>
    <row r="8628" spans="1:7" s="172" customFormat="1" ht="15" customHeight="1" x14ac:dyDescent="0.25">
      <c r="A8628" s="837" t="s">
        <v>5727</v>
      </c>
      <c r="B8628" s="851" t="s">
        <v>5503</v>
      </c>
      <c r="C8628" s="851" t="s">
        <v>5503</v>
      </c>
      <c r="D8628" s="837" t="s">
        <v>5728</v>
      </c>
      <c r="E8628" s="837">
        <v>60</v>
      </c>
      <c r="F8628" s="853">
        <v>15</v>
      </c>
      <c r="G8628" s="202" t="str">
        <f t="shared" si="134"/>
        <v/>
      </c>
    </row>
    <row r="8629" spans="1:7" s="172" customFormat="1" ht="15" customHeight="1" x14ac:dyDescent="0.25">
      <c r="A8629" s="837" t="s">
        <v>5729</v>
      </c>
      <c r="B8629" s="851" t="s">
        <v>5503</v>
      </c>
      <c r="C8629" s="851" t="s">
        <v>5503</v>
      </c>
      <c r="D8629" s="837" t="s">
        <v>5730</v>
      </c>
      <c r="E8629" s="837">
        <v>100</v>
      </c>
      <c r="F8629" s="853">
        <v>25</v>
      </c>
      <c r="G8629" s="202" t="str">
        <f t="shared" si="134"/>
        <v/>
      </c>
    </row>
    <row r="8630" spans="1:7" s="172" customFormat="1" ht="15" customHeight="1" x14ac:dyDescent="0.25">
      <c r="A8630" s="837" t="s">
        <v>3130</v>
      </c>
      <c r="B8630" s="851" t="s">
        <v>5503</v>
      </c>
      <c r="C8630" s="851" t="s">
        <v>5503</v>
      </c>
      <c r="D8630" s="837" t="s">
        <v>5731</v>
      </c>
      <c r="E8630" s="837">
        <v>60</v>
      </c>
      <c r="F8630" s="853">
        <v>20</v>
      </c>
      <c r="G8630" s="202" t="str">
        <f t="shared" si="134"/>
        <v/>
      </c>
    </row>
    <row r="8631" spans="1:7" s="172" customFormat="1" ht="15" customHeight="1" x14ac:dyDescent="0.25">
      <c r="A8631" s="837" t="s">
        <v>4869</v>
      </c>
      <c r="B8631" s="851" t="s">
        <v>5503</v>
      </c>
      <c r="C8631" s="851" t="s">
        <v>5503</v>
      </c>
      <c r="D8631" s="837" t="s">
        <v>5732</v>
      </c>
      <c r="E8631" s="837">
        <v>63</v>
      </c>
      <c r="F8631" s="853">
        <v>20</v>
      </c>
      <c r="G8631" s="202" t="str">
        <f t="shared" si="134"/>
        <v/>
      </c>
    </row>
    <row r="8632" spans="1:7" s="172" customFormat="1" ht="15" customHeight="1" x14ac:dyDescent="0.25">
      <c r="A8632" s="837" t="s">
        <v>2922</v>
      </c>
      <c r="B8632" s="851" t="s">
        <v>5503</v>
      </c>
      <c r="C8632" s="851" t="s">
        <v>5503</v>
      </c>
      <c r="D8632" s="837" t="s">
        <v>5733</v>
      </c>
      <c r="E8632" s="837">
        <v>250</v>
      </c>
      <c r="F8632" s="853">
        <v>150</v>
      </c>
      <c r="G8632" s="202" t="str">
        <f t="shared" si="134"/>
        <v/>
      </c>
    </row>
    <row r="8633" spans="1:7" s="172" customFormat="1" ht="15" customHeight="1" x14ac:dyDescent="0.25">
      <c r="A8633" s="837" t="s">
        <v>2922</v>
      </c>
      <c r="B8633" s="851" t="s">
        <v>5503</v>
      </c>
      <c r="C8633" s="851" t="s">
        <v>5503</v>
      </c>
      <c r="D8633" s="837" t="s">
        <v>5734</v>
      </c>
      <c r="E8633" s="837">
        <v>160</v>
      </c>
      <c r="F8633" s="853">
        <v>35</v>
      </c>
      <c r="G8633" s="202" t="str">
        <f t="shared" si="134"/>
        <v/>
      </c>
    </row>
    <row r="8634" spans="1:7" s="172" customFormat="1" ht="15" customHeight="1" x14ac:dyDescent="0.25">
      <c r="A8634" s="837" t="s">
        <v>2922</v>
      </c>
      <c r="B8634" s="851" t="s">
        <v>5503</v>
      </c>
      <c r="C8634" s="851" t="s">
        <v>5503</v>
      </c>
      <c r="D8634" s="837" t="s">
        <v>5735</v>
      </c>
      <c r="E8634" s="837">
        <v>160</v>
      </c>
      <c r="F8634" s="853">
        <v>80</v>
      </c>
      <c r="G8634" s="202" t="str">
        <f t="shared" si="134"/>
        <v/>
      </c>
    </row>
    <row r="8635" spans="1:7" s="172" customFormat="1" ht="15" customHeight="1" x14ac:dyDescent="0.25">
      <c r="A8635" s="837" t="s">
        <v>5736</v>
      </c>
      <c r="B8635" s="851" t="s">
        <v>5503</v>
      </c>
      <c r="C8635" s="851" t="s">
        <v>5503</v>
      </c>
      <c r="D8635" s="837" t="s">
        <v>5737</v>
      </c>
      <c r="E8635" s="837">
        <v>60</v>
      </c>
      <c r="F8635" s="853">
        <v>55</v>
      </c>
      <c r="G8635" s="202" t="str">
        <f t="shared" si="134"/>
        <v/>
      </c>
    </row>
    <row r="8636" spans="1:7" s="172" customFormat="1" ht="15" customHeight="1" x14ac:dyDescent="0.25">
      <c r="A8636" s="837" t="s">
        <v>2922</v>
      </c>
      <c r="B8636" s="851" t="s">
        <v>5503</v>
      </c>
      <c r="C8636" s="851" t="s">
        <v>5503</v>
      </c>
      <c r="D8636" s="837" t="s">
        <v>5738</v>
      </c>
      <c r="E8636" s="837">
        <v>400</v>
      </c>
      <c r="F8636" s="853">
        <v>150</v>
      </c>
      <c r="G8636" s="202" t="str">
        <f t="shared" si="134"/>
        <v/>
      </c>
    </row>
    <row r="8637" spans="1:7" s="172" customFormat="1" ht="15" customHeight="1" x14ac:dyDescent="0.25">
      <c r="A8637" s="837" t="s">
        <v>5739</v>
      </c>
      <c r="B8637" s="851" t="s">
        <v>5503</v>
      </c>
      <c r="C8637" s="851" t="s">
        <v>5503</v>
      </c>
      <c r="D8637" s="837" t="s">
        <v>5740</v>
      </c>
      <c r="E8637" s="837">
        <v>60</v>
      </c>
      <c r="F8637" s="853">
        <v>0</v>
      </c>
      <c r="G8637" s="202" t="str">
        <f t="shared" si="134"/>
        <v/>
      </c>
    </row>
    <row r="8638" spans="1:7" s="172" customFormat="1" ht="15" customHeight="1" x14ac:dyDescent="0.25">
      <c r="A8638" s="837" t="s">
        <v>5741</v>
      </c>
      <c r="B8638" s="851" t="s">
        <v>5503</v>
      </c>
      <c r="C8638" s="851" t="s">
        <v>5503</v>
      </c>
      <c r="D8638" s="837" t="s">
        <v>5742</v>
      </c>
      <c r="E8638" s="837">
        <v>60</v>
      </c>
      <c r="F8638" s="853">
        <v>55</v>
      </c>
      <c r="G8638" s="202" t="str">
        <f t="shared" si="134"/>
        <v/>
      </c>
    </row>
    <row r="8639" spans="1:7" s="172" customFormat="1" ht="15" customHeight="1" x14ac:dyDescent="0.25">
      <c r="A8639" s="837" t="s">
        <v>12162</v>
      </c>
      <c r="B8639" s="851" t="s">
        <v>5503</v>
      </c>
      <c r="C8639" s="851" t="s">
        <v>5503</v>
      </c>
      <c r="D8639" s="837" t="s">
        <v>5743</v>
      </c>
      <c r="E8639" s="837">
        <v>100</v>
      </c>
      <c r="F8639" s="853">
        <v>60</v>
      </c>
      <c r="G8639" s="202" t="str">
        <f t="shared" si="134"/>
        <v/>
      </c>
    </row>
    <row r="8640" spans="1:7" s="172" customFormat="1" ht="15" customHeight="1" x14ac:dyDescent="0.25">
      <c r="A8640" s="837" t="s">
        <v>12163</v>
      </c>
      <c r="B8640" s="851" t="s">
        <v>5503</v>
      </c>
      <c r="C8640" s="851" t="s">
        <v>5503</v>
      </c>
      <c r="D8640" s="837" t="s">
        <v>5744</v>
      </c>
      <c r="E8640" s="837">
        <v>30</v>
      </c>
      <c r="F8640" s="853">
        <v>30</v>
      </c>
      <c r="G8640" s="202" t="str">
        <f t="shared" si="134"/>
        <v>не загружен</v>
      </c>
    </row>
    <row r="8641" spans="1:7" s="172" customFormat="1" ht="15" customHeight="1" x14ac:dyDescent="0.25">
      <c r="A8641" s="837" t="s">
        <v>3059</v>
      </c>
      <c r="B8641" s="851" t="s">
        <v>5503</v>
      </c>
      <c r="C8641" s="851" t="s">
        <v>5503</v>
      </c>
      <c r="D8641" s="837" t="s">
        <v>5745</v>
      </c>
      <c r="E8641" s="837">
        <v>30</v>
      </c>
      <c r="F8641" s="853">
        <v>15</v>
      </c>
      <c r="G8641" s="202" t="str">
        <f t="shared" si="134"/>
        <v/>
      </c>
    </row>
    <row r="8642" spans="1:7" s="172" customFormat="1" ht="15" customHeight="1" x14ac:dyDescent="0.25">
      <c r="A8642" s="837" t="s">
        <v>2922</v>
      </c>
      <c r="B8642" s="851" t="s">
        <v>5503</v>
      </c>
      <c r="C8642" s="851" t="s">
        <v>5503</v>
      </c>
      <c r="D8642" s="837" t="s">
        <v>5746</v>
      </c>
      <c r="E8642" s="837">
        <v>160</v>
      </c>
      <c r="F8642" s="853">
        <v>100</v>
      </c>
      <c r="G8642" s="202" t="str">
        <f t="shared" si="134"/>
        <v/>
      </c>
    </row>
    <row r="8643" spans="1:7" s="172" customFormat="1" ht="15" customHeight="1" x14ac:dyDescent="0.25">
      <c r="A8643" s="837" t="s">
        <v>5747</v>
      </c>
      <c r="B8643" s="851" t="s">
        <v>5503</v>
      </c>
      <c r="C8643" s="851" t="s">
        <v>5503</v>
      </c>
      <c r="D8643" s="837" t="s">
        <v>5748</v>
      </c>
      <c r="E8643" s="837">
        <v>63</v>
      </c>
      <c r="F8643" s="853">
        <v>55</v>
      </c>
      <c r="G8643" s="202" t="str">
        <f t="shared" si="134"/>
        <v/>
      </c>
    </row>
    <row r="8644" spans="1:7" s="172" customFormat="1" ht="15" customHeight="1" x14ac:dyDescent="0.25">
      <c r="A8644" s="837" t="s">
        <v>5749</v>
      </c>
      <c r="B8644" s="851" t="s">
        <v>5503</v>
      </c>
      <c r="C8644" s="851" t="s">
        <v>5503</v>
      </c>
      <c r="D8644" s="837" t="s">
        <v>5750</v>
      </c>
      <c r="E8644" s="837">
        <v>160</v>
      </c>
      <c r="F8644" s="853">
        <v>20</v>
      </c>
      <c r="G8644" s="202" t="str">
        <f t="shared" si="134"/>
        <v/>
      </c>
    </row>
    <row r="8645" spans="1:7" s="172" customFormat="1" ht="15" customHeight="1" x14ac:dyDescent="0.25">
      <c r="A8645" s="837" t="s">
        <v>5749</v>
      </c>
      <c r="B8645" s="851" t="s">
        <v>5503</v>
      </c>
      <c r="C8645" s="851" t="s">
        <v>5503</v>
      </c>
      <c r="D8645" s="837" t="s">
        <v>5751</v>
      </c>
      <c r="E8645" s="837">
        <v>400</v>
      </c>
      <c r="F8645" s="853">
        <v>220</v>
      </c>
      <c r="G8645" s="202" t="str">
        <f t="shared" si="134"/>
        <v/>
      </c>
    </row>
    <row r="8646" spans="1:7" s="172" customFormat="1" ht="15" customHeight="1" x14ac:dyDescent="0.25">
      <c r="A8646" s="837" t="s">
        <v>5752</v>
      </c>
      <c r="B8646" s="851" t="s">
        <v>5503</v>
      </c>
      <c r="C8646" s="851" t="s">
        <v>5503</v>
      </c>
      <c r="D8646" s="837" t="s">
        <v>5753</v>
      </c>
      <c r="E8646" s="837">
        <v>63</v>
      </c>
      <c r="F8646" s="853">
        <v>0</v>
      </c>
      <c r="G8646" s="202" t="str">
        <f t="shared" si="134"/>
        <v/>
      </c>
    </row>
    <row r="8647" spans="1:7" s="172" customFormat="1" ht="15" customHeight="1" x14ac:dyDescent="0.25">
      <c r="A8647" s="837" t="s">
        <v>5754</v>
      </c>
      <c r="B8647" s="851" t="s">
        <v>5503</v>
      </c>
      <c r="C8647" s="851" t="s">
        <v>5503</v>
      </c>
      <c r="D8647" s="837" t="s">
        <v>5755</v>
      </c>
      <c r="E8647" s="837">
        <v>10</v>
      </c>
      <c r="F8647" s="853">
        <v>5</v>
      </c>
      <c r="G8647" s="202" t="str">
        <f t="shared" si="134"/>
        <v/>
      </c>
    </row>
    <row r="8648" spans="1:7" s="172" customFormat="1" ht="15" customHeight="1" x14ac:dyDescent="0.25">
      <c r="A8648" s="837" t="s">
        <v>5756</v>
      </c>
      <c r="B8648" s="851" t="s">
        <v>5503</v>
      </c>
      <c r="C8648" s="851" t="s">
        <v>5503</v>
      </c>
      <c r="D8648" s="837" t="s">
        <v>5757</v>
      </c>
      <c r="E8648" s="837">
        <v>100</v>
      </c>
      <c r="F8648" s="853">
        <v>60</v>
      </c>
      <c r="G8648" s="202" t="str">
        <f t="shared" si="134"/>
        <v/>
      </c>
    </row>
    <row r="8649" spans="1:7" s="172" customFormat="1" ht="15" customHeight="1" x14ac:dyDescent="0.25">
      <c r="A8649" s="837" t="s">
        <v>12164</v>
      </c>
      <c r="B8649" s="851" t="s">
        <v>5503</v>
      </c>
      <c r="C8649" s="851" t="s">
        <v>5503</v>
      </c>
      <c r="D8649" s="837" t="s">
        <v>5758</v>
      </c>
      <c r="E8649" s="837">
        <v>250</v>
      </c>
      <c r="F8649" s="853">
        <v>120</v>
      </c>
      <c r="G8649" s="202" t="str">
        <f t="shared" si="134"/>
        <v/>
      </c>
    </row>
    <row r="8650" spans="1:7" s="172" customFormat="1" ht="15" customHeight="1" x14ac:dyDescent="0.25">
      <c r="A8650" s="837" t="s">
        <v>12164</v>
      </c>
      <c r="B8650" s="851" t="s">
        <v>5503</v>
      </c>
      <c r="C8650" s="851" t="s">
        <v>5503</v>
      </c>
      <c r="D8650" s="837" t="s">
        <v>5759</v>
      </c>
      <c r="E8650" s="837">
        <v>160</v>
      </c>
      <c r="F8650" s="853">
        <v>155</v>
      </c>
      <c r="G8650" s="202" t="str">
        <f t="shared" si="134"/>
        <v/>
      </c>
    </row>
    <row r="8651" spans="1:7" s="172" customFormat="1" ht="15" customHeight="1" x14ac:dyDescent="0.25">
      <c r="A8651" s="837" t="s">
        <v>12164</v>
      </c>
      <c r="B8651" s="851" t="s">
        <v>5503</v>
      </c>
      <c r="C8651" s="851" t="s">
        <v>5503</v>
      </c>
      <c r="D8651" s="837" t="s">
        <v>5760</v>
      </c>
      <c r="E8651" s="837">
        <v>400</v>
      </c>
      <c r="F8651" s="853">
        <v>395</v>
      </c>
      <c r="G8651" s="202" t="str">
        <f t="shared" si="134"/>
        <v/>
      </c>
    </row>
    <row r="8652" spans="1:7" s="172" customFormat="1" ht="15" customHeight="1" x14ac:dyDescent="0.25">
      <c r="A8652" s="837" t="s">
        <v>5761</v>
      </c>
      <c r="B8652" s="851" t="s">
        <v>5503</v>
      </c>
      <c r="C8652" s="851" t="s">
        <v>5503</v>
      </c>
      <c r="D8652" s="837" t="s">
        <v>5762</v>
      </c>
      <c r="E8652" s="837">
        <v>160</v>
      </c>
      <c r="F8652" s="853">
        <v>65</v>
      </c>
      <c r="G8652" s="202" t="str">
        <f t="shared" si="134"/>
        <v/>
      </c>
    </row>
    <row r="8653" spans="1:7" s="172" customFormat="1" ht="15" customHeight="1" x14ac:dyDescent="0.25">
      <c r="A8653" s="837" t="s">
        <v>5763</v>
      </c>
      <c r="B8653" s="851" t="s">
        <v>5503</v>
      </c>
      <c r="C8653" s="851" t="s">
        <v>5503</v>
      </c>
      <c r="D8653" s="837" t="s">
        <v>5764</v>
      </c>
      <c r="E8653" s="837">
        <v>160</v>
      </c>
      <c r="F8653" s="853">
        <v>80</v>
      </c>
      <c r="G8653" s="202" t="str">
        <f t="shared" si="134"/>
        <v/>
      </c>
    </row>
    <row r="8654" spans="1:7" s="172" customFormat="1" ht="15" customHeight="1" x14ac:dyDescent="0.25">
      <c r="A8654" s="837" t="s">
        <v>12165</v>
      </c>
      <c r="B8654" s="851" t="s">
        <v>5503</v>
      </c>
      <c r="C8654" s="851" t="s">
        <v>5503</v>
      </c>
      <c r="D8654" s="837" t="s">
        <v>5765</v>
      </c>
      <c r="E8654" s="837">
        <v>100</v>
      </c>
      <c r="F8654" s="853">
        <v>50</v>
      </c>
      <c r="G8654" s="202" t="str">
        <f t="shared" si="134"/>
        <v/>
      </c>
    </row>
    <row r="8655" spans="1:7" s="172" customFormat="1" ht="15" customHeight="1" x14ac:dyDescent="0.25">
      <c r="A8655" s="837" t="s">
        <v>5766</v>
      </c>
      <c r="B8655" s="851" t="s">
        <v>5503</v>
      </c>
      <c r="C8655" s="851" t="s">
        <v>5503</v>
      </c>
      <c r="D8655" s="837" t="s">
        <v>5767</v>
      </c>
      <c r="E8655" s="837">
        <v>100</v>
      </c>
      <c r="F8655" s="853">
        <v>20</v>
      </c>
      <c r="G8655" s="202" t="str">
        <f t="shared" si="134"/>
        <v/>
      </c>
    </row>
    <row r="8656" spans="1:7" s="172" customFormat="1" ht="15" customHeight="1" x14ac:dyDescent="0.25">
      <c r="A8656" s="837" t="s">
        <v>5768</v>
      </c>
      <c r="B8656" s="851" t="s">
        <v>5503</v>
      </c>
      <c r="C8656" s="851" t="s">
        <v>5503</v>
      </c>
      <c r="D8656" s="837" t="s">
        <v>5769</v>
      </c>
      <c r="E8656" s="837">
        <v>160</v>
      </c>
      <c r="F8656" s="853">
        <v>70</v>
      </c>
      <c r="G8656" s="202" t="str">
        <f t="shared" si="134"/>
        <v/>
      </c>
    </row>
    <row r="8657" spans="1:7" s="172" customFormat="1" ht="15" customHeight="1" x14ac:dyDescent="0.25">
      <c r="A8657" s="837" t="s">
        <v>5768</v>
      </c>
      <c r="B8657" s="851" t="s">
        <v>5503</v>
      </c>
      <c r="C8657" s="851" t="s">
        <v>5503</v>
      </c>
      <c r="D8657" s="837" t="s">
        <v>5770</v>
      </c>
      <c r="E8657" s="837">
        <v>250</v>
      </c>
      <c r="F8657" s="853">
        <v>240</v>
      </c>
      <c r="G8657" s="202" t="str">
        <f t="shared" si="134"/>
        <v/>
      </c>
    </row>
    <row r="8658" spans="1:7" s="172" customFormat="1" ht="15" customHeight="1" x14ac:dyDescent="0.25">
      <c r="A8658" s="837" t="s">
        <v>5771</v>
      </c>
      <c r="B8658" s="851" t="s">
        <v>5503</v>
      </c>
      <c r="C8658" s="851" t="s">
        <v>5503</v>
      </c>
      <c r="D8658" s="837" t="s">
        <v>5772</v>
      </c>
      <c r="E8658" s="837">
        <v>100</v>
      </c>
      <c r="F8658" s="853">
        <v>15</v>
      </c>
      <c r="G8658" s="202" t="str">
        <f t="shared" si="134"/>
        <v/>
      </c>
    </row>
    <row r="8659" spans="1:7" s="172" customFormat="1" ht="15" customHeight="1" x14ac:dyDescent="0.25">
      <c r="A8659" s="837" t="s">
        <v>5773</v>
      </c>
      <c r="B8659" s="851" t="s">
        <v>5503</v>
      </c>
      <c r="C8659" s="851" t="s">
        <v>5503</v>
      </c>
      <c r="D8659" s="837" t="s">
        <v>5774</v>
      </c>
      <c r="E8659" s="837">
        <v>100</v>
      </c>
      <c r="F8659" s="853">
        <v>95</v>
      </c>
      <c r="G8659" s="202" t="str">
        <f t="shared" si="134"/>
        <v/>
      </c>
    </row>
    <row r="8660" spans="1:7" s="172" customFormat="1" ht="15" customHeight="1" x14ac:dyDescent="0.25">
      <c r="A8660" s="837" t="s">
        <v>5775</v>
      </c>
      <c r="B8660" s="851" t="s">
        <v>5503</v>
      </c>
      <c r="C8660" s="851" t="s">
        <v>5503</v>
      </c>
      <c r="D8660" s="837" t="s">
        <v>5776</v>
      </c>
      <c r="E8660" s="837">
        <v>30</v>
      </c>
      <c r="F8660" s="853">
        <v>5</v>
      </c>
      <c r="G8660" s="202" t="str">
        <f t="shared" si="134"/>
        <v/>
      </c>
    </row>
    <row r="8661" spans="1:7" s="172" customFormat="1" ht="15" customHeight="1" x14ac:dyDescent="0.25">
      <c r="A8661" s="837" t="s">
        <v>5777</v>
      </c>
      <c r="B8661" s="851" t="s">
        <v>5503</v>
      </c>
      <c r="C8661" s="851" t="s">
        <v>5503</v>
      </c>
      <c r="D8661" s="837" t="s">
        <v>5778</v>
      </c>
      <c r="E8661" s="837">
        <v>63</v>
      </c>
      <c r="F8661" s="853">
        <v>60</v>
      </c>
      <c r="G8661" s="202" t="str">
        <f t="shared" si="134"/>
        <v/>
      </c>
    </row>
    <row r="8662" spans="1:7" s="172" customFormat="1" ht="15" customHeight="1" x14ac:dyDescent="0.25">
      <c r="A8662" s="837" t="s">
        <v>12280</v>
      </c>
      <c r="B8662" s="851" t="s">
        <v>4186</v>
      </c>
      <c r="C8662" s="851" t="s">
        <v>4186</v>
      </c>
      <c r="D8662" s="837" t="s">
        <v>18547</v>
      </c>
      <c r="E8662" s="837">
        <v>160</v>
      </c>
      <c r="F8662" s="853">
        <v>120</v>
      </c>
      <c r="G8662" s="202" t="str">
        <f t="shared" si="134"/>
        <v/>
      </c>
    </row>
    <row r="8663" spans="1:7" s="172" customFormat="1" ht="15" customHeight="1" x14ac:dyDescent="0.25">
      <c r="A8663" s="837" t="s">
        <v>12281</v>
      </c>
      <c r="B8663" s="851" t="s">
        <v>4186</v>
      </c>
      <c r="C8663" s="851" t="s">
        <v>4186</v>
      </c>
      <c r="D8663" s="837" t="s">
        <v>4187</v>
      </c>
      <c r="E8663" s="837">
        <v>100</v>
      </c>
      <c r="F8663" s="853">
        <v>25</v>
      </c>
      <c r="G8663" s="202" t="str">
        <f t="shared" si="134"/>
        <v/>
      </c>
    </row>
    <row r="8664" spans="1:7" s="172" customFormat="1" ht="15" customHeight="1" x14ac:dyDescent="0.25">
      <c r="A8664" s="837" t="s">
        <v>8384</v>
      </c>
      <c r="B8664" s="851" t="s">
        <v>4186</v>
      </c>
      <c r="C8664" s="851" t="s">
        <v>4186</v>
      </c>
      <c r="D8664" s="837" t="s">
        <v>4188</v>
      </c>
      <c r="E8664" s="837">
        <v>100</v>
      </c>
      <c r="F8664" s="853">
        <v>40</v>
      </c>
      <c r="G8664" s="202" t="str">
        <f t="shared" si="134"/>
        <v/>
      </c>
    </row>
    <row r="8665" spans="1:7" s="172" customFormat="1" ht="15" customHeight="1" x14ac:dyDescent="0.25">
      <c r="A8665" s="837" t="s">
        <v>12282</v>
      </c>
      <c r="B8665" s="851" t="s">
        <v>4186</v>
      </c>
      <c r="C8665" s="851" t="s">
        <v>4186</v>
      </c>
      <c r="D8665" s="837" t="s">
        <v>4189</v>
      </c>
      <c r="E8665" s="837">
        <v>60</v>
      </c>
      <c r="F8665" s="853">
        <v>35</v>
      </c>
      <c r="G8665" s="202" t="str">
        <f t="shared" si="134"/>
        <v/>
      </c>
    </row>
    <row r="8666" spans="1:7" s="172" customFormat="1" ht="15" customHeight="1" x14ac:dyDescent="0.25">
      <c r="A8666" s="837" t="s">
        <v>12280</v>
      </c>
      <c r="B8666" s="851" t="s">
        <v>4186</v>
      </c>
      <c r="C8666" s="851" t="s">
        <v>4186</v>
      </c>
      <c r="D8666" s="837" t="s">
        <v>4190</v>
      </c>
      <c r="E8666" s="837">
        <v>100</v>
      </c>
      <c r="F8666" s="853">
        <v>20</v>
      </c>
      <c r="G8666" s="202" t="str">
        <f t="shared" si="134"/>
        <v/>
      </c>
    </row>
    <row r="8667" spans="1:7" s="172" customFormat="1" ht="15" customHeight="1" x14ac:dyDescent="0.25">
      <c r="A8667" s="837" t="s">
        <v>12280</v>
      </c>
      <c r="B8667" s="851" t="s">
        <v>4186</v>
      </c>
      <c r="C8667" s="851" t="s">
        <v>4186</v>
      </c>
      <c r="D8667" s="837" t="s">
        <v>18548</v>
      </c>
      <c r="E8667" s="837">
        <v>630</v>
      </c>
      <c r="F8667" s="853">
        <v>60</v>
      </c>
      <c r="G8667" s="202" t="str">
        <f t="shared" si="134"/>
        <v/>
      </c>
    </row>
    <row r="8668" spans="1:7" s="172" customFormat="1" ht="15" customHeight="1" x14ac:dyDescent="0.25">
      <c r="A8668" s="837" t="s">
        <v>7548</v>
      </c>
      <c r="B8668" s="851" t="s">
        <v>4186</v>
      </c>
      <c r="C8668" s="851" t="s">
        <v>4186</v>
      </c>
      <c r="D8668" s="837" t="s">
        <v>4191</v>
      </c>
      <c r="E8668" s="837">
        <v>40</v>
      </c>
      <c r="F8668" s="853">
        <v>15</v>
      </c>
      <c r="G8668" s="202" t="str">
        <f t="shared" si="134"/>
        <v/>
      </c>
    </row>
    <row r="8669" spans="1:7" s="172" customFormat="1" ht="15" customHeight="1" x14ac:dyDescent="0.25">
      <c r="A8669" s="837" t="s">
        <v>12283</v>
      </c>
      <c r="B8669" s="851" t="s">
        <v>4186</v>
      </c>
      <c r="C8669" s="851" t="s">
        <v>4186</v>
      </c>
      <c r="D8669" s="837" t="s">
        <v>4192</v>
      </c>
      <c r="E8669" s="837">
        <v>100</v>
      </c>
      <c r="F8669" s="853">
        <v>15</v>
      </c>
      <c r="G8669" s="202" t="str">
        <f t="shared" si="134"/>
        <v/>
      </c>
    </row>
    <row r="8670" spans="1:7" s="172" customFormat="1" ht="15" customHeight="1" x14ac:dyDescent="0.25">
      <c r="A8670" s="837" t="s">
        <v>12283</v>
      </c>
      <c r="B8670" s="851" t="s">
        <v>4186</v>
      </c>
      <c r="C8670" s="851" t="s">
        <v>4186</v>
      </c>
      <c r="D8670" s="837" t="s">
        <v>4193</v>
      </c>
      <c r="E8670" s="837">
        <v>100</v>
      </c>
      <c r="F8670" s="853">
        <v>15</v>
      </c>
      <c r="G8670" s="202" t="str">
        <f t="shared" ref="G8670:G8733" si="135">IF(E8670=F8670,"не загружен","")</f>
        <v/>
      </c>
    </row>
    <row r="8671" spans="1:7" s="172" customFormat="1" ht="15" customHeight="1" x14ac:dyDescent="0.25">
      <c r="A8671" s="837" t="s">
        <v>12283</v>
      </c>
      <c r="B8671" s="851" t="s">
        <v>4186</v>
      </c>
      <c r="C8671" s="851" t="s">
        <v>4186</v>
      </c>
      <c r="D8671" s="837" t="s">
        <v>4194</v>
      </c>
      <c r="E8671" s="837">
        <v>250</v>
      </c>
      <c r="F8671" s="853">
        <v>70</v>
      </c>
      <c r="G8671" s="202" t="str">
        <f t="shared" si="135"/>
        <v/>
      </c>
    </row>
    <row r="8672" spans="1:7" s="172" customFormat="1" ht="15" customHeight="1" x14ac:dyDescent="0.25">
      <c r="A8672" s="837" t="s">
        <v>12283</v>
      </c>
      <c r="B8672" s="851" t="s">
        <v>4186</v>
      </c>
      <c r="C8672" s="851" t="s">
        <v>4186</v>
      </c>
      <c r="D8672" s="837" t="s">
        <v>4195</v>
      </c>
      <c r="E8672" s="837">
        <v>100</v>
      </c>
      <c r="F8672" s="853">
        <v>50</v>
      </c>
      <c r="G8672" s="202" t="str">
        <f t="shared" si="135"/>
        <v/>
      </c>
    </row>
    <row r="8673" spans="1:7" s="172" customFormat="1" ht="15" customHeight="1" x14ac:dyDescent="0.25">
      <c r="A8673" s="837" t="s">
        <v>3256</v>
      </c>
      <c r="B8673" s="851" t="s">
        <v>4186</v>
      </c>
      <c r="C8673" s="851" t="s">
        <v>4186</v>
      </c>
      <c r="D8673" s="837" t="s">
        <v>4196</v>
      </c>
      <c r="E8673" s="837">
        <v>250</v>
      </c>
      <c r="F8673" s="853">
        <v>15</v>
      </c>
      <c r="G8673" s="202" t="str">
        <f t="shared" si="135"/>
        <v/>
      </c>
    </row>
    <row r="8674" spans="1:7" s="172" customFormat="1" ht="15" customHeight="1" x14ac:dyDescent="0.25">
      <c r="A8674" s="837" t="s">
        <v>12284</v>
      </c>
      <c r="B8674" s="851" t="s">
        <v>4186</v>
      </c>
      <c r="C8674" s="851" t="s">
        <v>4186</v>
      </c>
      <c r="D8674" s="837" t="s">
        <v>4197</v>
      </c>
      <c r="E8674" s="837">
        <v>160</v>
      </c>
      <c r="F8674" s="853">
        <v>25</v>
      </c>
      <c r="G8674" s="202" t="str">
        <f t="shared" si="135"/>
        <v/>
      </c>
    </row>
    <row r="8675" spans="1:7" s="172" customFormat="1" ht="15" customHeight="1" x14ac:dyDescent="0.25">
      <c r="A8675" s="837" t="s">
        <v>4198</v>
      </c>
      <c r="B8675" s="851" t="s">
        <v>4186</v>
      </c>
      <c r="C8675" s="851" t="s">
        <v>4186</v>
      </c>
      <c r="D8675" s="837" t="s">
        <v>4199</v>
      </c>
      <c r="E8675" s="837">
        <v>160</v>
      </c>
      <c r="F8675" s="853">
        <v>40</v>
      </c>
      <c r="G8675" s="202" t="str">
        <f t="shared" si="135"/>
        <v/>
      </c>
    </row>
    <row r="8676" spans="1:7" s="172" customFormat="1" ht="15" customHeight="1" x14ac:dyDescent="0.25">
      <c r="A8676" s="837" t="s">
        <v>3256</v>
      </c>
      <c r="B8676" s="851" t="s">
        <v>4186</v>
      </c>
      <c r="C8676" s="851" t="s">
        <v>4186</v>
      </c>
      <c r="D8676" s="837" t="s">
        <v>4200</v>
      </c>
      <c r="E8676" s="837">
        <v>400</v>
      </c>
      <c r="F8676" s="853">
        <v>160</v>
      </c>
      <c r="G8676" s="202" t="str">
        <f t="shared" si="135"/>
        <v/>
      </c>
    </row>
    <row r="8677" spans="1:7" s="172" customFormat="1" ht="15" customHeight="1" x14ac:dyDescent="0.25">
      <c r="A8677" s="837" t="s">
        <v>3256</v>
      </c>
      <c r="B8677" s="851" t="s">
        <v>4186</v>
      </c>
      <c r="C8677" s="851" t="s">
        <v>4186</v>
      </c>
      <c r="D8677" s="837" t="s">
        <v>4201</v>
      </c>
      <c r="E8677" s="837">
        <v>400</v>
      </c>
      <c r="F8677" s="853">
        <v>370</v>
      </c>
      <c r="G8677" s="202" t="str">
        <f t="shared" si="135"/>
        <v/>
      </c>
    </row>
    <row r="8678" spans="1:7" s="172" customFormat="1" ht="15" customHeight="1" x14ac:dyDescent="0.25">
      <c r="A8678" s="837" t="s">
        <v>4202</v>
      </c>
      <c r="B8678" s="851" t="s">
        <v>4186</v>
      </c>
      <c r="C8678" s="851" t="s">
        <v>4186</v>
      </c>
      <c r="D8678" s="837" t="s">
        <v>4203</v>
      </c>
      <c r="E8678" s="837">
        <v>100</v>
      </c>
      <c r="F8678" s="853">
        <v>10</v>
      </c>
      <c r="G8678" s="202" t="str">
        <f t="shared" si="135"/>
        <v/>
      </c>
    </row>
    <row r="8679" spans="1:7" s="172" customFormat="1" ht="15" customHeight="1" x14ac:dyDescent="0.25">
      <c r="A8679" s="837" t="s">
        <v>12285</v>
      </c>
      <c r="B8679" s="851" t="s">
        <v>4186</v>
      </c>
      <c r="C8679" s="851" t="s">
        <v>4186</v>
      </c>
      <c r="D8679" s="837" t="s">
        <v>4204</v>
      </c>
      <c r="E8679" s="837">
        <v>100</v>
      </c>
      <c r="F8679" s="853">
        <v>15</v>
      </c>
      <c r="G8679" s="202" t="str">
        <f t="shared" si="135"/>
        <v/>
      </c>
    </row>
    <row r="8680" spans="1:7" s="172" customFormat="1" ht="15" customHeight="1" x14ac:dyDescent="0.25">
      <c r="A8680" s="837" t="s">
        <v>9852</v>
      </c>
      <c r="B8680" s="851" t="s">
        <v>4186</v>
      </c>
      <c r="C8680" s="851" t="s">
        <v>4186</v>
      </c>
      <c r="D8680" s="837" t="s">
        <v>4205</v>
      </c>
      <c r="E8680" s="837">
        <v>60</v>
      </c>
      <c r="F8680" s="853">
        <v>15</v>
      </c>
      <c r="G8680" s="202" t="str">
        <f t="shared" si="135"/>
        <v/>
      </c>
    </row>
    <row r="8681" spans="1:7" s="172" customFormat="1" ht="15" customHeight="1" x14ac:dyDescent="0.25">
      <c r="A8681" s="837" t="s">
        <v>12286</v>
      </c>
      <c r="B8681" s="851" t="s">
        <v>4186</v>
      </c>
      <c r="C8681" s="851" t="s">
        <v>4186</v>
      </c>
      <c r="D8681" s="837" t="s">
        <v>4206</v>
      </c>
      <c r="E8681" s="837">
        <v>63</v>
      </c>
      <c r="F8681" s="853">
        <v>20</v>
      </c>
      <c r="G8681" s="202" t="str">
        <f t="shared" si="135"/>
        <v/>
      </c>
    </row>
    <row r="8682" spans="1:7" s="172" customFormat="1" ht="15" customHeight="1" x14ac:dyDescent="0.25">
      <c r="A8682" s="837" t="s">
        <v>9044</v>
      </c>
      <c r="B8682" s="851" t="s">
        <v>4186</v>
      </c>
      <c r="C8682" s="851" t="s">
        <v>4186</v>
      </c>
      <c r="D8682" s="837" t="s">
        <v>4207</v>
      </c>
      <c r="E8682" s="837">
        <v>100</v>
      </c>
      <c r="F8682" s="853">
        <v>30</v>
      </c>
      <c r="G8682" s="202" t="str">
        <f t="shared" si="135"/>
        <v/>
      </c>
    </row>
    <row r="8683" spans="1:7" s="172" customFormat="1" ht="15" customHeight="1" x14ac:dyDescent="0.25">
      <c r="A8683" s="837" t="s">
        <v>12287</v>
      </c>
      <c r="B8683" s="851" t="s">
        <v>4186</v>
      </c>
      <c r="C8683" s="851" t="s">
        <v>4186</v>
      </c>
      <c r="D8683" s="837" t="s">
        <v>4208</v>
      </c>
      <c r="E8683" s="837">
        <v>60</v>
      </c>
      <c r="F8683" s="853">
        <v>15</v>
      </c>
      <c r="G8683" s="202" t="str">
        <f t="shared" si="135"/>
        <v/>
      </c>
    </row>
    <row r="8684" spans="1:7" s="172" customFormat="1" ht="15" customHeight="1" x14ac:dyDescent="0.25">
      <c r="A8684" s="837" t="s">
        <v>12288</v>
      </c>
      <c r="B8684" s="851" t="s">
        <v>4186</v>
      </c>
      <c r="C8684" s="851" t="s">
        <v>4186</v>
      </c>
      <c r="D8684" s="837" t="s">
        <v>4209</v>
      </c>
      <c r="E8684" s="837">
        <v>60</v>
      </c>
      <c r="F8684" s="853">
        <v>15</v>
      </c>
      <c r="G8684" s="202" t="str">
        <f t="shared" si="135"/>
        <v/>
      </c>
    </row>
    <row r="8685" spans="1:7" s="172" customFormat="1" ht="15" customHeight="1" x14ac:dyDescent="0.25">
      <c r="A8685" s="837" t="s">
        <v>5669</v>
      </c>
      <c r="B8685" s="851" t="s">
        <v>4186</v>
      </c>
      <c r="C8685" s="851" t="s">
        <v>4186</v>
      </c>
      <c r="D8685" s="837" t="s">
        <v>4210</v>
      </c>
      <c r="E8685" s="837">
        <v>30</v>
      </c>
      <c r="F8685" s="853">
        <v>5</v>
      </c>
      <c r="G8685" s="202" t="str">
        <f t="shared" si="135"/>
        <v/>
      </c>
    </row>
    <row r="8686" spans="1:7" s="172" customFormat="1" ht="15" customHeight="1" x14ac:dyDescent="0.25">
      <c r="A8686" s="837" t="s">
        <v>12289</v>
      </c>
      <c r="B8686" s="851" t="s">
        <v>4186</v>
      </c>
      <c r="C8686" s="851" t="s">
        <v>4186</v>
      </c>
      <c r="D8686" s="837" t="s">
        <v>4211</v>
      </c>
      <c r="E8686" s="837">
        <v>60</v>
      </c>
      <c r="F8686" s="853">
        <v>15</v>
      </c>
      <c r="G8686" s="202" t="str">
        <f t="shared" si="135"/>
        <v/>
      </c>
    </row>
    <row r="8687" spans="1:7" s="172" customFormat="1" ht="15" customHeight="1" x14ac:dyDescent="0.25">
      <c r="A8687" s="837" t="s">
        <v>2975</v>
      </c>
      <c r="B8687" s="851" t="s">
        <v>4186</v>
      </c>
      <c r="C8687" s="851" t="s">
        <v>4186</v>
      </c>
      <c r="D8687" s="837" t="s">
        <v>4212</v>
      </c>
      <c r="E8687" s="837">
        <v>100</v>
      </c>
      <c r="F8687" s="853">
        <v>65</v>
      </c>
      <c r="G8687" s="202" t="str">
        <f t="shared" si="135"/>
        <v/>
      </c>
    </row>
    <row r="8688" spans="1:7" s="172" customFormat="1" ht="15" customHeight="1" x14ac:dyDescent="0.25">
      <c r="A8688" s="837" t="s">
        <v>2597</v>
      </c>
      <c r="B8688" s="851" t="s">
        <v>4186</v>
      </c>
      <c r="C8688" s="851" t="s">
        <v>4186</v>
      </c>
      <c r="D8688" s="837" t="s">
        <v>4213</v>
      </c>
      <c r="E8688" s="837">
        <v>100</v>
      </c>
      <c r="F8688" s="853">
        <v>15</v>
      </c>
      <c r="G8688" s="202" t="str">
        <f t="shared" si="135"/>
        <v/>
      </c>
    </row>
    <row r="8689" spans="1:7" s="172" customFormat="1" ht="15" customHeight="1" x14ac:dyDescent="0.25">
      <c r="A8689" s="837" t="s">
        <v>2597</v>
      </c>
      <c r="B8689" s="851" t="s">
        <v>4186</v>
      </c>
      <c r="C8689" s="851" t="s">
        <v>4186</v>
      </c>
      <c r="D8689" s="837" t="s">
        <v>4214</v>
      </c>
      <c r="E8689" s="837">
        <v>160</v>
      </c>
      <c r="F8689" s="853">
        <v>25</v>
      </c>
      <c r="G8689" s="202" t="str">
        <f t="shared" si="135"/>
        <v/>
      </c>
    </row>
    <row r="8690" spans="1:7" s="172" customFormat="1" ht="15" customHeight="1" x14ac:dyDescent="0.25">
      <c r="A8690" s="837" t="s">
        <v>12290</v>
      </c>
      <c r="B8690" s="851" t="s">
        <v>4186</v>
      </c>
      <c r="C8690" s="851" t="s">
        <v>4186</v>
      </c>
      <c r="D8690" s="837" t="s">
        <v>4215</v>
      </c>
      <c r="E8690" s="837">
        <v>63</v>
      </c>
      <c r="F8690" s="853">
        <v>20</v>
      </c>
      <c r="G8690" s="202" t="str">
        <f t="shared" si="135"/>
        <v/>
      </c>
    </row>
    <row r="8691" spans="1:7" s="172" customFormat="1" ht="15" customHeight="1" x14ac:dyDescent="0.25">
      <c r="A8691" s="837" t="s">
        <v>12291</v>
      </c>
      <c r="B8691" s="851" t="s">
        <v>4186</v>
      </c>
      <c r="C8691" s="851" t="s">
        <v>4186</v>
      </c>
      <c r="D8691" s="837" t="s">
        <v>4216</v>
      </c>
      <c r="E8691" s="837">
        <v>250</v>
      </c>
      <c r="F8691" s="853">
        <v>30</v>
      </c>
      <c r="G8691" s="202" t="str">
        <f t="shared" si="135"/>
        <v/>
      </c>
    </row>
    <row r="8692" spans="1:7" s="172" customFormat="1" ht="15" customHeight="1" x14ac:dyDescent="0.25">
      <c r="A8692" s="837" t="s">
        <v>12292</v>
      </c>
      <c r="B8692" s="851" t="s">
        <v>4186</v>
      </c>
      <c r="C8692" s="851" t="s">
        <v>4186</v>
      </c>
      <c r="D8692" s="837" t="s">
        <v>4217</v>
      </c>
      <c r="E8692" s="837">
        <v>10</v>
      </c>
      <c r="F8692" s="853">
        <v>1</v>
      </c>
      <c r="G8692" s="202" t="str">
        <f t="shared" si="135"/>
        <v/>
      </c>
    </row>
    <row r="8693" spans="1:7" s="172" customFormat="1" ht="15" customHeight="1" x14ac:dyDescent="0.25">
      <c r="A8693" s="837" t="s">
        <v>12293</v>
      </c>
      <c r="B8693" s="851" t="s">
        <v>4186</v>
      </c>
      <c r="C8693" s="851" t="s">
        <v>4186</v>
      </c>
      <c r="D8693" s="837" t="s">
        <v>4218</v>
      </c>
      <c r="E8693" s="837">
        <v>100</v>
      </c>
      <c r="F8693" s="853">
        <v>15</v>
      </c>
      <c r="G8693" s="202" t="str">
        <f t="shared" si="135"/>
        <v/>
      </c>
    </row>
    <row r="8694" spans="1:7" s="172" customFormat="1" ht="15" customHeight="1" x14ac:dyDescent="0.25">
      <c r="A8694" s="837" t="s">
        <v>12294</v>
      </c>
      <c r="B8694" s="851" t="s">
        <v>4186</v>
      </c>
      <c r="C8694" s="851" t="s">
        <v>4186</v>
      </c>
      <c r="D8694" s="837" t="s">
        <v>4219</v>
      </c>
      <c r="E8694" s="837">
        <v>10</v>
      </c>
      <c r="F8694" s="853">
        <v>1</v>
      </c>
      <c r="G8694" s="202" t="str">
        <f t="shared" si="135"/>
        <v/>
      </c>
    </row>
    <row r="8695" spans="1:7" s="172" customFormat="1" ht="15" customHeight="1" x14ac:dyDescent="0.25">
      <c r="A8695" s="837" t="s">
        <v>12295</v>
      </c>
      <c r="B8695" s="851" t="s">
        <v>4186</v>
      </c>
      <c r="C8695" s="851" t="s">
        <v>4186</v>
      </c>
      <c r="D8695" s="837" t="s">
        <v>4220</v>
      </c>
      <c r="E8695" s="837">
        <v>160</v>
      </c>
      <c r="F8695" s="853">
        <v>20</v>
      </c>
      <c r="G8695" s="202" t="str">
        <f t="shared" si="135"/>
        <v/>
      </c>
    </row>
    <row r="8696" spans="1:7" s="172" customFormat="1" ht="15" customHeight="1" x14ac:dyDescent="0.25">
      <c r="A8696" s="837" t="s">
        <v>12296</v>
      </c>
      <c r="B8696" s="851" t="s">
        <v>4186</v>
      </c>
      <c r="C8696" s="851" t="s">
        <v>4186</v>
      </c>
      <c r="D8696" s="837" t="s">
        <v>4221</v>
      </c>
      <c r="E8696" s="837">
        <v>30</v>
      </c>
      <c r="F8696" s="853">
        <v>5</v>
      </c>
      <c r="G8696" s="202" t="str">
        <f t="shared" si="135"/>
        <v/>
      </c>
    </row>
    <row r="8697" spans="1:7" s="172" customFormat="1" ht="15" customHeight="1" x14ac:dyDescent="0.25">
      <c r="A8697" s="803" t="s">
        <v>12297</v>
      </c>
      <c r="B8697" s="803" t="s">
        <v>4186</v>
      </c>
      <c r="C8697" s="803" t="s">
        <v>4186</v>
      </c>
      <c r="D8697" s="803" t="s">
        <v>4222</v>
      </c>
      <c r="E8697" s="803">
        <v>63</v>
      </c>
      <c r="F8697" s="803">
        <v>5</v>
      </c>
      <c r="G8697" s="202" t="str">
        <f t="shared" si="135"/>
        <v/>
      </c>
    </row>
    <row r="8698" spans="1:7" s="172" customFormat="1" ht="15" customHeight="1" x14ac:dyDescent="0.25">
      <c r="A8698" s="803" t="s">
        <v>12298</v>
      </c>
      <c r="B8698" s="803" t="s">
        <v>4186</v>
      </c>
      <c r="C8698" s="803" t="s">
        <v>4186</v>
      </c>
      <c r="D8698" s="803" t="s">
        <v>4223</v>
      </c>
      <c r="E8698" s="803">
        <v>30</v>
      </c>
      <c r="F8698" s="803">
        <v>10</v>
      </c>
      <c r="G8698" s="202" t="str">
        <f t="shared" si="135"/>
        <v/>
      </c>
    </row>
    <row r="8699" spans="1:7" s="172" customFormat="1" ht="15" customHeight="1" x14ac:dyDescent="0.25">
      <c r="A8699" s="803" t="s">
        <v>12299</v>
      </c>
      <c r="B8699" s="803" t="s">
        <v>4186</v>
      </c>
      <c r="C8699" s="803" t="s">
        <v>4186</v>
      </c>
      <c r="D8699" s="803" t="s">
        <v>4224</v>
      </c>
      <c r="E8699" s="803">
        <v>60</v>
      </c>
      <c r="F8699" s="803">
        <v>12</v>
      </c>
      <c r="G8699" s="202" t="str">
        <f t="shared" si="135"/>
        <v/>
      </c>
    </row>
    <row r="8700" spans="1:7" s="172" customFormat="1" ht="15" customHeight="1" x14ac:dyDescent="0.25">
      <c r="A8700" s="803" t="s">
        <v>12300</v>
      </c>
      <c r="B8700" s="803" t="s">
        <v>4186</v>
      </c>
      <c r="C8700" s="803" t="s">
        <v>4186</v>
      </c>
      <c r="D8700" s="803" t="s">
        <v>4225</v>
      </c>
      <c r="E8700" s="803">
        <v>100</v>
      </c>
      <c r="F8700" s="803">
        <v>10</v>
      </c>
      <c r="G8700" s="202" t="str">
        <f t="shared" si="135"/>
        <v/>
      </c>
    </row>
    <row r="8701" spans="1:7" s="172" customFormat="1" ht="15" customHeight="1" x14ac:dyDescent="0.25">
      <c r="A8701" s="803" t="s">
        <v>2922</v>
      </c>
      <c r="B8701" s="803" t="s">
        <v>4186</v>
      </c>
      <c r="C8701" s="803" t="s">
        <v>4186</v>
      </c>
      <c r="D8701" s="803" t="s">
        <v>4226</v>
      </c>
      <c r="E8701" s="803">
        <v>30</v>
      </c>
      <c r="F8701" s="803">
        <v>5</v>
      </c>
      <c r="G8701" s="202" t="str">
        <f t="shared" si="135"/>
        <v/>
      </c>
    </row>
    <row r="8702" spans="1:7" s="172" customFormat="1" ht="15" customHeight="1" x14ac:dyDescent="0.25">
      <c r="A8702" s="803" t="s">
        <v>12301</v>
      </c>
      <c r="B8702" s="803" t="s">
        <v>4186</v>
      </c>
      <c r="C8702" s="803" t="s">
        <v>4186</v>
      </c>
      <c r="D8702" s="803" t="s">
        <v>4227</v>
      </c>
      <c r="E8702" s="803">
        <v>60</v>
      </c>
      <c r="F8702" s="803">
        <v>5</v>
      </c>
      <c r="G8702" s="202" t="str">
        <f t="shared" si="135"/>
        <v/>
      </c>
    </row>
    <row r="8703" spans="1:7" s="172" customFormat="1" ht="15" customHeight="1" x14ac:dyDescent="0.25">
      <c r="A8703" s="803" t="s">
        <v>5028</v>
      </c>
      <c r="B8703" s="803" t="s">
        <v>4186</v>
      </c>
      <c r="C8703" s="803" t="s">
        <v>4186</v>
      </c>
      <c r="D8703" s="803" t="s">
        <v>4228</v>
      </c>
      <c r="E8703" s="803">
        <v>100</v>
      </c>
      <c r="F8703" s="803">
        <v>15</v>
      </c>
      <c r="G8703" s="202" t="str">
        <f t="shared" si="135"/>
        <v/>
      </c>
    </row>
    <row r="8704" spans="1:7" s="172" customFormat="1" ht="15" customHeight="1" x14ac:dyDescent="0.25">
      <c r="A8704" s="803" t="s">
        <v>9044</v>
      </c>
      <c r="B8704" s="803" t="s">
        <v>4186</v>
      </c>
      <c r="C8704" s="803" t="s">
        <v>4186</v>
      </c>
      <c r="D8704" s="803" t="s">
        <v>4229</v>
      </c>
      <c r="E8704" s="803">
        <v>100</v>
      </c>
      <c r="F8704" s="803">
        <v>5</v>
      </c>
      <c r="G8704" s="202" t="str">
        <f t="shared" si="135"/>
        <v/>
      </c>
    </row>
    <row r="8705" spans="1:7" s="172" customFormat="1" ht="15" customHeight="1" x14ac:dyDescent="0.25">
      <c r="A8705" s="803" t="s">
        <v>12302</v>
      </c>
      <c r="B8705" s="803" t="s">
        <v>4186</v>
      </c>
      <c r="C8705" s="803" t="s">
        <v>4186</v>
      </c>
      <c r="D8705" s="803" t="s">
        <v>4230</v>
      </c>
      <c r="E8705" s="803">
        <v>100</v>
      </c>
      <c r="F8705" s="803">
        <v>25</v>
      </c>
      <c r="G8705" s="202" t="str">
        <f t="shared" si="135"/>
        <v/>
      </c>
    </row>
    <row r="8706" spans="1:7" s="172" customFormat="1" ht="15" customHeight="1" x14ac:dyDescent="0.25">
      <c r="A8706" s="803" t="s">
        <v>12303</v>
      </c>
      <c r="B8706" s="803" t="s">
        <v>4186</v>
      </c>
      <c r="C8706" s="803" t="s">
        <v>4186</v>
      </c>
      <c r="D8706" s="803" t="s">
        <v>4231</v>
      </c>
      <c r="E8706" s="803">
        <v>30</v>
      </c>
      <c r="F8706" s="803">
        <v>5</v>
      </c>
      <c r="G8706" s="202" t="str">
        <f t="shared" si="135"/>
        <v/>
      </c>
    </row>
    <row r="8707" spans="1:7" s="172" customFormat="1" ht="15" customHeight="1" x14ac:dyDescent="0.25">
      <c r="A8707" s="803" t="s">
        <v>12304</v>
      </c>
      <c r="B8707" s="803" t="s">
        <v>4186</v>
      </c>
      <c r="C8707" s="803" t="s">
        <v>4186</v>
      </c>
      <c r="D8707" s="803" t="s">
        <v>4232</v>
      </c>
      <c r="E8707" s="803">
        <v>20</v>
      </c>
      <c r="F8707" s="803">
        <v>5</v>
      </c>
      <c r="G8707" s="202" t="str">
        <f t="shared" si="135"/>
        <v/>
      </c>
    </row>
    <row r="8708" spans="1:7" s="172" customFormat="1" ht="15" customHeight="1" x14ac:dyDescent="0.25">
      <c r="A8708" s="803" t="s">
        <v>9044</v>
      </c>
      <c r="B8708" s="803" t="s">
        <v>4186</v>
      </c>
      <c r="C8708" s="803" t="s">
        <v>4186</v>
      </c>
      <c r="D8708" s="803" t="s">
        <v>4233</v>
      </c>
      <c r="E8708" s="803">
        <v>160</v>
      </c>
      <c r="F8708" s="803">
        <v>25</v>
      </c>
      <c r="G8708" s="202" t="str">
        <f t="shared" si="135"/>
        <v/>
      </c>
    </row>
    <row r="8709" spans="1:7" s="172" customFormat="1" ht="15" customHeight="1" x14ac:dyDescent="0.25">
      <c r="A8709" s="803" t="s">
        <v>9044</v>
      </c>
      <c r="B8709" s="803" t="s">
        <v>4186</v>
      </c>
      <c r="C8709" s="803" t="s">
        <v>4186</v>
      </c>
      <c r="D8709" s="803" t="s">
        <v>4234</v>
      </c>
      <c r="E8709" s="803">
        <v>250</v>
      </c>
      <c r="F8709" s="803">
        <v>55</v>
      </c>
      <c r="G8709" s="202" t="str">
        <f t="shared" si="135"/>
        <v/>
      </c>
    </row>
    <row r="8710" spans="1:7" s="172" customFormat="1" ht="15" customHeight="1" x14ac:dyDescent="0.25">
      <c r="A8710" s="803" t="s">
        <v>12305</v>
      </c>
      <c r="B8710" s="803" t="s">
        <v>4186</v>
      </c>
      <c r="C8710" s="803" t="s">
        <v>4186</v>
      </c>
      <c r="D8710" s="803" t="s">
        <v>4235</v>
      </c>
      <c r="E8710" s="803">
        <v>100</v>
      </c>
      <c r="F8710" s="803">
        <v>20</v>
      </c>
      <c r="G8710" s="202" t="str">
        <f t="shared" si="135"/>
        <v/>
      </c>
    </row>
    <row r="8711" spans="1:7" s="172" customFormat="1" ht="15" customHeight="1" x14ac:dyDescent="0.25">
      <c r="A8711" s="803" t="s">
        <v>12306</v>
      </c>
      <c r="B8711" s="803" t="s">
        <v>4186</v>
      </c>
      <c r="C8711" s="803" t="s">
        <v>4186</v>
      </c>
      <c r="D8711" s="803" t="s">
        <v>4236</v>
      </c>
      <c r="E8711" s="803">
        <v>20</v>
      </c>
      <c r="F8711" s="803">
        <v>15</v>
      </c>
      <c r="G8711" s="202" t="str">
        <f t="shared" si="135"/>
        <v/>
      </c>
    </row>
    <row r="8712" spans="1:7" s="172" customFormat="1" ht="15" customHeight="1" x14ac:dyDescent="0.25">
      <c r="A8712" s="803" t="s">
        <v>8822</v>
      </c>
      <c r="B8712" s="803" t="s">
        <v>4186</v>
      </c>
      <c r="C8712" s="803" t="s">
        <v>4186</v>
      </c>
      <c r="D8712" s="803" t="s">
        <v>4237</v>
      </c>
      <c r="E8712" s="803">
        <v>63</v>
      </c>
      <c r="F8712" s="803">
        <v>30</v>
      </c>
      <c r="G8712" s="202" t="str">
        <f t="shared" si="135"/>
        <v/>
      </c>
    </row>
    <row r="8713" spans="1:7" s="172" customFormat="1" ht="15" customHeight="1" x14ac:dyDescent="0.25">
      <c r="A8713" s="803" t="s">
        <v>12307</v>
      </c>
      <c r="B8713" s="803" t="s">
        <v>4186</v>
      </c>
      <c r="C8713" s="803" t="s">
        <v>4186</v>
      </c>
      <c r="D8713" s="803" t="s">
        <v>4238</v>
      </c>
      <c r="E8713" s="803">
        <v>160</v>
      </c>
      <c r="F8713" s="803">
        <v>20</v>
      </c>
      <c r="G8713" s="202" t="str">
        <f t="shared" si="135"/>
        <v/>
      </c>
    </row>
    <row r="8714" spans="1:7" s="172" customFormat="1" ht="15" customHeight="1" x14ac:dyDescent="0.25">
      <c r="A8714" s="803" t="s">
        <v>12307</v>
      </c>
      <c r="B8714" s="803" t="s">
        <v>4186</v>
      </c>
      <c r="C8714" s="803" t="s">
        <v>4186</v>
      </c>
      <c r="D8714" s="803" t="s">
        <v>4239</v>
      </c>
      <c r="E8714" s="803">
        <v>100</v>
      </c>
      <c r="F8714" s="803">
        <v>12</v>
      </c>
      <c r="G8714" s="202" t="str">
        <f t="shared" si="135"/>
        <v/>
      </c>
    </row>
    <row r="8715" spans="1:7" s="172" customFormat="1" ht="15" customHeight="1" x14ac:dyDescent="0.25">
      <c r="A8715" s="803" t="s">
        <v>12307</v>
      </c>
      <c r="B8715" s="803" t="s">
        <v>4186</v>
      </c>
      <c r="C8715" s="803" t="s">
        <v>4186</v>
      </c>
      <c r="D8715" s="803" t="s">
        <v>4240</v>
      </c>
      <c r="E8715" s="803">
        <v>100</v>
      </c>
      <c r="F8715" s="803">
        <v>40</v>
      </c>
      <c r="G8715" s="202" t="str">
        <f t="shared" si="135"/>
        <v/>
      </c>
    </row>
    <row r="8716" spans="1:7" s="172" customFormat="1" ht="15" customHeight="1" x14ac:dyDescent="0.25">
      <c r="A8716" s="803" t="s">
        <v>12307</v>
      </c>
      <c r="B8716" s="803" t="s">
        <v>4186</v>
      </c>
      <c r="C8716" s="803" t="s">
        <v>4186</v>
      </c>
      <c r="D8716" s="803" t="s">
        <v>4241</v>
      </c>
      <c r="E8716" s="803">
        <v>160</v>
      </c>
      <c r="F8716" s="803">
        <v>105</v>
      </c>
      <c r="G8716" s="202" t="str">
        <f t="shared" si="135"/>
        <v/>
      </c>
    </row>
    <row r="8717" spans="1:7" s="172" customFormat="1" ht="15" customHeight="1" x14ac:dyDescent="0.25">
      <c r="A8717" s="803" t="s">
        <v>12307</v>
      </c>
      <c r="B8717" s="803" t="s">
        <v>4186</v>
      </c>
      <c r="C8717" s="803" t="s">
        <v>4186</v>
      </c>
      <c r="D8717" s="803" t="s">
        <v>4242</v>
      </c>
      <c r="E8717" s="803">
        <v>100</v>
      </c>
      <c r="F8717" s="803">
        <v>5</v>
      </c>
      <c r="G8717" s="202" t="str">
        <f t="shared" si="135"/>
        <v/>
      </c>
    </row>
    <row r="8718" spans="1:7" s="172" customFormat="1" ht="15" customHeight="1" x14ac:dyDescent="0.25">
      <c r="A8718" s="803" t="s">
        <v>12307</v>
      </c>
      <c r="B8718" s="803" t="s">
        <v>4186</v>
      </c>
      <c r="C8718" s="803" t="s">
        <v>4186</v>
      </c>
      <c r="D8718" s="803" t="s">
        <v>4243</v>
      </c>
      <c r="E8718" s="803">
        <v>250</v>
      </c>
      <c r="F8718" s="803">
        <v>45</v>
      </c>
      <c r="G8718" s="202" t="str">
        <f t="shared" si="135"/>
        <v/>
      </c>
    </row>
    <row r="8719" spans="1:7" s="172" customFormat="1" ht="15" customHeight="1" x14ac:dyDescent="0.25">
      <c r="A8719" s="803" t="s">
        <v>12307</v>
      </c>
      <c r="B8719" s="803" t="s">
        <v>4186</v>
      </c>
      <c r="C8719" s="803" t="s">
        <v>4186</v>
      </c>
      <c r="D8719" s="803" t="s">
        <v>4244</v>
      </c>
      <c r="E8719" s="803">
        <v>30</v>
      </c>
      <c r="F8719" s="803">
        <v>2</v>
      </c>
      <c r="G8719" s="202" t="str">
        <f t="shared" si="135"/>
        <v/>
      </c>
    </row>
    <row r="8720" spans="1:7" s="172" customFormat="1" ht="15" customHeight="1" x14ac:dyDescent="0.25">
      <c r="A8720" s="803" t="s">
        <v>4481</v>
      </c>
      <c r="B8720" s="803" t="s">
        <v>4186</v>
      </c>
      <c r="C8720" s="803" t="s">
        <v>4186</v>
      </c>
      <c r="D8720" s="803" t="s">
        <v>4245</v>
      </c>
      <c r="E8720" s="803">
        <v>160</v>
      </c>
      <c r="F8720" s="803">
        <v>10</v>
      </c>
      <c r="G8720" s="202" t="str">
        <f t="shared" si="135"/>
        <v/>
      </c>
    </row>
    <row r="8721" spans="1:7" s="172" customFormat="1" ht="15" customHeight="1" x14ac:dyDescent="0.25">
      <c r="A8721" s="803" t="s">
        <v>4481</v>
      </c>
      <c r="B8721" s="803" t="s">
        <v>4186</v>
      </c>
      <c r="C8721" s="803" t="s">
        <v>4186</v>
      </c>
      <c r="D8721" s="803" t="s">
        <v>4246</v>
      </c>
      <c r="E8721" s="803">
        <v>100</v>
      </c>
      <c r="F8721" s="803">
        <v>10</v>
      </c>
      <c r="G8721" s="202" t="str">
        <f t="shared" si="135"/>
        <v/>
      </c>
    </row>
    <row r="8722" spans="1:7" s="172" customFormat="1" ht="15" customHeight="1" x14ac:dyDescent="0.25">
      <c r="A8722" s="803" t="s">
        <v>4481</v>
      </c>
      <c r="B8722" s="803" t="s">
        <v>4186</v>
      </c>
      <c r="C8722" s="803" t="s">
        <v>4186</v>
      </c>
      <c r="D8722" s="803" t="s">
        <v>4247</v>
      </c>
      <c r="E8722" s="803">
        <v>250</v>
      </c>
      <c r="F8722" s="803">
        <v>155</v>
      </c>
      <c r="G8722" s="202" t="str">
        <f t="shared" si="135"/>
        <v/>
      </c>
    </row>
    <row r="8723" spans="1:7" s="172" customFormat="1" ht="15" customHeight="1" x14ac:dyDescent="0.25">
      <c r="A8723" s="803" t="s">
        <v>4202</v>
      </c>
      <c r="B8723" s="803" t="s">
        <v>4186</v>
      </c>
      <c r="C8723" s="803" t="s">
        <v>4186</v>
      </c>
      <c r="D8723" s="803" t="s">
        <v>4248</v>
      </c>
      <c r="E8723" s="803">
        <v>250</v>
      </c>
      <c r="F8723" s="803">
        <v>130</v>
      </c>
      <c r="G8723" s="202" t="str">
        <f t="shared" si="135"/>
        <v/>
      </c>
    </row>
    <row r="8724" spans="1:7" s="172" customFormat="1" ht="15" customHeight="1" x14ac:dyDescent="0.25">
      <c r="A8724" s="803" t="s">
        <v>12308</v>
      </c>
      <c r="B8724" s="803" t="s">
        <v>4186</v>
      </c>
      <c r="C8724" s="803" t="s">
        <v>4186</v>
      </c>
      <c r="D8724" s="803" t="s">
        <v>4249</v>
      </c>
      <c r="E8724" s="803">
        <v>60</v>
      </c>
      <c r="F8724" s="803">
        <v>10</v>
      </c>
      <c r="G8724" s="202" t="str">
        <f t="shared" si="135"/>
        <v/>
      </c>
    </row>
    <row r="8725" spans="1:7" s="172" customFormat="1" ht="15" customHeight="1" x14ac:dyDescent="0.25">
      <c r="A8725" s="803" t="s">
        <v>12309</v>
      </c>
      <c r="B8725" s="803" t="s">
        <v>4186</v>
      </c>
      <c r="C8725" s="803" t="s">
        <v>4186</v>
      </c>
      <c r="D8725" s="803" t="s">
        <v>4250</v>
      </c>
      <c r="E8725" s="803">
        <v>20</v>
      </c>
      <c r="F8725" s="803">
        <v>3</v>
      </c>
      <c r="G8725" s="202" t="str">
        <f t="shared" si="135"/>
        <v/>
      </c>
    </row>
    <row r="8726" spans="1:7" s="172" customFormat="1" ht="15" customHeight="1" x14ac:dyDescent="0.25">
      <c r="A8726" s="803" t="s">
        <v>12310</v>
      </c>
      <c r="B8726" s="803" t="s">
        <v>4186</v>
      </c>
      <c r="C8726" s="803" t="s">
        <v>4186</v>
      </c>
      <c r="D8726" s="803" t="s">
        <v>4251</v>
      </c>
      <c r="E8726" s="803">
        <v>60</v>
      </c>
      <c r="F8726" s="803">
        <v>10</v>
      </c>
      <c r="G8726" s="202" t="str">
        <f t="shared" si="135"/>
        <v/>
      </c>
    </row>
    <row r="8727" spans="1:7" s="172" customFormat="1" ht="15" customHeight="1" x14ac:dyDescent="0.25">
      <c r="A8727" s="803" t="s">
        <v>12311</v>
      </c>
      <c r="B8727" s="803" t="s">
        <v>4186</v>
      </c>
      <c r="C8727" s="803" t="s">
        <v>4186</v>
      </c>
      <c r="D8727" s="803" t="s">
        <v>4252</v>
      </c>
      <c r="E8727" s="803">
        <v>60</v>
      </c>
      <c r="F8727" s="803">
        <v>10</v>
      </c>
      <c r="G8727" s="202" t="str">
        <f t="shared" si="135"/>
        <v/>
      </c>
    </row>
    <row r="8728" spans="1:7" s="172" customFormat="1" ht="15" customHeight="1" x14ac:dyDescent="0.25">
      <c r="A8728" s="803" t="s">
        <v>4202</v>
      </c>
      <c r="B8728" s="803" t="s">
        <v>4186</v>
      </c>
      <c r="C8728" s="803" t="s">
        <v>4186</v>
      </c>
      <c r="D8728" s="803" t="s">
        <v>4253</v>
      </c>
      <c r="E8728" s="803">
        <v>30</v>
      </c>
      <c r="F8728" s="803">
        <v>5</v>
      </c>
      <c r="G8728" s="202" t="str">
        <f t="shared" si="135"/>
        <v/>
      </c>
    </row>
    <row r="8729" spans="1:7" s="172" customFormat="1" ht="15" customHeight="1" x14ac:dyDescent="0.25">
      <c r="A8729" s="803" t="s">
        <v>12312</v>
      </c>
      <c r="B8729" s="803" t="s">
        <v>4186</v>
      </c>
      <c r="C8729" s="803" t="s">
        <v>4186</v>
      </c>
      <c r="D8729" s="803" t="s">
        <v>4254</v>
      </c>
      <c r="E8729" s="803">
        <v>100</v>
      </c>
      <c r="F8729" s="803">
        <v>15</v>
      </c>
      <c r="G8729" s="202" t="str">
        <f t="shared" si="135"/>
        <v/>
      </c>
    </row>
    <row r="8730" spans="1:7" s="172" customFormat="1" ht="15" customHeight="1" x14ac:dyDescent="0.25">
      <c r="A8730" s="803" t="s">
        <v>12313</v>
      </c>
      <c r="B8730" s="803" t="s">
        <v>4186</v>
      </c>
      <c r="C8730" s="803" t="s">
        <v>4186</v>
      </c>
      <c r="D8730" s="803" t="s">
        <v>4255</v>
      </c>
      <c r="E8730" s="803">
        <v>63</v>
      </c>
      <c r="F8730" s="803">
        <v>20</v>
      </c>
      <c r="G8730" s="202" t="str">
        <f t="shared" si="135"/>
        <v/>
      </c>
    </row>
    <row r="8731" spans="1:7" s="172" customFormat="1" ht="15" customHeight="1" x14ac:dyDescent="0.25">
      <c r="A8731" s="803" t="s">
        <v>12314</v>
      </c>
      <c r="B8731" s="803" t="s">
        <v>4186</v>
      </c>
      <c r="C8731" s="803" t="s">
        <v>4186</v>
      </c>
      <c r="D8731" s="803" t="s">
        <v>4256</v>
      </c>
      <c r="E8731" s="803">
        <v>25</v>
      </c>
      <c r="F8731" s="803">
        <v>5</v>
      </c>
      <c r="G8731" s="202" t="str">
        <f t="shared" si="135"/>
        <v/>
      </c>
    </row>
    <row r="8732" spans="1:7" s="172" customFormat="1" ht="15" customHeight="1" x14ac:dyDescent="0.25">
      <c r="A8732" s="803" t="s">
        <v>12315</v>
      </c>
      <c r="B8732" s="803" t="s">
        <v>4186</v>
      </c>
      <c r="C8732" s="803" t="s">
        <v>4186</v>
      </c>
      <c r="D8732" s="803" t="s">
        <v>4257</v>
      </c>
      <c r="E8732" s="803">
        <v>100</v>
      </c>
      <c r="F8732" s="803">
        <v>25</v>
      </c>
      <c r="G8732" s="202" t="str">
        <f t="shared" si="135"/>
        <v/>
      </c>
    </row>
    <row r="8733" spans="1:7" s="172" customFormat="1" ht="15" customHeight="1" x14ac:dyDescent="0.25">
      <c r="A8733" s="803" t="s">
        <v>4202</v>
      </c>
      <c r="B8733" s="803" t="s">
        <v>4186</v>
      </c>
      <c r="C8733" s="803" t="s">
        <v>4186</v>
      </c>
      <c r="D8733" s="803" t="s">
        <v>4258</v>
      </c>
      <c r="E8733" s="803">
        <v>100</v>
      </c>
      <c r="F8733" s="803">
        <v>3</v>
      </c>
      <c r="G8733" s="202" t="str">
        <f t="shared" si="135"/>
        <v/>
      </c>
    </row>
    <row r="8734" spans="1:7" s="172" customFormat="1" ht="15" customHeight="1" x14ac:dyDescent="0.25">
      <c r="A8734" s="803" t="s">
        <v>12316</v>
      </c>
      <c r="B8734" s="803" t="s">
        <v>4186</v>
      </c>
      <c r="C8734" s="803" t="s">
        <v>4186</v>
      </c>
      <c r="D8734" s="803" t="s">
        <v>4259</v>
      </c>
      <c r="E8734" s="803">
        <v>100</v>
      </c>
      <c r="F8734" s="803">
        <v>15</v>
      </c>
      <c r="G8734" s="202" t="str">
        <f t="shared" ref="G8734:G8797" si="136">IF(E8734=F8734,"не загружен","")</f>
        <v/>
      </c>
    </row>
    <row r="8735" spans="1:7" s="172" customFormat="1" ht="15" customHeight="1" x14ac:dyDescent="0.25">
      <c r="A8735" s="803" t="s">
        <v>12317</v>
      </c>
      <c r="B8735" s="803" t="s">
        <v>4186</v>
      </c>
      <c r="C8735" s="803" t="s">
        <v>4186</v>
      </c>
      <c r="D8735" s="803" t="s">
        <v>4260</v>
      </c>
      <c r="E8735" s="803">
        <v>100</v>
      </c>
      <c r="F8735" s="803">
        <v>15</v>
      </c>
      <c r="G8735" s="202" t="str">
        <f t="shared" si="136"/>
        <v/>
      </c>
    </row>
    <row r="8736" spans="1:7" s="172" customFormat="1" ht="15" customHeight="1" x14ac:dyDescent="0.25">
      <c r="A8736" s="803" t="s">
        <v>12318</v>
      </c>
      <c r="B8736" s="803" t="s">
        <v>4186</v>
      </c>
      <c r="C8736" s="803" t="s">
        <v>4186</v>
      </c>
      <c r="D8736" s="803" t="s">
        <v>4261</v>
      </c>
      <c r="E8736" s="803">
        <v>100</v>
      </c>
      <c r="F8736" s="803">
        <v>25</v>
      </c>
      <c r="G8736" s="202" t="str">
        <f t="shared" si="136"/>
        <v/>
      </c>
    </row>
    <row r="8737" spans="1:7" s="172" customFormat="1" ht="15" customHeight="1" x14ac:dyDescent="0.25">
      <c r="A8737" s="803" t="s">
        <v>12319</v>
      </c>
      <c r="B8737" s="803" t="s">
        <v>4186</v>
      </c>
      <c r="C8737" s="803" t="s">
        <v>4186</v>
      </c>
      <c r="D8737" s="803" t="s">
        <v>4262</v>
      </c>
      <c r="E8737" s="803">
        <v>30</v>
      </c>
      <c r="F8737" s="803">
        <v>10</v>
      </c>
      <c r="G8737" s="202" t="str">
        <f t="shared" si="136"/>
        <v/>
      </c>
    </row>
    <row r="8738" spans="1:7" s="172" customFormat="1" ht="15" customHeight="1" x14ac:dyDescent="0.25">
      <c r="A8738" s="803" t="s">
        <v>12320</v>
      </c>
      <c r="B8738" s="803" t="s">
        <v>4186</v>
      </c>
      <c r="C8738" s="803" t="s">
        <v>4186</v>
      </c>
      <c r="D8738" s="803" t="s">
        <v>4263</v>
      </c>
      <c r="E8738" s="803">
        <v>250</v>
      </c>
      <c r="F8738" s="803">
        <v>80</v>
      </c>
      <c r="G8738" s="202" t="str">
        <f t="shared" si="136"/>
        <v/>
      </c>
    </row>
    <row r="8739" spans="1:7" s="172" customFormat="1" ht="15" customHeight="1" x14ac:dyDescent="0.25">
      <c r="A8739" s="803" t="s">
        <v>12321</v>
      </c>
      <c r="B8739" s="803" t="s">
        <v>4186</v>
      </c>
      <c r="C8739" s="803" t="s">
        <v>4186</v>
      </c>
      <c r="D8739" s="803" t="s">
        <v>4264</v>
      </c>
      <c r="E8739" s="803">
        <v>100</v>
      </c>
      <c r="F8739" s="803">
        <v>65</v>
      </c>
      <c r="G8739" s="202" t="str">
        <f t="shared" si="136"/>
        <v/>
      </c>
    </row>
    <row r="8740" spans="1:7" s="172" customFormat="1" ht="15" customHeight="1" x14ac:dyDescent="0.25">
      <c r="A8740" s="803" t="s">
        <v>12322</v>
      </c>
      <c r="B8740" s="803" t="s">
        <v>4186</v>
      </c>
      <c r="C8740" s="803" t="s">
        <v>4186</v>
      </c>
      <c r="D8740" s="803" t="s">
        <v>4265</v>
      </c>
      <c r="E8740" s="803">
        <v>63</v>
      </c>
      <c r="F8740" s="803">
        <v>24</v>
      </c>
      <c r="G8740" s="202" t="str">
        <f t="shared" si="136"/>
        <v/>
      </c>
    </row>
    <row r="8741" spans="1:7" s="172" customFormat="1" ht="15" customHeight="1" x14ac:dyDescent="0.25">
      <c r="A8741" s="803" t="s">
        <v>12323</v>
      </c>
      <c r="B8741" s="803" t="s">
        <v>4186</v>
      </c>
      <c r="C8741" s="803" t="s">
        <v>4186</v>
      </c>
      <c r="D8741" s="803" t="s">
        <v>4266</v>
      </c>
      <c r="E8741" s="803">
        <v>100</v>
      </c>
      <c r="F8741" s="803">
        <v>30</v>
      </c>
      <c r="G8741" s="202" t="str">
        <f t="shared" si="136"/>
        <v/>
      </c>
    </row>
    <row r="8742" spans="1:7" s="172" customFormat="1" ht="15" customHeight="1" x14ac:dyDescent="0.25">
      <c r="A8742" s="803" t="s">
        <v>12324</v>
      </c>
      <c r="B8742" s="803" t="s">
        <v>4186</v>
      </c>
      <c r="C8742" s="803" t="s">
        <v>4186</v>
      </c>
      <c r="D8742" s="803" t="s">
        <v>4267</v>
      </c>
      <c r="E8742" s="803">
        <v>100</v>
      </c>
      <c r="F8742" s="803">
        <v>8</v>
      </c>
      <c r="G8742" s="202" t="str">
        <f t="shared" si="136"/>
        <v/>
      </c>
    </row>
    <row r="8743" spans="1:7" s="172" customFormat="1" ht="15" customHeight="1" x14ac:dyDescent="0.25">
      <c r="A8743" s="803" t="s">
        <v>12325</v>
      </c>
      <c r="B8743" s="803" t="s">
        <v>4186</v>
      </c>
      <c r="C8743" s="803" t="s">
        <v>4186</v>
      </c>
      <c r="D8743" s="803" t="s">
        <v>4268</v>
      </c>
      <c r="E8743" s="803">
        <v>100</v>
      </c>
      <c r="F8743" s="803">
        <v>10</v>
      </c>
      <c r="G8743" s="202" t="str">
        <f t="shared" si="136"/>
        <v/>
      </c>
    </row>
    <row r="8744" spans="1:7" s="172" customFormat="1" ht="15" customHeight="1" x14ac:dyDescent="0.25">
      <c r="A8744" s="803" t="s">
        <v>12320</v>
      </c>
      <c r="B8744" s="803" t="s">
        <v>4186</v>
      </c>
      <c r="C8744" s="803" t="s">
        <v>4186</v>
      </c>
      <c r="D8744" s="803" t="s">
        <v>4269</v>
      </c>
      <c r="E8744" s="803">
        <v>100</v>
      </c>
      <c r="F8744" s="803">
        <v>5</v>
      </c>
      <c r="G8744" s="202" t="str">
        <f t="shared" si="136"/>
        <v/>
      </c>
    </row>
    <row r="8745" spans="1:7" s="172" customFormat="1" ht="15" customHeight="1" x14ac:dyDescent="0.25">
      <c r="A8745" s="803" t="s">
        <v>12320</v>
      </c>
      <c r="B8745" s="803" t="s">
        <v>4186</v>
      </c>
      <c r="C8745" s="803" t="s">
        <v>4186</v>
      </c>
      <c r="D8745" s="803" t="s">
        <v>4270</v>
      </c>
      <c r="E8745" s="803">
        <v>100</v>
      </c>
      <c r="F8745" s="803">
        <v>15</v>
      </c>
      <c r="G8745" s="202" t="str">
        <f t="shared" si="136"/>
        <v/>
      </c>
    </row>
    <row r="8746" spans="1:7" s="172" customFormat="1" ht="15" customHeight="1" x14ac:dyDescent="0.25">
      <c r="A8746" s="803" t="s">
        <v>12320</v>
      </c>
      <c r="B8746" s="803" t="s">
        <v>4186</v>
      </c>
      <c r="C8746" s="803" t="s">
        <v>4186</v>
      </c>
      <c r="D8746" s="803" t="s">
        <v>4271</v>
      </c>
      <c r="E8746" s="803">
        <v>630</v>
      </c>
      <c r="F8746" s="803">
        <v>125</v>
      </c>
      <c r="G8746" s="202" t="str">
        <f t="shared" si="136"/>
        <v/>
      </c>
    </row>
    <row r="8747" spans="1:7" s="172" customFormat="1" ht="15" customHeight="1" x14ac:dyDescent="0.25">
      <c r="A8747" s="803" t="s">
        <v>12320</v>
      </c>
      <c r="B8747" s="803" t="s">
        <v>4186</v>
      </c>
      <c r="C8747" s="803" t="s">
        <v>4186</v>
      </c>
      <c r="D8747" s="803" t="s">
        <v>4272</v>
      </c>
      <c r="E8747" s="803">
        <v>250</v>
      </c>
      <c r="F8747" s="803">
        <v>180</v>
      </c>
      <c r="G8747" s="202" t="str">
        <f t="shared" si="136"/>
        <v/>
      </c>
    </row>
    <row r="8748" spans="1:7" s="172" customFormat="1" ht="15" customHeight="1" x14ac:dyDescent="0.25">
      <c r="A8748" s="803" t="s">
        <v>12326</v>
      </c>
      <c r="B8748" s="803" t="s">
        <v>4186</v>
      </c>
      <c r="C8748" s="803" t="s">
        <v>4186</v>
      </c>
      <c r="D8748" s="803" t="s">
        <v>4273</v>
      </c>
      <c r="E8748" s="803">
        <v>30</v>
      </c>
      <c r="F8748" s="803">
        <v>5</v>
      </c>
      <c r="G8748" s="202" t="str">
        <f t="shared" si="136"/>
        <v/>
      </c>
    </row>
    <row r="8749" spans="1:7" s="172" customFormat="1" ht="15" customHeight="1" x14ac:dyDescent="0.25">
      <c r="A8749" s="803" t="s">
        <v>12327</v>
      </c>
      <c r="B8749" s="803" t="s">
        <v>4186</v>
      </c>
      <c r="C8749" s="803" t="s">
        <v>4186</v>
      </c>
      <c r="D8749" s="803" t="s">
        <v>4274</v>
      </c>
      <c r="E8749" s="803">
        <v>60</v>
      </c>
      <c r="F8749" s="803">
        <v>25</v>
      </c>
      <c r="G8749" s="202" t="str">
        <f t="shared" si="136"/>
        <v/>
      </c>
    </row>
    <row r="8750" spans="1:7" s="172" customFormat="1" ht="15" customHeight="1" x14ac:dyDescent="0.25">
      <c r="A8750" s="803" t="s">
        <v>5185</v>
      </c>
      <c r="B8750" s="803" t="s">
        <v>4186</v>
      </c>
      <c r="C8750" s="803" t="s">
        <v>4186</v>
      </c>
      <c r="D8750" s="803" t="s">
        <v>4275</v>
      </c>
      <c r="E8750" s="803">
        <v>60</v>
      </c>
      <c r="F8750" s="803">
        <v>5</v>
      </c>
      <c r="G8750" s="202" t="str">
        <f t="shared" si="136"/>
        <v/>
      </c>
    </row>
    <row r="8751" spans="1:7" s="172" customFormat="1" ht="15" customHeight="1" x14ac:dyDescent="0.25">
      <c r="A8751" s="803" t="s">
        <v>12328</v>
      </c>
      <c r="B8751" s="803" t="s">
        <v>4186</v>
      </c>
      <c r="C8751" s="803" t="s">
        <v>4186</v>
      </c>
      <c r="D8751" s="803" t="s">
        <v>4276</v>
      </c>
      <c r="E8751" s="803">
        <v>250</v>
      </c>
      <c r="F8751" s="803">
        <v>30</v>
      </c>
      <c r="G8751" s="202" t="str">
        <f t="shared" si="136"/>
        <v/>
      </c>
    </row>
    <row r="8752" spans="1:7" s="172" customFormat="1" ht="15" customHeight="1" x14ac:dyDescent="0.25">
      <c r="A8752" s="803" t="s">
        <v>12329</v>
      </c>
      <c r="B8752" s="803" t="s">
        <v>4186</v>
      </c>
      <c r="C8752" s="803" t="s">
        <v>4186</v>
      </c>
      <c r="D8752" s="803" t="s">
        <v>4277</v>
      </c>
      <c r="E8752" s="803">
        <v>100</v>
      </c>
      <c r="F8752" s="803">
        <v>50</v>
      </c>
      <c r="G8752" s="202" t="str">
        <f t="shared" si="136"/>
        <v/>
      </c>
    </row>
    <row r="8753" spans="1:7" s="172" customFormat="1" ht="15" customHeight="1" x14ac:dyDescent="0.25">
      <c r="A8753" s="803" t="s">
        <v>12330</v>
      </c>
      <c r="B8753" s="803" t="s">
        <v>4186</v>
      </c>
      <c r="C8753" s="803" t="s">
        <v>4186</v>
      </c>
      <c r="D8753" s="803" t="s">
        <v>4278</v>
      </c>
      <c r="E8753" s="803">
        <v>60</v>
      </c>
      <c r="F8753" s="803">
        <v>15</v>
      </c>
      <c r="G8753" s="202" t="str">
        <f t="shared" si="136"/>
        <v/>
      </c>
    </row>
    <row r="8754" spans="1:7" s="172" customFormat="1" ht="15" customHeight="1" x14ac:dyDescent="0.25">
      <c r="A8754" s="803" t="s">
        <v>12331</v>
      </c>
      <c r="B8754" s="803" t="s">
        <v>4186</v>
      </c>
      <c r="C8754" s="803" t="s">
        <v>4186</v>
      </c>
      <c r="D8754" s="803" t="s">
        <v>4279</v>
      </c>
      <c r="E8754" s="803">
        <v>10</v>
      </c>
      <c r="F8754" s="803">
        <v>1</v>
      </c>
      <c r="G8754" s="202" t="str">
        <f t="shared" si="136"/>
        <v/>
      </c>
    </row>
    <row r="8755" spans="1:7" s="172" customFormat="1" ht="15" customHeight="1" x14ac:dyDescent="0.25">
      <c r="A8755" s="803" t="s">
        <v>12332</v>
      </c>
      <c r="B8755" s="803" t="s">
        <v>4186</v>
      </c>
      <c r="C8755" s="803" t="s">
        <v>4186</v>
      </c>
      <c r="D8755" s="803" t="s">
        <v>4280</v>
      </c>
      <c r="E8755" s="803">
        <v>30</v>
      </c>
      <c r="F8755" s="803">
        <v>5</v>
      </c>
      <c r="G8755" s="202" t="str">
        <f t="shared" si="136"/>
        <v/>
      </c>
    </row>
    <row r="8756" spans="1:7" s="172" customFormat="1" ht="15" customHeight="1" x14ac:dyDescent="0.25">
      <c r="A8756" s="803" t="s">
        <v>12333</v>
      </c>
      <c r="B8756" s="803" t="s">
        <v>4186</v>
      </c>
      <c r="C8756" s="803" t="s">
        <v>4186</v>
      </c>
      <c r="D8756" s="803" t="s">
        <v>4281</v>
      </c>
      <c r="E8756" s="803">
        <v>30</v>
      </c>
      <c r="F8756" s="803">
        <v>5</v>
      </c>
      <c r="G8756" s="202" t="str">
        <f t="shared" si="136"/>
        <v/>
      </c>
    </row>
    <row r="8757" spans="1:7" s="172" customFormat="1" ht="15" customHeight="1" x14ac:dyDescent="0.25">
      <c r="A8757" s="803" t="s">
        <v>12334</v>
      </c>
      <c r="B8757" s="803" t="s">
        <v>4186</v>
      </c>
      <c r="C8757" s="803" t="s">
        <v>4186</v>
      </c>
      <c r="D8757" s="803" t="s">
        <v>4282</v>
      </c>
      <c r="E8757" s="803">
        <v>250</v>
      </c>
      <c r="F8757" s="803">
        <v>145</v>
      </c>
      <c r="G8757" s="202" t="str">
        <f t="shared" si="136"/>
        <v/>
      </c>
    </row>
    <row r="8758" spans="1:7" s="172" customFormat="1" ht="15" customHeight="1" x14ac:dyDescent="0.25">
      <c r="A8758" s="803" t="s">
        <v>12335</v>
      </c>
      <c r="B8758" s="803" t="s">
        <v>4186</v>
      </c>
      <c r="C8758" s="803" t="s">
        <v>4186</v>
      </c>
      <c r="D8758" s="803" t="s">
        <v>4283</v>
      </c>
      <c r="E8758" s="803">
        <v>60</v>
      </c>
      <c r="F8758" s="803">
        <v>10</v>
      </c>
      <c r="G8758" s="202" t="str">
        <f t="shared" si="136"/>
        <v/>
      </c>
    </row>
    <row r="8759" spans="1:7" s="172" customFormat="1" ht="15" customHeight="1" x14ac:dyDescent="0.25">
      <c r="A8759" s="803" t="s">
        <v>12336</v>
      </c>
      <c r="B8759" s="803" t="s">
        <v>4186</v>
      </c>
      <c r="C8759" s="803" t="s">
        <v>4186</v>
      </c>
      <c r="D8759" s="803" t="s">
        <v>4284</v>
      </c>
      <c r="E8759" s="803">
        <v>10</v>
      </c>
      <c r="F8759" s="803">
        <v>1</v>
      </c>
      <c r="G8759" s="202" t="str">
        <f t="shared" si="136"/>
        <v/>
      </c>
    </row>
    <row r="8760" spans="1:7" s="172" customFormat="1" ht="15" customHeight="1" x14ac:dyDescent="0.25">
      <c r="A8760" s="803" t="s">
        <v>4494</v>
      </c>
      <c r="B8760" s="803" t="s">
        <v>4186</v>
      </c>
      <c r="C8760" s="803" t="s">
        <v>4186</v>
      </c>
      <c r="D8760" s="803" t="s">
        <v>4285</v>
      </c>
      <c r="E8760" s="803">
        <v>60</v>
      </c>
      <c r="F8760" s="803">
        <v>10</v>
      </c>
      <c r="G8760" s="202" t="str">
        <f t="shared" si="136"/>
        <v/>
      </c>
    </row>
    <row r="8761" spans="1:7" s="172" customFormat="1" ht="15" customHeight="1" x14ac:dyDescent="0.25">
      <c r="A8761" s="803" t="s">
        <v>4330</v>
      </c>
      <c r="B8761" s="803" t="s">
        <v>4186</v>
      </c>
      <c r="C8761" s="803" t="s">
        <v>4186</v>
      </c>
      <c r="D8761" s="803" t="s">
        <v>4286</v>
      </c>
      <c r="E8761" s="803">
        <v>100</v>
      </c>
      <c r="F8761" s="803">
        <v>15</v>
      </c>
      <c r="G8761" s="202" t="str">
        <f t="shared" si="136"/>
        <v/>
      </c>
    </row>
    <row r="8762" spans="1:7" s="172" customFormat="1" ht="15" customHeight="1" x14ac:dyDescent="0.25">
      <c r="A8762" s="803" t="s">
        <v>4330</v>
      </c>
      <c r="B8762" s="803" t="s">
        <v>4186</v>
      </c>
      <c r="C8762" s="803" t="s">
        <v>4186</v>
      </c>
      <c r="D8762" s="803" t="s">
        <v>4287</v>
      </c>
      <c r="E8762" s="803">
        <v>100</v>
      </c>
      <c r="F8762" s="803">
        <v>15</v>
      </c>
      <c r="G8762" s="202" t="str">
        <f t="shared" si="136"/>
        <v/>
      </c>
    </row>
    <row r="8763" spans="1:7" s="172" customFormat="1" ht="15" customHeight="1" x14ac:dyDescent="0.25">
      <c r="A8763" s="803" t="s">
        <v>12337</v>
      </c>
      <c r="B8763" s="803" t="s">
        <v>4186</v>
      </c>
      <c r="C8763" s="803" t="s">
        <v>4186</v>
      </c>
      <c r="D8763" s="803" t="s">
        <v>4288</v>
      </c>
      <c r="E8763" s="803">
        <v>60</v>
      </c>
      <c r="F8763" s="803">
        <v>10</v>
      </c>
      <c r="G8763" s="202" t="str">
        <f t="shared" si="136"/>
        <v/>
      </c>
    </row>
    <row r="8764" spans="1:7" s="172" customFormat="1" ht="15" customHeight="1" x14ac:dyDescent="0.25">
      <c r="A8764" s="803" t="s">
        <v>12338</v>
      </c>
      <c r="B8764" s="803" t="s">
        <v>4186</v>
      </c>
      <c r="C8764" s="803" t="s">
        <v>4186</v>
      </c>
      <c r="D8764" s="803" t="s">
        <v>4289</v>
      </c>
      <c r="E8764" s="803">
        <v>30</v>
      </c>
      <c r="F8764" s="803">
        <v>5</v>
      </c>
      <c r="G8764" s="202" t="str">
        <f t="shared" si="136"/>
        <v/>
      </c>
    </row>
    <row r="8765" spans="1:7" s="172" customFormat="1" ht="15" customHeight="1" x14ac:dyDescent="0.25">
      <c r="A8765" s="803" t="s">
        <v>12339</v>
      </c>
      <c r="B8765" s="803" t="s">
        <v>4186</v>
      </c>
      <c r="C8765" s="803" t="s">
        <v>4186</v>
      </c>
      <c r="D8765" s="803" t="s">
        <v>4290</v>
      </c>
      <c r="E8765" s="803">
        <v>160</v>
      </c>
      <c r="F8765" s="803">
        <v>65</v>
      </c>
      <c r="G8765" s="202" t="str">
        <f t="shared" si="136"/>
        <v/>
      </c>
    </row>
    <row r="8766" spans="1:7" s="172" customFormat="1" ht="15" customHeight="1" x14ac:dyDescent="0.25">
      <c r="A8766" s="803" t="s">
        <v>12340</v>
      </c>
      <c r="B8766" s="803" t="s">
        <v>4186</v>
      </c>
      <c r="C8766" s="803" t="s">
        <v>4186</v>
      </c>
      <c r="D8766" s="803" t="s">
        <v>4291</v>
      </c>
      <c r="E8766" s="803">
        <v>100</v>
      </c>
      <c r="F8766" s="803">
        <v>60</v>
      </c>
      <c r="G8766" s="202" t="str">
        <f t="shared" si="136"/>
        <v/>
      </c>
    </row>
    <row r="8767" spans="1:7" s="172" customFormat="1" ht="15" customHeight="1" x14ac:dyDescent="0.25">
      <c r="A8767" s="803" t="s">
        <v>4292</v>
      </c>
      <c r="B8767" s="803" t="s">
        <v>4186</v>
      </c>
      <c r="C8767" s="803" t="s">
        <v>4186</v>
      </c>
      <c r="D8767" s="803" t="s">
        <v>4293</v>
      </c>
      <c r="E8767" s="803">
        <v>100</v>
      </c>
      <c r="F8767" s="803">
        <v>45</v>
      </c>
      <c r="G8767" s="202" t="str">
        <f t="shared" si="136"/>
        <v/>
      </c>
    </row>
    <row r="8768" spans="1:7" s="172" customFormat="1" ht="15" customHeight="1" x14ac:dyDescent="0.25">
      <c r="A8768" s="803" t="s">
        <v>12341</v>
      </c>
      <c r="B8768" s="803" t="s">
        <v>4186</v>
      </c>
      <c r="C8768" s="803" t="s">
        <v>4186</v>
      </c>
      <c r="D8768" s="803" t="s">
        <v>4294</v>
      </c>
      <c r="E8768" s="803">
        <v>60</v>
      </c>
      <c r="F8768" s="803">
        <v>15</v>
      </c>
      <c r="G8768" s="202" t="str">
        <f t="shared" si="136"/>
        <v/>
      </c>
    </row>
    <row r="8769" spans="1:7" s="172" customFormat="1" ht="15" customHeight="1" x14ac:dyDescent="0.25">
      <c r="A8769" s="803" t="s">
        <v>12342</v>
      </c>
      <c r="B8769" s="803" t="s">
        <v>4186</v>
      </c>
      <c r="C8769" s="803" t="s">
        <v>4186</v>
      </c>
      <c r="D8769" s="803" t="s">
        <v>4295</v>
      </c>
      <c r="E8769" s="803">
        <v>160</v>
      </c>
      <c r="F8769" s="803">
        <v>70</v>
      </c>
      <c r="G8769" s="202" t="str">
        <f t="shared" si="136"/>
        <v/>
      </c>
    </row>
    <row r="8770" spans="1:7" s="172" customFormat="1" ht="15" customHeight="1" x14ac:dyDescent="0.25">
      <c r="A8770" s="803" t="s">
        <v>12342</v>
      </c>
      <c r="B8770" s="803" t="s">
        <v>4186</v>
      </c>
      <c r="C8770" s="803" t="s">
        <v>4186</v>
      </c>
      <c r="D8770" s="803" t="s">
        <v>4296</v>
      </c>
      <c r="E8770" s="803">
        <v>100</v>
      </c>
      <c r="F8770" s="803">
        <v>45</v>
      </c>
      <c r="G8770" s="202" t="str">
        <f t="shared" si="136"/>
        <v/>
      </c>
    </row>
    <row r="8771" spans="1:7" s="172" customFormat="1" ht="15" customHeight="1" x14ac:dyDescent="0.25">
      <c r="A8771" s="803" t="s">
        <v>12343</v>
      </c>
      <c r="B8771" s="803" t="s">
        <v>4186</v>
      </c>
      <c r="C8771" s="803" t="s">
        <v>4186</v>
      </c>
      <c r="D8771" s="803" t="s">
        <v>4297</v>
      </c>
      <c r="E8771" s="803">
        <v>100</v>
      </c>
      <c r="F8771" s="803">
        <v>55</v>
      </c>
      <c r="G8771" s="202" t="str">
        <f t="shared" si="136"/>
        <v/>
      </c>
    </row>
    <row r="8772" spans="1:7" s="172" customFormat="1" ht="15" customHeight="1" x14ac:dyDescent="0.25">
      <c r="A8772" s="803" t="s">
        <v>4298</v>
      </c>
      <c r="B8772" s="803" t="s">
        <v>4186</v>
      </c>
      <c r="C8772" s="803" t="s">
        <v>4186</v>
      </c>
      <c r="D8772" s="803" t="s">
        <v>4299</v>
      </c>
      <c r="E8772" s="803">
        <v>160</v>
      </c>
      <c r="F8772" s="803">
        <v>25</v>
      </c>
      <c r="G8772" s="202" t="str">
        <f t="shared" si="136"/>
        <v/>
      </c>
    </row>
    <row r="8773" spans="1:7" s="172" customFormat="1" ht="15" customHeight="1" x14ac:dyDescent="0.25">
      <c r="A8773" s="803" t="s">
        <v>4298</v>
      </c>
      <c r="B8773" s="803" t="s">
        <v>4186</v>
      </c>
      <c r="C8773" s="803" t="s">
        <v>4186</v>
      </c>
      <c r="D8773" s="803" t="s">
        <v>4300</v>
      </c>
      <c r="E8773" s="803">
        <v>100</v>
      </c>
      <c r="F8773" s="803">
        <v>15</v>
      </c>
      <c r="G8773" s="202" t="str">
        <f t="shared" si="136"/>
        <v/>
      </c>
    </row>
    <row r="8774" spans="1:7" s="172" customFormat="1" ht="15" customHeight="1" x14ac:dyDescent="0.25">
      <c r="A8774" s="803" t="s">
        <v>4298</v>
      </c>
      <c r="B8774" s="803" t="s">
        <v>4186</v>
      </c>
      <c r="C8774" s="803" t="s">
        <v>4186</v>
      </c>
      <c r="D8774" s="803" t="s">
        <v>4301</v>
      </c>
      <c r="E8774" s="803">
        <v>100</v>
      </c>
      <c r="F8774" s="803">
        <v>15</v>
      </c>
      <c r="G8774" s="202" t="str">
        <f t="shared" si="136"/>
        <v/>
      </c>
    </row>
    <row r="8775" spans="1:7" s="172" customFormat="1" ht="15" customHeight="1" x14ac:dyDescent="0.25">
      <c r="A8775" s="803" t="s">
        <v>4298</v>
      </c>
      <c r="B8775" s="803" t="s">
        <v>4186</v>
      </c>
      <c r="C8775" s="803" t="s">
        <v>4186</v>
      </c>
      <c r="D8775" s="803" t="s">
        <v>4302</v>
      </c>
      <c r="E8775" s="803">
        <v>400</v>
      </c>
      <c r="F8775" s="803">
        <v>230</v>
      </c>
      <c r="G8775" s="202" t="str">
        <f t="shared" si="136"/>
        <v/>
      </c>
    </row>
    <row r="8776" spans="1:7" s="172" customFormat="1" ht="15" customHeight="1" x14ac:dyDescent="0.25">
      <c r="A8776" s="803" t="s">
        <v>4298</v>
      </c>
      <c r="B8776" s="803" t="s">
        <v>4186</v>
      </c>
      <c r="C8776" s="803" t="s">
        <v>4186</v>
      </c>
      <c r="D8776" s="803" t="s">
        <v>4303</v>
      </c>
      <c r="E8776" s="803">
        <v>100</v>
      </c>
      <c r="F8776" s="803">
        <v>20</v>
      </c>
      <c r="G8776" s="202" t="str">
        <f t="shared" si="136"/>
        <v/>
      </c>
    </row>
    <row r="8777" spans="1:7" s="172" customFormat="1" ht="15" customHeight="1" x14ac:dyDescent="0.25">
      <c r="A8777" s="803" t="s">
        <v>4298</v>
      </c>
      <c r="B8777" s="803" t="s">
        <v>4186</v>
      </c>
      <c r="C8777" s="803" t="s">
        <v>4186</v>
      </c>
      <c r="D8777" s="803" t="s">
        <v>4304</v>
      </c>
      <c r="E8777" s="803">
        <v>100</v>
      </c>
      <c r="F8777" s="803">
        <v>15</v>
      </c>
      <c r="G8777" s="202" t="str">
        <f t="shared" si="136"/>
        <v/>
      </c>
    </row>
    <row r="8778" spans="1:7" s="172" customFormat="1" ht="15" customHeight="1" x14ac:dyDescent="0.25">
      <c r="A8778" s="803" t="s">
        <v>4298</v>
      </c>
      <c r="B8778" s="803" t="s">
        <v>4186</v>
      </c>
      <c r="C8778" s="803" t="s">
        <v>4186</v>
      </c>
      <c r="D8778" s="803" t="s">
        <v>4305</v>
      </c>
      <c r="E8778" s="803">
        <v>400</v>
      </c>
      <c r="F8778" s="803">
        <v>125</v>
      </c>
      <c r="G8778" s="202" t="str">
        <f t="shared" si="136"/>
        <v/>
      </c>
    </row>
    <row r="8779" spans="1:7" s="172" customFormat="1" ht="15" customHeight="1" x14ac:dyDescent="0.25">
      <c r="A8779" s="803" t="s">
        <v>4298</v>
      </c>
      <c r="B8779" s="803" t="s">
        <v>4186</v>
      </c>
      <c r="C8779" s="803" t="s">
        <v>4186</v>
      </c>
      <c r="D8779" s="803" t="s">
        <v>4306</v>
      </c>
      <c r="E8779" s="803">
        <v>160</v>
      </c>
      <c r="F8779" s="803">
        <v>45</v>
      </c>
      <c r="G8779" s="202" t="str">
        <f t="shared" si="136"/>
        <v/>
      </c>
    </row>
    <row r="8780" spans="1:7" s="172" customFormat="1" ht="15" customHeight="1" x14ac:dyDescent="0.25">
      <c r="A8780" s="803" t="s">
        <v>12344</v>
      </c>
      <c r="B8780" s="803" t="s">
        <v>4186</v>
      </c>
      <c r="C8780" s="803" t="s">
        <v>4186</v>
      </c>
      <c r="D8780" s="803" t="s">
        <v>4307</v>
      </c>
      <c r="E8780" s="803">
        <v>100</v>
      </c>
      <c r="F8780" s="803">
        <v>15</v>
      </c>
      <c r="G8780" s="202" t="str">
        <f t="shared" si="136"/>
        <v/>
      </c>
    </row>
    <row r="8781" spans="1:7" s="172" customFormat="1" ht="15" customHeight="1" x14ac:dyDescent="0.25">
      <c r="A8781" s="803" t="s">
        <v>12345</v>
      </c>
      <c r="B8781" s="803" t="s">
        <v>4186</v>
      </c>
      <c r="C8781" s="803" t="s">
        <v>4186</v>
      </c>
      <c r="D8781" s="803" t="s">
        <v>4308</v>
      </c>
      <c r="E8781" s="803">
        <v>160</v>
      </c>
      <c r="F8781" s="803">
        <v>85</v>
      </c>
      <c r="G8781" s="202" t="str">
        <f t="shared" si="136"/>
        <v/>
      </c>
    </row>
    <row r="8782" spans="1:7" s="172" customFormat="1" ht="15" customHeight="1" x14ac:dyDescent="0.25">
      <c r="A8782" s="803" t="s">
        <v>12339</v>
      </c>
      <c r="B8782" s="803" t="s">
        <v>4186</v>
      </c>
      <c r="C8782" s="803" t="s">
        <v>4186</v>
      </c>
      <c r="D8782" s="803" t="s">
        <v>4309</v>
      </c>
      <c r="E8782" s="803">
        <v>160</v>
      </c>
      <c r="F8782" s="803">
        <v>45</v>
      </c>
      <c r="G8782" s="202" t="str">
        <f t="shared" si="136"/>
        <v/>
      </c>
    </row>
    <row r="8783" spans="1:7" s="172" customFormat="1" ht="15" customHeight="1" x14ac:dyDescent="0.25">
      <c r="A8783" s="803" t="s">
        <v>12346</v>
      </c>
      <c r="B8783" s="803" t="s">
        <v>4186</v>
      </c>
      <c r="C8783" s="803" t="s">
        <v>4186</v>
      </c>
      <c r="D8783" s="803" t="s">
        <v>4310</v>
      </c>
      <c r="E8783" s="803">
        <v>60</v>
      </c>
      <c r="F8783" s="803">
        <v>15</v>
      </c>
      <c r="G8783" s="202" t="str">
        <f t="shared" si="136"/>
        <v/>
      </c>
    </row>
    <row r="8784" spans="1:7" s="172" customFormat="1" ht="15" customHeight="1" x14ac:dyDescent="0.25">
      <c r="A8784" s="803" t="s">
        <v>12148</v>
      </c>
      <c r="B8784" s="803" t="s">
        <v>4186</v>
      </c>
      <c r="C8784" s="803" t="s">
        <v>4186</v>
      </c>
      <c r="D8784" s="803" t="s">
        <v>4311</v>
      </c>
      <c r="E8784" s="803">
        <v>100</v>
      </c>
      <c r="F8784" s="803">
        <v>15</v>
      </c>
      <c r="G8784" s="202" t="str">
        <f t="shared" si="136"/>
        <v/>
      </c>
    </row>
    <row r="8785" spans="1:7" s="172" customFormat="1" ht="15" customHeight="1" x14ac:dyDescent="0.25">
      <c r="A8785" s="803" t="s">
        <v>12342</v>
      </c>
      <c r="B8785" s="803" t="s">
        <v>4186</v>
      </c>
      <c r="C8785" s="803" t="s">
        <v>4186</v>
      </c>
      <c r="D8785" s="803" t="s">
        <v>4312</v>
      </c>
      <c r="E8785" s="803">
        <v>100</v>
      </c>
      <c r="F8785" s="803">
        <v>20</v>
      </c>
      <c r="G8785" s="202" t="str">
        <f t="shared" si="136"/>
        <v/>
      </c>
    </row>
    <row r="8786" spans="1:7" s="172" customFormat="1" ht="15" customHeight="1" x14ac:dyDescent="0.25">
      <c r="A8786" s="803" t="s">
        <v>12342</v>
      </c>
      <c r="B8786" s="803" t="s">
        <v>4186</v>
      </c>
      <c r="C8786" s="803" t="s">
        <v>4186</v>
      </c>
      <c r="D8786" s="803" t="s">
        <v>4313</v>
      </c>
      <c r="E8786" s="803">
        <v>100</v>
      </c>
      <c r="F8786" s="803">
        <v>25</v>
      </c>
      <c r="G8786" s="202" t="str">
        <f t="shared" si="136"/>
        <v/>
      </c>
    </row>
    <row r="8787" spans="1:7" s="172" customFormat="1" ht="15" customHeight="1" x14ac:dyDescent="0.25">
      <c r="A8787" s="803" t="s">
        <v>12339</v>
      </c>
      <c r="B8787" s="803" t="s">
        <v>4186</v>
      </c>
      <c r="C8787" s="803" t="s">
        <v>4186</v>
      </c>
      <c r="D8787" s="803" t="s">
        <v>4314</v>
      </c>
      <c r="E8787" s="803">
        <v>250</v>
      </c>
      <c r="F8787" s="803">
        <v>135</v>
      </c>
      <c r="G8787" s="202" t="str">
        <f t="shared" si="136"/>
        <v/>
      </c>
    </row>
    <row r="8788" spans="1:7" s="172" customFormat="1" ht="15" customHeight="1" x14ac:dyDescent="0.25">
      <c r="A8788" s="803" t="s">
        <v>4316</v>
      </c>
      <c r="B8788" s="803" t="s">
        <v>4186</v>
      </c>
      <c r="C8788" s="803" t="s">
        <v>4186</v>
      </c>
      <c r="D8788" s="803" t="s">
        <v>4315</v>
      </c>
      <c r="E8788" s="803">
        <v>100</v>
      </c>
      <c r="F8788" s="803">
        <v>15</v>
      </c>
      <c r="G8788" s="202" t="str">
        <f t="shared" si="136"/>
        <v/>
      </c>
    </row>
    <row r="8789" spans="1:7" s="172" customFormat="1" ht="15" customHeight="1" x14ac:dyDescent="0.25">
      <c r="A8789" s="803" t="s">
        <v>4316</v>
      </c>
      <c r="B8789" s="803" t="s">
        <v>4186</v>
      </c>
      <c r="C8789" s="803" t="s">
        <v>4186</v>
      </c>
      <c r="D8789" s="803" t="s">
        <v>4317</v>
      </c>
      <c r="E8789" s="803">
        <v>250</v>
      </c>
      <c r="F8789" s="803">
        <v>50</v>
      </c>
      <c r="G8789" s="202" t="str">
        <f t="shared" si="136"/>
        <v/>
      </c>
    </row>
    <row r="8790" spans="1:7" s="172" customFormat="1" ht="15" customHeight="1" x14ac:dyDescent="0.25">
      <c r="A8790" s="803" t="s">
        <v>12347</v>
      </c>
      <c r="B8790" s="803" t="s">
        <v>4186</v>
      </c>
      <c r="C8790" s="803" t="s">
        <v>4186</v>
      </c>
      <c r="D8790" s="803" t="s">
        <v>4318</v>
      </c>
      <c r="E8790" s="803">
        <v>30</v>
      </c>
      <c r="F8790" s="803">
        <v>5</v>
      </c>
      <c r="G8790" s="202" t="str">
        <f t="shared" si="136"/>
        <v/>
      </c>
    </row>
    <row r="8791" spans="1:7" s="172" customFormat="1" ht="15" customHeight="1" x14ac:dyDescent="0.25">
      <c r="A8791" s="803" t="s">
        <v>12348</v>
      </c>
      <c r="B8791" s="803" t="s">
        <v>4186</v>
      </c>
      <c r="C8791" s="803" t="s">
        <v>4186</v>
      </c>
      <c r="D8791" s="803" t="s">
        <v>4319</v>
      </c>
      <c r="E8791" s="803">
        <v>100</v>
      </c>
      <c r="F8791" s="803">
        <v>15</v>
      </c>
      <c r="G8791" s="202" t="str">
        <f t="shared" si="136"/>
        <v/>
      </c>
    </row>
    <row r="8792" spans="1:7" s="172" customFormat="1" ht="15" customHeight="1" x14ac:dyDescent="0.25">
      <c r="A8792" s="803" t="s">
        <v>12349</v>
      </c>
      <c r="B8792" s="803" t="s">
        <v>4186</v>
      </c>
      <c r="C8792" s="803" t="s">
        <v>4186</v>
      </c>
      <c r="D8792" s="803" t="s">
        <v>4320</v>
      </c>
      <c r="E8792" s="803">
        <v>60</v>
      </c>
      <c r="F8792" s="803">
        <v>15</v>
      </c>
      <c r="G8792" s="202" t="str">
        <f t="shared" si="136"/>
        <v/>
      </c>
    </row>
    <row r="8793" spans="1:7" s="172" customFormat="1" ht="15" customHeight="1" x14ac:dyDescent="0.25">
      <c r="A8793" s="803" t="s">
        <v>4321</v>
      </c>
      <c r="B8793" s="803" t="s">
        <v>4186</v>
      </c>
      <c r="C8793" s="803" t="s">
        <v>4186</v>
      </c>
      <c r="D8793" s="803" t="s">
        <v>4322</v>
      </c>
      <c r="E8793" s="803">
        <v>100</v>
      </c>
      <c r="F8793" s="803">
        <v>18</v>
      </c>
      <c r="G8793" s="202" t="str">
        <f t="shared" si="136"/>
        <v/>
      </c>
    </row>
    <row r="8794" spans="1:7" s="172" customFormat="1" ht="15" customHeight="1" x14ac:dyDescent="0.25">
      <c r="A8794" s="803" t="s">
        <v>5165</v>
      </c>
      <c r="B8794" s="803" t="s">
        <v>4186</v>
      </c>
      <c r="C8794" s="803" t="s">
        <v>4186</v>
      </c>
      <c r="D8794" s="803" t="s">
        <v>4323</v>
      </c>
      <c r="E8794" s="803">
        <v>100</v>
      </c>
      <c r="F8794" s="803">
        <v>25</v>
      </c>
      <c r="G8794" s="202" t="str">
        <f t="shared" si="136"/>
        <v/>
      </c>
    </row>
    <row r="8795" spans="1:7" s="172" customFormat="1" ht="15" customHeight="1" x14ac:dyDescent="0.25">
      <c r="A8795" s="803" t="s">
        <v>12350</v>
      </c>
      <c r="B8795" s="803" t="s">
        <v>4186</v>
      </c>
      <c r="C8795" s="803" t="s">
        <v>4186</v>
      </c>
      <c r="D8795" s="803" t="s">
        <v>4324</v>
      </c>
      <c r="E8795" s="803">
        <v>63</v>
      </c>
      <c r="F8795" s="803">
        <v>15</v>
      </c>
      <c r="G8795" s="202" t="str">
        <f t="shared" si="136"/>
        <v/>
      </c>
    </row>
    <row r="8796" spans="1:7" s="172" customFormat="1" ht="15" customHeight="1" x14ac:dyDescent="0.25">
      <c r="A8796" s="803" t="s">
        <v>12351</v>
      </c>
      <c r="B8796" s="803" t="s">
        <v>4186</v>
      </c>
      <c r="C8796" s="803" t="s">
        <v>4186</v>
      </c>
      <c r="D8796" s="803" t="s">
        <v>4325</v>
      </c>
      <c r="E8796" s="803">
        <v>60</v>
      </c>
      <c r="F8796" s="803">
        <v>20</v>
      </c>
      <c r="G8796" s="202" t="str">
        <f t="shared" si="136"/>
        <v/>
      </c>
    </row>
    <row r="8797" spans="1:7" s="172" customFormat="1" ht="15" customHeight="1" x14ac:dyDescent="0.25">
      <c r="A8797" s="803" t="s">
        <v>12352</v>
      </c>
      <c r="B8797" s="803" t="s">
        <v>4186</v>
      </c>
      <c r="C8797" s="803" t="s">
        <v>4186</v>
      </c>
      <c r="D8797" s="803" t="s">
        <v>4326</v>
      </c>
      <c r="E8797" s="803">
        <v>30</v>
      </c>
      <c r="F8797" s="803">
        <v>5</v>
      </c>
      <c r="G8797" s="202" t="str">
        <f t="shared" si="136"/>
        <v/>
      </c>
    </row>
    <row r="8798" spans="1:7" s="172" customFormat="1" ht="15" customHeight="1" x14ac:dyDescent="0.25">
      <c r="A8798" s="803" t="s">
        <v>4330</v>
      </c>
      <c r="B8798" s="803" t="s">
        <v>4186</v>
      </c>
      <c r="C8798" s="803" t="s">
        <v>4186</v>
      </c>
      <c r="D8798" s="803" t="s">
        <v>4327</v>
      </c>
      <c r="E8798" s="803">
        <v>250</v>
      </c>
      <c r="F8798" s="803">
        <v>55</v>
      </c>
      <c r="G8798" s="202" t="str">
        <f t="shared" ref="G8798:G8861" si="137">IF(E8798=F8798,"не загружен","")</f>
        <v/>
      </c>
    </row>
    <row r="8799" spans="1:7" s="172" customFormat="1" ht="15" customHeight="1" x14ac:dyDescent="0.25">
      <c r="A8799" s="803" t="s">
        <v>12353</v>
      </c>
      <c r="B8799" s="803" t="s">
        <v>4186</v>
      </c>
      <c r="C8799" s="803" t="s">
        <v>4186</v>
      </c>
      <c r="D8799" s="803" t="s">
        <v>4328</v>
      </c>
      <c r="E8799" s="803">
        <v>100</v>
      </c>
      <c r="F8799" s="803">
        <v>15</v>
      </c>
      <c r="G8799" s="202" t="str">
        <f t="shared" si="137"/>
        <v/>
      </c>
    </row>
    <row r="8800" spans="1:7" s="172" customFormat="1" ht="15" customHeight="1" x14ac:dyDescent="0.25">
      <c r="A8800" s="803" t="s">
        <v>12353</v>
      </c>
      <c r="B8800" s="803" t="s">
        <v>4186</v>
      </c>
      <c r="C8800" s="803" t="s">
        <v>4186</v>
      </c>
      <c r="D8800" s="803" t="s">
        <v>4329</v>
      </c>
      <c r="E8800" s="803">
        <v>100</v>
      </c>
      <c r="F8800" s="803">
        <v>20</v>
      </c>
      <c r="G8800" s="202" t="str">
        <f t="shared" si="137"/>
        <v/>
      </c>
    </row>
    <row r="8801" spans="1:7" s="172" customFormat="1" ht="15" customHeight="1" x14ac:dyDescent="0.25">
      <c r="A8801" s="803" t="s">
        <v>4330</v>
      </c>
      <c r="B8801" s="803" t="s">
        <v>4186</v>
      </c>
      <c r="C8801" s="803" t="s">
        <v>4186</v>
      </c>
      <c r="D8801" s="803" t="s">
        <v>4331</v>
      </c>
      <c r="E8801" s="803">
        <v>160</v>
      </c>
      <c r="F8801" s="803">
        <v>55</v>
      </c>
      <c r="G8801" s="202" t="str">
        <f t="shared" si="137"/>
        <v/>
      </c>
    </row>
    <row r="8802" spans="1:7" s="172" customFormat="1" ht="15" customHeight="1" x14ac:dyDescent="0.25">
      <c r="A8802" s="803" t="s">
        <v>12354</v>
      </c>
      <c r="B8802" s="803" t="s">
        <v>4186</v>
      </c>
      <c r="C8802" s="803" t="s">
        <v>4186</v>
      </c>
      <c r="D8802" s="803" t="s">
        <v>4332</v>
      </c>
      <c r="E8802" s="803">
        <v>60</v>
      </c>
      <c r="F8802" s="803">
        <v>12</v>
      </c>
      <c r="G8802" s="202" t="str">
        <f t="shared" si="137"/>
        <v/>
      </c>
    </row>
    <row r="8803" spans="1:7" s="172" customFormat="1" ht="15" customHeight="1" x14ac:dyDescent="0.25">
      <c r="A8803" s="803" t="s">
        <v>12355</v>
      </c>
      <c r="B8803" s="803" t="s">
        <v>4186</v>
      </c>
      <c r="C8803" s="803" t="s">
        <v>4186</v>
      </c>
      <c r="D8803" s="803" t="s">
        <v>4333</v>
      </c>
      <c r="E8803" s="803">
        <v>60</v>
      </c>
      <c r="F8803" s="803">
        <v>10</v>
      </c>
      <c r="G8803" s="202" t="str">
        <f t="shared" si="137"/>
        <v/>
      </c>
    </row>
    <row r="8804" spans="1:7" s="172" customFormat="1" ht="15" customHeight="1" x14ac:dyDescent="0.25">
      <c r="A8804" s="803" t="s">
        <v>12356</v>
      </c>
      <c r="B8804" s="803" t="s">
        <v>4186</v>
      </c>
      <c r="C8804" s="803" t="s">
        <v>4186</v>
      </c>
      <c r="D8804" s="803" t="s">
        <v>4334</v>
      </c>
      <c r="E8804" s="803">
        <v>63</v>
      </c>
      <c r="F8804" s="803">
        <v>5</v>
      </c>
      <c r="G8804" s="202" t="str">
        <f t="shared" si="137"/>
        <v/>
      </c>
    </row>
    <row r="8805" spans="1:7" s="172" customFormat="1" ht="15" customHeight="1" x14ac:dyDescent="0.25">
      <c r="A8805" s="803" t="s">
        <v>12357</v>
      </c>
      <c r="B8805" s="803" t="s">
        <v>4186</v>
      </c>
      <c r="C8805" s="803" t="s">
        <v>4186</v>
      </c>
      <c r="D8805" s="803" t="s">
        <v>4335</v>
      </c>
      <c r="E8805" s="803">
        <v>30</v>
      </c>
      <c r="F8805" s="803">
        <v>5</v>
      </c>
      <c r="G8805" s="202" t="str">
        <f t="shared" si="137"/>
        <v/>
      </c>
    </row>
    <row r="8806" spans="1:7" s="172" customFormat="1" ht="15" customHeight="1" x14ac:dyDescent="0.25">
      <c r="A8806" s="803" t="s">
        <v>12358</v>
      </c>
      <c r="B8806" s="803" t="s">
        <v>4186</v>
      </c>
      <c r="C8806" s="803" t="s">
        <v>4186</v>
      </c>
      <c r="D8806" s="803" t="s">
        <v>4336</v>
      </c>
      <c r="E8806" s="803">
        <v>10</v>
      </c>
      <c r="F8806" s="803">
        <v>1</v>
      </c>
      <c r="G8806" s="202" t="str">
        <f t="shared" si="137"/>
        <v/>
      </c>
    </row>
    <row r="8807" spans="1:7" s="172" customFormat="1" ht="15" customHeight="1" x14ac:dyDescent="0.25">
      <c r="A8807" s="803" t="s">
        <v>12359</v>
      </c>
      <c r="B8807" s="803" t="s">
        <v>4186</v>
      </c>
      <c r="C8807" s="803" t="s">
        <v>4186</v>
      </c>
      <c r="D8807" s="803" t="s">
        <v>4337</v>
      </c>
      <c r="E8807" s="803">
        <v>250</v>
      </c>
      <c r="F8807" s="803">
        <v>10</v>
      </c>
      <c r="G8807" s="202" t="str">
        <f t="shared" si="137"/>
        <v/>
      </c>
    </row>
    <row r="8808" spans="1:7" s="172" customFormat="1" ht="15" customHeight="1" x14ac:dyDescent="0.25">
      <c r="A8808" s="803" t="s">
        <v>4338</v>
      </c>
      <c r="B8808" s="803" t="s">
        <v>4186</v>
      </c>
      <c r="C8808" s="803" t="s">
        <v>4186</v>
      </c>
      <c r="D8808" s="803" t="s">
        <v>4339</v>
      </c>
      <c r="E8808" s="803">
        <v>100</v>
      </c>
      <c r="F8808" s="803">
        <v>40</v>
      </c>
      <c r="G8808" s="202" t="str">
        <f t="shared" si="137"/>
        <v/>
      </c>
    </row>
    <row r="8809" spans="1:7" s="172" customFormat="1" ht="15" customHeight="1" x14ac:dyDescent="0.25">
      <c r="A8809" s="803" t="s">
        <v>11392</v>
      </c>
      <c r="B8809" s="803" t="s">
        <v>4186</v>
      </c>
      <c r="C8809" s="803" t="s">
        <v>4186</v>
      </c>
      <c r="D8809" s="803" t="s">
        <v>4340</v>
      </c>
      <c r="E8809" s="803">
        <v>60</v>
      </c>
      <c r="F8809" s="803">
        <v>15</v>
      </c>
      <c r="G8809" s="202" t="str">
        <f t="shared" si="137"/>
        <v/>
      </c>
    </row>
    <row r="8810" spans="1:7" s="172" customFormat="1" ht="15" customHeight="1" x14ac:dyDescent="0.25">
      <c r="A8810" s="803" t="s">
        <v>12360</v>
      </c>
      <c r="B8810" s="803" t="s">
        <v>4186</v>
      </c>
      <c r="C8810" s="803" t="s">
        <v>4186</v>
      </c>
      <c r="D8810" s="803" t="s">
        <v>4341</v>
      </c>
      <c r="E8810" s="803">
        <v>60</v>
      </c>
      <c r="F8810" s="803">
        <v>15</v>
      </c>
      <c r="G8810" s="202" t="str">
        <f t="shared" si="137"/>
        <v/>
      </c>
    </row>
    <row r="8811" spans="1:7" s="172" customFormat="1" ht="15" customHeight="1" x14ac:dyDescent="0.25">
      <c r="A8811" s="803" t="s">
        <v>12361</v>
      </c>
      <c r="B8811" s="803" t="s">
        <v>4186</v>
      </c>
      <c r="C8811" s="803" t="s">
        <v>4186</v>
      </c>
      <c r="D8811" s="803" t="s">
        <v>4342</v>
      </c>
      <c r="E8811" s="803">
        <v>100</v>
      </c>
      <c r="F8811" s="803">
        <v>25</v>
      </c>
      <c r="G8811" s="202" t="str">
        <f t="shared" si="137"/>
        <v/>
      </c>
    </row>
    <row r="8812" spans="1:7" s="172" customFormat="1" ht="15" customHeight="1" x14ac:dyDescent="0.25">
      <c r="A8812" s="803" t="s">
        <v>5447</v>
      </c>
      <c r="B8812" s="803" t="s">
        <v>4186</v>
      </c>
      <c r="C8812" s="803" t="s">
        <v>4186</v>
      </c>
      <c r="D8812" s="803" t="s">
        <v>4343</v>
      </c>
      <c r="E8812" s="803">
        <v>35</v>
      </c>
      <c r="F8812" s="803">
        <v>8</v>
      </c>
      <c r="G8812" s="202" t="str">
        <f t="shared" si="137"/>
        <v/>
      </c>
    </row>
    <row r="8813" spans="1:7" s="172" customFormat="1" ht="15" customHeight="1" x14ac:dyDescent="0.25">
      <c r="A8813" s="803" t="s">
        <v>12362</v>
      </c>
      <c r="B8813" s="803" t="s">
        <v>4186</v>
      </c>
      <c r="C8813" s="803" t="s">
        <v>4186</v>
      </c>
      <c r="D8813" s="803" t="s">
        <v>4344</v>
      </c>
      <c r="E8813" s="803">
        <v>63</v>
      </c>
      <c r="F8813" s="803">
        <v>15</v>
      </c>
      <c r="G8813" s="202" t="str">
        <f t="shared" si="137"/>
        <v/>
      </c>
    </row>
    <row r="8814" spans="1:7" s="172" customFormat="1" ht="15" customHeight="1" x14ac:dyDescent="0.25">
      <c r="A8814" s="803" t="s">
        <v>4338</v>
      </c>
      <c r="B8814" s="803" t="s">
        <v>4186</v>
      </c>
      <c r="C8814" s="803" t="s">
        <v>4186</v>
      </c>
      <c r="D8814" s="803" t="s">
        <v>4345</v>
      </c>
      <c r="E8814" s="803">
        <v>63</v>
      </c>
      <c r="F8814" s="803">
        <v>10</v>
      </c>
      <c r="G8814" s="202" t="str">
        <f t="shared" si="137"/>
        <v/>
      </c>
    </row>
    <row r="8815" spans="1:7" s="172" customFormat="1" ht="15" customHeight="1" x14ac:dyDescent="0.25">
      <c r="A8815" s="803" t="s">
        <v>12363</v>
      </c>
      <c r="B8815" s="803" t="s">
        <v>4186</v>
      </c>
      <c r="C8815" s="803" t="s">
        <v>4186</v>
      </c>
      <c r="D8815" s="803" t="s">
        <v>4346</v>
      </c>
      <c r="E8815" s="803">
        <v>100</v>
      </c>
      <c r="F8815" s="803">
        <v>20</v>
      </c>
      <c r="G8815" s="202" t="str">
        <f t="shared" si="137"/>
        <v/>
      </c>
    </row>
    <row r="8816" spans="1:7" s="172" customFormat="1" ht="15" customHeight="1" x14ac:dyDescent="0.25">
      <c r="A8816" s="803" t="s">
        <v>12364</v>
      </c>
      <c r="B8816" s="803" t="s">
        <v>4186</v>
      </c>
      <c r="C8816" s="803" t="s">
        <v>4186</v>
      </c>
      <c r="D8816" s="803" t="s">
        <v>4347</v>
      </c>
      <c r="E8816" s="803">
        <v>100</v>
      </c>
      <c r="F8816" s="803">
        <v>23</v>
      </c>
      <c r="G8816" s="202" t="str">
        <f t="shared" si="137"/>
        <v/>
      </c>
    </row>
    <row r="8817" spans="1:7" s="172" customFormat="1" ht="15" customHeight="1" x14ac:dyDescent="0.25">
      <c r="A8817" s="803" t="s">
        <v>12365</v>
      </c>
      <c r="B8817" s="803" t="s">
        <v>4186</v>
      </c>
      <c r="C8817" s="803" t="s">
        <v>4186</v>
      </c>
      <c r="D8817" s="803" t="s">
        <v>4348</v>
      </c>
      <c r="E8817" s="803">
        <v>10</v>
      </c>
      <c r="F8817" s="803">
        <v>1</v>
      </c>
      <c r="G8817" s="202" t="str">
        <f t="shared" si="137"/>
        <v/>
      </c>
    </row>
    <row r="8818" spans="1:7" s="172" customFormat="1" ht="15" customHeight="1" x14ac:dyDescent="0.25">
      <c r="A8818" s="803" t="s">
        <v>12366</v>
      </c>
      <c r="B8818" s="803" t="s">
        <v>4186</v>
      </c>
      <c r="C8818" s="803" t="s">
        <v>4186</v>
      </c>
      <c r="D8818" s="803" t="s">
        <v>4349</v>
      </c>
      <c r="E8818" s="803">
        <v>63</v>
      </c>
      <c r="F8818" s="803">
        <v>15</v>
      </c>
      <c r="G8818" s="202" t="str">
        <f t="shared" si="137"/>
        <v/>
      </c>
    </row>
    <row r="8819" spans="1:7" s="172" customFormat="1" ht="15" customHeight="1" x14ac:dyDescent="0.25">
      <c r="A8819" s="803" t="s">
        <v>4352</v>
      </c>
      <c r="B8819" s="803" t="s">
        <v>4186</v>
      </c>
      <c r="C8819" s="803" t="s">
        <v>4186</v>
      </c>
      <c r="D8819" s="803" t="s">
        <v>4350</v>
      </c>
      <c r="E8819" s="803">
        <v>100</v>
      </c>
      <c r="F8819" s="803">
        <v>19</v>
      </c>
      <c r="G8819" s="202" t="str">
        <f t="shared" si="137"/>
        <v/>
      </c>
    </row>
    <row r="8820" spans="1:7" s="172" customFormat="1" ht="15" customHeight="1" x14ac:dyDescent="0.25">
      <c r="A8820" s="803" t="s">
        <v>4352</v>
      </c>
      <c r="B8820" s="803" t="s">
        <v>4186</v>
      </c>
      <c r="C8820" s="803" t="s">
        <v>4186</v>
      </c>
      <c r="D8820" s="803" t="s">
        <v>4351</v>
      </c>
      <c r="E8820" s="803">
        <v>63</v>
      </c>
      <c r="F8820" s="803">
        <v>15</v>
      </c>
      <c r="G8820" s="202" t="str">
        <f t="shared" si="137"/>
        <v/>
      </c>
    </row>
    <row r="8821" spans="1:7" s="172" customFormat="1" ht="15" customHeight="1" x14ac:dyDescent="0.25">
      <c r="A8821" s="803" t="s">
        <v>4352</v>
      </c>
      <c r="B8821" s="803" t="s">
        <v>4186</v>
      </c>
      <c r="C8821" s="803" t="s">
        <v>4186</v>
      </c>
      <c r="D8821" s="803" t="s">
        <v>4353</v>
      </c>
      <c r="E8821" s="803">
        <v>60</v>
      </c>
      <c r="F8821" s="803">
        <v>10</v>
      </c>
      <c r="G8821" s="202" t="str">
        <f t="shared" si="137"/>
        <v/>
      </c>
    </row>
    <row r="8822" spans="1:7" s="172" customFormat="1" ht="15" customHeight="1" x14ac:dyDescent="0.25">
      <c r="A8822" s="803" t="s">
        <v>8262</v>
      </c>
      <c r="B8822" s="803" t="s">
        <v>8198</v>
      </c>
      <c r="C8822" s="803" t="s">
        <v>8198</v>
      </c>
      <c r="D8822" s="803" t="s">
        <v>8199</v>
      </c>
      <c r="E8822" s="803">
        <v>400</v>
      </c>
      <c r="F8822" s="803">
        <v>200</v>
      </c>
      <c r="G8822" s="202" t="str">
        <f t="shared" si="137"/>
        <v/>
      </c>
    </row>
    <row r="8823" spans="1:7" s="172" customFormat="1" ht="15" customHeight="1" x14ac:dyDescent="0.25">
      <c r="A8823" s="803" t="s">
        <v>12890</v>
      </c>
      <c r="B8823" s="803" t="s">
        <v>8198</v>
      </c>
      <c r="C8823" s="803" t="s">
        <v>8198</v>
      </c>
      <c r="D8823" s="803" t="s">
        <v>8200</v>
      </c>
      <c r="E8823" s="803">
        <v>250</v>
      </c>
      <c r="F8823" s="803">
        <v>25</v>
      </c>
      <c r="G8823" s="202" t="str">
        <f t="shared" si="137"/>
        <v/>
      </c>
    </row>
    <row r="8824" spans="1:7" s="172" customFormat="1" ht="15" customHeight="1" x14ac:dyDescent="0.25">
      <c r="A8824" s="803" t="s">
        <v>8201</v>
      </c>
      <c r="B8824" s="803" t="s">
        <v>8198</v>
      </c>
      <c r="C8824" s="803" t="s">
        <v>8198</v>
      </c>
      <c r="D8824" s="803" t="s">
        <v>8202</v>
      </c>
      <c r="E8824" s="803">
        <v>400</v>
      </c>
      <c r="F8824" s="803">
        <v>70</v>
      </c>
      <c r="G8824" s="202" t="str">
        <f t="shared" si="137"/>
        <v/>
      </c>
    </row>
    <row r="8825" spans="1:7" s="172" customFormat="1" ht="15" customHeight="1" x14ac:dyDescent="0.25">
      <c r="A8825" s="803" t="s">
        <v>8203</v>
      </c>
      <c r="B8825" s="803" t="s">
        <v>8198</v>
      </c>
      <c r="C8825" s="803" t="s">
        <v>8198</v>
      </c>
      <c r="D8825" s="803" t="s">
        <v>8204</v>
      </c>
      <c r="E8825" s="803">
        <v>250</v>
      </c>
      <c r="F8825" s="803">
        <v>50</v>
      </c>
      <c r="G8825" s="202" t="str">
        <f t="shared" si="137"/>
        <v/>
      </c>
    </row>
    <row r="8826" spans="1:7" s="172" customFormat="1" ht="15" customHeight="1" x14ac:dyDescent="0.25">
      <c r="A8826" s="803" t="s">
        <v>12891</v>
      </c>
      <c r="B8826" s="803" t="s">
        <v>8198</v>
      </c>
      <c r="C8826" s="803" t="s">
        <v>8198</v>
      </c>
      <c r="D8826" s="803" t="s">
        <v>8205</v>
      </c>
      <c r="E8826" s="803">
        <v>160</v>
      </c>
      <c r="F8826" s="803">
        <v>0</v>
      </c>
      <c r="G8826" s="202" t="str">
        <f t="shared" si="137"/>
        <v/>
      </c>
    </row>
    <row r="8827" spans="1:7" s="172" customFormat="1" ht="15" customHeight="1" x14ac:dyDescent="0.25">
      <c r="A8827" s="803" t="s">
        <v>8618</v>
      </c>
      <c r="B8827" s="803" t="s">
        <v>8198</v>
      </c>
      <c r="C8827" s="803" t="s">
        <v>8198</v>
      </c>
      <c r="D8827" s="803" t="s">
        <v>8206</v>
      </c>
      <c r="E8827" s="803">
        <v>160</v>
      </c>
      <c r="F8827" s="803">
        <v>23</v>
      </c>
      <c r="G8827" s="202" t="str">
        <f t="shared" si="137"/>
        <v/>
      </c>
    </row>
    <row r="8828" spans="1:7" s="172" customFormat="1" ht="15" customHeight="1" x14ac:dyDescent="0.25">
      <c r="A8828" s="803" t="s">
        <v>12892</v>
      </c>
      <c r="B8828" s="803" t="s">
        <v>8198</v>
      </c>
      <c r="C8828" s="803" t="s">
        <v>8198</v>
      </c>
      <c r="D8828" s="803" t="s">
        <v>8207</v>
      </c>
      <c r="E8828" s="803">
        <v>250</v>
      </c>
      <c r="F8828" s="803">
        <v>175</v>
      </c>
      <c r="G8828" s="202" t="str">
        <f t="shared" si="137"/>
        <v/>
      </c>
    </row>
    <row r="8829" spans="1:7" s="172" customFormat="1" ht="15" customHeight="1" x14ac:dyDescent="0.25">
      <c r="A8829" s="803" t="s">
        <v>8208</v>
      </c>
      <c r="B8829" s="803" t="s">
        <v>8198</v>
      </c>
      <c r="C8829" s="803" t="s">
        <v>8198</v>
      </c>
      <c r="D8829" s="803" t="s">
        <v>8209</v>
      </c>
      <c r="E8829" s="803">
        <v>250</v>
      </c>
      <c r="F8829" s="803">
        <v>225</v>
      </c>
      <c r="G8829" s="202" t="str">
        <f t="shared" si="137"/>
        <v/>
      </c>
    </row>
    <row r="8830" spans="1:7" s="172" customFormat="1" ht="15" customHeight="1" x14ac:dyDescent="0.25">
      <c r="A8830" s="803" t="s">
        <v>8210</v>
      </c>
      <c r="B8830" s="803" t="s">
        <v>8198</v>
      </c>
      <c r="C8830" s="803" t="s">
        <v>8198</v>
      </c>
      <c r="D8830" s="803" t="s">
        <v>8211</v>
      </c>
      <c r="E8830" s="803">
        <v>250</v>
      </c>
      <c r="F8830" s="803">
        <v>10</v>
      </c>
      <c r="G8830" s="202" t="str">
        <f t="shared" si="137"/>
        <v/>
      </c>
    </row>
    <row r="8831" spans="1:7" s="172" customFormat="1" ht="15" customHeight="1" x14ac:dyDescent="0.25">
      <c r="A8831" s="803" t="s">
        <v>8212</v>
      </c>
      <c r="B8831" s="803" t="s">
        <v>8198</v>
      </c>
      <c r="C8831" s="803" t="s">
        <v>8198</v>
      </c>
      <c r="D8831" s="803" t="s">
        <v>8213</v>
      </c>
      <c r="E8831" s="803">
        <v>63</v>
      </c>
      <c r="F8831" s="803">
        <v>0</v>
      </c>
      <c r="G8831" s="202" t="str">
        <f t="shared" si="137"/>
        <v/>
      </c>
    </row>
    <row r="8832" spans="1:7" s="172" customFormat="1" ht="15" customHeight="1" x14ac:dyDescent="0.25">
      <c r="A8832" s="803" t="s">
        <v>8210</v>
      </c>
      <c r="B8832" s="803" t="s">
        <v>8198</v>
      </c>
      <c r="C8832" s="803" t="s">
        <v>8198</v>
      </c>
      <c r="D8832" s="803" t="s">
        <v>8214</v>
      </c>
      <c r="E8832" s="803">
        <v>320</v>
      </c>
      <c r="F8832" s="803">
        <v>32</v>
      </c>
      <c r="G8832" s="202" t="str">
        <f t="shared" si="137"/>
        <v/>
      </c>
    </row>
    <row r="8833" spans="1:7" s="172" customFormat="1" ht="15" customHeight="1" x14ac:dyDescent="0.25">
      <c r="A8833" s="803" t="s">
        <v>12893</v>
      </c>
      <c r="B8833" s="803" t="s">
        <v>8198</v>
      </c>
      <c r="C8833" s="803" t="s">
        <v>8198</v>
      </c>
      <c r="D8833" s="803" t="s">
        <v>8215</v>
      </c>
      <c r="E8833" s="803">
        <v>250</v>
      </c>
      <c r="F8833" s="803">
        <v>61</v>
      </c>
      <c r="G8833" s="202" t="str">
        <f t="shared" si="137"/>
        <v/>
      </c>
    </row>
    <row r="8834" spans="1:7" s="172" customFormat="1" ht="15" customHeight="1" x14ac:dyDescent="0.25">
      <c r="A8834" s="803" t="s">
        <v>8216</v>
      </c>
      <c r="B8834" s="803" t="s">
        <v>8198</v>
      </c>
      <c r="C8834" s="803" t="s">
        <v>8198</v>
      </c>
      <c r="D8834" s="803" t="s">
        <v>8217</v>
      </c>
      <c r="E8834" s="803">
        <v>250</v>
      </c>
      <c r="F8834" s="803">
        <v>175</v>
      </c>
      <c r="G8834" s="202" t="str">
        <f t="shared" si="137"/>
        <v/>
      </c>
    </row>
    <row r="8835" spans="1:7" s="172" customFormat="1" ht="15" customHeight="1" x14ac:dyDescent="0.25">
      <c r="A8835" s="803" t="s">
        <v>8218</v>
      </c>
      <c r="B8835" s="803" t="s">
        <v>8198</v>
      </c>
      <c r="C8835" s="803" t="s">
        <v>8198</v>
      </c>
      <c r="D8835" s="803" t="s">
        <v>8219</v>
      </c>
      <c r="E8835" s="803">
        <v>160</v>
      </c>
      <c r="F8835" s="803">
        <v>80</v>
      </c>
      <c r="G8835" s="202" t="str">
        <f t="shared" si="137"/>
        <v/>
      </c>
    </row>
    <row r="8836" spans="1:7" s="172" customFormat="1" ht="15" customHeight="1" x14ac:dyDescent="0.25">
      <c r="A8836" s="803" t="s">
        <v>8221</v>
      </c>
      <c r="B8836" s="803" t="s">
        <v>8198</v>
      </c>
      <c r="C8836" s="803" t="s">
        <v>8198</v>
      </c>
      <c r="D8836" s="803" t="s">
        <v>8220</v>
      </c>
      <c r="E8836" s="803">
        <v>250</v>
      </c>
      <c r="F8836" s="803">
        <v>50</v>
      </c>
      <c r="G8836" s="202" t="str">
        <f t="shared" si="137"/>
        <v/>
      </c>
    </row>
    <row r="8837" spans="1:7" s="172" customFormat="1" ht="15" customHeight="1" x14ac:dyDescent="0.25">
      <c r="A8837" s="803" t="s">
        <v>8221</v>
      </c>
      <c r="B8837" s="803" t="s">
        <v>8198</v>
      </c>
      <c r="C8837" s="803" t="s">
        <v>8198</v>
      </c>
      <c r="D8837" s="803" t="s">
        <v>8222</v>
      </c>
      <c r="E8837" s="803">
        <v>30</v>
      </c>
      <c r="F8837" s="803">
        <v>0</v>
      </c>
      <c r="G8837" s="202" t="str">
        <f t="shared" si="137"/>
        <v/>
      </c>
    </row>
    <row r="8838" spans="1:7" s="172" customFormat="1" ht="15" customHeight="1" x14ac:dyDescent="0.25">
      <c r="A8838" s="803" t="s">
        <v>8221</v>
      </c>
      <c r="B8838" s="803" t="s">
        <v>8198</v>
      </c>
      <c r="C8838" s="803" t="s">
        <v>8198</v>
      </c>
      <c r="D8838" s="803" t="s">
        <v>8223</v>
      </c>
      <c r="E8838" s="803">
        <v>100</v>
      </c>
      <c r="F8838" s="803">
        <v>10</v>
      </c>
      <c r="G8838" s="202" t="str">
        <f t="shared" si="137"/>
        <v/>
      </c>
    </row>
    <row r="8839" spans="1:7" s="172" customFormat="1" ht="15" customHeight="1" x14ac:dyDescent="0.25">
      <c r="A8839" s="803" t="s">
        <v>8221</v>
      </c>
      <c r="B8839" s="803" t="s">
        <v>8198</v>
      </c>
      <c r="C8839" s="803" t="s">
        <v>8198</v>
      </c>
      <c r="D8839" s="803" t="s">
        <v>8224</v>
      </c>
      <c r="E8839" s="803">
        <v>30</v>
      </c>
      <c r="F8839" s="803">
        <v>0</v>
      </c>
      <c r="G8839" s="202" t="str">
        <f t="shared" si="137"/>
        <v/>
      </c>
    </row>
    <row r="8840" spans="1:7" s="172" customFormat="1" ht="15" customHeight="1" x14ac:dyDescent="0.25">
      <c r="A8840" s="803" t="s">
        <v>12894</v>
      </c>
      <c r="B8840" s="803" t="s">
        <v>8198</v>
      </c>
      <c r="C8840" s="803" t="s">
        <v>8198</v>
      </c>
      <c r="D8840" s="803" t="s">
        <v>8225</v>
      </c>
      <c r="E8840" s="803">
        <v>250</v>
      </c>
      <c r="F8840" s="803">
        <v>75</v>
      </c>
      <c r="G8840" s="202" t="str">
        <f t="shared" si="137"/>
        <v/>
      </c>
    </row>
    <row r="8841" spans="1:7" s="172" customFormat="1" ht="15" customHeight="1" x14ac:dyDescent="0.25">
      <c r="A8841" s="803" t="s">
        <v>12895</v>
      </c>
      <c r="B8841" s="803" t="s">
        <v>8198</v>
      </c>
      <c r="C8841" s="803" t="s">
        <v>8198</v>
      </c>
      <c r="D8841" s="803" t="s">
        <v>8226</v>
      </c>
      <c r="E8841" s="803">
        <v>60</v>
      </c>
      <c r="F8841" s="803">
        <v>0</v>
      </c>
      <c r="G8841" s="202" t="str">
        <f t="shared" si="137"/>
        <v/>
      </c>
    </row>
    <row r="8842" spans="1:7" s="172" customFormat="1" ht="15" customHeight="1" x14ac:dyDescent="0.25">
      <c r="A8842" s="803" t="s">
        <v>12896</v>
      </c>
      <c r="B8842" s="803" t="s">
        <v>8198</v>
      </c>
      <c r="C8842" s="803" t="s">
        <v>8198</v>
      </c>
      <c r="D8842" s="803" t="s">
        <v>8227</v>
      </c>
      <c r="E8842" s="803">
        <v>60</v>
      </c>
      <c r="F8842" s="803">
        <v>12</v>
      </c>
      <c r="G8842" s="202" t="str">
        <f t="shared" si="137"/>
        <v/>
      </c>
    </row>
    <row r="8843" spans="1:7" s="172" customFormat="1" ht="15" customHeight="1" x14ac:dyDescent="0.25">
      <c r="A8843" s="803" t="s">
        <v>12897</v>
      </c>
      <c r="B8843" s="803" t="s">
        <v>8198</v>
      </c>
      <c r="C8843" s="803" t="s">
        <v>8198</v>
      </c>
      <c r="D8843" s="803" t="s">
        <v>8228</v>
      </c>
      <c r="E8843" s="803">
        <v>160</v>
      </c>
      <c r="F8843" s="803">
        <v>0</v>
      </c>
      <c r="G8843" s="202" t="str">
        <f t="shared" si="137"/>
        <v/>
      </c>
    </row>
    <row r="8844" spans="1:7" s="172" customFormat="1" ht="15" customHeight="1" x14ac:dyDescent="0.25">
      <c r="A8844" s="803" t="s">
        <v>12897</v>
      </c>
      <c r="B8844" s="803" t="s">
        <v>8198</v>
      </c>
      <c r="C8844" s="803" t="s">
        <v>8198</v>
      </c>
      <c r="D8844" s="803" t="s">
        <v>8229</v>
      </c>
      <c r="E8844" s="803">
        <v>160</v>
      </c>
      <c r="F8844" s="803">
        <v>0</v>
      </c>
      <c r="G8844" s="202" t="str">
        <f t="shared" si="137"/>
        <v/>
      </c>
    </row>
    <row r="8845" spans="1:7" s="172" customFormat="1" ht="15" customHeight="1" x14ac:dyDescent="0.25">
      <c r="A8845" s="803" t="s">
        <v>12898</v>
      </c>
      <c r="B8845" s="803" t="s">
        <v>8198</v>
      </c>
      <c r="C8845" s="803" t="s">
        <v>8198</v>
      </c>
      <c r="D8845" s="803" t="s">
        <v>8230</v>
      </c>
      <c r="E8845" s="803">
        <v>250</v>
      </c>
      <c r="F8845" s="803">
        <v>100</v>
      </c>
      <c r="G8845" s="202" t="str">
        <f t="shared" si="137"/>
        <v/>
      </c>
    </row>
    <row r="8846" spans="1:7" s="172" customFormat="1" ht="15" customHeight="1" x14ac:dyDescent="0.25">
      <c r="A8846" s="803" t="s">
        <v>12899</v>
      </c>
      <c r="B8846" s="803" t="s">
        <v>8198</v>
      </c>
      <c r="C8846" s="803" t="s">
        <v>8198</v>
      </c>
      <c r="D8846" s="803" t="s">
        <v>8231</v>
      </c>
      <c r="E8846" s="803">
        <v>60</v>
      </c>
      <c r="F8846" s="803">
        <v>54</v>
      </c>
      <c r="G8846" s="202" t="str">
        <f t="shared" si="137"/>
        <v/>
      </c>
    </row>
    <row r="8847" spans="1:7" s="172" customFormat="1" ht="15" customHeight="1" x14ac:dyDescent="0.25">
      <c r="A8847" s="803" t="s">
        <v>12900</v>
      </c>
      <c r="B8847" s="803" t="s">
        <v>8198</v>
      </c>
      <c r="C8847" s="803" t="s">
        <v>8198</v>
      </c>
      <c r="D8847" s="803" t="s">
        <v>8232</v>
      </c>
      <c r="E8847" s="803">
        <v>250</v>
      </c>
      <c r="F8847" s="803">
        <v>50</v>
      </c>
      <c r="G8847" s="202" t="str">
        <f t="shared" si="137"/>
        <v/>
      </c>
    </row>
    <row r="8848" spans="1:7" s="172" customFormat="1" ht="15" customHeight="1" x14ac:dyDescent="0.25">
      <c r="A8848" s="803" t="s">
        <v>12901</v>
      </c>
      <c r="B8848" s="803" t="s">
        <v>8198</v>
      </c>
      <c r="C8848" s="803" t="s">
        <v>8198</v>
      </c>
      <c r="D8848" s="803" t="s">
        <v>8233</v>
      </c>
      <c r="E8848" s="803">
        <v>100</v>
      </c>
      <c r="F8848" s="803">
        <v>30</v>
      </c>
      <c r="G8848" s="202" t="str">
        <f t="shared" si="137"/>
        <v/>
      </c>
    </row>
    <row r="8849" spans="1:7" s="172" customFormat="1" ht="15" customHeight="1" x14ac:dyDescent="0.25">
      <c r="A8849" s="803" t="s">
        <v>12902</v>
      </c>
      <c r="B8849" s="803" t="s">
        <v>8198</v>
      </c>
      <c r="C8849" s="803" t="s">
        <v>8198</v>
      </c>
      <c r="D8849" s="803" t="s">
        <v>8234</v>
      </c>
      <c r="E8849" s="803">
        <v>60</v>
      </c>
      <c r="F8849" s="803">
        <v>6</v>
      </c>
      <c r="G8849" s="202" t="str">
        <f t="shared" si="137"/>
        <v/>
      </c>
    </row>
    <row r="8850" spans="1:7" s="172" customFormat="1" ht="15" customHeight="1" x14ac:dyDescent="0.25">
      <c r="A8850" s="803" t="s">
        <v>12903</v>
      </c>
      <c r="B8850" s="803" t="s">
        <v>8198</v>
      </c>
      <c r="C8850" s="803" t="s">
        <v>8198</v>
      </c>
      <c r="D8850" s="803" t="s">
        <v>8235</v>
      </c>
      <c r="E8850" s="803">
        <v>100</v>
      </c>
      <c r="F8850" s="803">
        <v>5</v>
      </c>
      <c r="G8850" s="202" t="str">
        <f t="shared" si="137"/>
        <v/>
      </c>
    </row>
    <row r="8851" spans="1:7" s="172" customFormat="1" ht="15" customHeight="1" x14ac:dyDescent="0.25">
      <c r="A8851" s="803" t="s">
        <v>12904</v>
      </c>
      <c r="B8851" s="803" t="s">
        <v>8198</v>
      </c>
      <c r="C8851" s="803" t="s">
        <v>8198</v>
      </c>
      <c r="D8851" s="803" t="s">
        <v>8236</v>
      </c>
      <c r="E8851" s="803">
        <v>100</v>
      </c>
      <c r="F8851" s="803">
        <v>30</v>
      </c>
      <c r="G8851" s="202" t="str">
        <f t="shared" si="137"/>
        <v/>
      </c>
    </row>
    <row r="8852" spans="1:7" s="172" customFormat="1" ht="15" customHeight="1" x14ac:dyDescent="0.25">
      <c r="A8852" s="803" t="s">
        <v>12905</v>
      </c>
      <c r="B8852" s="803" t="s">
        <v>8198</v>
      </c>
      <c r="C8852" s="803" t="s">
        <v>8198</v>
      </c>
      <c r="D8852" s="803" t="s">
        <v>8237</v>
      </c>
      <c r="E8852" s="803">
        <v>100</v>
      </c>
      <c r="F8852" s="803">
        <v>60</v>
      </c>
      <c r="G8852" s="202" t="str">
        <f t="shared" si="137"/>
        <v/>
      </c>
    </row>
    <row r="8853" spans="1:7" s="172" customFormat="1" ht="15" customHeight="1" x14ac:dyDescent="0.25">
      <c r="A8853" s="803" t="s">
        <v>3147</v>
      </c>
      <c r="B8853" s="803" t="s">
        <v>8198</v>
      </c>
      <c r="C8853" s="803" t="s">
        <v>8198</v>
      </c>
      <c r="D8853" s="803" t="s">
        <v>8238</v>
      </c>
      <c r="E8853" s="803">
        <v>100</v>
      </c>
      <c r="F8853" s="803">
        <v>50</v>
      </c>
      <c r="G8853" s="202" t="str">
        <f t="shared" si="137"/>
        <v/>
      </c>
    </row>
    <row r="8854" spans="1:7" s="172" customFormat="1" ht="15" customHeight="1" x14ac:dyDescent="0.25">
      <c r="A8854" s="803" t="s">
        <v>4843</v>
      </c>
      <c r="B8854" s="803" t="s">
        <v>8198</v>
      </c>
      <c r="C8854" s="803" t="s">
        <v>8198</v>
      </c>
      <c r="D8854" s="803" t="s">
        <v>8239</v>
      </c>
      <c r="E8854" s="803">
        <v>250</v>
      </c>
      <c r="F8854" s="803">
        <v>75</v>
      </c>
      <c r="G8854" s="202" t="str">
        <f t="shared" si="137"/>
        <v/>
      </c>
    </row>
    <row r="8855" spans="1:7" s="172" customFormat="1" ht="15" customHeight="1" x14ac:dyDescent="0.25">
      <c r="A8855" s="803" t="s">
        <v>4843</v>
      </c>
      <c r="B8855" s="803" t="s">
        <v>8198</v>
      </c>
      <c r="C8855" s="803" t="s">
        <v>8198</v>
      </c>
      <c r="D8855" s="803" t="s">
        <v>8240</v>
      </c>
      <c r="E8855" s="803">
        <v>60</v>
      </c>
      <c r="F8855" s="803">
        <v>30</v>
      </c>
      <c r="G8855" s="202" t="str">
        <f t="shared" si="137"/>
        <v/>
      </c>
    </row>
    <row r="8856" spans="1:7" s="172" customFormat="1" ht="15" customHeight="1" x14ac:dyDescent="0.25">
      <c r="A8856" s="803" t="s">
        <v>4843</v>
      </c>
      <c r="B8856" s="803" t="s">
        <v>8198</v>
      </c>
      <c r="C8856" s="803" t="s">
        <v>8198</v>
      </c>
      <c r="D8856" s="803" t="s">
        <v>8241</v>
      </c>
      <c r="E8856" s="803">
        <v>63</v>
      </c>
      <c r="F8856" s="803">
        <v>25</v>
      </c>
      <c r="G8856" s="202" t="str">
        <f t="shared" si="137"/>
        <v/>
      </c>
    </row>
    <row r="8857" spans="1:7" s="172" customFormat="1" ht="15" customHeight="1" x14ac:dyDescent="0.25">
      <c r="A8857" s="803" t="s">
        <v>4843</v>
      </c>
      <c r="B8857" s="803" t="s">
        <v>8198</v>
      </c>
      <c r="C8857" s="803" t="s">
        <v>8198</v>
      </c>
      <c r="D8857" s="803" t="s">
        <v>8242</v>
      </c>
      <c r="E8857" s="803">
        <v>250</v>
      </c>
      <c r="F8857" s="803">
        <v>125</v>
      </c>
      <c r="G8857" s="202" t="str">
        <f t="shared" si="137"/>
        <v/>
      </c>
    </row>
    <row r="8858" spans="1:7" s="172" customFormat="1" ht="15" customHeight="1" x14ac:dyDescent="0.25">
      <c r="A8858" s="803" t="s">
        <v>4843</v>
      </c>
      <c r="B8858" s="803" t="s">
        <v>8198</v>
      </c>
      <c r="C8858" s="803" t="s">
        <v>8198</v>
      </c>
      <c r="D8858" s="803" t="s">
        <v>8243</v>
      </c>
      <c r="E8858" s="803">
        <v>250</v>
      </c>
      <c r="F8858" s="803">
        <v>200</v>
      </c>
      <c r="G8858" s="202" t="str">
        <f t="shared" si="137"/>
        <v/>
      </c>
    </row>
    <row r="8859" spans="1:7" s="172" customFormat="1" ht="15" customHeight="1" x14ac:dyDescent="0.25">
      <c r="A8859" s="803" t="s">
        <v>8245</v>
      </c>
      <c r="B8859" s="803" t="s">
        <v>8198</v>
      </c>
      <c r="C8859" s="803" t="s">
        <v>8198</v>
      </c>
      <c r="D8859" s="803" t="s">
        <v>8244</v>
      </c>
      <c r="E8859" s="803">
        <v>250</v>
      </c>
      <c r="F8859" s="803">
        <v>0</v>
      </c>
      <c r="G8859" s="202" t="str">
        <f t="shared" si="137"/>
        <v/>
      </c>
    </row>
    <row r="8860" spans="1:7" s="172" customFormat="1" ht="15" customHeight="1" x14ac:dyDescent="0.25">
      <c r="A8860" s="803" t="s">
        <v>8245</v>
      </c>
      <c r="B8860" s="803" t="s">
        <v>8198</v>
      </c>
      <c r="C8860" s="803" t="s">
        <v>8198</v>
      </c>
      <c r="D8860" s="803" t="s">
        <v>8246</v>
      </c>
      <c r="E8860" s="803">
        <v>250</v>
      </c>
      <c r="F8860" s="803">
        <v>75</v>
      </c>
      <c r="G8860" s="202" t="str">
        <f t="shared" si="137"/>
        <v/>
      </c>
    </row>
    <row r="8861" spans="1:7" s="172" customFormat="1" ht="15" customHeight="1" x14ac:dyDescent="0.25">
      <c r="A8861" s="803" t="s">
        <v>8245</v>
      </c>
      <c r="B8861" s="803" t="s">
        <v>8198</v>
      </c>
      <c r="C8861" s="803" t="s">
        <v>8198</v>
      </c>
      <c r="D8861" s="803" t="s">
        <v>8247</v>
      </c>
      <c r="E8861" s="803">
        <v>160</v>
      </c>
      <c r="F8861" s="803">
        <v>16</v>
      </c>
      <c r="G8861" s="202" t="str">
        <f t="shared" si="137"/>
        <v/>
      </c>
    </row>
    <row r="8862" spans="1:7" s="172" customFormat="1" ht="15" customHeight="1" x14ac:dyDescent="0.25">
      <c r="A8862" s="803" t="s">
        <v>8245</v>
      </c>
      <c r="B8862" s="803" t="s">
        <v>8198</v>
      </c>
      <c r="C8862" s="803" t="s">
        <v>8198</v>
      </c>
      <c r="D8862" s="803" t="s">
        <v>8248</v>
      </c>
      <c r="E8862" s="803">
        <v>250</v>
      </c>
      <c r="F8862" s="803">
        <v>25</v>
      </c>
      <c r="G8862" s="202" t="str">
        <f t="shared" ref="G8862:G8925" si="138">IF(E8862=F8862,"не загружен","")</f>
        <v/>
      </c>
    </row>
    <row r="8863" spans="1:7" s="172" customFormat="1" ht="15" customHeight="1" x14ac:dyDescent="0.25">
      <c r="A8863" s="803" t="s">
        <v>8245</v>
      </c>
      <c r="B8863" s="803" t="s">
        <v>8198</v>
      </c>
      <c r="C8863" s="803" t="s">
        <v>8198</v>
      </c>
      <c r="D8863" s="803" t="s">
        <v>8249</v>
      </c>
      <c r="E8863" s="803">
        <v>250</v>
      </c>
      <c r="F8863" s="803">
        <v>50</v>
      </c>
      <c r="G8863" s="202" t="str">
        <f t="shared" si="138"/>
        <v/>
      </c>
    </row>
    <row r="8864" spans="1:7" s="172" customFormat="1" ht="15" customHeight="1" x14ac:dyDescent="0.25">
      <c r="A8864" s="803" t="s">
        <v>8245</v>
      </c>
      <c r="B8864" s="803" t="s">
        <v>8198</v>
      </c>
      <c r="C8864" s="803" t="s">
        <v>8198</v>
      </c>
      <c r="D8864" s="803" t="s">
        <v>8250</v>
      </c>
      <c r="E8864" s="803">
        <v>100</v>
      </c>
      <c r="F8864" s="803">
        <v>0</v>
      </c>
      <c r="G8864" s="202" t="str">
        <f t="shared" si="138"/>
        <v/>
      </c>
    </row>
    <row r="8865" spans="1:7" s="172" customFormat="1" ht="15" customHeight="1" x14ac:dyDescent="0.25">
      <c r="A8865" s="803" t="s">
        <v>8245</v>
      </c>
      <c r="B8865" s="803" t="s">
        <v>8198</v>
      </c>
      <c r="C8865" s="803" t="s">
        <v>8198</v>
      </c>
      <c r="D8865" s="803" t="s">
        <v>8251</v>
      </c>
      <c r="E8865" s="803">
        <v>100</v>
      </c>
      <c r="F8865" s="803">
        <v>30</v>
      </c>
      <c r="G8865" s="202" t="str">
        <f t="shared" si="138"/>
        <v/>
      </c>
    </row>
    <row r="8866" spans="1:7" s="172" customFormat="1" ht="15" customHeight="1" x14ac:dyDescent="0.25">
      <c r="A8866" s="803" t="s">
        <v>12583</v>
      </c>
      <c r="B8866" s="803" t="s">
        <v>8198</v>
      </c>
      <c r="C8866" s="803" t="s">
        <v>8198</v>
      </c>
      <c r="D8866" s="803" t="s">
        <v>8252</v>
      </c>
      <c r="E8866" s="803">
        <v>250</v>
      </c>
      <c r="F8866" s="803">
        <v>75</v>
      </c>
      <c r="G8866" s="202" t="str">
        <f t="shared" si="138"/>
        <v/>
      </c>
    </row>
    <row r="8867" spans="1:7" s="172" customFormat="1" ht="15" customHeight="1" x14ac:dyDescent="0.25">
      <c r="A8867" s="803" t="s">
        <v>6561</v>
      </c>
      <c r="B8867" s="803" t="s">
        <v>8198</v>
      </c>
      <c r="C8867" s="803" t="s">
        <v>8198</v>
      </c>
      <c r="D8867" s="803" t="s">
        <v>8253</v>
      </c>
      <c r="E8867" s="803">
        <v>250</v>
      </c>
      <c r="F8867" s="803">
        <v>50</v>
      </c>
      <c r="G8867" s="202" t="str">
        <f t="shared" si="138"/>
        <v/>
      </c>
    </row>
    <row r="8868" spans="1:7" s="172" customFormat="1" ht="15" customHeight="1" x14ac:dyDescent="0.25">
      <c r="A8868" s="803" t="s">
        <v>6695</v>
      </c>
      <c r="B8868" s="803" t="s">
        <v>8198</v>
      </c>
      <c r="C8868" s="803" t="s">
        <v>8198</v>
      </c>
      <c r="D8868" s="803" t="s">
        <v>8254</v>
      </c>
      <c r="E8868" s="803">
        <v>10</v>
      </c>
      <c r="F8868" s="803">
        <v>2</v>
      </c>
      <c r="G8868" s="202" t="str">
        <f t="shared" si="138"/>
        <v/>
      </c>
    </row>
    <row r="8869" spans="1:7" s="172" customFormat="1" ht="15" customHeight="1" x14ac:dyDescent="0.25">
      <c r="A8869" s="803" t="s">
        <v>12906</v>
      </c>
      <c r="B8869" s="803" t="s">
        <v>8198</v>
      </c>
      <c r="C8869" s="803" t="s">
        <v>8198</v>
      </c>
      <c r="D8869" s="803" t="s">
        <v>8255</v>
      </c>
      <c r="E8869" s="803">
        <v>100</v>
      </c>
      <c r="F8869" s="803">
        <v>0</v>
      </c>
      <c r="G8869" s="202" t="str">
        <f t="shared" si="138"/>
        <v/>
      </c>
    </row>
    <row r="8870" spans="1:7" s="172" customFormat="1" ht="15" customHeight="1" x14ac:dyDescent="0.25">
      <c r="A8870" s="803" t="s">
        <v>12907</v>
      </c>
      <c r="B8870" s="803" t="s">
        <v>8198</v>
      </c>
      <c r="C8870" s="803" t="s">
        <v>8198</v>
      </c>
      <c r="D8870" s="803" t="s">
        <v>8256</v>
      </c>
      <c r="E8870" s="803">
        <v>100</v>
      </c>
      <c r="F8870" s="803">
        <v>50</v>
      </c>
      <c r="G8870" s="202" t="str">
        <f t="shared" si="138"/>
        <v/>
      </c>
    </row>
    <row r="8871" spans="1:7" s="172" customFormat="1" ht="15" customHeight="1" x14ac:dyDescent="0.25">
      <c r="A8871" s="803" t="s">
        <v>8257</v>
      </c>
      <c r="B8871" s="803" t="s">
        <v>8198</v>
      </c>
      <c r="C8871" s="803" t="s">
        <v>8198</v>
      </c>
      <c r="D8871" s="803" t="s">
        <v>8258</v>
      </c>
      <c r="E8871" s="803">
        <v>100</v>
      </c>
      <c r="F8871" s="803">
        <v>50</v>
      </c>
      <c r="G8871" s="202" t="str">
        <f t="shared" si="138"/>
        <v/>
      </c>
    </row>
    <row r="8872" spans="1:7" s="172" customFormat="1" ht="15" customHeight="1" x14ac:dyDescent="0.25">
      <c r="A8872" s="803" t="s">
        <v>12908</v>
      </c>
      <c r="B8872" s="803" t="s">
        <v>8198</v>
      </c>
      <c r="C8872" s="803" t="s">
        <v>8198</v>
      </c>
      <c r="D8872" s="803" t="s">
        <v>8259</v>
      </c>
      <c r="E8872" s="803">
        <v>63</v>
      </c>
      <c r="F8872" s="803">
        <v>45</v>
      </c>
      <c r="G8872" s="202" t="str">
        <f t="shared" si="138"/>
        <v/>
      </c>
    </row>
    <row r="8873" spans="1:7" s="172" customFormat="1" ht="15" customHeight="1" x14ac:dyDescent="0.25">
      <c r="A8873" s="803" t="s">
        <v>4924</v>
      </c>
      <c r="B8873" s="803" t="s">
        <v>8198</v>
      </c>
      <c r="C8873" s="803" t="s">
        <v>8198</v>
      </c>
      <c r="D8873" s="803" t="s">
        <v>8260</v>
      </c>
      <c r="E8873" s="803">
        <v>63</v>
      </c>
      <c r="F8873" s="803">
        <v>40</v>
      </c>
      <c r="G8873" s="202" t="str">
        <f t="shared" si="138"/>
        <v/>
      </c>
    </row>
    <row r="8874" spans="1:7" s="172" customFormat="1" ht="15" customHeight="1" x14ac:dyDescent="0.25">
      <c r="A8874" s="803" t="s">
        <v>12613</v>
      </c>
      <c r="B8874" s="803" t="s">
        <v>8198</v>
      </c>
      <c r="C8874" s="803" t="s">
        <v>8198</v>
      </c>
      <c r="D8874" s="803" t="s">
        <v>8261</v>
      </c>
      <c r="E8874" s="803">
        <v>30</v>
      </c>
      <c r="F8874" s="803">
        <v>0</v>
      </c>
      <c r="G8874" s="202" t="str">
        <f t="shared" si="138"/>
        <v/>
      </c>
    </row>
    <row r="8875" spans="1:7" s="172" customFormat="1" ht="15" customHeight="1" x14ac:dyDescent="0.25">
      <c r="A8875" s="803" t="s">
        <v>8262</v>
      </c>
      <c r="B8875" s="803" t="s">
        <v>8198</v>
      </c>
      <c r="C8875" s="803" t="s">
        <v>8198</v>
      </c>
      <c r="D8875" s="803" t="s">
        <v>8263</v>
      </c>
      <c r="E8875" s="803">
        <v>250</v>
      </c>
      <c r="F8875" s="803">
        <v>75</v>
      </c>
      <c r="G8875" s="202" t="str">
        <f t="shared" si="138"/>
        <v/>
      </c>
    </row>
    <row r="8876" spans="1:7" s="172" customFormat="1" ht="15" customHeight="1" x14ac:dyDescent="0.25">
      <c r="A8876" s="803" t="s">
        <v>8262</v>
      </c>
      <c r="B8876" s="803" t="s">
        <v>8198</v>
      </c>
      <c r="C8876" s="803" t="s">
        <v>8198</v>
      </c>
      <c r="D8876" s="803" t="s">
        <v>8264</v>
      </c>
      <c r="E8876" s="803">
        <v>100</v>
      </c>
      <c r="F8876" s="803">
        <v>5</v>
      </c>
      <c r="G8876" s="202" t="str">
        <f t="shared" si="138"/>
        <v/>
      </c>
    </row>
    <row r="8877" spans="1:7" s="172" customFormat="1" ht="15" customHeight="1" x14ac:dyDescent="0.25">
      <c r="A8877" s="803" t="s">
        <v>8262</v>
      </c>
      <c r="B8877" s="803" t="s">
        <v>8198</v>
      </c>
      <c r="C8877" s="803" t="s">
        <v>8198</v>
      </c>
      <c r="D8877" s="803" t="s">
        <v>8265</v>
      </c>
      <c r="E8877" s="803">
        <v>60</v>
      </c>
      <c r="F8877" s="803">
        <v>12</v>
      </c>
      <c r="G8877" s="202" t="str">
        <f t="shared" si="138"/>
        <v/>
      </c>
    </row>
    <row r="8878" spans="1:7" s="172" customFormat="1" ht="15" customHeight="1" x14ac:dyDescent="0.25">
      <c r="A8878" s="803" t="s">
        <v>8262</v>
      </c>
      <c r="B8878" s="803" t="s">
        <v>8198</v>
      </c>
      <c r="C8878" s="803" t="s">
        <v>8198</v>
      </c>
      <c r="D8878" s="803" t="s">
        <v>8266</v>
      </c>
      <c r="E8878" s="803">
        <v>60</v>
      </c>
      <c r="F8878" s="803">
        <v>24</v>
      </c>
      <c r="G8878" s="202" t="str">
        <f t="shared" si="138"/>
        <v/>
      </c>
    </row>
    <row r="8879" spans="1:7" s="172" customFormat="1" ht="15" customHeight="1" x14ac:dyDescent="0.25">
      <c r="A8879" s="803" t="s">
        <v>12609</v>
      </c>
      <c r="B8879" s="803" t="s">
        <v>8198</v>
      </c>
      <c r="C8879" s="803" t="s">
        <v>8198</v>
      </c>
      <c r="D8879" s="803" t="s">
        <v>8267</v>
      </c>
      <c r="E8879" s="803">
        <v>100</v>
      </c>
      <c r="F8879" s="803">
        <v>30</v>
      </c>
      <c r="G8879" s="202" t="str">
        <f t="shared" si="138"/>
        <v/>
      </c>
    </row>
    <row r="8880" spans="1:7" s="172" customFormat="1" ht="15" customHeight="1" x14ac:dyDescent="0.25">
      <c r="A8880" s="803" t="s">
        <v>12909</v>
      </c>
      <c r="B8880" s="803" t="s">
        <v>8198</v>
      </c>
      <c r="C8880" s="803" t="s">
        <v>8198</v>
      </c>
      <c r="D8880" s="803" t="s">
        <v>8268</v>
      </c>
      <c r="E8880" s="803">
        <v>30</v>
      </c>
      <c r="F8880" s="803">
        <v>0</v>
      </c>
      <c r="G8880" s="202" t="str">
        <f t="shared" si="138"/>
        <v/>
      </c>
    </row>
    <row r="8881" spans="1:7" s="172" customFormat="1" ht="15" customHeight="1" x14ac:dyDescent="0.25">
      <c r="A8881" s="803" t="s">
        <v>8269</v>
      </c>
      <c r="B8881" s="803" t="s">
        <v>8198</v>
      </c>
      <c r="C8881" s="803" t="s">
        <v>8198</v>
      </c>
      <c r="D8881" s="803" t="s">
        <v>8270</v>
      </c>
      <c r="E8881" s="803">
        <v>60</v>
      </c>
      <c r="F8881" s="803">
        <v>0</v>
      </c>
      <c r="G8881" s="202" t="str">
        <f t="shared" si="138"/>
        <v/>
      </c>
    </row>
    <row r="8882" spans="1:7" s="172" customFormat="1" ht="15" customHeight="1" x14ac:dyDescent="0.25">
      <c r="A8882" s="803" t="s">
        <v>8269</v>
      </c>
      <c r="B8882" s="803" t="s">
        <v>8198</v>
      </c>
      <c r="C8882" s="803" t="s">
        <v>8198</v>
      </c>
      <c r="D8882" s="803" t="s">
        <v>8271</v>
      </c>
      <c r="E8882" s="803">
        <v>60</v>
      </c>
      <c r="F8882" s="803">
        <v>24</v>
      </c>
      <c r="G8882" s="202" t="str">
        <f t="shared" si="138"/>
        <v/>
      </c>
    </row>
    <row r="8883" spans="1:7" s="172" customFormat="1" ht="15" customHeight="1" x14ac:dyDescent="0.25">
      <c r="A8883" s="803" t="s">
        <v>8269</v>
      </c>
      <c r="B8883" s="803" t="s">
        <v>8198</v>
      </c>
      <c r="C8883" s="803" t="s">
        <v>8198</v>
      </c>
      <c r="D8883" s="803" t="s">
        <v>8272</v>
      </c>
      <c r="E8883" s="803">
        <v>250</v>
      </c>
      <c r="F8883" s="803">
        <v>25</v>
      </c>
      <c r="G8883" s="202" t="str">
        <f t="shared" si="138"/>
        <v/>
      </c>
    </row>
    <row r="8884" spans="1:7" s="172" customFormat="1" ht="15" customHeight="1" x14ac:dyDescent="0.25">
      <c r="A8884" s="803" t="s">
        <v>8269</v>
      </c>
      <c r="B8884" s="803" t="s">
        <v>8198</v>
      </c>
      <c r="C8884" s="803" t="s">
        <v>8198</v>
      </c>
      <c r="D8884" s="803" t="s">
        <v>8273</v>
      </c>
      <c r="E8884" s="803">
        <v>250</v>
      </c>
      <c r="F8884" s="803">
        <v>50</v>
      </c>
      <c r="G8884" s="202" t="str">
        <f t="shared" si="138"/>
        <v/>
      </c>
    </row>
    <row r="8885" spans="1:7" s="172" customFormat="1" ht="15" customHeight="1" x14ac:dyDescent="0.25">
      <c r="A8885" s="803" t="s">
        <v>2685</v>
      </c>
      <c r="B8885" s="803" t="s">
        <v>8198</v>
      </c>
      <c r="C8885" s="803" t="s">
        <v>8198</v>
      </c>
      <c r="D8885" s="803" t="s">
        <v>8274</v>
      </c>
      <c r="E8885" s="803">
        <v>60</v>
      </c>
      <c r="F8885" s="803">
        <v>0</v>
      </c>
      <c r="G8885" s="202" t="str">
        <f t="shared" si="138"/>
        <v/>
      </c>
    </row>
    <row r="8886" spans="1:7" s="172" customFormat="1" ht="15" customHeight="1" x14ac:dyDescent="0.25">
      <c r="A8886" s="803" t="s">
        <v>2685</v>
      </c>
      <c r="B8886" s="803" t="s">
        <v>8198</v>
      </c>
      <c r="C8886" s="803" t="s">
        <v>8198</v>
      </c>
      <c r="D8886" s="803" t="s">
        <v>8275</v>
      </c>
      <c r="E8886" s="803">
        <v>30</v>
      </c>
      <c r="F8886" s="803">
        <v>6</v>
      </c>
      <c r="G8886" s="202" t="str">
        <f t="shared" si="138"/>
        <v/>
      </c>
    </row>
    <row r="8887" spans="1:7" s="172" customFormat="1" ht="15" customHeight="1" x14ac:dyDescent="0.25">
      <c r="A8887" s="803" t="s">
        <v>8276</v>
      </c>
      <c r="B8887" s="803" t="s">
        <v>8198</v>
      </c>
      <c r="C8887" s="803" t="s">
        <v>8198</v>
      </c>
      <c r="D8887" s="803" t="s">
        <v>8277</v>
      </c>
      <c r="E8887" s="803">
        <v>25</v>
      </c>
      <c r="F8887" s="803">
        <v>1</v>
      </c>
      <c r="G8887" s="202" t="str">
        <f t="shared" si="138"/>
        <v/>
      </c>
    </row>
    <row r="8888" spans="1:7" s="172" customFormat="1" ht="15" customHeight="1" x14ac:dyDescent="0.25">
      <c r="A8888" s="803" t="s">
        <v>12890</v>
      </c>
      <c r="B8888" s="803" t="s">
        <v>8198</v>
      </c>
      <c r="C8888" s="803" t="s">
        <v>8198</v>
      </c>
      <c r="D8888" s="803" t="s">
        <v>8278</v>
      </c>
      <c r="E8888" s="803">
        <v>100</v>
      </c>
      <c r="F8888" s="803">
        <v>0</v>
      </c>
      <c r="G8888" s="202" t="str">
        <f t="shared" si="138"/>
        <v/>
      </c>
    </row>
    <row r="8889" spans="1:7" s="172" customFormat="1" ht="15" customHeight="1" x14ac:dyDescent="0.25">
      <c r="A8889" s="803" t="s">
        <v>12890</v>
      </c>
      <c r="B8889" s="803" t="s">
        <v>8198</v>
      </c>
      <c r="C8889" s="803" t="s">
        <v>8198</v>
      </c>
      <c r="D8889" s="803" t="s">
        <v>8279</v>
      </c>
      <c r="E8889" s="803">
        <v>250</v>
      </c>
      <c r="F8889" s="803">
        <v>125</v>
      </c>
      <c r="G8889" s="202" t="str">
        <f t="shared" si="138"/>
        <v/>
      </c>
    </row>
    <row r="8890" spans="1:7" s="172" customFormat="1" ht="15" customHeight="1" x14ac:dyDescent="0.25">
      <c r="A8890" s="803" t="s">
        <v>8280</v>
      </c>
      <c r="B8890" s="803" t="s">
        <v>8198</v>
      </c>
      <c r="C8890" s="803" t="s">
        <v>8198</v>
      </c>
      <c r="D8890" s="803" t="s">
        <v>8281</v>
      </c>
      <c r="E8890" s="803">
        <v>100</v>
      </c>
      <c r="F8890" s="803">
        <v>70</v>
      </c>
      <c r="G8890" s="202" t="str">
        <f t="shared" si="138"/>
        <v/>
      </c>
    </row>
    <row r="8891" spans="1:7" s="172" customFormat="1" ht="15" customHeight="1" x14ac:dyDescent="0.25">
      <c r="A8891" s="803" t="s">
        <v>12910</v>
      </c>
      <c r="B8891" s="803" t="s">
        <v>8198</v>
      </c>
      <c r="C8891" s="803" t="s">
        <v>8198</v>
      </c>
      <c r="D8891" s="803" t="s">
        <v>8282</v>
      </c>
      <c r="E8891" s="803">
        <v>160</v>
      </c>
      <c r="F8891" s="803">
        <v>5</v>
      </c>
      <c r="G8891" s="202" t="str">
        <f t="shared" si="138"/>
        <v/>
      </c>
    </row>
    <row r="8892" spans="1:7" s="172" customFormat="1" ht="15" customHeight="1" x14ac:dyDescent="0.25">
      <c r="A8892" s="803" t="s">
        <v>6371</v>
      </c>
      <c r="B8892" s="803" t="s">
        <v>8198</v>
      </c>
      <c r="C8892" s="803" t="s">
        <v>8198</v>
      </c>
      <c r="D8892" s="803" t="s">
        <v>8283</v>
      </c>
      <c r="E8892" s="803">
        <v>250</v>
      </c>
      <c r="F8892" s="803">
        <v>50</v>
      </c>
      <c r="G8892" s="202" t="str">
        <f t="shared" si="138"/>
        <v/>
      </c>
    </row>
    <row r="8893" spans="1:7" s="172" customFormat="1" ht="15" customHeight="1" x14ac:dyDescent="0.25">
      <c r="A8893" s="803" t="s">
        <v>6371</v>
      </c>
      <c r="B8893" s="803" t="s">
        <v>8198</v>
      </c>
      <c r="C8893" s="803" t="s">
        <v>8198</v>
      </c>
      <c r="D8893" s="803" t="s">
        <v>8284</v>
      </c>
      <c r="E8893" s="803">
        <v>160</v>
      </c>
      <c r="F8893" s="803">
        <v>0</v>
      </c>
      <c r="G8893" s="202" t="str">
        <f t="shared" si="138"/>
        <v/>
      </c>
    </row>
    <row r="8894" spans="1:7" s="172" customFormat="1" ht="15" customHeight="1" x14ac:dyDescent="0.25">
      <c r="A8894" s="803" t="s">
        <v>6371</v>
      </c>
      <c r="B8894" s="803" t="s">
        <v>8198</v>
      </c>
      <c r="C8894" s="803" t="s">
        <v>8198</v>
      </c>
      <c r="D8894" s="803" t="s">
        <v>8285</v>
      </c>
      <c r="E8894" s="803">
        <v>250</v>
      </c>
      <c r="F8894" s="803">
        <v>75</v>
      </c>
      <c r="G8894" s="202" t="str">
        <f t="shared" si="138"/>
        <v/>
      </c>
    </row>
    <row r="8895" spans="1:7" s="172" customFormat="1" ht="15" customHeight="1" x14ac:dyDescent="0.25">
      <c r="A8895" s="803" t="s">
        <v>12911</v>
      </c>
      <c r="B8895" s="803" t="s">
        <v>8198</v>
      </c>
      <c r="C8895" s="803" t="s">
        <v>8198</v>
      </c>
      <c r="D8895" s="803" t="s">
        <v>8286</v>
      </c>
      <c r="E8895" s="803">
        <v>60</v>
      </c>
      <c r="F8895" s="803">
        <v>0</v>
      </c>
      <c r="G8895" s="202" t="str">
        <f t="shared" si="138"/>
        <v/>
      </c>
    </row>
    <row r="8896" spans="1:7" s="172" customFormat="1" ht="15" customHeight="1" x14ac:dyDescent="0.25">
      <c r="A8896" s="803" t="s">
        <v>12911</v>
      </c>
      <c r="B8896" s="803" t="s">
        <v>8198</v>
      </c>
      <c r="C8896" s="803" t="s">
        <v>8198</v>
      </c>
      <c r="D8896" s="803" t="s">
        <v>8287</v>
      </c>
      <c r="E8896" s="803">
        <v>250</v>
      </c>
      <c r="F8896" s="803">
        <v>0</v>
      </c>
      <c r="G8896" s="202" t="str">
        <f t="shared" si="138"/>
        <v/>
      </c>
    </row>
    <row r="8897" spans="1:7" s="172" customFormat="1" ht="15" customHeight="1" x14ac:dyDescent="0.25">
      <c r="A8897" s="803" t="s">
        <v>12912</v>
      </c>
      <c r="B8897" s="803" t="s">
        <v>8198</v>
      </c>
      <c r="C8897" s="803" t="s">
        <v>8198</v>
      </c>
      <c r="D8897" s="803" t="s">
        <v>8288</v>
      </c>
      <c r="E8897" s="803">
        <v>100</v>
      </c>
      <c r="F8897" s="803">
        <v>0</v>
      </c>
      <c r="G8897" s="202" t="str">
        <f t="shared" si="138"/>
        <v/>
      </c>
    </row>
    <row r="8898" spans="1:7" s="172" customFormat="1" ht="15" customHeight="1" x14ac:dyDescent="0.25">
      <c r="A8898" s="803" t="s">
        <v>12913</v>
      </c>
      <c r="B8898" s="803" t="s">
        <v>8198</v>
      </c>
      <c r="C8898" s="803" t="s">
        <v>8198</v>
      </c>
      <c r="D8898" s="803" t="s">
        <v>8289</v>
      </c>
      <c r="E8898" s="803">
        <v>250</v>
      </c>
      <c r="F8898" s="803">
        <v>100</v>
      </c>
      <c r="G8898" s="202" t="str">
        <f t="shared" si="138"/>
        <v/>
      </c>
    </row>
    <row r="8899" spans="1:7" s="172" customFormat="1" ht="15" customHeight="1" x14ac:dyDescent="0.25">
      <c r="A8899" s="803" t="s">
        <v>8290</v>
      </c>
      <c r="B8899" s="803" t="s">
        <v>8198</v>
      </c>
      <c r="C8899" s="803" t="s">
        <v>8198</v>
      </c>
      <c r="D8899" s="803" t="s">
        <v>8291</v>
      </c>
      <c r="E8899" s="803">
        <v>100</v>
      </c>
      <c r="F8899" s="803">
        <v>50</v>
      </c>
      <c r="G8899" s="202" t="str">
        <f t="shared" si="138"/>
        <v/>
      </c>
    </row>
    <row r="8900" spans="1:7" s="172" customFormat="1" ht="15" customHeight="1" x14ac:dyDescent="0.25">
      <c r="A8900" s="803" t="s">
        <v>8290</v>
      </c>
      <c r="B8900" s="803" t="s">
        <v>8198</v>
      </c>
      <c r="C8900" s="803" t="s">
        <v>8198</v>
      </c>
      <c r="D8900" s="803" t="s">
        <v>8292</v>
      </c>
      <c r="E8900" s="803">
        <v>250</v>
      </c>
      <c r="F8900" s="803">
        <v>185</v>
      </c>
      <c r="G8900" s="202" t="str">
        <f t="shared" si="138"/>
        <v/>
      </c>
    </row>
    <row r="8901" spans="1:7" s="172" customFormat="1" ht="15" customHeight="1" x14ac:dyDescent="0.25">
      <c r="A8901" s="803" t="s">
        <v>8711</v>
      </c>
      <c r="B8901" s="803" t="s">
        <v>8198</v>
      </c>
      <c r="C8901" s="803" t="s">
        <v>8198</v>
      </c>
      <c r="D8901" s="803" t="s">
        <v>8293</v>
      </c>
      <c r="E8901" s="803">
        <v>250</v>
      </c>
      <c r="F8901" s="803">
        <v>0</v>
      </c>
      <c r="G8901" s="202" t="str">
        <f t="shared" si="138"/>
        <v/>
      </c>
    </row>
    <row r="8902" spans="1:7" s="172" customFormat="1" ht="15" customHeight="1" x14ac:dyDescent="0.25">
      <c r="A8902" s="803" t="s">
        <v>12914</v>
      </c>
      <c r="B8902" s="803" t="s">
        <v>8198</v>
      </c>
      <c r="C8902" s="803" t="s">
        <v>8198</v>
      </c>
      <c r="D8902" s="803" t="s">
        <v>8294</v>
      </c>
      <c r="E8902" s="803">
        <v>63</v>
      </c>
      <c r="F8902" s="803">
        <v>25</v>
      </c>
      <c r="G8902" s="202" t="str">
        <f t="shared" si="138"/>
        <v/>
      </c>
    </row>
    <row r="8903" spans="1:7" s="172" customFormat="1" ht="15" customHeight="1" x14ac:dyDescent="0.25">
      <c r="A8903" s="803" t="s">
        <v>12915</v>
      </c>
      <c r="B8903" s="803" t="s">
        <v>8198</v>
      </c>
      <c r="C8903" s="803" t="s">
        <v>8198</v>
      </c>
      <c r="D8903" s="803" t="s">
        <v>8295</v>
      </c>
      <c r="E8903" s="803">
        <v>40</v>
      </c>
      <c r="F8903" s="803">
        <v>20</v>
      </c>
      <c r="G8903" s="202" t="str">
        <f t="shared" si="138"/>
        <v/>
      </c>
    </row>
    <row r="8904" spans="1:7" s="172" customFormat="1" ht="15" customHeight="1" x14ac:dyDescent="0.25">
      <c r="A8904" s="803" t="s">
        <v>8201</v>
      </c>
      <c r="B8904" s="803" t="s">
        <v>8198</v>
      </c>
      <c r="C8904" s="803" t="s">
        <v>8198</v>
      </c>
      <c r="D8904" s="803" t="s">
        <v>8296</v>
      </c>
      <c r="E8904" s="803">
        <v>60</v>
      </c>
      <c r="F8904" s="803">
        <v>18</v>
      </c>
      <c r="G8904" s="202" t="str">
        <f t="shared" si="138"/>
        <v/>
      </c>
    </row>
    <row r="8905" spans="1:7" s="172" customFormat="1" ht="15" customHeight="1" x14ac:dyDescent="0.25">
      <c r="A8905" s="803" t="s">
        <v>8201</v>
      </c>
      <c r="B8905" s="803" t="s">
        <v>8198</v>
      </c>
      <c r="C8905" s="803" t="s">
        <v>8198</v>
      </c>
      <c r="D8905" s="803" t="s">
        <v>8297</v>
      </c>
      <c r="E8905" s="803">
        <v>160</v>
      </c>
      <c r="F8905" s="803">
        <v>32</v>
      </c>
      <c r="G8905" s="202" t="str">
        <f t="shared" si="138"/>
        <v/>
      </c>
    </row>
    <row r="8906" spans="1:7" s="172" customFormat="1" ht="15" customHeight="1" x14ac:dyDescent="0.25">
      <c r="A8906" s="803" t="s">
        <v>8201</v>
      </c>
      <c r="B8906" s="803" t="s">
        <v>8198</v>
      </c>
      <c r="C8906" s="803" t="s">
        <v>8198</v>
      </c>
      <c r="D8906" s="803" t="s">
        <v>8298</v>
      </c>
      <c r="E8906" s="803">
        <v>250</v>
      </c>
      <c r="F8906" s="803">
        <v>100</v>
      </c>
      <c r="G8906" s="202" t="str">
        <f t="shared" si="138"/>
        <v/>
      </c>
    </row>
    <row r="8907" spans="1:7" s="172" customFormat="1" ht="15" customHeight="1" x14ac:dyDescent="0.25">
      <c r="A8907" s="803" t="s">
        <v>8201</v>
      </c>
      <c r="B8907" s="803" t="s">
        <v>8198</v>
      </c>
      <c r="C8907" s="803" t="s">
        <v>8198</v>
      </c>
      <c r="D8907" s="803" t="s">
        <v>8299</v>
      </c>
      <c r="E8907" s="803">
        <v>60</v>
      </c>
      <c r="F8907" s="803">
        <v>0</v>
      </c>
      <c r="G8907" s="202" t="str">
        <f t="shared" si="138"/>
        <v/>
      </c>
    </row>
    <row r="8908" spans="1:7" s="172" customFormat="1" ht="15" customHeight="1" x14ac:dyDescent="0.25">
      <c r="A8908" s="803" t="s">
        <v>8201</v>
      </c>
      <c r="B8908" s="803" t="s">
        <v>8198</v>
      </c>
      <c r="C8908" s="803" t="s">
        <v>8198</v>
      </c>
      <c r="D8908" s="803" t="s">
        <v>8300</v>
      </c>
      <c r="E8908" s="803">
        <v>250</v>
      </c>
      <c r="F8908" s="803">
        <v>100</v>
      </c>
      <c r="G8908" s="202" t="str">
        <f t="shared" si="138"/>
        <v/>
      </c>
    </row>
    <row r="8909" spans="1:7" s="172" customFormat="1" ht="15" customHeight="1" x14ac:dyDescent="0.25">
      <c r="A8909" s="803" t="s">
        <v>12916</v>
      </c>
      <c r="B8909" s="803" t="s">
        <v>8198</v>
      </c>
      <c r="C8909" s="803" t="s">
        <v>8198</v>
      </c>
      <c r="D8909" s="803" t="s">
        <v>8301</v>
      </c>
      <c r="E8909" s="803">
        <v>63</v>
      </c>
      <c r="F8909" s="803">
        <v>44</v>
      </c>
      <c r="G8909" s="202" t="str">
        <f t="shared" si="138"/>
        <v/>
      </c>
    </row>
    <row r="8910" spans="1:7" s="172" customFormat="1" ht="15" customHeight="1" x14ac:dyDescent="0.25">
      <c r="A8910" s="803" t="s">
        <v>12917</v>
      </c>
      <c r="B8910" s="803" t="s">
        <v>8198</v>
      </c>
      <c r="C8910" s="803" t="s">
        <v>8198</v>
      </c>
      <c r="D8910" s="803" t="s">
        <v>8302</v>
      </c>
      <c r="E8910" s="803">
        <v>100</v>
      </c>
      <c r="F8910" s="803">
        <v>10</v>
      </c>
      <c r="G8910" s="202" t="str">
        <f t="shared" si="138"/>
        <v/>
      </c>
    </row>
    <row r="8911" spans="1:7" s="172" customFormat="1" ht="15" customHeight="1" x14ac:dyDescent="0.25">
      <c r="A8911" s="803" t="s">
        <v>12918</v>
      </c>
      <c r="B8911" s="803" t="s">
        <v>8198</v>
      </c>
      <c r="C8911" s="803" t="s">
        <v>8198</v>
      </c>
      <c r="D8911" s="803" t="s">
        <v>8303</v>
      </c>
      <c r="E8911" s="803">
        <v>100</v>
      </c>
      <c r="F8911" s="803">
        <v>0</v>
      </c>
      <c r="G8911" s="202" t="str">
        <f t="shared" si="138"/>
        <v/>
      </c>
    </row>
    <row r="8912" spans="1:7" s="172" customFormat="1" ht="15" customHeight="1" x14ac:dyDescent="0.25">
      <c r="A8912" s="803" t="s">
        <v>12919</v>
      </c>
      <c r="B8912" s="803" t="s">
        <v>8198</v>
      </c>
      <c r="C8912" s="803" t="s">
        <v>8198</v>
      </c>
      <c r="D8912" s="803" t="s">
        <v>8304</v>
      </c>
      <c r="E8912" s="803">
        <v>100</v>
      </c>
      <c r="F8912" s="803">
        <v>70</v>
      </c>
      <c r="G8912" s="202" t="str">
        <f t="shared" si="138"/>
        <v/>
      </c>
    </row>
    <row r="8913" spans="1:7" s="172" customFormat="1" ht="15" customHeight="1" x14ac:dyDescent="0.25">
      <c r="A8913" s="803" t="s">
        <v>3545</v>
      </c>
      <c r="B8913" s="803" t="s">
        <v>8198</v>
      </c>
      <c r="C8913" s="803" t="s">
        <v>8198</v>
      </c>
      <c r="D8913" s="803" t="s">
        <v>8305</v>
      </c>
      <c r="E8913" s="803">
        <v>60</v>
      </c>
      <c r="F8913" s="803">
        <v>0</v>
      </c>
      <c r="G8913" s="202" t="str">
        <f t="shared" si="138"/>
        <v/>
      </c>
    </row>
    <row r="8914" spans="1:7" s="172" customFormat="1" ht="15" customHeight="1" x14ac:dyDescent="0.25">
      <c r="A8914" s="803" t="s">
        <v>12920</v>
      </c>
      <c r="B8914" s="803" t="s">
        <v>8198</v>
      </c>
      <c r="C8914" s="803" t="s">
        <v>8198</v>
      </c>
      <c r="D8914" s="803" t="s">
        <v>8306</v>
      </c>
      <c r="E8914" s="803">
        <v>160</v>
      </c>
      <c r="F8914" s="803">
        <v>40</v>
      </c>
      <c r="G8914" s="202" t="str">
        <f t="shared" si="138"/>
        <v/>
      </c>
    </row>
    <row r="8915" spans="1:7" s="172" customFormat="1" ht="15" customHeight="1" x14ac:dyDescent="0.25">
      <c r="A8915" s="803" t="s">
        <v>12112</v>
      </c>
      <c r="B8915" s="803" t="s">
        <v>8198</v>
      </c>
      <c r="C8915" s="803" t="s">
        <v>8198</v>
      </c>
      <c r="D8915" s="803" t="s">
        <v>8307</v>
      </c>
      <c r="E8915" s="803">
        <v>40</v>
      </c>
      <c r="F8915" s="803">
        <v>4</v>
      </c>
      <c r="G8915" s="202" t="str">
        <f t="shared" si="138"/>
        <v/>
      </c>
    </row>
    <row r="8916" spans="1:7" s="172" customFormat="1" ht="15" customHeight="1" x14ac:dyDescent="0.25">
      <c r="A8916" s="803" t="s">
        <v>2975</v>
      </c>
      <c r="B8916" s="803" t="s">
        <v>8198</v>
      </c>
      <c r="C8916" s="803" t="s">
        <v>8198</v>
      </c>
      <c r="D8916" s="803" t="s">
        <v>8308</v>
      </c>
      <c r="E8916" s="803">
        <v>250</v>
      </c>
      <c r="F8916" s="803">
        <v>100</v>
      </c>
      <c r="G8916" s="202" t="str">
        <f t="shared" si="138"/>
        <v/>
      </c>
    </row>
    <row r="8917" spans="1:7" s="172" customFormat="1" ht="15" customHeight="1" x14ac:dyDescent="0.25">
      <c r="A8917" s="803" t="s">
        <v>12921</v>
      </c>
      <c r="B8917" s="803" t="s">
        <v>8198</v>
      </c>
      <c r="C8917" s="803" t="s">
        <v>8198</v>
      </c>
      <c r="D8917" s="803" t="s">
        <v>8309</v>
      </c>
      <c r="E8917" s="803">
        <v>63</v>
      </c>
      <c r="F8917" s="803">
        <v>41</v>
      </c>
      <c r="G8917" s="202" t="str">
        <f t="shared" si="138"/>
        <v/>
      </c>
    </row>
    <row r="8918" spans="1:7" s="172" customFormat="1" ht="15" customHeight="1" x14ac:dyDescent="0.25">
      <c r="A8918" s="803" t="s">
        <v>12922</v>
      </c>
      <c r="B8918" s="803" t="s">
        <v>8198</v>
      </c>
      <c r="C8918" s="803" t="s">
        <v>8198</v>
      </c>
      <c r="D8918" s="803" t="s">
        <v>8310</v>
      </c>
      <c r="E8918" s="803">
        <v>100</v>
      </c>
      <c r="F8918" s="803">
        <v>40</v>
      </c>
      <c r="G8918" s="202" t="str">
        <f t="shared" si="138"/>
        <v/>
      </c>
    </row>
    <row r="8919" spans="1:7" s="172" customFormat="1" ht="15" customHeight="1" x14ac:dyDescent="0.25">
      <c r="A8919" s="803" t="s">
        <v>3557</v>
      </c>
      <c r="B8919" s="803" t="s">
        <v>8198</v>
      </c>
      <c r="C8919" s="803" t="s">
        <v>8198</v>
      </c>
      <c r="D8919" s="803" t="s">
        <v>20161</v>
      </c>
      <c r="E8919" s="803">
        <v>30</v>
      </c>
      <c r="F8919" s="803">
        <v>0</v>
      </c>
      <c r="G8919" s="202" t="str">
        <f t="shared" si="138"/>
        <v/>
      </c>
    </row>
    <row r="8920" spans="1:7" s="172" customFormat="1" ht="15" customHeight="1" x14ac:dyDescent="0.25">
      <c r="A8920" s="803" t="s">
        <v>12864</v>
      </c>
      <c r="B8920" s="803" t="s">
        <v>8198</v>
      </c>
      <c r="C8920" s="803" t="s">
        <v>8198</v>
      </c>
      <c r="D8920" s="803" t="s">
        <v>8311</v>
      </c>
      <c r="E8920" s="803">
        <v>60</v>
      </c>
      <c r="F8920" s="803">
        <v>5</v>
      </c>
      <c r="G8920" s="202" t="str">
        <f t="shared" si="138"/>
        <v/>
      </c>
    </row>
    <row r="8921" spans="1:7" s="172" customFormat="1" ht="15" customHeight="1" x14ac:dyDescent="0.25">
      <c r="A8921" s="803" t="s">
        <v>8714</v>
      </c>
      <c r="B8921" s="803" t="s">
        <v>8198</v>
      </c>
      <c r="C8921" s="803" t="s">
        <v>8198</v>
      </c>
      <c r="D8921" s="803" t="s">
        <v>8312</v>
      </c>
      <c r="E8921" s="803">
        <v>160</v>
      </c>
      <c r="F8921" s="803">
        <v>48</v>
      </c>
      <c r="G8921" s="202" t="str">
        <f t="shared" si="138"/>
        <v/>
      </c>
    </row>
    <row r="8922" spans="1:7" s="172" customFormat="1" ht="15" customHeight="1" x14ac:dyDescent="0.25">
      <c r="A8922" s="803" t="s">
        <v>8714</v>
      </c>
      <c r="B8922" s="803" t="s">
        <v>8198</v>
      </c>
      <c r="C8922" s="803" t="s">
        <v>8198</v>
      </c>
      <c r="D8922" s="803" t="s">
        <v>8313</v>
      </c>
      <c r="E8922" s="803">
        <v>250</v>
      </c>
      <c r="F8922" s="803">
        <v>100</v>
      </c>
      <c r="G8922" s="202" t="str">
        <f t="shared" si="138"/>
        <v/>
      </c>
    </row>
    <row r="8923" spans="1:7" s="172" customFormat="1" ht="15" customHeight="1" x14ac:dyDescent="0.25">
      <c r="A8923" s="803" t="s">
        <v>8314</v>
      </c>
      <c r="B8923" s="803" t="s">
        <v>8198</v>
      </c>
      <c r="C8923" s="803" t="s">
        <v>8198</v>
      </c>
      <c r="D8923" s="803" t="s">
        <v>8315</v>
      </c>
      <c r="E8923" s="803">
        <v>100</v>
      </c>
      <c r="F8923" s="803">
        <v>70</v>
      </c>
      <c r="G8923" s="202" t="str">
        <f t="shared" si="138"/>
        <v/>
      </c>
    </row>
    <row r="8924" spans="1:7" s="172" customFormat="1" ht="15" customHeight="1" x14ac:dyDescent="0.25">
      <c r="A8924" s="803" t="s">
        <v>12923</v>
      </c>
      <c r="B8924" s="803" t="s">
        <v>8198</v>
      </c>
      <c r="C8924" s="803" t="s">
        <v>8198</v>
      </c>
      <c r="D8924" s="803" t="s">
        <v>8316</v>
      </c>
      <c r="E8924" s="803">
        <v>63</v>
      </c>
      <c r="F8924" s="803">
        <v>0</v>
      </c>
      <c r="G8924" s="202" t="str">
        <f t="shared" si="138"/>
        <v/>
      </c>
    </row>
    <row r="8925" spans="1:7" s="172" customFormat="1" ht="15" customHeight="1" x14ac:dyDescent="0.25">
      <c r="A8925" s="803" t="s">
        <v>6211</v>
      </c>
      <c r="B8925" s="803" t="s">
        <v>8198</v>
      </c>
      <c r="C8925" s="803" t="s">
        <v>8198</v>
      </c>
      <c r="D8925" s="803" t="s">
        <v>8317</v>
      </c>
      <c r="E8925" s="803">
        <v>160</v>
      </c>
      <c r="F8925" s="803">
        <v>96</v>
      </c>
      <c r="G8925" s="202" t="str">
        <f t="shared" si="138"/>
        <v/>
      </c>
    </row>
    <row r="8926" spans="1:7" s="172" customFormat="1" ht="15" customHeight="1" x14ac:dyDescent="0.25">
      <c r="A8926" s="803" t="s">
        <v>12924</v>
      </c>
      <c r="B8926" s="803" t="s">
        <v>8198</v>
      </c>
      <c r="C8926" s="803" t="s">
        <v>8198</v>
      </c>
      <c r="D8926" s="803" t="s">
        <v>8318</v>
      </c>
      <c r="E8926" s="803">
        <v>30</v>
      </c>
      <c r="F8926" s="803">
        <v>15</v>
      </c>
      <c r="G8926" s="202" t="str">
        <f t="shared" ref="G8926:G8989" si="139">IF(E8926=F8926,"не загружен","")</f>
        <v/>
      </c>
    </row>
    <row r="8927" spans="1:7" s="172" customFormat="1" ht="15" customHeight="1" x14ac:dyDescent="0.25">
      <c r="A8927" s="803" t="s">
        <v>12925</v>
      </c>
      <c r="B8927" s="803" t="s">
        <v>8198</v>
      </c>
      <c r="C8927" s="803" t="s">
        <v>8198</v>
      </c>
      <c r="D8927" s="803" t="s">
        <v>8319</v>
      </c>
      <c r="E8927" s="803">
        <v>60</v>
      </c>
      <c r="F8927" s="803">
        <v>12</v>
      </c>
      <c r="G8927" s="202" t="str">
        <f t="shared" si="139"/>
        <v/>
      </c>
    </row>
    <row r="8928" spans="1:7" s="172" customFormat="1" ht="15" customHeight="1" x14ac:dyDescent="0.25">
      <c r="A8928" s="803" t="s">
        <v>12925</v>
      </c>
      <c r="B8928" s="803" t="s">
        <v>8198</v>
      </c>
      <c r="C8928" s="803" t="s">
        <v>8198</v>
      </c>
      <c r="D8928" s="803" t="s">
        <v>8320</v>
      </c>
      <c r="E8928" s="803">
        <v>100</v>
      </c>
      <c r="F8928" s="803">
        <v>10</v>
      </c>
      <c r="G8928" s="202" t="str">
        <f t="shared" si="139"/>
        <v/>
      </c>
    </row>
    <row r="8929" spans="1:7" s="172" customFormat="1" ht="15" customHeight="1" x14ac:dyDescent="0.25">
      <c r="A8929" s="803" t="s">
        <v>12925</v>
      </c>
      <c r="B8929" s="803" t="s">
        <v>8198</v>
      </c>
      <c r="C8929" s="803" t="s">
        <v>8198</v>
      </c>
      <c r="D8929" s="803" t="s">
        <v>8321</v>
      </c>
      <c r="E8929" s="803">
        <v>100</v>
      </c>
      <c r="F8929" s="803">
        <v>20</v>
      </c>
      <c r="G8929" s="202" t="str">
        <f t="shared" si="139"/>
        <v/>
      </c>
    </row>
    <row r="8930" spans="1:7" s="172" customFormat="1" ht="15" customHeight="1" x14ac:dyDescent="0.25">
      <c r="A8930" s="803" t="s">
        <v>12925</v>
      </c>
      <c r="B8930" s="803" t="s">
        <v>8198</v>
      </c>
      <c r="C8930" s="803" t="s">
        <v>8198</v>
      </c>
      <c r="D8930" s="803" t="s">
        <v>8322</v>
      </c>
      <c r="E8930" s="803">
        <v>250</v>
      </c>
      <c r="F8930" s="803">
        <v>50</v>
      </c>
      <c r="G8930" s="202" t="str">
        <f t="shared" si="139"/>
        <v/>
      </c>
    </row>
    <row r="8931" spans="1:7" s="172" customFormat="1" ht="15" customHeight="1" x14ac:dyDescent="0.25">
      <c r="A8931" s="803" t="s">
        <v>12926</v>
      </c>
      <c r="B8931" s="803" t="s">
        <v>8198</v>
      </c>
      <c r="C8931" s="803" t="s">
        <v>8198</v>
      </c>
      <c r="D8931" s="803" t="s">
        <v>8323</v>
      </c>
      <c r="E8931" s="803">
        <v>160</v>
      </c>
      <c r="F8931" s="803">
        <v>0</v>
      </c>
      <c r="G8931" s="202" t="str">
        <f t="shared" si="139"/>
        <v/>
      </c>
    </row>
    <row r="8932" spans="1:7" s="172" customFormat="1" ht="15" customHeight="1" x14ac:dyDescent="0.25">
      <c r="A8932" s="803" t="s">
        <v>5072</v>
      </c>
      <c r="B8932" s="803" t="s">
        <v>8198</v>
      </c>
      <c r="C8932" s="803" t="s">
        <v>8198</v>
      </c>
      <c r="D8932" s="803" t="s">
        <v>8324</v>
      </c>
      <c r="E8932" s="803">
        <v>250</v>
      </c>
      <c r="F8932" s="803">
        <v>200</v>
      </c>
      <c r="G8932" s="202" t="str">
        <f t="shared" si="139"/>
        <v/>
      </c>
    </row>
    <row r="8933" spans="1:7" s="172" customFormat="1" ht="15" customHeight="1" x14ac:dyDescent="0.25">
      <c r="A8933" s="803" t="s">
        <v>8325</v>
      </c>
      <c r="B8933" s="803" t="s">
        <v>8198</v>
      </c>
      <c r="C8933" s="803" t="s">
        <v>8198</v>
      </c>
      <c r="D8933" s="803" t="s">
        <v>8326</v>
      </c>
      <c r="E8933" s="803">
        <v>180</v>
      </c>
      <c r="F8933" s="803">
        <v>54</v>
      </c>
      <c r="G8933" s="202" t="str">
        <f t="shared" si="139"/>
        <v/>
      </c>
    </row>
    <row r="8934" spans="1:7" s="172" customFormat="1" ht="15" customHeight="1" x14ac:dyDescent="0.25">
      <c r="A8934" s="803" t="s">
        <v>8325</v>
      </c>
      <c r="B8934" s="803" t="s">
        <v>8198</v>
      </c>
      <c r="C8934" s="803" t="s">
        <v>8198</v>
      </c>
      <c r="D8934" s="803" t="s">
        <v>8327</v>
      </c>
      <c r="E8934" s="803">
        <v>250</v>
      </c>
      <c r="F8934" s="803">
        <v>150</v>
      </c>
      <c r="G8934" s="202" t="str">
        <f t="shared" si="139"/>
        <v/>
      </c>
    </row>
    <row r="8935" spans="1:7" s="172" customFormat="1" ht="15" customHeight="1" x14ac:dyDescent="0.25">
      <c r="A8935" s="803" t="s">
        <v>8325</v>
      </c>
      <c r="B8935" s="803" t="s">
        <v>8198</v>
      </c>
      <c r="C8935" s="803" t="s">
        <v>8198</v>
      </c>
      <c r="D8935" s="803" t="s">
        <v>8328</v>
      </c>
      <c r="E8935" s="803">
        <v>250</v>
      </c>
      <c r="F8935" s="803">
        <v>175</v>
      </c>
      <c r="G8935" s="202" t="str">
        <f t="shared" si="139"/>
        <v/>
      </c>
    </row>
    <row r="8936" spans="1:7" s="172" customFormat="1" ht="15" customHeight="1" x14ac:dyDescent="0.25">
      <c r="A8936" s="803" t="s">
        <v>6209</v>
      </c>
      <c r="B8936" s="803" t="s">
        <v>8198</v>
      </c>
      <c r="C8936" s="803" t="s">
        <v>8198</v>
      </c>
      <c r="D8936" s="803" t="s">
        <v>8329</v>
      </c>
      <c r="E8936" s="803">
        <v>60</v>
      </c>
      <c r="F8936" s="803">
        <v>30</v>
      </c>
      <c r="G8936" s="202" t="str">
        <f t="shared" si="139"/>
        <v/>
      </c>
    </row>
    <row r="8937" spans="1:7" s="172" customFormat="1" ht="15" customHeight="1" x14ac:dyDescent="0.25">
      <c r="A8937" s="803" t="s">
        <v>8330</v>
      </c>
      <c r="B8937" s="803" t="s">
        <v>8198</v>
      </c>
      <c r="C8937" s="803" t="s">
        <v>8198</v>
      </c>
      <c r="D8937" s="803" t="s">
        <v>8331</v>
      </c>
      <c r="E8937" s="803">
        <v>100</v>
      </c>
      <c r="F8937" s="803">
        <v>70</v>
      </c>
      <c r="G8937" s="202" t="str">
        <f t="shared" si="139"/>
        <v/>
      </c>
    </row>
    <row r="8938" spans="1:7" s="172" customFormat="1" ht="15" customHeight="1" x14ac:dyDescent="0.25">
      <c r="A8938" s="803" t="s">
        <v>12927</v>
      </c>
      <c r="B8938" s="803" t="s">
        <v>8198</v>
      </c>
      <c r="C8938" s="803" t="s">
        <v>8198</v>
      </c>
      <c r="D8938" s="803" t="s">
        <v>8332</v>
      </c>
      <c r="E8938" s="803">
        <v>60</v>
      </c>
      <c r="F8938" s="803">
        <v>24</v>
      </c>
      <c r="G8938" s="202" t="str">
        <f t="shared" si="139"/>
        <v/>
      </c>
    </row>
    <row r="8939" spans="1:7" s="172" customFormat="1" ht="15" customHeight="1" x14ac:dyDescent="0.25">
      <c r="A8939" s="803" t="s">
        <v>8334</v>
      </c>
      <c r="B8939" s="803" t="s">
        <v>8198</v>
      </c>
      <c r="C8939" s="803" t="s">
        <v>8198</v>
      </c>
      <c r="D8939" s="803" t="s">
        <v>8333</v>
      </c>
      <c r="E8939" s="803">
        <v>100</v>
      </c>
      <c r="F8939" s="803">
        <v>40</v>
      </c>
      <c r="G8939" s="202" t="str">
        <f t="shared" si="139"/>
        <v/>
      </c>
    </row>
    <row r="8940" spans="1:7" s="172" customFormat="1" ht="15" customHeight="1" x14ac:dyDescent="0.25">
      <c r="A8940" s="803" t="s">
        <v>8334</v>
      </c>
      <c r="B8940" s="803" t="s">
        <v>8198</v>
      </c>
      <c r="C8940" s="803" t="s">
        <v>8198</v>
      </c>
      <c r="D8940" s="803" t="s">
        <v>8335</v>
      </c>
      <c r="E8940" s="803">
        <v>160</v>
      </c>
      <c r="F8940" s="803">
        <v>96</v>
      </c>
      <c r="G8940" s="202" t="str">
        <f t="shared" si="139"/>
        <v/>
      </c>
    </row>
    <row r="8941" spans="1:7" s="172" customFormat="1" ht="15" customHeight="1" x14ac:dyDescent="0.25">
      <c r="A8941" s="803" t="s">
        <v>8334</v>
      </c>
      <c r="B8941" s="803" t="s">
        <v>8198</v>
      </c>
      <c r="C8941" s="803" t="s">
        <v>8198</v>
      </c>
      <c r="D8941" s="803" t="s">
        <v>8336</v>
      </c>
      <c r="E8941" s="803">
        <v>250</v>
      </c>
      <c r="F8941" s="803">
        <v>150</v>
      </c>
      <c r="G8941" s="202" t="str">
        <f t="shared" si="139"/>
        <v/>
      </c>
    </row>
    <row r="8942" spans="1:7" s="172" customFormat="1" ht="15" customHeight="1" x14ac:dyDescent="0.25">
      <c r="A8942" s="803" t="s">
        <v>12928</v>
      </c>
      <c r="B8942" s="803" t="s">
        <v>8198</v>
      </c>
      <c r="C8942" s="803" t="s">
        <v>8198</v>
      </c>
      <c r="D8942" s="803" t="s">
        <v>8337</v>
      </c>
      <c r="E8942" s="803">
        <v>100</v>
      </c>
      <c r="F8942" s="803">
        <v>90</v>
      </c>
      <c r="G8942" s="202" t="str">
        <f t="shared" si="139"/>
        <v/>
      </c>
    </row>
    <row r="8943" spans="1:7" s="172" customFormat="1" ht="15" customHeight="1" x14ac:dyDescent="0.25">
      <c r="A8943" s="803" t="s">
        <v>12929</v>
      </c>
      <c r="B8943" s="803" t="s">
        <v>8198</v>
      </c>
      <c r="C8943" s="803" t="s">
        <v>8198</v>
      </c>
      <c r="D8943" s="803" t="s">
        <v>8338</v>
      </c>
      <c r="E8943" s="803">
        <v>250</v>
      </c>
      <c r="F8943" s="803">
        <v>50</v>
      </c>
      <c r="G8943" s="202" t="str">
        <f t="shared" si="139"/>
        <v/>
      </c>
    </row>
    <row r="8944" spans="1:7" s="172" customFormat="1" ht="15" customHeight="1" x14ac:dyDescent="0.25">
      <c r="A8944" s="803" t="s">
        <v>12930</v>
      </c>
      <c r="B8944" s="803" t="s">
        <v>8198</v>
      </c>
      <c r="C8944" s="803" t="s">
        <v>8198</v>
      </c>
      <c r="D8944" s="803" t="s">
        <v>8339</v>
      </c>
      <c r="E8944" s="803">
        <v>40</v>
      </c>
      <c r="F8944" s="803">
        <v>4</v>
      </c>
      <c r="G8944" s="202" t="str">
        <f t="shared" si="139"/>
        <v/>
      </c>
    </row>
    <row r="8945" spans="1:7" s="172" customFormat="1" ht="15" customHeight="1" x14ac:dyDescent="0.25">
      <c r="A8945" s="803" t="s">
        <v>12554</v>
      </c>
      <c r="B8945" s="803" t="s">
        <v>8198</v>
      </c>
      <c r="C8945" s="803" t="s">
        <v>8198</v>
      </c>
      <c r="D8945" s="803" t="s">
        <v>8340</v>
      </c>
      <c r="E8945" s="803">
        <v>100</v>
      </c>
      <c r="F8945" s="803">
        <v>50</v>
      </c>
      <c r="G8945" s="202" t="str">
        <f t="shared" si="139"/>
        <v/>
      </c>
    </row>
    <row r="8946" spans="1:7" s="172" customFormat="1" ht="15" customHeight="1" x14ac:dyDescent="0.25">
      <c r="A8946" s="803" t="s">
        <v>8341</v>
      </c>
      <c r="B8946" s="803" t="s">
        <v>8198</v>
      </c>
      <c r="C8946" s="803" t="s">
        <v>8198</v>
      </c>
      <c r="D8946" s="803" t="s">
        <v>8342</v>
      </c>
      <c r="E8946" s="803">
        <v>100</v>
      </c>
      <c r="F8946" s="803">
        <v>30</v>
      </c>
      <c r="G8946" s="202" t="str">
        <f t="shared" si="139"/>
        <v/>
      </c>
    </row>
    <row r="8947" spans="1:7" s="172" customFormat="1" ht="15" customHeight="1" x14ac:dyDescent="0.25">
      <c r="A8947" s="803" t="s">
        <v>12931</v>
      </c>
      <c r="B8947" s="803" t="s">
        <v>8198</v>
      </c>
      <c r="C8947" s="803" t="s">
        <v>8198</v>
      </c>
      <c r="D8947" s="803" t="s">
        <v>8343</v>
      </c>
      <c r="E8947" s="803">
        <v>160</v>
      </c>
      <c r="F8947" s="803">
        <v>32</v>
      </c>
      <c r="G8947" s="202" t="str">
        <f t="shared" si="139"/>
        <v/>
      </c>
    </row>
    <row r="8948" spans="1:7" s="172" customFormat="1" ht="15" customHeight="1" x14ac:dyDescent="0.25">
      <c r="A8948" s="803" t="s">
        <v>12931</v>
      </c>
      <c r="B8948" s="803" t="s">
        <v>8198</v>
      </c>
      <c r="C8948" s="803" t="s">
        <v>8198</v>
      </c>
      <c r="D8948" s="803" t="s">
        <v>8344</v>
      </c>
      <c r="E8948" s="803">
        <v>160</v>
      </c>
      <c r="F8948" s="803">
        <v>32</v>
      </c>
      <c r="G8948" s="202" t="str">
        <f t="shared" si="139"/>
        <v/>
      </c>
    </row>
    <row r="8949" spans="1:7" s="172" customFormat="1" ht="15" customHeight="1" x14ac:dyDescent="0.25">
      <c r="A8949" s="803" t="s">
        <v>12932</v>
      </c>
      <c r="B8949" s="803" t="s">
        <v>8198</v>
      </c>
      <c r="C8949" s="803" t="s">
        <v>8198</v>
      </c>
      <c r="D8949" s="803" t="s">
        <v>8345</v>
      </c>
      <c r="E8949" s="803">
        <v>160</v>
      </c>
      <c r="F8949" s="803">
        <v>0</v>
      </c>
      <c r="G8949" s="202" t="str">
        <f t="shared" si="139"/>
        <v/>
      </c>
    </row>
    <row r="8950" spans="1:7" s="172" customFormat="1" ht="15" customHeight="1" x14ac:dyDescent="0.25">
      <c r="A8950" s="803" t="s">
        <v>12933</v>
      </c>
      <c r="B8950" s="803" t="s">
        <v>8198</v>
      </c>
      <c r="C8950" s="803" t="s">
        <v>8198</v>
      </c>
      <c r="D8950" s="803" t="s">
        <v>8346</v>
      </c>
      <c r="E8950" s="803">
        <v>250</v>
      </c>
      <c r="F8950" s="803">
        <v>175</v>
      </c>
      <c r="G8950" s="202" t="str">
        <f t="shared" si="139"/>
        <v/>
      </c>
    </row>
    <row r="8951" spans="1:7" s="172" customFormat="1" ht="15" customHeight="1" x14ac:dyDescent="0.25">
      <c r="A8951" s="803" t="s">
        <v>12934</v>
      </c>
      <c r="B8951" s="803" t="s">
        <v>8198</v>
      </c>
      <c r="C8951" s="803" t="s">
        <v>8198</v>
      </c>
      <c r="D8951" s="803" t="s">
        <v>8347</v>
      </c>
      <c r="E8951" s="803">
        <v>100</v>
      </c>
      <c r="F8951" s="803">
        <v>0</v>
      </c>
      <c r="G8951" s="202" t="str">
        <f t="shared" si="139"/>
        <v/>
      </c>
    </row>
    <row r="8952" spans="1:7" s="172" customFormat="1" ht="15" customHeight="1" x14ac:dyDescent="0.25">
      <c r="A8952" s="803" t="s">
        <v>8348</v>
      </c>
      <c r="B8952" s="803" t="s">
        <v>8198</v>
      </c>
      <c r="C8952" s="803" t="s">
        <v>8198</v>
      </c>
      <c r="D8952" s="803" t="s">
        <v>8349</v>
      </c>
      <c r="E8952" s="803">
        <v>30</v>
      </c>
      <c r="F8952" s="803">
        <v>0</v>
      </c>
      <c r="G8952" s="202" t="str">
        <f t="shared" si="139"/>
        <v/>
      </c>
    </row>
    <row r="8953" spans="1:7" s="172" customFormat="1" ht="15" customHeight="1" x14ac:dyDescent="0.25">
      <c r="A8953" s="803" t="s">
        <v>8348</v>
      </c>
      <c r="B8953" s="803" t="s">
        <v>8198</v>
      </c>
      <c r="C8953" s="803" t="s">
        <v>8198</v>
      </c>
      <c r="D8953" s="803" t="s">
        <v>8350</v>
      </c>
      <c r="E8953" s="803">
        <v>250</v>
      </c>
      <c r="F8953" s="803">
        <v>125</v>
      </c>
      <c r="G8953" s="202" t="str">
        <f t="shared" si="139"/>
        <v/>
      </c>
    </row>
    <row r="8954" spans="1:7" s="172" customFormat="1" ht="15" customHeight="1" x14ac:dyDescent="0.25">
      <c r="A8954" s="803" t="s">
        <v>8348</v>
      </c>
      <c r="B8954" s="803" t="s">
        <v>8198</v>
      </c>
      <c r="C8954" s="803" t="s">
        <v>8198</v>
      </c>
      <c r="D8954" s="803" t="s">
        <v>8351</v>
      </c>
      <c r="E8954" s="803">
        <v>100</v>
      </c>
      <c r="F8954" s="803">
        <v>50</v>
      </c>
      <c r="G8954" s="202" t="str">
        <f t="shared" si="139"/>
        <v/>
      </c>
    </row>
    <row r="8955" spans="1:7" s="172" customFormat="1" ht="15" customHeight="1" x14ac:dyDescent="0.25">
      <c r="A8955" s="803" t="s">
        <v>8348</v>
      </c>
      <c r="B8955" s="803" t="s">
        <v>8198</v>
      </c>
      <c r="C8955" s="803" t="s">
        <v>8198</v>
      </c>
      <c r="D8955" s="803" t="s">
        <v>8352</v>
      </c>
      <c r="E8955" s="803">
        <v>250</v>
      </c>
      <c r="F8955" s="803">
        <v>0</v>
      </c>
      <c r="G8955" s="202" t="str">
        <f t="shared" si="139"/>
        <v/>
      </c>
    </row>
    <row r="8956" spans="1:7" s="172" customFormat="1" ht="15" customHeight="1" x14ac:dyDescent="0.25">
      <c r="A8956" s="803" t="s">
        <v>8348</v>
      </c>
      <c r="B8956" s="803" t="s">
        <v>8198</v>
      </c>
      <c r="C8956" s="803" t="s">
        <v>8198</v>
      </c>
      <c r="D8956" s="803" t="s">
        <v>8353</v>
      </c>
      <c r="E8956" s="803">
        <v>160</v>
      </c>
      <c r="F8956" s="803">
        <v>32</v>
      </c>
      <c r="G8956" s="202" t="str">
        <f t="shared" si="139"/>
        <v/>
      </c>
    </row>
    <row r="8957" spans="1:7" s="172" customFormat="1" ht="15" customHeight="1" x14ac:dyDescent="0.25">
      <c r="A8957" s="803" t="s">
        <v>12935</v>
      </c>
      <c r="B8957" s="803" t="s">
        <v>8198</v>
      </c>
      <c r="C8957" s="803" t="s">
        <v>8198</v>
      </c>
      <c r="D8957" s="803" t="s">
        <v>8354</v>
      </c>
      <c r="E8957" s="803">
        <v>30</v>
      </c>
      <c r="F8957" s="803">
        <v>25</v>
      </c>
      <c r="G8957" s="202" t="str">
        <f t="shared" si="139"/>
        <v/>
      </c>
    </row>
    <row r="8958" spans="1:7" s="172" customFormat="1" ht="15" customHeight="1" x14ac:dyDescent="0.25">
      <c r="A8958" s="803" t="s">
        <v>8355</v>
      </c>
      <c r="B8958" s="803" t="s">
        <v>8198</v>
      </c>
      <c r="C8958" s="803" t="s">
        <v>8198</v>
      </c>
      <c r="D8958" s="803" t="s">
        <v>8356</v>
      </c>
      <c r="E8958" s="803">
        <v>100</v>
      </c>
      <c r="F8958" s="803">
        <v>30</v>
      </c>
      <c r="G8958" s="202" t="str">
        <f t="shared" si="139"/>
        <v/>
      </c>
    </row>
    <row r="8959" spans="1:7" s="172" customFormat="1" ht="15" customHeight="1" x14ac:dyDescent="0.25">
      <c r="A8959" s="803" t="s">
        <v>5578</v>
      </c>
      <c r="B8959" s="803" t="s">
        <v>8198</v>
      </c>
      <c r="C8959" s="803" t="s">
        <v>8198</v>
      </c>
      <c r="D8959" s="803" t="s">
        <v>8357</v>
      </c>
      <c r="E8959" s="803">
        <v>100</v>
      </c>
      <c r="F8959" s="803">
        <v>20</v>
      </c>
      <c r="G8959" s="202" t="str">
        <f t="shared" si="139"/>
        <v/>
      </c>
    </row>
    <row r="8960" spans="1:7" s="172" customFormat="1" ht="15" customHeight="1" x14ac:dyDescent="0.25">
      <c r="A8960" s="803" t="s">
        <v>5030</v>
      </c>
      <c r="B8960" s="803" t="s">
        <v>8198</v>
      </c>
      <c r="C8960" s="803" t="s">
        <v>8198</v>
      </c>
      <c r="D8960" s="803" t="s">
        <v>8358</v>
      </c>
      <c r="E8960" s="803">
        <v>250</v>
      </c>
      <c r="F8960" s="803">
        <v>75</v>
      </c>
      <c r="G8960" s="202" t="str">
        <f t="shared" si="139"/>
        <v/>
      </c>
    </row>
    <row r="8961" spans="1:7" s="172" customFormat="1" ht="15" customHeight="1" x14ac:dyDescent="0.25">
      <c r="A8961" s="803" t="s">
        <v>5030</v>
      </c>
      <c r="B8961" s="803" t="s">
        <v>8198</v>
      </c>
      <c r="C8961" s="803" t="s">
        <v>8198</v>
      </c>
      <c r="D8961" s="803" t="s">
        <v>8359</v>
      </c>
      <c r="E8961" s="803">
        <v>250</v>
      </c>
      <c r="F8961" s="803">
        <v>100</v>
      </c>
      <c r="G8961" s="202" t="str">
        <f t="shared" si="139"/>
        <v/>
      </c>
    </row>
    <row r="8962" spans="1:7" s="172" customFormat="1" ht="15" customHeight="1" x14ac:dyDescent="0.25">
      <c r="A8962" s="803" t="s">
        <v>5030</v>
      </c>
      <c r="B8962" s="803" t="s">
        <v>8198</v>
      </c>
      <c r="C8962" s="803" t="s">
        <v>8198</v>
      </c>
      <c r="D8962" s="803" t="s">
        <v>8360</v>
      </c>
      <c r="E8962" s="803">
        <v>100</v>
      </c>
      <c r="F8962" s="803">
        <v>30</v>
      </c>
      <c r="G8962" s="202" t="str">
        <f t="shared" si="139"/>
        <v/>
      </c>
    </row>
    <row r="8963" spans="1:7" s="172" customFormat="1" ht="15" customHeight="1" x14ac:dyDescent="0.25">
      <c r="A8963" s="803" t="s">
        <v>12936</v>
      </c>
      <c r="B8963" s="803" t="s">
        <v>8198</v>
      </c>
      <c r="C8963" s="803" t="s">
        <v>8198</v>
      </c>
      <c r="D8963" s="803" t="s">
        <v>8361</v>
      </c>
      <c r="E8963" s="803">
        <v>60</v>
      </c>
      <c r="F8963" s="803">
        <v>9</v>
      </c>
      <c r="G8963" s="202" t="str">
        <f t="shared" si="139"/>
        <v/>
      </c>
    </row>
    <row r="8964" spans="1:7" s="172" customFormat="1" ht="15" customHeight="1" x14ac:dyDescent="0.25">
      <c r="A8964" s="803" t="s">
        <v>12937</v>
      </c>
      <c r="B8964" s="803" t="s">
        <v>8198</v>
      </c>
      <c r="C8964" s="803" t="s">
        <v>8198</v>
      </c>
      <c r="D8964" s="803" t="s">
        <v>8362</v>
      </c>
      <c r="E8964" s="803">
        <v>30</v>
      </c>
      <c r="F8964" s="803">
        <v>0</v>
      </c>
      <c r="G8964" s="202" t="str">
        <f t="shared" si="139"/>
        <v/>
      </c>
    </row>
    <row r="8965" spans="1:7" s="172" customFormat="1" ht="15" customHeight="1" x14ac:dyDescent="0.25">
      <c r="A8965" s="803" t="s">
        <v>8062</v>
      </c>
      <c r="B8965" s="803" t="s">
        <v>8198</v>
      </c>
      <c r="C8965" s="803" t="s">
        <v>8198</v>
      </c>
      <c r="D8965" s="803" t="s">
        <v>8363</v>
      </c>
      <c r="E8965" s="803">
        <v>30</v>
      </c>
      <c r="F8965" s="803">
        <v>0</v>
      </c>
      <c r="G8965" s="202" t="str">
        <f t="shared" si="139"/>
        <v/>
      </c>
    </row>
    <row r="8966" spans="1:7" s="172" customFormat="1" ht="15" customHeight="1" x14ac:dyDescent="0.25">
      <c r="A8966" s="803" t="s">
        <v>3823</v>
      </c>
      <c r="B8966" s="803" t="s">
        <v>8198</v>
      </c>
      <c r="C8966" s="803" t="s">
        <v>8198</v>
      </c>
      <c r="D8966" s="803" t="s">
        <v>8364</v>
      </c>
      <c r="E8966" s="803">
        <v>250</v>
      </c>
      <c r="F8966" s="803">
        <v>125</v>
      </c>
      <c r="G8966" s="202" t="str">
        <f t="shared" si="139"/>
        <v/>
      </c>
    </row>
    <row r="8967" spans="1:7" s="172" customFormat="1" ht="15" customHeight="1" x14ac:dyDescent="0.25">
      <c r="A8967" s="803" t="s">
        <v>12938</v>
      </c>
      <c r="B8967" s="803" t="s">
        <v>8198</v>
      </c>
      <c r="C8967" s="803" t="s">
        <v>8198</v>
      </c>
      <c r="D8967" s="803" t="s">
        <v>8365</v>
      </c>
      <c r="E8967" s="803">
        <v>63</v>
      </c>
      <c r="F8967" s="803">
        <v>12.6</v>
      </c>
      <c r="G8967" s="202" t="str">
        <f t="shared" si="139"/>
        <v/>
      </c>
    </row>
    <row r="8968" spans="1:7" s="172" customFormat="1" ht="15" customHeight="1" x14ac:dyDescent="0.25">
      <c r="A8968" s="803" t="s">
        <v>12939</v>
      </c>
      <c r="B8968" s="803" t="s">
        <v>8198</v>
      </c>
      <c r="C8968" s="803" t="s">
        <v>8198</v>
      </c>
      <c r="D8968" s="803" t="s">
        <v>8366</v>
      </c>
      <c r="E8968" s="803">
        <v>30</v>
      </c>
      <c r="F8968" s="803">
        <v>0</v>
      </c>
      <c r="G8968" s="202" t="str">
        <f t="shared" si="139"/>
        <v/>
      </c>
    </row>
    <row r="8969" spans="1:7" s="172" customFormat="1" ht="15" customHeight="1" x14ac:dyDescent="0.25">
      <c r="A8969" s="803" t="s">
        <v>4131</v>
      </c>
      <c r="B8969" s="803" t="s">
        <v>8198</v>
      </c>
      <c r="C8969" s="803" t="s">
        <v>8198</v>
      </c>
      <c r="D8969" s="803" t="s">
        <v>8367</v>
      </c>
      <c r="E8969" s="803">
        <v>10</v>
      </c>
      <c r="F8969" s="803">
        <v>0</v>
      </c>
      <c r="G8969" s="202" t="str">
        <f t="shared" si="139"/>
        <v/>
      </c>
    </row>
    <row r="8970" spans="1:7" s="172" customFormat="1" ht="15" customHeight="1" x14ac:dyDescent="0.25">
      <c r="A8970" s="803" t="s">
        <v>4131</v>
      </c>
      <c r="B8970" s="803" t="s">
        <v>8198</v>
      </c>
      <c r="C8970" s="803" t="s">
        <v>8198</v>
      </c>
      <c r="D8970" s="803" t="s">
        <v>8368</v>
      </c>
      <c r="E8970" s="803">
        <v>250</v>
      </c>
      <c r="F8970" s="803">
        <v>100</v>
      </c>
      <c r="G8970" s="202" t="str">
        <f t="shared" si="139"/>
        <v/>
      </c>
    </row>
    <row r="8971" spans="1:7" s="172" customFormat="1" ht="15" customHeight="1" x14ac:dyDescent="0.25">
      <c r="A8971" s="803" t="s">
        <v>12940</v>
      </c>
      <c r="B8971" s="803" t="s">
        <v>8198</v>
      </c>
      <c r="C8971" s="803" t="s">
        <v>8198</v>
      </c>
      <c r="D8971" s="803" t="s">
        <v>8369</v>
      </c>
      <c r="E8971" s="803">
        <v>60</v>
      </c>
      <c r="F8971" s="803">
        <v>36</v>
      </c>
      <c r="G8971" s="202" t="str">
        <f t="shared" si="139"/>
        <v/>
      </c>
    </row>
    <row r="8972" spans="1:7" s="172" customFormat="1" ht="15" customHeight="1" x14ac:dyDescent="0.25">
      <c r="A8972" s="803" t="s">
        <v>8371</v>
      </c>
      <c r="B8972" s="803" t="s">
        <v>8198</v>
      </c>
      <c r="C8972" s="803" t="s">
        <v>8198</v>
      </c>
      <c r="D8972" s="803" t="s">
        <v>8370</v>
      </c>
      <c r="E8972" s="803">
        <v>60</v>
      </c>
      <c r="F8972" s="803">
        <v>12</v>
      </c>
      <c r="G8972" s="202" t="str">
        <f t="shared" si="139"/>
        <v/>
      </c>
    </row>
    <row r="8973" spans="1:7" s="172" customFormat="1" ht="15" customHeight="1" x14ac:dyDescent="0.25">
      <c r="A8973" s="803" t="s">
        <v>8371</v>
      </c>
      <c r="B8973" s="803" t="s">
        <v>8198</v>
      </c>
      <c r="C8973" s="803" t="s">
        <v>8198</v>
      </c>
      <c r="D8973" s="803" t="s">
        <v>8372</v>
      </c>
      <c r="E8973" s="803">
        <v>60</v>
      </c>
      <c r="F8973" s="803">
        <v>48</v>
      </c>
      <c r="G8973" s="202" t="str">
        <f t="shared" si="139"/>
        <v/>
      </c>
    </row>
    <row r="8974" spans="1:7" s="172" customFormat="1" ht="15" customHeight="1" x14ac:dyDescent="0.25">
      <c r="A8974" s="803" t="s">
        <v>12620</v>
      </c>
      <c r="B8974" s="803" t="s">
        <v>8198</v>
      </c>
      <c r="C8974" s="803" t="s">
        <v>8198</v>
      </c>
      <c r="D8974" s="803" t="s">
        <v>8373</v>
      </c>
      <c r="E8974" s="803">
        <v>100</v>
      </c>
      <c r="F8974" s="803">
        <v>70</v>
      </c>
      <c r="G8974" s="202" t="str">
        <f t="shared" si="139"/>
        <v/>
      </c>
    </row>
    <row r="8975" spans="1:7" s="172" customFormat="1" ht="15" customHeight="1" x14ac:dyDescent="0.25">
      <c r="A8975" s="803" t="s">
        <v>12941</v>
      </c>
      <c r="B8975" s="803" t="s">
        <v>8198</v>
      </c>
      <c r="C8975" s="803" t="s">
        <v>8198</v>
      </c>
      <c r="D8975" s="803" t="s">
        <v>8374</v>
      </c>
      <c r="E8975" s="803">
        <v>60</v>
      </c>
      <c r="F8975" s="803">
        <v>30</v>
      </c>
      <c r="G8975" s="202" t="str">
        <f t="shared" si="139"/>
        <v/>
      </c>
    </row>
    <row r="8976" spans="1:7" s="172" customFormat="1" ht="15" customHeight="1" x14ac:dyDescent="0.25">
      <c r="A8976" s="803" t="s">
        <v>12942</v>
      </c>
      <c r="B8976" s="803" t="s">
        <v>8198</v>
      </c>
      <c r="C8976" s="803" t="s">
        <v>8198</v>
      </c>
      <c r="D8976" s="803" t="s">
        <v>8375</v>
      </c>
      <c r="E8976" s="803">
        <v>60</v>
      </c>
      <c r="F8976" s="803">
        <v>24</v>
      </c>
      <c r="G8976" s="202" t="str">
        <f t="shared" si="139"/>
        <v/>
      </c>
    </row>
    <row r="8977" spans="1:7" s="172" customFormat="1" ht="15" customHeight="1" x14ac:dyDescent="0.25">
      <c r="A8977" s="803" t="s">
        <v>8376</v>
      </c>
      <c r="B8977" s="803" t="s">
        <v>8198</v>
      </c>
      <c r="C8977" s="803" t="s">
        <v>8198</v>
      </c>
      <c r="D8977" s="803" t="s">
        <v>8377</v>
      </c>
      <c r="E8977" s="803">
        <v>100</v>
      </c>
      <c r="F8977" s="803">
        <v>50</v>
      </c>
      <c r="G8977" s="202" t="str">
        <f t="shared" si="139"/>
        <v/>
      </c>
    </row>
    <row r="8978" spans="1:7" s="172" customFormat="1" ht="15" customHeight="1" x14ac:dyDescent="0.25">
      <c r="A8978" s="803" t="s">
        <v>8376</v>
      </c>
      <c r="B8978" s="803" t="s">
        <v>8198</v>
      </c>
      <c r="C8978" s="803" t="s">
        <v>8198</v>
      </c>
      <c r="D8978" s="803" t="s">
        <v>8378</v>
      </c>
      <c r="E8978" s="803">
        <v>250</v>
      </c>
      <c r="F8978" s="803">
        <v>75</v>
      </c>
      <c r="G8978" s="202" t="str">
        <f t="shared" si="139"/>
        <v/>
      </c>
    </row>
    <row r="8979" spans="1:7" s="172" customFormat="1" ht="15" customHeight="1" x14ac:dyDescent="0.25">
      <c r="A8979" s="803" t="s">
        <v>6813</v>
      </c>
      <c r="B8979" s="803" t="s">
        <v>8198</v>
      </c>
      <c r="C8979" s="803" t="s">
        <v>8198</v>
      </c>
      <c r="D8979" s="803" t="s">
        <v>8379</v>
      </c>
      <c r="E8979" s="803">
        <v>100</v>
      </c>
      <c r="F8979" s="803">
        <v>40</v>
      </c>
      <c r="G8979" s="202" t="str">
        <f t="shared" si="139"/>
        <v/>
      </c>
    </row>
    <row r="8980" spans="1:7" s="172" customFormat="1" ht="15" customHeight="1" x14ac:dyDescent="0.25">
      <c r="A8980" s="803" t="s">
        <v>12943</v>
      </c>
      <c r="B8980" s="803" t="s">
        <v>8198</v>
      </c>
      <c r="C8980" s="803" t="s">
        <v>8198</v>
      </c>
      <c r="D8980" s="803" t="s">
        <v>8380</v>
      </c>
      <c r="E8980" s="803">
        <v>160</v>
      </c>
      <c r="F8980" s="803">
        <v>64</v>
      </c>
      <c r="G8980" s="202" t="str">
        <f t="shared" si="139"/>
        <v/>
      </c>
    </row>
    <row r="8981" spans="1:7" s="172" customFormat="1" ht="15" customHeight="1" x14ac:dyDescent="0.25">
      <c r="A8981" s="803" t="s">
        <v>8733</v>
      </c>
      <c r="B8981" s="803" t="s">
        <v>8198</v>
      </c>
      <c r="C8981" s="803" t="s">
        <v>8198</v>
      </c>
      <c r="D8981" s="803" t="s">
        <v>8381</v>
      </c>
      <c r="E8981" s="803">
        <v>100</v>
      </c>
      <c r="F8981" s="803">
        <v>30</v>
      </c>
      <c r="G8981" s="202" t="str">
        <f t="shared" si="139"/>
        <v/>
      </c>
    </row>
    <row r="8982" spans="1:7" s="172" customFormat="1" ht="15" customHeight="1" x14ac:dyDescent="0.25">
      <c r="A8982" s="803" t="s">
        <v>12944</v>
      </c>
      <c r="B8982" s="803" t="s">
        <v>8198</v>
      </c>
      <c r="C8982" s="803" t="s">
        <v>8198</v>
      </c>
      <c r="D8982" s="803" t="s">
        <v>8382</v>
      </c>
      <c r="E8982" s="803">
        <v>20</v>
      </c>
      <c r="F8982" s="803">
        <v>8</v>
      </c>
      <c r="G8982" s="202" t="str">
        <f t="shared" si="139"/>
        <v/>
      </c>
    </row>
    <row r="8983" spans="1:7" s="172" customFormat="1" ht="15" customHeight="1" x14ac:dyDescent="0.25">
      <c r="A8983" s="803" t="s">
        <v>12614</v>
      </c>
      <c r="B8983" s="803" t="s">
        <v>8198</v>
      </c>
      <c r="C8983" s="803" t="s">
        <v>8198</v>
      </c>
      <c r="D8983" s="803" t="s">
        <v>8383</v>
      </c>
      <c r="E8983" s="803">
        <v>250</v>
      </c>
      <c r="F8983" s="803">
        <v>100</v>
      </c>
      <c r="G8983" s="202" t="str">
        <f t="shared" si="139"/>
        <v/>
      </c>
    </row>
    <row r="8984" spans="1:7" s="172" customFormat="1" ht="15" customHeight="1" x14ac:dyDescent="0.25">
      <c r="A8984" s="803" t="s">
        <v>8384</v>
      </c>
      <c r="B8984" s="803" t="s">
        <v>8198</v>
      </c>
      <c r="C8984" s="803" t="s">
        <v>8198</v>
      </c>
      <c r="D8984" s="803" t="s">
        <v>8385</v>
      </c>
      <c r="E8984" s="803">
        <v>250</v>
      </c>
      <c r="F8984" s="803">
        <v>75</v>
      </c>
      <c r="G8984" s="202" t="str">
        <f t="shared" si="139"/>
        <v/>
      </c>
    </row>
    <row r="8985" spans="1:7" s="172" customFormat="1" ht="15" customHeight="1" x14ac:dyDescent="0.25">
      <c r="A8985" s="803" t="s">
        <v>8384</v>
      </c>
      <c r="B8985" s="803" t="s">
        <v>8198</v>
      </c>
      <c r="C8985" s="803" t="s">
        <v>8198</v>
      </c>
      <c r="D8985" s="803" t="s">
        <v>8386</v>
      </c>
      <c r="E8985" s="803">
        <v>60</v>
      </c>
      <c r="F8985" s="803">
        <v>18</v>
      </c>
      <c r="G8985" s="202" t="str">
        <f t="shared" si="139"/>
        <v/>
      </c>
    </row>
    <row r="8986" spans="1:7" s="172" customFormat="1" ht="15" customHeight="1" x14ac:dyDescent="0.25">
      <c r="A8986" s="803" t="s">
        <v>8384</v>
      </c>
      <c r="B8986" s="803" t="s">
        <v>8198</v>
      </c>
      <c r="C8986" s="803" t="s">
        <v>8198</v>
      </c>
      <c r="D8986" s="803" t="s">
        <v>8387</v>
      </c>
      <c r="E8986" s="803">
        <v>30</v>
      </c>
      <c r="F8986" s="803">
        <v>3</v>
      </c>
      <c r="G8986" s="202" t="str">
        <f t="shared" si="139"/>
        <v/>
      </c>
    </row>
    <row r="8987" spans="1:7" s="172" customFormat="1" ht="15" customHeight="1" x14ac:dyDescent="0.25">
      <c r="A8987" s="803" t="s">
        <v>8384</v>
      </c>
      <c r="B8987" s="803" t="s">
        <v>8198</v>
      </c>
      <c r="C8987" s="803" t="s">
        <v>8198</v>
      </c>
      <c r="D8987" s="803" t="s">
        <v>8388</v>
      </c>
      <c r="E8987" s="803">
        <v>63</v>
      </c>
      <c r="F8987" s="803">
        <v>0</v>
      </c>
      <c r="G8987" s="202" t="str">
        <f t="shared" si="139"/>
        <v/>
      </c>
    </row>
    <row r="8988" spans="1:7" s="172" customFormat="1" ht="15" customHeight="1" x14ac:dyDescent="0.25">
      <c r="A8988" s="803" t="s">
        <v>12945</v>
      </c>
      <c r="B8988" s="803" t="s">
        <v>8198</v>
      </c>
      <c r="C8988" s="803" t="s">
        <v>8198</v>
      </c>
      <c r="D8988" s="803" t="s">
        <v>8389</v>
      </c>
      <c r="E8988" s="803">
        <v>60</v>
      </c>
      <c r="F8988" s="803">
        <v>18</v>
      </c>
      <c r="G8988" s="202" t="str">
        <f t="shared" si="139"/>
        <v/>
      </c>
    </row>
    <row r="8989" spans="1:7" s="172" customFormat="1" ht="15" customHeight="1" x14ac:dyDescent="0.25">
      <c r="A8989" s="803" t="s">
        <v>4840</v>
      </c>
      <c r="B8989" s="803" t="s">
        <v>8198</v>
      </c>
      <c r="C8989" s="803" t="s">
        <v>8198</v>
      </c>
      <c r="D8989" s="803" t="s">
        <v>8390</v>
      </c>
      <c r="E8989" s="803">
        <v>60</v>
      </c>
      <c r="F8989" s="803">
        <v>0</v>
      </c>
      <c r="G8989" s="202" t="str">
        <f t="shared" si="139"/>
        <v/>
      </c>
    </row>
    <row r="8990" spans="1:7" s="172" customFormat="1" ht="15" customHeight="1" x14ac:dyDescent="0.25">
      <c r="A8990" s="803" t="s">
        <v>4840</v>
      </c>
      <c r="B8990" s="803" t="s">
        <v>8198</v>
      </c>
      <c r="C8990" s="803" t="s">
        <v>8198</v>
      </c>
      <c r="D8990" s="803" t="s">
        <v>8391</v>
      </c>
      <c r="E8990" s="803">
        <v>30</v>
      </c>
      <c r="F8990" s="803">
        <v>0</v>
      </c>
      <c r="G8990" s="202" t="str">
        <f t="shared" ref="G8990:G9053" si="140">IF(E8990=F8990,"не загружен","")</f>
        <v/>
      </c>
    </row>
    <row r="8991" spans="1:7" s="172" customFormat="1" ht="15" customHeight="1" x14ac:dyDescent="0.25">
      <c r="A8991" s="803" t="s">
        <v>12946</v>
      </c>
      <c r="B8991" s="803" t="s">
        <v>8198</v>
      </c>
      <c r="C8991" s="803" t="s">
        <v>8198</v>
      </c>
      <c r="D8991" s="803" t="s">
        <v>8392</v>
      </c>
      <c r="E8991" s="803">
        <v>30</v>
      </c>
      <c r="F8991" s="803">
        <v>6</v>
      </c>
      <c r="G8991" s="202" t="str">
        <f t="shared" si="140"/>
        <v/>
      </c>
    </row>
    <row r="8992" spans="1:7" s="172" customFormat="1" ht="15" customHeight="1" x14ac:dyDescent="0.25">
      <c r="A8992" s="803" t="s">
        <v>12947</v>
      </c>
      <c r="B8992" s="803" t="s">
        <v>8198</v>
      </c>
      <c r="C8992" s="803" t="s">
        <v>8198</v>
      </c>
      <c r="D8992" s="803" t="s">
        <v>8393</v>
      </c>
      <c r="E8992" s="803">
        <v>63</v>
      </c>
      <c r="F8992" s="803">
        <v>44.1</v>
      </c>
      <c r="G8992" s="202" t="str">
        <f t="shared" si="140"/>
        <v/>
      </c>
    </row>
    <row r="8993" spans="1:7" s="172" customFormat="1" ht="15" customHeight="1" x14ac:dyDescent="0.25">
      <c r="A8993" s="803" t="s">
        <v>12948</v>
      </c>
      <c r="B8993" s="803" t="s">
        <v>8198</v>
      </c>
      <c r="C8993" s="803" t="s">
        <v>8198</v>
      </c>
      <c r="D8993" s="803" t="s">
        <v>8394</v>
      </c>
      <c r="E8993" s="803">
        <v>30</v>
      </c>
      <c r="F8993" s="803">
        <v>9</v>
      </c>
      <c r="G8993" s="202" t="str">
        <f t="shared" si="140"/>
        <v/>
      </c>
    </row>
    <row r="8994" spans="1:7" s="172" customFormat="1" ht="15" customHeight="1" x14ac:dyDescent="0.25">
      <c r="A8994" s="803" t="s">
        <v>8395</v>
      </c>
      <c r="B8994" s="803" t="s">
        <v>8198</v>
      </c>
      <c r="C8994" s="803" t="s">
        <v>8198</v>
      </c>
      <c r="D8994" s="803" t="s">
        <v>8396</v>
      </c>
      <c r="E8994" s="803">
        <v>30</v>
      </c>
      <c r="F8994" s="803">
        <v>0</v>
      </c>
      <c r="G8994" s="202" t="str">
        <f t="shared" si="140"/>
        <v/>
      </c>
    </row>
    <row r="8995" spans="1:7" s="172" customFormat="1" ht="15" customHeight="1" x14ac:dyDescent="0.25">
      <c r="A8995" s="803" t="s">
        <v>8398</v>
      </c>
      <c r="B8995" s="803" t="s">
        <v>8198</v>
      </c>
      <c r="C8995" s="803" t="s">
        <v>8198</v>
      </c>
      <c r="D8995" s="803" t="s">
        <v>8397</v>
      </c>
      <c r="E8995" s="803">
        <v>250</v>
      </c>
      <c r="F8995" s="803">
        <v>200</v>
      </c>
      <c r="G8995" s="202" t="str">
        <f t="shared" si="140"/>
        <v/>
      </c>
    </row>
    <row r="8996" spans="1:7" s="172" customFormat="1" ht="15" customHeight="1" x14ac:dyDescent="0.25">
      <c r="A8996" s="803" t="s">
        <v>8398</v>
      </c>
      <c r="B8996" s="803" t="s">
        <v>8198</v>
      </c>
      <c r="C8996" s="803" t="s">
        <v>8198</v>
      </c>
      <c r="D8996" s="803" t="s">
        <v>8399</v>
      </c>
      <c r="E8996" s="803">
        <v>100</v>
      </c>
      <c r="F8996" s="803">
        <v>40</v>
      </c>
      <c r="G8996" s="202" t="str">
        <f t="shared" si="140"/>
        <v/>
      </c>
    </row>
    <row r="8997" spans="1:7" s="172" customFormat="1" ht="15" customHeight="1" x14ac:dyDescent="0.25">
      <c r="A8997" s="803" t="s">
        <v>8398</v>
      </c>
      <c r="B8997" s="803" t="s">
        <v>8198</v>
      </c>
      <c r="C8997" s="803" t="s">
        <v>8198</v>
      </c>
      <c r="D8997" s="803" t="s">
        <v>8400</v>
      </c>
      <c r="E8997" s="803">
        <v>100</v>
      </c>
      <c r="F8997" s="803">
        <v>10</v>
      </c>
      <c r="G8997" s="202" t="str">
        <f t="shared" si="140"/>
        <v/>
      </c>
    </row>
    <row r="8998" spans="1:7" s="172" customFormat="1" ht="15" customHeight="1" x14ac:dyDescent="0.25">
      <c r="A8998" s="803" t="s">
        <v>12949</v>
      </c>
      <c r="B8998" s="803" t="s">
        <v>8198</v>
      </c>
      <c r="C8998" s="803" t="s">
        <v>8198</v>
      </c>
      <c r="D8998" s="803" t="s">
        <v>8401</v>
      </c>
      <c r="E8998" s="803">
        <v>100</v>
      </c>
      <c r="F8998" s="803">
        <v>70</v>
      </c>
      <c r="G8998" s="202" t="str">
        <f t="shared" si="140"/>
        <v/>
      </c>
    </row>
    <row r="8999" spans="1:7" s="172" customFormat="1" ht="15" customHeight="1" x14ac:dyDescent="0.25">
      <c r="A8999" s="803" t="s">
        <v>8203</v>
      </c>
      <c r="B8999" s="803" t="s">
        <v>8198</v>
      </c>
      <c r="C8999" s="803" t="s">
        <v>8198</v>
      </c>
      <c r="D8999" s="803" t="s">
        <v>8402</v>
      </c>
      <c r="E8999" s="803">
        <v>250</v>
      </c>
      <c r="F8999" s="803">
        <v>75</v>
      </c>
      <c r="G8999" s="202" t="str">
        <f t="shared" si="140"/>
        <v/>
      </c>
    </row>
    <row r="9000" spans="1:7" s="172" customFormat="1" ht="15" customHeight="1" x14ac:dyDescent="0.25">
      <c r="A9000" s="803" t="s">
        <v>8203</v>
      </c>
      <c r="B9000" s="803" t="s">
        <v>8198</v>
      </c>
      <c r="C9000" s="803" t="s">
        <v>8198</v>
      </c>
      <c r="D9000" s="803" t="s">
        <v>8403</v>
      </c>
      <c r="E9000" s="803">
        <v>63</v>
      </c>
      <c r="F9000" s="803">
        <v>18.899999999999999</v>
      </c>
      <c r="G9000" s="202" t="str">
        <f t="shared" si="140"/>
        <v/>
      </c>
    </row>
    <row r="9001" spans="1:7" s="172" customFormat="1" ht="15" customHeight="1" x14ac:dyDescent="0.25">
      <c r="A9001" s="803" t="s">
        <v>8203</v>
      </c>
      <c r="B9001" s="803" t="s">
        <v>8198</v>
      </c>
      <c r="C9001" s="803" t="s">
        <v>8198</v>
      </c>
      <c r="D9001" s="803" t="s">
        <v>8404</v>
      </c>
      <c r="E9001" s="803">
        <v>250</v>
      </c>
      <c r="F9001" s="803">
        <v>225</v>
      </c>
      <c r="G9001" s="202" t="str">
        <f t="shared" si="140"/>
        <v/>
      </c>
    </row>
    <row r="9002" spans="1:7" s="172" customFormat="1" ht="15" customHeight="1" x14ac:dyDescent="0.25">
      <c r="A9002" s="803" t="s">
        <v>4818</v>
      </c>
      <c r="B9002" s="803" t="s">
        <v>8198</v>
      </c>
      <c r="C9002" s="803" t="s">
        <v>8198</v>
      </c>
      <c r="D9002" s="803" t="s">
        <v>8405</v>
      </c>
      <c r="E9002" s="803">
        <v>30</v>
      </c>
      <c r="F9002" s="803">
        <v>3</v>
      </c>
      <c r="G9002" s="202" t="str">
        <f t="shared" si="140"/>
        <v/>
      </c>
    </row>
    <row r="9003" spans="1:7" s="172" customFormat="1" ht="15" customHeight="1" x14ac:dyDescent="0.25">
      <c r="A9003" s="803" t="s">
        <v>12950</v>
      </c>
      <c r="B9003" s="803" t="s">
        <v>8198</v>
      </c>
      <c r="C9003" s="803" t="s">
        <v>8198</v>
      </c>
      <c r="D9003" s="803" t="s">
        <v>8406</v>
      </c>
      <c r="E9003" s="803">
        <v>60</v>
      </c>
      <c r="F9003" s="803">
        <v>0</v>
      </c>
      <c r="G9003" s="202" t="str">
        <f t="shared" si="140"/>
        <v/>
      </c>
    </row>
    <row r="9004" spans="1:7" s="172" customFormat="1" ht="15" customHeight="1" x14ac:dyDescent="0.25">
      <c r="A9004" s="803" t="s">
        <v>3429</v>
      </c>
      <c r="B9004" s="803" t="s">
        <v>8198</v>
      </c>
      <c r="C9004" s="803" t="s">
        <v>8198</v>
      </c>
      <c r="D9004" s="803" t="s">
        <v>8407</v>
      </c>
      <c r="E9004" s="803">
        <v>400</v>
      </c>
      <c r="F9004" s="803">
        <v>40</v>
      </c>
      <c r="G9004" s="202" t="str">
        <f t="shared" si="140"/>
        <v/>
      </c>
    </row>
    <row r="9005" spans="1:7" s="172" customFormat="1" ht="15" customHeight="1" x14ac:dyDescent="0.25">
      <c r="A9005" s="803" t="s">
        <v>3429</v>
      </c>
      <c r="B9005" s="803" t="s">
        <v>8198</v>
      </c>
      <c r="C9005" s="803" t="s">
        <v>8198</v>
      </c>
      <c r="D9005" s="803" t="s">
        <v>8408</v>
      </c>
      <c r="E9005" s="803">
        <v>30</v>
      </c>
      <c r="F9005" s="803">
        <v>0</v>
      </c>
      <c r="G9005" s="202" t="str">
        <f t="shared" si="140"/>
        <v/>
      </c>
    </row>
    <row r="9006" spans="1:7" s="172" customFormat="1" ht="15" customHeight="1" x14ac:dyDescent="0.25">
      <c r="A9006" s="803" t="s">
        <v>3429</v>
      </c>
      <c r="B9006" s="803" t="s">
        <v>8198</v>
      </c>
      <c r="C9006" s="803" t="s">
        <v>8198</v>
      </c>
      <c r="D9006" s="803" t="s">
        <v>8409</v>
      </c>
      <c r="E9006" s="803">
        <v>100</v>
      </c>
      <c r="F9006" s="803">
        <v>10</v>
      </c>
      <c r="G9006" s="202" t="str">
        <f t="shared" si="140"/>
        <v/>
      </c>
    </row>
    <row r="9007" spans="1:7" s="172" customFormat="1" ht="15" customHeight="1" x14ac:dyDescent="0.25">
      <c r="A9007" s="803" t="s">
        <v>3429</v>
      </c>
      <c r="B9007" s="803" t="s">
        <v>8198</v>
      </c>
      <c r="C9007" s="803" t="s">
        <v>8198</v>
      </c>
      <c r="D9007" s="803" t="s">
        <v>8410</v>
      </c>
      <c r="E9007" s="803">
        <v>160</v>
      </c>
      <c r="F9007" s="803">
        <v>16</v>
      </c>
      <c r="G9007" s="202" t="str">
        <f t="shared" si="140"/>
        <v/>
      </c>
    </row>
    <row r="9008" spans="1:7" s="172" customFormat="1" ht="15" customHeight="1" x14ac:dyDescent="0.25">
      <c r="A9008" s="803" t="s">
        <v>3429</v>
      </c>
      <c r="B9008" s="803" t="s">
        <v>8198</v>
      </c>
      <c r="C9008" s="803" t="s">
        <v>8198</v>
      </c>
      <c r="D9008" s="803" t="s">
        <v>8411</v>
      </c>
      <c r="E9008" s="803">
        <v>63</v>
      </c>
      <c r="F9008" s="803">
        <v>12.6</v>
      </c>
      <c r="G9008" s="202" t="str">
        <f t="shared" si="140"/>
        <v/>
      </c>
    </row>
    <row r="9009" spans="1:7" s="172" customFormat="1" ht="15" customHeight="1" x14ac:dyDescent="0.25">
      <c r="A9009" s="803" t="s">
        <v>3429</v>
      </c>
      <c r="B9009" s="803" t="s">
        <v>8198</v>
      </c>
      <c r="C9009" s="803" t="s">
        <v>8198</v>
      </c>
      <c r="D9009" s="803" t="s">
        <v>8412</v>
      </c>
      <c r="E9009" s="803">
        <v>100</v>
      </c>
      <c r="F9009" s="803">
        <v>0</v>
      </c>
      <c r="G9009" s="202" t="str">
        <f t="shared" si="140"/>
        <v/>
      </c>
    </row>
    <row r="9010" spans="1:7" s="172" customFormat="1" ht="15" customHeight="1" x14ac:dyDescent="0.25">
      <c r="A9010" s="803" t="s">
        <v>7611</v>
      </c>
      <c r="B9010" s="803" t="s">
        <v>8198</v>
      </c>
      <c r="C9010" s="803" t="s">
        <v>8198</v>
      </c>
      <c r="D9010" s="803" t="s">
        <v>8413</v>
      </c>
      <c r="E9010" s="803">
        <v>100</v>
      </c>
      <c r="F9010" s="803">
        <v>60</v>
      </c>
      <c r="G9010" s="202" t="str">
        <f t="shared" si="140"/>
        <v/>
      </c>
    </row>
    <row r="9011" spans="1:7" s="172" customFormat="1" ht="15" customHeight="1" x14ac:dyDescent="0.25">
      <c r="A9011" s="803" t="s">
        <v>12951</v>
      </c>
      <c r="B9011" s="803" t="s">
        <v>8198</v>
      </c>
      <c r="C9011" s="803" t="s">
        <v>8198</v>
      </c>
      <c r="D9011" s="803" t="s">
        <v>8414</v>
      </c>
      <c r="E9011" s="803">
        <v>250</v>
      </c>
      <c r="F9011" s="803">
        <v>0</v>
      </c>
      <c r="G9011" s="202" t="str">
        <f t="shared" si="140"/>
        <v/>
      </c>
    </row>
    <row r="9012" spans="1:7" s="172" customFormat="1" ht="15" customHeight="1" x14ac:dyDescent="0.25">
      <c r="A9012" s="803" t="s">
        <v>12952</v>
      </c>
      <c r="B9012" s="803" t="s">
        <v>8198</v>
      </c>
      <c r="C9012" s="803" t="s">
        <v>8198</v>
      </c>
      <c r="D9012" s="803" t="s">
        <v>8415</v>
      </c>
      <c r="E9012" s="803">
        <v>100</v>
      </c>
      <c r="F9012" s="803">
        <v>10</v>
      </c>
      <c r="G9012" s="202" t="str">
        <f t="shared" si="140"/>
        <v/>
      </c>
    </row>
    <row r="9013" spans="1:7" s="172" customFormat="1" ht="15" customHeight="1" x14ac:dyDescent="0.25">
      <c r="A9013" s="803" t="s">
        <v>12953</v>
      </c>
      <c r="B9013" s="803" t="s">
        <v>8198</v>
      </c>
      <c r="C9013" s="803" t="s">
        <v>8198</v>
      </c>
      <c r="D9013" s="803" t="s">
        <v>8416</v>
      </c>
      <c r="E9013" s="803">
        <v>25</v>
      </c>
      <c r="F9013" s="803">
        <v>20</v>
      </c>
      <c r="G9013" s="202" t="str">
        <f t="shared" si="140"/>
        <v/>
      </c>
    </row>
    <row r="9014" spans="1:7" s="172" customFormat="1" ht="15" customHeight="1" x14ac:dyDescent="0.25">
      <c r="A9014" s="803" t="s">
        <v>8883</v>
      </c>
      <c r="B9014" s="803" t="s">
        <v>8198</v>
      </c>
      <c r="C9014" s="803" t="s">
        <v>8198</v>
      </c>
      <c r="D9014" s="803" t="s">
        <v>8417</v>
      </c>
      <c r="E9014" s="803">
        <v>60</v>
      </c>
      <c r="F9014" s="803">
        <v>0</v>
      </c>
      <c r="G9014" s="202" t="str">
        <f t="shared" si="140"/>
        <v/>
      </c>
    </row>
    <row r="9015" spans="1:7" s="172" customFormat="1" ht="15" customHeight="1" x14ac:dyDescent="0.25">
      <c r="A9015" s="803" t="s">
        <v>6379</v>
      </c>
      <c r="B9015" s="803" t="s">
        <v>8198</v>
      </c>
      <c r="C9015" s="803" t="s">
        <v>8198</v>
      </c>
      <c r="D9015" s="803" t="s">
        <v>8418</v>
      </c>
      <c r="E9015" s="803">
        <v>250</v>
      </c>
      <c r="F9015" s="803">
        <v>75</v>
      </c>
      <c r="G9015" s="202" t="str">
        <f t="shared" si="140"/>
        <v/>
      </c>
    </row>
    <row r="9016" spans="1:7" s="172" customFormat="1" ht="15" customHeight="1" x14ac:dyDescent="0.25">
      <c r="A9016" s="803" t="s">
        <v>12954</v>
      </c>
      <c r="B9016" s="803" t="s">
        <v>8198</v>
      </c>
      <c r="C9016" s="803" t="s">
        <v>8198</v>
      </c>
      <c r="D9016" s="803" t="s">
        <v>8419</v>
      </c>
      <c r="E9016" s="803">
        <v>30</v>
      </c>
      <c r="F9016" s="803">
        <v>0</v>
      </c>
      <c r="G9016" s="202" t="str">
        <f t="shared" si="140"/>
        <v/>
      </c>
    </row>
    <row r="9017" spans="1:7" s="172" customFormat="1" ht="15" customHeight="1" x14ac:dyDescent="0.25">
      <c r="A9017" s="803" t="s">
        <v>12955</v>
      </c>
      <c r="B9017" s="803" t="s">
        <v>8198</v>
      </c>
      <c r="C9017" s="803" t="s">
        <v>8198</v>
      </c>
      <c r="D9017" s="803" t="s">
        <v>8420</v>
      </c>
      <c r="E9017" s="803">
        <v>63</v>
      </c>
      <c r="F9017" s="803">
        <v>20</v>
      </c>
      <c r="G9017" s="202" t="str">
        <f t="shared" si="140"/>
        <v/>
      </c>
    </row>
    <row r="9018" spans="1:7" s="172" customFormat="1" ht="15" customHeight="1" x14ac:dyDescent="0.25">
      <c r="A9018" s="803" t="s">
        <v>8421</v>
      </c>
      <c r="B9018" s="803" t="s">
        <v>8198</v>
      </c>
      <c r="C9018" s="803" t="s">
        <v>8198</v>
      </c>
      <c r="D9018" s="803" t="s">
        <v>8422</v>
      </c>
      <c r="E9018" s="803">
        <v>100</v>
      </c>
      <c r="F9018" s="803">
        <v>30</v>
      </c>
      <c r="G9018" s="202" t="str">
        <f t="shared" si="140"/>
        <v/>
      </c>
    </row>
    <row r="9019" spans="1:7" s="172" customFormat="1" ht="15" customHeight="1" x14ac:dyDescent="0.25">
      <c r="A9019" s="803" t="s">
        <v>7034</v>
      </c>
      <c r="B9019" s="803" t="s">
        <v>8198</v>
      </c>
      <c r="C9019" s="803" t="s">
        <v>8198</v>
      </c>
      <c r="D9019" s="803" t="s">
        <v>8423</v>
      </c>
      <c r="E9019" s="803">
        <v>60</v>
      </c>
      <c r="F9019" s="803">
        <v>18</v>
      </c>
      <c r="G9019" s="202" t="str">
        <f t="shared" si="140"/>
        <v/>
      </c>
    </row>
    <row r="9020" spans="1:7" s="172" customFormat="1" ht="15" customHeight="1" x14ac:dyDescent="0.25">
      <c r="A9020" s="803" t="s">
        <v>12956</v>
      </c>
      <c r="B9020" s="803" t="s">
        <v>8198</v>
      </c>
      <c r="C9020" s="803" t="s">
        <v>8198</v>
      </c>
      <c r="D9020" s="803" t="s">
        <v>8424</v>
      </c>
      <c r="E9020" s="803">
        <v>100</v>
      </c>
      <c r="F9020" s="803">
        <v>30</v>
      </c>
      <c r="G9020" s="202" t="str">
        <f t="shared" si="140"/>
        <v/>
      </c>
    </row>
    <row r="9021" spans="1:7" s="172" customFormat="1" ht="15" customHeight="1" x14ac:dyDescent="0.25">
      <c r="A9021" s="803" t="s">
        <v>8425</v>
      </c>
      <c r="B9021" s="803" t="s">
        <v>8198</v>
      </c>
      <c r="C9021" s="803" t="s">
        <v>8198</v>
      </c>
      <c r="D9021" s="803" t="s">
        <v>8426</v>
      </c>
      <c r="E9021" s="803">
        <v>100</v>
      </c>
      <c r="F9021" s="803">
        <v>60</v>
      </c>
      <c r="G9021" s="202" t="str">
        <f t="shared" si="140"/>
        <v/>
      </c>
    </row>
    <row r="9022" spans="1:7" s="172" customFormat="1" ht="15" customHeight="1" x14ac:dyDescent="0.25">
      <c r="A9022" s="803" t="s">
        <v>9149</v>
      </c>
      <c r="B9022" s="803" t="s">
        <v>8198</v>
      </c>
      <c r="C9022" s="803" t="s">
        <v>8198</v>
      </c>
      <c r="D9022" s="803" t="s">
        <v>8427</v>
      </c>
      <c r="E9022" s="803">
        <v>100</v>
      </c>
      <c r="F9022" s="803">
        <v>30</v>
      </c>
      <c r="G9022" s="202" t="str">
        <f t="shared" si="140"/>
        <v/>
      </c>
    </row>
    <row r="9023" spans="1:7" s="172" customFormat="1" ht="15" customHeight="1" x14ac:dyDescent="0.25">
      <c r="A9023" s="803" t="s">
        <v>8428</v>
      </c>
      <c r="B9023" s="803" t="s">
        <v>8198</v>
      </c>
      <c r="C9023" s="803" t="s">
        <v>8198</v>
      </c>
      <c r="D9023" s="803" t="s">
        <v>8429</v>
      </c>
      <c r="E9023" s="803">
        <v>100</v>
      </c>
      <c r="F9023" s="803">
        <v>15</v>
      </c>
      <c r="G9023" s="202" t="str">
        <f t="shared" si="140"/>
        <v/>
      </c>
    </row>
    <row r="9024" spans="1:7" s="172" customFormat="1" ht="15" customHeight="1" x14ac:dyDescent="0.25">
      <c r="A9024" s="803" t="s">
        <v>12957</v>
      </c>
      <c r="B9024" s="803" t="s">
        <v>8198</v>
      </c>
      <c r="C9024" s="803" t="s">
        <v>8198</v>
      </c>
      <c r="D9024" s="803" t="s">
        <v>8430</v>
      </c>
      <c r="E9024" s="803">
        <v>63</v>
      </c>
      <c r="F9024" s="803">
        <v>20</v>
      </c>
      <c r="G9024" s="202" t="str">
        <f t="shared" si="140"/>
        <v/>
      </c>
    </row>
    <row r="9025" spans="1:7" s="172" customFormat="1" ht="15" customHeight="1" x14ac:dyDescent="0.25">
      <c r="A9025" s="803" t="s">
        <v>2569</v>
      </c>
      <c r="B9025" s="803" t="s">
        <v>8198</v>
      </c>
      <c r="C9025" s="803" t="s">
        <v>8198</v>
      </c>
      <c r="D9025" s="803" t="s">
        <v>8431</v>
      </c>
      <c r="E9025" s="803">
        <v>60</v>
      </c>
      <c r="F9025" s="803">
        <v>40</v>
      </c>
      <c r="G9025" s="202" t="str">
        <f t="shared" si="140"/>
        <v/>
      </c>
    </row>
    <row r="9026" spans="1:7" s="172" customFormat="1" ht="15" customHeight="1" x14ac:dyDescent="0.25">
      <c r="A9026" s="803" t="s">
        <v>8800</v>
      </c>
      <c r="B9026" s="803" t="s">
        <v>8198</v>
      </c>
      <c r="C9026" s="803" t="s">
        <v>8198</v>
      </c>
      <c r="D9026" s="803" t="s">
        <v>8432</v>
      </c>
      <c r="E9026" s="803">
        <v>63</v>
      </c>
      <c r="F9026" s="803">
        <v>40</v>
      </c>
      <c r="G9026" s="202" t="str">
        <f t="shared" si="140"/>
        <v/>
      </c>
    </row>
    <row r="9027" spans="1:7" s="172" customFormat="1" ht="15" customHeight="1" x14ac:dyDescent="0.25">
      <c r="A9027" s="803" t="s">
        <v>8434</v>
      </c>
      <c r="B9027" s="803" t="s">
        <v>8198</v>
      </c>
      <c r="C9027" s="803" t="s">
        <v>8198</v>
      </c>
      <c r="D9027" s="803" t="s">
        <v>8433</v>
      </c>
      <c r="E9027" s="803">
        <v>100</v>
      </c>
      <c r="F9027" s="803">
        <v>70</v>
      </c>
      <c r="G9027" s="202" t="str">
        <f t="shared" si="140"/>
        <v/>
      </c>
    </row>
    <row r="9028" spans="1:7" s="172" customFormat="1" ht="15" customHeight="1" x14ac:dyDescent="0.25">
      <c r="A9028" s="803" t="s">
        <v>8434</v>
      </c>
      <c r="B9028" s="803" t="s">
        <v>8198</v>
      </c>
      <c r="C9028" s="803" t="s">
        <v>8198</v>
      </c>
      <c r="D9028" s="803" t="s">
        <v>8435</v>
      </c>
      <c r="E9028" s="803">
        <v>160</v>
      </c>
      <c r="F9028" s="803">
        <v>10</v>
      </c>
      <c r="G9028" s="202" t="str">
        <f t="shared" si="140"/>
        <v/>
      </c>
    </row>
    <row r="9029" spans="1:7" s="172" customFormat="1" ht="15" customHeight="1" x14ac:dyDescent="0.25">
      <c r="A9029" s="803" t="s">
        <v>8436</v>
      </c>
      <c r="B9029" s="803" t="s">
        <v>8198</v>
      </c>
      <c r="C9029" s="803" t="s">
        <v>8198</v>
      </c>
      <c r="D9029" s="803" t="s">
        <v>8437</v>
      </c>
      <c r="E9029" s="803">
        <v>100</v>
      </c>
      <c r="F9029" s="803">
        <v>0</v>
      </c>
      <c r="G9029" s="202" t="str">
        <f t="shared" si="140"/>
        <v/>
      </c>
    </row>
    <row r="9030" spans="1:7" s="172" customFormat="1" ht="15" customHeight="1" x14ac:dyDescent="0.25">
      <c r="A9030" s="803" t="s">
        <v>8436</v>
      </c>
      <c r="B9030" s="803" t="s">
        <v>8198</v>
      </c>
      <c r="C9030" s="803" t="s">
        <v>8198</v>
      </c>
      <c r="D9030" s="803" t="s">
        <v>8438</v>
      </c>
      <c r="E9030" s="803">
        <v>10</v>
      </c>
      <c r="F9030" s="803">
        <v>0</v>
      </c>
      <c r="G9030" s="202" t="str">
        <f t="shared" si="140"/>
        <v/>
      </c>
    </row>
    <row r="9031" spans="1:7" s="172" customFormat="1" ht="15" customHeight="1" x14ac:dyDescent="0.25">
      <c r="A9031" s="803" t="s">
        <v>8439</v>
      </c>
      <c r="B9031" s="803" t="s">
        <v>8198</v>
      </c>
      <c r="C9031" s="803" t="s">
        <v>8198</v>
      </c>
      <c r="D9031" s="803" t="s">
        <v>8440</v>
      </c>
      <c r="E9031" s="803">
        <v>100</v>
      </c>
      <c r="F9031" s="803">
        <v>30</v>
      </c>
      <c r="G9031" s="202" t="str">
        <f t="shared" si="140"/>
        <v/>
      </c>
    </row>
    <row r="9032" spans="1:7" s="172" customFormat="1" ht="15" customHeight="1" x14ac:dyDescent="0.25">
      <c r="A9032" s="803" t="s">
        <v>8439</v>
      </c>
      <c r="B9032" s="803" t="s">
        <v>8198</v>
      </c>
      <c r="C9032" s="803" t="s">
        <v>8198</v>
      </c>
      <c r="D9032" s="803" t="s">
        <v>8441</v>
      </c>
      <c r="E9032" s="803">
        <v>100</v>
      </c>
      <c r="F9032" s="803">
        <v>30</v>
      </c>
      <c r="G9032" s="202" t="str">
        <f t="shared" si="140"/>
        <v/>
      </c>
    </row>
    <row r="9033" spans="1:7" s="172" customFormat="1" ht="15" customHeight="1" x14ac:dyDescent="0.25">
      <c r="A9033" s="803" t="s">
        <v>8439</v>
      </c>
      <c r="B9033" s="803" t="s">
        <v>8198</v>
      </c>
      <c r="C9033" s="803" t="s">
        <v>8198</v>
      </c>
      <c r="D9033" s="803" t="s">
        <v>8442</v>
      </c>
      <c r="E9033" s="803">
        <v>100</v>
      </c>
      <c r="F9033" s="803">
        <v>40</v>
      </c>
      <c r="G9033" s="202" t="str">
        <f t="shared" si="140"/>
        <v/>
      </c>
    </row>
    <row r="9034" spans="1:7" s="172" customFormat="1" ht="15" customHeight="1" x14ac:dyDescent="0.25">
      <c r="A9034" s="803" t="s">
        <v>8439</v>
      </c>
      <c r="B9034" s="803" t="s">
        <v>8198</v>
      </c>
      <c r="C9034" s="803" t="s">
        <v>8198</v>
      </c>
      <c r="D9034" s="803" t="s">
        <v>8443</v>
      </c>
      <c r="E9034" s="803">
        <v>250</v>
      </c>
      <c r="F9034" s="803">
        <v>100</v>
      </c>
      <c r="G9034" s="202" t="str">
        <f t="shared" si="140"/>
        <v/>
      </c>
    </row>
    <row r="9035" spans="1:7" s="172" customFormat="1" ht="15" customHeight="1" x14ac:dyDescent="0.25">
      <c r="A9035" s="803" t="s">
        <v>8439</v>
      </c>
      <c r="B9035" s="803" t="s">
        <v>8198</v>
      </c>
      <c r="C9035" s="803" t="s">
        <v>8198</v>
      </c>
      <c r="D9035" s="803" t="s">
        <v>8444</v>
      </c>
      <c r="E9035" s="803">
        <v>250</v>
      </c>
      <c r="F9035" s="803">
        <v>100</v>
      </c>
      <c r="G9035" s="202" t="str">
        <f t="shared" si="140"/>
        <v/>
      </c>
    </row>
    <row r="9036" spans="1:7" s="172" customFormat="1" ht="15" customHeight="1" x14ac:dyDescent="0.25">
      <c r="A9036" s="803" t="s">
        <v>8445</v>
      </c>
      <c r="B9036" s="803" t="s">
        <v>8198</v>
      </c>
      <c r="C9036" s="803" t="s">
        <v>8198</v>
      </c>
      <c r="D9036" s="803" t="s">
        <v>8446</v>
      </c>
      <c r="E9036" s="803">
        <v>30</v>
      </c>
      <c r="F9036" s="803">
        <v>6</v>
      </c>
      <c r="G9036" s="202" t="str">
        <f t="shared" si="140"/>
        <v/>
      </c>
    </row>
    <row r="9037" spans="1:7" s="172" customFormat="1" ht="15" customHeight="1" x14ac:dyDescent="0.25">
      <c r="A9037" s="803" t="s">
        <v>8447</v>
      </c>
      <c r="B9037" s="803" t="s">
        <v>8198</v>
      </c>
      <c r="C9037" s="803" t="s">
        <v>8198</v>
      </c>
      <c r="D9037" s="803" t="s">
        <v>8448</v>
      </c>
      <c r="E9037" s="803">
        <v>100</v>
      </c>
      <c r="F9037" s="803">
        <v>90</v>
      </c>
      <c r="G9037" s="202" t="str">
        <f t="shared" si="140"/>
        <v/>
      </c>
    </row>
    <row r="9038" spans="1:7" s="172" customFormat="1" ht="15" customHeight="1" x14ac:dyDescent="0.25">
      <c r="A9038" s="803" t="s">
        <v>12209</v>
      </c>
      <c r="B9038" s="803" t="s">
        <v>8198</v>
      </c>
      <c r="C9038" s="803" t="s">
        <v>8198</v>
      </c>
      <c r="D9038" s="803" t="s">
        <v>8449</v>
      </c>
      <c r="E9038" s="803">
        <v>250</v>
      </c>
      <c r="F9038" s="803">
        <v>125</v>
      </c>
      <c r="G9038" s="202" t="str">
        <f t="shared" si="140"/>
        <v/>
      </c>
    </row>
    <row r="9039" spans="1:7" s="172" customFormat="1" ht="15" customHeight="1" x14ac:dyDescent="0.25">
      <c r="A9039" s="803" t="s">
        <v>6156</v>
      </c>
      <c r="B9039" s="803" t="s">
        <v>8198</v>
      </c>
      <c r="C9039" s="803" t="s">
        <v>8198</v>
      </c>
      <c r="D9039" s="803" t="s">
        <v>8450</v>
      </c>
      <c r="E9039" s="803">
        <v>30</v>
      </c>
      <c r="F9039" s="803">
        <v>0</v>
      </c>
      <c r="G9039" s="202" t="str">
        <f t="shared" si="140"/>
        <v/>
      </c>
    </row>
    <row r="9040" spans="1:7" s="172" customFormat="1" ht="15" customHeight="1" x14ac:dyDescent="0.25">
      <c r="A9040" s="803" t="s">
        <v>6531</v>
      </c>
      <c r="B9040" s="803" t="s">
        <v>8198</v>
      </c>
      <c r="C9040" s="803" t="s">
        <v>8198</v>
      </c>
      <c r="D9040" s="803" t="s">
        <v>8451</v>
      </c>
      <c r="E9040" s="803">
        <v>60</v>
      </c>
      <c r="F9040" s="803">
        <v>18</v>
      </c>
      <c r="G9040" s="202" t="str">
        <f t="shared" si="140"/>
        <v/>
      </c>
    </row>
    <row r="9041" spans="1:7" s="172" customFormat="1" ht="15" customHeight="1" x14ac:dyDescent="0.25">
      <c r="A9041" s="803" t="s">
        <v>12958</v>
      </c>
      <c r="B9041" s="803" t="s">
        <v>8198</v>
      </c>
      <c r="C9041" s="803" t="s">
        <v>8198</v>
      </c>
      <c r="D9041" s="803" t="s">
        <v>8452</v>
      </c>
      <c r="E9041" s="803">
        <v>60</v>
      </c>
      <c r="F9041" s="803">
        <v>12</v>
      </c>
      <c r="G9041" s="202" t="str">
        <f t="shared" si="140"/>
        <v/>
      </c>
    </row>
    <row r="9042" spans="1:7" s="172" customFormat="1" ht="15" customHeight="1" x14ac:dyDescent="0.25">
      <c r="A9042" s="803" t="s">
        <v>12959</v>
      </c>
      <c r="B9042" s="803" t="s">
        <v>8198</v>
      </c>
      <c r="C9042" s="803" t="s">
        <v>8198</v>
      </c>
      <c r="D9042" s="803" t="s">
        <v>8453</v>
      </c>
      <c r="E9042" s="803">
        <v>63</v>
      </c>
      <c r="F9042" s="803">
        <v>25</v>
      </c>
      <c r="G9042" s="202" t="str">
        <f t="shared" si="140"/>
        <v/>
      </c>
    </row>
    <row r="9043" spans="1:7" s="172" customFormat="1" ht="15" customHeight="1" x14ac:dyDescent="0.25">
      <c r="A9043" s="803" t="s">
        <v>12960</v>
      </c>
      <c r="B9043" s="803" t="s">
        <v>8198</v>
      </c>
      <c r="C9043" s="803" t="s">
        <v>8198</v>
      </c>
      <c r="D9043" s="803" t="s">
        <v>8454</v>
      </c>
      <c r="E9043" s="803">
        <v>100</v>
      </c>
      <c r="F9043" s="803">
        <v>40</v>
      </c>
      <c r="G9043" s="202" t="str">
        <f t="shared" si="140"/>
        <v/>
      </c>
    </row>
    <row r="9044" spans="1:7" s="172" customFormat="1" ht="15" customHeight="1" x14ac:dyDescent="0.25">
      <c r="A9044" s="803" t="s">
        <v>8455</v>
      </c>
      <c r="B9044" s="803" t="s">
        <v>8198</v>
      </c>
      <c r="C9044" s="803" t="s">
        <v>8198</v>
      </c>
      <c r="D9044" s="803" t="s">
        <v>8456</v>
      </c>
      <c r="E9044" s="803">
        <v>250</v>
      </c>
      <c r="F9044" s="803">
        <v>50</v>
      </c>
      <c r="G9044" s="202" t="str">
        <f t="shared" si="140"/>
        <v/>
      </c>
    </row>
    <row r="9045" spans="1:7" s="172" customFormat="1" ht="15" customHeight="1" x14ac:dyDescent="0.25">
      <c r="A9045" s="803" t="s">
        <v>8455</v>
      </c>
      <c r="B9045" s="803" t="s">
        <v>8198</v>
      </c>
      <c r="C9045" s="803" t="s">
        <v>8198</v>
      </c>
      <c r="D9045" s="803" t="s">
        <v>8457</v>
      </c>
      <c r="E9045" s="803">
        <v>250</v>
      </c>
      <c r="F9045" s="803">
        <v>200</v>
      </c>
      <c r="G9045" s="202" t="str">
        <f t="shared" si="140"/>
        <v/>
      </c>
    </row>
    <row r="9046" spans="1:7" s="172" customFormat="1" ht="15" customHeight="1" x14ac:dyDescent="0.25">
      <c r="A9046" s="803" t="s">
        <v>8455</v>
      </c>
      <c r="B9046" s="803" t="s">
        <v>8198</v>
      </c>
      <c r="C9046" s="803" t="s">
        <v>8198</v>
      </c>
      <c r="D9046" s="803" t="s">
        <v>8458</v>
      </c>
      <c r="E9046" s="803">
        <v>160</v>
      </c>
      <c r="F9046" s="803">
        <v>48</v>
      </c>
      <c r="G9046" s="202" t="str">
        <f t="shared" si="140"/>
        <v/>
      </c>
    </row>
    <row r="9047" spans="1:7" s="172" customFormat="1" ht="15" customHeight="1" x14ac:dyDescent="0.25">
      <c r="A9047" s="803" t="s">
        <v>8455</v>
      </c>
      <c r="B9047" s="803" t="s">
        <v>8198</v>
      </c>
      <c r="C9047" s="803" t="s">
        <v>8198</v>
      </c>
      <c r="D9047" s="803" t="s">
        <v>8459</v>
      </c>
      <c r="E9047" s="803">
        <v>250</v>
      </c>
      <c r="F9047" s="803">
        <v>25</v>
      </c>
      <c r="G9047" s="202" t="str">
        <f t="shared" si="140"/>
        <v/>
      </c>
    </row>
    <row r="9048" spans="1:7" s="172" customFormat="1" ht="15" customHeight="1" x14ac:dyDescent="0.25">
      <c r="A9048" s="803" t="s">
        <v>12961</v>
      </c>
      <c r="B9048" s="803" t="s">
        <v>8198</v>
      </c>
      <c r="C9048" s="803" t="s">
        <v>8198</v>
      </c>
      <c r="D9048" s="803" t="s">
        <v>8460</v>
      </c>
      <c r="E9048" s="803">
        <v>100</v>
      </c>
      <c r="F9048" s="803">
        <v>50</v>
      </c>
      <c r="G9048" s="202" t="str">
        <f t="shared" si="140"/>
        <v/>
      </c>
    </row>
    <row r="9049" spans="1:7" s="172" customFormat="1" ht="15" customHeight="1" x14ac:dyDescent="0.25">
      <c r="A9049" s="803" t="s">
        <v>8461</v>
      </c>
      <c r="B9049" s="803" t="s">
        <v>8198</v>
      </c>
      <c r="C9049" s="803" t="s">
        <v>8198</v>
      </c>
      <c r="D9049" s="803" t="s">
        <v>8462</v>
      </c>
      <c r="E9049" s="803">
        <v>160</v>
      </c>
      <c r="F9049" s="803">
        <v>48</v>
      </c>
      <c r="G9049" s="202" t="str">
        <f t="shared" si="140"/>
        <v/>
      </c>
    </row>
    <row r="9050" spans="1:7" s="172" customFormat="1" ht="15" customHeight="1" x14ac:dyDescent="0.25">
      <c r="A9050" s="803" t="s">
        <v>8461</v>
      </c>
      <c r="B9050" s="803" t="s">
        <v>8198</v>
      </c>
      <c r="C9050" s="803" t="s">
        <v>8198</v>
      </c>
      <c r="D9050" s="803" t="s">
        <v>8463</v>
      </c>
      <c r="E9050" s="803">
        <v>250</v>
      </c>
      <c r="F9050" s="803">
        <v>225</v>
      </c>
      <c r="G9050" s="202" t="str">
        <f t="shared" si="140"/>
        <v/>
      </c>
    </row>
    <row r="9051" spans="1:7" s="172" customFormat="1" ht="15" customHeight="1" x14ac:dyDescent="0.25">
      <c r="A9051" s="803" t="s">
        <v>8461</v>
      </c>
      <c r="B9051" s="803" t="s">
        <v>8198</v>
      </c>
      <c r="C9051" s="803" t="s">
        <v>8198</v>
      </c>
      <c r="D9051" s="803" t="s">
        <v>8464</v>
      </c>
      <c r="E9051" s="803">
        <v>100</v>
      </c>
      <c r="F9051" s="803">
        <v>50</v>
      </c>
      <c r="G9051" s="202" t="str">
        <f t="shared" si="140"/>
        <v/>
      </c>
    </row>
    <row r="9052" spans="1:7" s="172" customFormat="1" ht="15" customHeight="1" x14ac:dyDescent="0.25">
      <c r="A9052" s="803" t="s">
        <v>6523</v>
      </c>
      <c r="B9052" s="803" t="s">
        <v>8198</v>
      </c>
      <c r="C9052" s="803" t="s">
        <v>8198</v>
      </c>
      <c r="D9052" s="803" t="s">
        <v>8465</v>
      </c>
      <c r="E9052" s="803">
        <v>30</v>
      </c>
      <c r="F9052" s="803">
        <v>6</v>
      </c>
      <c r="G9052" s="202" t="str">
        <f t="shared" si="140"/>
        <v/>
      </c>
    </row>
    <row r="9053" spans="1:7" s="172" customFormat="1" ht="15" customHeight="1" x14ac:dyDescent="0.25">
      <c r="A9053" s="803" t="s">
        <v>8467</v>
      </c>
      <c r="B9053" s="803" t="s">
        <v>8198</v>
      </c>
      <c r="C9053" s="803" t="s">
        <v>8198</v>
      </c>
      <c r="D9053" s="803" t="s">
        <v>8466</v>
      </c>
      <c r="E9053" s="803">
        <v>30</v>
      </c>
      <c r="F9053" s="803">
        <v>9</v>
      </c>
      <c r="G9053" s="202" t="str">
        <f t="shared" si="140"/>
        <v/>
      </c>
    </row>
    <row r="9054" spans="1:7" s="172" customFormat="1" ht="15" customHeight="1" x14ac:dyDescent="0.25">
      <c r="A9054" s="803" t="s">
        <v>8467</v>
      </c>
      <c r="B9054" s="803" t="s">
        <v>8198</v>
      </c>
      <c r="C9054" s="803" t="s">
        <v>8198</v>
      </c>
      <c r="D9054" s="803" t="s">
        <v>8468</v>
      </c>
      <c r="E9054" s="803">
        <v>30</v>
      </c>
      <c r="F9054" s="803">
        <v>21</v>
      </c>
      <c r="G9054" s="202" t="str">
        <f t="shared" ref="G9054:G9117" si="141">IF(E9054=F9054,"не загружен","")</f>
        <v/>
      </c>
    </row>
    <row r="9055" spans="1:7" s="172" customFormat="1" ht="15" customHeight="1" x14ac:dyDescent="0.25">
      <c r="A9055" s="803" t="s">
        <v>12962</v>
      </c>
      <c r="B9055" s="803" t="s">
        <v>8198</v>
      </c>
      <c r="C9055" s="803" t="s">
        <v>8198</v>
      </c>
      <c r="D9055" s="803" t="s">
        <v>8469</v>
      </c>
      <c r="E9055" s="803">
        <v>60</v>
      </c>
      <c r="F9055" s="803">
        <v>24</v>
      </c>
      <c r="G9055" s="202" t="str">
        <f t="shared" si="141"/>
        <v/>
      </c>
    </row>
    <row r="9056" spans="1:7" s="172" customFormat="1" ht="15" customHeight="1" x14ac:dyDescent="0.25">
      <c r="A9056" s="803" t="s">
        <v>12963</v>
      </c>
      <c r="B9056" s="803" t="s">
        <v>8198</v>
      </c>
      <c r="C9056" s="803" t="s">
        <v>8198</v>
      </c>
      <c r="D9056" s="803" t="s">
        <v>8470</v>
      </c>
      <c r="E9056" s="803">
        <v>100</v>
      </c>
      <c r="F9056" s="803">
        <v>70</v>
      </c>
      <c r="G9056" s="202" t="str">
        <f t="shared" si="141"/>
        <v/>
      </c>
    </row>
    <row r="9057" spans="1:7" s="172" customFormat="1" ht="15" customHeight="1" x14ac:dyDescent="0.25">
      <c r="A9057" s="803" t="s">
        <v>8471</v>
      </c>
      <c r="B9057" s="803" t="s">
        <v>8198</v>
      </c>
      <c r="C9057" s="803" t="s">
        <v>8198</v>
      </c>
      <c r="D9057" s="803" t="s">
        <v>8472</v>
      </c>
      <c r="E9057" s="803">
        <v>60</v>
      </c>
      <c r="F9057" s="803">
        <v>12</v>
      </c>
      <c r="G9057" s="202" t="str">
        <f t="shared" si="141"/>
        <v/>
      </c>
    </row>
    <row r="9058" spans="1:7" s="172" customFormat="1" ht="15" customHeight="1" x14ac:dyDescent="0.25">
      <c r="A9058" s="803" t="s">
        <v>12964</v>
      </c>
      <c r="B9058" s="803" t="s">
        <v>8198</v>
      </c>
      <c r="C9058" s="803" t="s">
        <v>8198</v>
      </c>
      <c r="D9058" s="803" t="s">
        <v>8473</v>
      </c>
      <c r="E9058" s="803">
        <v>100</v>
      </c>
      <c r="F9058" s="803">
        <v>80</v>
      </c>
      <c r="G9058" s="202" t="str">
        <f t="shared" si="141"/>
        <v/>
      </c>
    </row>
    <row r="9059" spans="1:7" s="172" customFormat="1" ht="15" customHeight="1" x14ac:dyDescent="0.25">
      <c r="A9059" s="803" t="s">
        <v>8474</v>
      </c>
      <c r="B9059" s="803" t="s">
        <v>8198</v>
      </c>
      <c r="C9059" s="803" t="s">
        <v>8198</v>
      </c>
      <c r="D9059" s="803" t="s">
        <v>8475</v>
      </c>
      <c r="E9059" s="803">
        <v>250</v>
      </c>
      <c r="F9059" s="803">
        <v>0</v>
      </c>
      <c r="G9059" s="202" t="str">
        <f t="shared" si="141"/>
        <v/>
      </c>
    </row>
    <row r="9060" spans="1:7" s="172" customFormat="1" ht="15" customHeight="1" x14ac:dyDescent="0.25">
      <c r="A9060" s="803" t="s">
        <v>8474</v>
      </c>
      <c r="B9060" s="803" t="s">
        <v>8198</v>
      </c>
      <c r="C9060" s="803" t="s">
        <v>8198</v>
      </c>
      <c r="D9060" s="803" t="s">
        <v>8476</v>
      </c>
      <c r="E9060" s="803">
        <v>250</v>
      </c>
      <c r="F9060" s="803">
        <v>50</v>
      </c>
      <c r="G9060" s="202" t="str">
        <f t="shared" si="141"/>
        <v/>
      </c>
    </row>
    <row r="9061" spans="1:7" s="172" customFormat="1" ht="15" customHeight="1" x14ac:dyDescent="0.25">
      <c r="A9061" s="803" t="s">
        <v>12965</v>
      </c>
      <c r="B9061" s="803" t="s">
        <v>8198</v>
      </c>
      <c r="C9061" s="803" t="s">
        <v>8198</v>
      </c>
      <c r="D9061" s="803" t="s">
        <v>8477</v>
      </c>
      <c r="E9061" s="803">
        <v>60</v>
      </c>
      <c r="F9061" s="803">
        <v>30</v>
      </c>
      <c r="G9061" s="202" t="str">
        <f t="shared" si="141"/>
        <v/>
      </c>
    </row>
    <row r="9062" spans="1:7" s="172" customFormat="1" ht="15" customHeight="1" x14ac:dyDescent="0.25">
      <c r="A9062" s="803" t="s">
        <v>12966</v>
      </c>
      <c r="B9062" s="803" t="s">
        <v>8198</v>
      </c>
      <c r="C9062" s="803" t="s">
        <v>8198</v>
      </c>
      <c r="D9062" s="803" t="s">
        <v>8478</v>
      </c>
      <c r="E9062" s="803">
        <v>30</v>
      </c>
      <c r="F9062" s="803">
        <v>3</v>
      </c>
      <c r="G9062" s="202" t="str">
        <f t="shared" si="141"/>
        <v/>
      </c>
    </row>
    <row r="9063" spans="1:7" s="172" customFormat="1" ht="15" customHeight="1" x14ac:dyDescent="0.25">
      <c r="A9063" s="803" t="s">
        <v>8481</v>
      </c>
      <c r="B9063" s="803" t="s">
        <v>8198</v>
      </c>
      <c r="C9063" s="803" t="s">
        <v>8198</v>
      </c>
      <c r="D9063" s="803" t="s">
        <v>8479</v>
      </c>
      <c r="E9063" s="803">
        <v>30</v>
      </c>
      <c r="F9063" s="803">
        <v>0</v>
      </c>
      <c r="G9063" s="202" t="str">
        <f t="shared" si="141"/>
        <v/>
      </c>
    </row>
    <row r="9064" spans="1:7" s="172" customFormat="1" ht="15" customHeight="1" x14ac:dyDescent="0.25">
      <c r="A9064" s="803" t="s">
        <v>8481</v>
      </c>
      <c r="B9064" s="803" t="s">
        <v>8198</v>
      </c>
      <c r="C9064" s="803" t="s">
        <v>8198</v>
      </c>
      <c r="D9064" s="803" t="s">
        <v>8480</v>
      </c>
      <c r="E9064" s="803">
        <v>250</v>
      </c>
      <c r="F9064" s="803">
        <v>225</v>
      </c>
      <c r="G9064" s="202" t="str">
        <f t="shared" si="141"/>
        <v/>
      </c>
    </row>
    <row r="9065" spans="1:7" s="172" customFormat="1" ht="15" customHeight="1" x14ac:dyDescent="0.25">
      <c r="A9065" s="803" t="s">
        <v>8481</v>
      </c>
      <c r="B9065" s="803" t="s">
        <v>8198</v>
      </c>
      <c r="C9065" s="803" t="s">
        <v>8198</v>
      </c>
      <c r="D9065" s="803" t="s">
        <v>8482</v>
      </c>
      <c r="E9065" s="803">
        <v>250</v>
      </c>
      <c r="F9065" s="803">
        <v>225</v>
      </c>
      <c r="G9065" s="202" t="str">
        <f t="shared" si="141"/>
        <v/>
      </c>
    </row>
    <row r="9066" spans="1:7" s="172" customFormat="1" ht="15" customHeight="1" x14ac:dyDescent="0.25">
      <c r="A9066" s="803" t="s">
        <v>8481</v>
      </c>
      <c r="B9066" s="803" t="s">
        <v>8198</v>
      </c>
      <c r="C9066" s="803" t="s">
        <v>8198</v>
      </c>
      <c r="D9066" s="803" t="s">
        <v>8483</v>
      </c>
      <c r="E9066" s="803">
        <v>30</v>
      </c>
      <c r="F9066" s="803">
        <v>0</v>
      </c>
      <c r="G9066" s="202" t="str">
        <f t="shared" si="141"/>
        <v/>
      </c>
    </row>
    <row r="9067" spans="1:7" s="172" customFormat="1" ht="15" customHeight="1" x14ac:dyDescent="0.25">
      <c r="A9067" s="803" t="s">
        <v>8481</v>
      </c>
      <c r="B9067" s="803" t="s">
        <v>8198</v>
      </c>
      <c r="C9067" s="803" t="s">
        <v>8198</v>
      </c>
      <c r="D9067" s="803" t="s">
        <v>8484</v>
      </c>
      <c r="E9067" s="803">
        <v>250</v>
      </c>
      <c r="F9067" s="803">
        <v>100</v>
      </c>
      <c r="G9067" s="202" t="str">
        <f t="shared" si="141"/>
        <v/>
      </c>
    </row>
    <row r="9068" spans="1:7" s="172" customFormat="1" ht="15" customHeight="1" x14ac:dyDescent="0.25">
      <c r="A9068" s="803" t="s">
        <v>12967</v>
      </c>
      <c r="B9068" s="803" t="s">
        <v>8198</v>
      </c>
      <c r="C9068" s="803" t="s">
        <v>8198</v>
      </c>
      <c r="D9068" s="803" t="s">
        <v>8485</v>
      </c>
      <c r="E9068" s="803">
        <v>60</v>
      </c>
      <c r="F9068" s="803">
        <v>-10</v>
      </c>
      <c r="G9068" s="202" t="str">
        <f t="shared" si="141"/>
        <v/>
      </c>
    </row>
    <row r="9069" spans="1:7" s="172" customFormat="1" ht="15" customHeight="1" x14ac:dyDescent="0.25">
      <c r="A9069" s="803" t="s">
        <v>12968</v>
      </c>
      <c r="B9069" s="803" t="s">
        <v>8198</v>
      </c>
      <c r="C9069" s="803" t="s">
        <v>8198</v>
      </c>
      <c r="D9069" s="803" t="s">
        <v>8486</v>
      </c>
      <c r="E9069" s="803">
        <v>250</v>
      </c>
      <c r="F9069" s="803">
        <v>100</v>
      </c>
      <c r="G9069" s="202" t="str">
        <f t="shared" si="141"/>
        <v/>
      </c>
    </row>
    <row r="9070" spans="1:7" s="172" customFormat="1" ht="15" customHeight="1" x14ac:dyDescent="0.25">
      <c r="A9070" s="803" t="s">
        <v>8487</v>
      </c>
      <c r="B9070" s="803" t="s">
        <v>8198</v>
      </c>
      <c r="C9070" s="803" t="s">
        <v>8198</v>
      </c>
      <c r="D9070" s="803" t="s">
        <v>8488</v>
      </c>
      <c r="E9070" s="803">
        <v>63</v>
      </c>
      <c r="F9070" s="803">
        <v>20</v>
      </c>
      <c r="G9070" s="202" t="str">
        <f t="shared" si="141"/>
        <v/>
      </c>
    </row>
    <row r="9071" spans="1:7" s="172" customFormat="1" ht="15" customHeight="1" x14ac:dyDescent="0.25">
      <c r="A9071" s="803" t="s">
        <v>12969</v>
      </c>
      <c r="B9071" s="803" t="s">
        <v>8198</v>
      </c>
      <c r="C9071" s="803" t="s">
        <v>8198</v>
      </c>
      <c r="D9071" s="803" t="s">
        <v>8489</v>
      </c>
      <c r="E9071" s="803">
        <v>100</v>
      </c>
      <c r="F9071" s="803">
        <v>70</v>
      </c>
      <c r="G9071" s="202" t="str">
        <f t="shared" si="141"/>
        <v/>
      </c>
    </row>
    <row r="9072" spans="1:7" s="172" customFormat="1" ht="15" customHeight="1" x14ac:dyDescent="0.25">
      <c r="A9072" s="803" t="s">
        <v>12970</v>
      </c>
      <c r="B9072" s="803" t="s">
        <v>8198</v>
      </c>
      <c r="C9072" s="803" t="s">
        <v>8198</v>
      </c>
      <c r="D9072" s="803" t="s">
        <v>8490</v>
      </c>
      <c r="E9072" s="803">
        <v>250</v>
      </c>
      <c r="F9072" s="803">
        <v>150</v>
      </c>
      <c r="G9072" s="202" t="str">
        <f t="shared" si="141"/>
        <v/>
      </c>
    </row>
    <row r="9073" spans="1:7" s="172" customFormat="1" ht="15" customHeight="1" x14ac:dyDescent="0.25">
      <c r="A9073" s="803" t="s">
        <v>8491</v>
      </c>
      <c r="B9073" s="803" t="s">
        <v>8198</v>
      </c>
      <c r="C9073" s="803" t="s">
        <v>8198</v>
      </c>
      <c r="D9073" s="803" t="s">
        <v>8492</v>
      </c>
      <c r="E9073" s="803">
        <v>160</v>
      </c>
      <c r="F9073" s="803">
        <v>144</v>
      </c>
      <c r="G9073" s="202" t="str">
        <f t="shared" si="141"/>
        <v/>
      </c>
    </row>
    <row r="9074" spans="1:7" s="172" customFormat="1" ht="15" customHeight="1" x14ac:dyDescent="0.25">
      <c r="A9074" s="803" t="s">
        <v>3254</v>
      </c>
      <c r="B9074" s="803" t="s">
        <v>8198</v>
      </c>
      <c r="C9074" s="803" t="s">
        <v>8198</v>
      </c>
      <c r="D9074" s="803" t="s">
        <v>8493</v>
      </c>
      <c r="E9074" s="803">
        <v>250</v>
      </c>
      <c r="F9074" s="803">
        <v>125</v>
      </c>
      <c r="G9074" s="202" t="str">
        <f t="shared" si="141"/>
        <v/>
      </c>
    </row>
    <row r="9075" spans="1:7" s="172" customFormat="1" ht="15" customHeight="1" x14ac:dyDescent="0.25">
      <c r="A9075" s="803" t="s">
        <v>8494</v>
      </c>
      <c r="B9075" s="803" t="s">
        <v>8198</v>
      </c>
      <c r="C9075" s="803" t="s">
        <v>8198</v>
      </c>
      <c r="D9075" s="803" t="s">
        <v>8495</v>
      </c>
      <c r="E9075" s="803">
        <v>60</v>
      </c>
      <c r="F9075" s="803">
        <v>6</v>
      </c>
      <c r="G9075" s="202" t="str">
        <f t="shared" si="141"/>
        <v/>
      </c>
    </row>
    <row r="9076" spans="1:7" s="172" customFormat="1" ht="15" customHeight="1" x14ac:dyDescent="0.25">
      <c r="A9076" s="803" t="s">
        <v>8494</v>
      </c>
      <c r="B9076" s="803" t="s">
        <v>8198</v>
      </c>
      <c r="C9076" s="803" t="s">
        <v>8198</v>
      </c>
      <c r="D9076" s="803" t="s">
        <v>8496</v>
      </c>
      <c r="E9076" s="803">
        <v>160</v>
      </c>
      <c r="F9076" s="803">
        <v>80</v>
      </c>
      <c r="G9076" s="202" t="str">
        <f t="shared" si="141"/>
        <v/>
      </c>
    </row>
    <row r="9077" spans="1:7" s="172" customFormat="1" ht="15" customHeight="1" x14ac:dyDescent="0.25">
      <c r="A9077" s="803" t="s">
        <v>12971</v>
      </c>
      <c r="B9077" s="803" t="s">
        <v>8198</v>
      </c>
      <c r="C9077" s="803" t="s">
        <v>8198</v>
      </c>
      <c r="D9077" s="803" t="s">
        <v>8497</v>
      </c>
      <c r="E9077" s="803">
        <v>250</v>
      </c>
      <c r="F9077" s="803">
        <v>37.5</v>
      </c>
      <c r="G9077" s="202" t="str">
        <f t="shared" si="141"/>
        <v/>
      </c>
    </row>
    <row r="9078" spans="1:7" s="172" customFormat="1" ht="15" customHeight="1" x14ac:dyDescent="0.25">
      <c r="A9078" s="803" t="s">
        <v>6270</v>
      </c>
      <c r="B9078" s="803" t="s">
        <v>8198</v>
      </c>
      <c r="C9078" s="803" t="s">
        <v>8198</v>
      </c>
      <c r="D9078" s="803" t="s">
        <v>8498</v>
      </c>
      <c r="E9078" s="803">
        <v>160</v>
      </c>
      <c r="F9078" s="803">
        <v>32</v>
      </c>
      <c r="G9078" s="202" t="str">
        <f t="shared" si="141"/>
        <v/>
      </c>
    </row>
    <row r="9079" spans="1:7" s="172" customFormat="1" ht="15" customHeight="1" x14ac:dyDescent="0.25">
      <c r="A9079" s="803" t="s">
        <v>2709</v>
      </c>
      <c r="B9079" s="803" t="s">
        <v>8198</v>
      </c>
      <c r="C9079" s="803" t="s">
        <v>8198</v>
      </c>
      <c r="D9079" s="803" t="s">
        <v>8499</v>
      </c>
      <c r="E9079" s="803">
        <v>10</v>
      </c>
      <c r="F9079" s="803">
        <v>0</v>
      </c>
      <c r="G9079" s="202" t="str">
        <f t="shared" si="141"/>
        <v/>
      </c>
    </row>
    <row r="9080" spans="1:7" s="172" customFormat="1" ht="15" customHeight="1" x14ac:dyDescent="0.25">
      <c r="A9080" s="803" t="s">
        <v>12972</v>
      </c>
      <c r="B9080" s="803" t="s">
        <v>8198</v>
      </c>
      <c r="C9080" s="803" t="s">
        <v>8198</v>
      </c>
      <c r="D9080" s="803" t="s">
        <v>8500</v>
      </c>
      <c r="E9080" s="803">
        <v>100</v>
      </c>
      <c r="F9080" s="803">
        <v>30</v>
      </c>
      <c r="G9080" s="202" t="str">
        <f t="shared" si="141"/>
        <v/>
      </c>
    </row>
    <row r="9081" spans="1:7" s="172" customFormat="1" ht="15" customHeight="1" x14ac:dyDescent="0.25">
      <c r="A9081" s="803" t="s">
        <v>8501</v>
      </c>
      <c r="B9081" s="803" t="s">
        <v>8198</v>
      </c>
      <c r="C9081" s="803" t="s">
        <v>8198</v>
      </c>
      <c r="D9081" s="803" t="s">
        <v>8502</v>
      </c>
      <c r="E9081" s="803">
        <v>30</v>
      </c>
      <c r="F9081" s="803">
        <v>15</v>
      </c>
      <c r="G9081" s="202" t="str">
        <f t="shared" si="141"/>
        <v/>
      </c>
    </row>
    <row r="9082" spans="1:7" s="172" customFormat="1" ht="15" customHeight="1" x14ac:dyDescent="0.25">
      <c r="A9082" s="803" t="s">
        <v>8503</v>
      </c>
      <c r="B9082" s="803" t="s">
        <v>8198</v>
      </c>
      <c r="C9082" s="803" t="s">
        <v>8198</v>
      </c>
      <c r="D9082" s="803" t="s">
        <v>8504</v>
      </c>
      <c r="E9082" s="803">
        <v>30</v>
      </c>
      <c r="F9082" s="803">
        <v>9</v>
      </c>
      <c r="G9082" s="202" t="str">
        <f t="shared" si="141"/>
        <v/>
      </c>
    </row>
    <row r="9083" spans="1:7" s="172" customFormat="1" ht="15" customHeight="1" x14ac:dyDescent="0.25">
      <c r="A9083" s="803" t="s">
        <v>7651</v>
      </c>
      <c r="B9083" s="803" t="s">
        <v>8198</v>
      </c>
      <c r="C9083" s="803" t="s">
        <v>8198</v>
      </c>
      <c r="D9083" s="803" t="s">
        <v>8505</v>
      </c>
      <c r="E9083" s="803">
        <v>60</v>
      </c>
      <c r="F9083" s="803">
        <v>9</v>
      </c>
      <c r="G9083" s="202" t="str">
        <f t="shared" si="141"/>
        <v/>
      </c>
    </row>
    <row r="9084" spans="1:7" s="172" customFormat="1" ht="15" customHeight="1" x14ac:dyDescent="0.25">
      <c r="A9084" s="803" t="s">
        <v>7651</v>
      </c>
      <c r="B9084" s="803" t="s">
        <v>8198</v>
      </c>
      <c r="C9084" s="803" t="s">
        <v>8198</v>
      </c>
      <c r="D9084" s="803" t="s">
        <v>8506</v>
      </c>
      <c r="E9084" s="803">
        <v>100</v>
      </c>
      <c r="F9084" s="803">
        <v>20</v>
      </c>
      <c r="G9084" s="202" t="str">
        <f t="shared" si="141"/>
        <v/>
      </c>
    </row>
    <row r="9085" spans="1:7" s="172" customFormat="1" ht="15" customHeight="1" x14ac:dyDescent="0.25">
      <c r="A9085" s="803" t="s">
        <v>7651</v>
      </c>
      <c r="B9085" s="803" t="s">
        <v>8198</v>
      </c>
      <c r="C9085" s="803" t="s">
        <v>8198</v>
      </c>
      <c r="D9085" s="803" t="s">
        <v>8507</v>
      </c>
      <c r="E9085" s="803">
        <v>100</v>
      </c>
      <c r="F9085" s="803">
        <v>20</v>
      </c>
      <c r="G9085" s="202" t="str">
        <f t="shared" si="141"/>
        <v/>
      </c>
    </row>
    <row r="9086" spans="1:7" s="172" customFormat="1" ht="15" customHeight="1" x14ac:dyDescent="0.25">
      <c r="A9086" s="803" t="s">
        <v>7651</v>
      </c>
      <c r="B9086" s="803" t="s">
        <v>8198</v>
      </c>
      <c r="C9086" s="803" t="s">
        <v>8198</v>
      </c>
      <c r="D9086" s="803" t="s">
        <v>8508</v>
      </c>
      <c r="E9086" s="803">
        <v>60</v>
      </c>
      <c r="F9086" s="803">
        <v>30</v>
      </c>
      <c r="G9086" s="202" t="str">
        <f t="shared" si="141"/>
        <v/>
      </c>
    </row>
    <row r="9087" spans="1:7" s="172" customFormat="1" ht="15" customHeight="1" x14ac:dyDescent="0.25">
      <c r="A9087" s="803" t="s">
        <v>7651</v>
      </c>
      <c r="B9087" s="803" t="s">
        <v>8198</v>
      </c>
      <c r="C9087" s="803" t="s">
        <v>8198</v>
      </c>
      <c r="D9087" s="803" t="s">
        <v>8509</v>
      </c>
      <c r="E9087" s="803">
        <v>60</v>
      </c>
      <c r="F9087" s="803">
        <v>30</v>
      </c>
      <c r="G9087" s="202" t="str">
        <f t="shared" si="141"/>
        <v/>
      </c>
    </row>
    <row r="9088" spans="1:7" s="172" customFormat="1" ht="15" customHeight="1" x14ac:dyDescent="0.25">
      <c r="A9088" s="803" t="s">
        <v>7651</v>
      </c>
      <c r="B9088" s="803" t="s">
        <v>8198</v>
      </c>
      <c r="C9088" s="803" t="s">
        <v>8198</v>
      </c>
      <c r="D9088" s="803" t="s">
        <v>8510</v>
      </c>
      <c r="E9088" s="803">
        <v>100</v>
      </c>
      <c r="F9088" s="803">
        <v>50</v>
      </c>
      <c r="G9088" s="202" t="str">
        <f t="shared" si="141"/>
        <v/>
      </c>
    </row>
    <row r="9089" spans="1:7" s="172" customFormat="1" ht="15" customHeight="1" x14ac:dyDescent="0.25">
      <c r="A9089" s="803" t="s">
        <v>7651</v>
      </c>
      <c r="B9089" s="803" t="s">
        <v>8198</v>
      </c>
      <c r="C9089" s="803" t="s">
        <v>8198</v>
      </c>
      <c r="D9089" s="803" t="s">
        <v>8511</v>
      </c>
      <c r="E9089" s="803">
        <v>100</v>
      </c>
      <c r="F9089" s="803">
        <v>50</v>
      </c>
      <c r="G9089" s="202" t="str">
        <f t="shared" si="141"/>
        <v/>
      </c>
    </row>
    <row r="9090" spans="1:7" s="172" customFormat="1" ht="15" customHeight="1" x14ac:dyDescent="0.25">
      <c r="A9090" s="803" t="s">
        <v>5812</v>
      </c>
      <c r="B9090" s="803" t="s">
        <v>8198</v>
      </c>
      <c r="C9090" s="803" t="s">
        <v>8198</v>
      </c>
      <c r="D9090" s="803" t="s">
        <v>8512</v>
      </c>
      <c r="E9090" s="803">
        <v>250</v>
      </c>
      <c r="F9090" s="803">
        <v>150</v>
      </c>
      <c r="G9090" s="202" t="str">
        <f t="shared" si="141"/>
        <v/>
      </c>
    </row>
    <row r="9091" spans="1:7" s="172" customFormat="1" ht="15" customHeight="1" x14ac:dyDescent="0.25">
      <c r="A9091" s="803" t="s">
        <v>8513</v>
      </c>
      <c r="B9091" s="803" t="s">
        <v>8198</v>
      </c>
      <c r="C9091" s="803" t="s">
        <v>8198</v>
      </c>
      <c r="D9091" s="803" t="s">
        <v>8514</v>
      </c>
      <c r="E9091" s="803">
        <v>250</v>
      </c>
      <c r="F9091" s="803">
        <v>50</v>
      </c>
      <c r="G9091" s="202" t="str">
        <f t="shared" si="141"/>
        <v/>
      </c>
    </row>
    <row r="9092" spans="1:7" s="172" customFormat="1" ht="15" customHeight="1" x14ac:dyDescent="0.25">
      <c r="A9092" s="803" t="s">
        <v>8515</v>
      </c>
      <c r="B9092" s="803" t="s">
        <v>8198</v>
      </c>
      <c r="C9092" s="803" t="s">
        <v>8198</v>
      </c>
      <c r="D9092" s="803" t="s">
        <v>8516</v>
      </c>
      <c r="E9092" s="803">
        <v>100</v>
      </c>
      <c r="F9092" s="803">
        <v>30</v>
      </c>
      <c r="G9092" s="202" t="str">
        <f t="shared" si="141"/>
        <v/>
      </c>
    </row>
    <row r="9093" spans="1:7" s="172" customFormat="1" ht="15" customHeight="1" x14ac:dyDescent="0.25">
      <c r="A9093" s="803" t="s">
        <v>8515</v>
      </c>
      <c r="B9093" s="803" t="s">
        <v>8198</v>
      </c>
      <c r="C9093" s="803" t="s">
        <v>8198</v>
      </c>
      <c r="D9093" s="803" t="s">
        <v>8517</v>
      </c>
      <c r="E9093" s="803">
        <v>100</v>
      </c>
      <c r="F9093" s="803">
        <v>40</v>
      </c>
      <c r="G9093" s="202" t="str">
        <f t="shared" si="141"/>
        <v/>
      </c>
    </row>
    <row r="9094" spans="1:7" s="172" customFormat="1" ht="15" customHeight="1" x14ac:dyDescent="0.25">
      <c r="A9094" s="803" t="s">
        <v>8515</v>
      </c>
      <c r="B9094" s="803" t="s">
        <v>8198</v>
      </c>
      <c r="C9094" s="803" t="s">
        <v>8198</v>
      </c>
      <c r="D9094" s="803" t="s">
        <v>8518</v>
      </c>
      <c r="E9094" s="803">
        <v>100</v>
      </c>
      <c r="F9094" s="803">
        <v>40</v>
      </c>
      <c r="G9094" s="202" t="str">
        <f t="shared" si="141"/>
        <v/>
      </c>
    </row>
    <row r="9095" spans="1:7" s="172" customFormat="1" ht="15" customHeight="1" x14ac:dyDescent="0.25">
      <c r="A9095" s="803" t="s">
        <v>8515</v>
      </c>
      <c r="B9095" s="803" t="s">
        <v>8198</v>
      </c>
      <c r="C9095" s="803" t="s">
        <v>8198</v>
      </c>
      <c r="D9095" s="803" t="s">
        <v>8519</v>
      </c>
      <c r="E9095" s="803">
        <v>100</v>
      </c>
      <c r="F9095" s="803">
        <v>40</v>
      </c>
      <c r="G9095" s="202" t="str">
        <f t="shared" si="141"/>
        <v/>
      </c>
    </row>
    <row r="9096" spans="1:7" s="172" customFormat="1" ht="15" customHeight="1" x14ac:dyDescent="0.25">
      <c r="A9096" s="803" t="s">
        <v>8522</v>
      </c>
      <c r="B9096" s="803" t="s">
        <v>8198</v>
      </c>
      <c r="C9096" s="803" t="s">
        <v>8198</v>
      </c>
      <c r="D9096" s="803" t="s">
        <v>8520</v>
      </c>
      <c r="E9096" s="803">
        <v>100</v>
      </c>
      <c r="F9096" s="803">
        <v>20</v>
      </c>
      <c r="G9096" s="202" t="str">
        <f t="shared" si="141"/>
        <v/>
      </c>
    </row>
    <row r="9097" spans="1:7" s="172" customFormat="1" ht="15" customHeight="1" x14ac:dyDescent="0.25">
      <c r="A9097" s="803" t="s">
        <v>8522</v>
      </c>
      <c r="B9097" s="803" t="s">
        <v>8198</v>
      </c>
      <c r="C9097" s="803" t="s">
        <v>8198</v>
      </c>
      <c r="D9097" s="803" t="s">
        <v>8521</v>
      </c>
      <c r="E9097" s="803">
        <v>250</v>
      </c>
      <c r="F9097" s="803">
        <v>125</v>
      </c>
      <c r="G9097" s="202" t="str">
        <f t="shared" si="141"/>
        <v/>
      </c>
    </row>
    <row r="9098" spans="1:7" s="172" customFormat="1" ht="15" customHeight="1" x14ac:dyDescent="0.25">
      <c r="A9098" s="803" t="s">
        <v>8522</v>
      </c>
      <c r="B9098" s="803" t="s">
        <v>8198</v>
      </c>
      <c r="C9098" s="803" t="s">
        <v>8198</v>
      </c>
      <c r="D9098" s="803" t="s">
        <v>8523</v>
      </c>
      <c r="E9098" s="803">
        <v>60</v>
      </c>
      <c r="F9098" s="803">
        <v>24</v>
      </c>
      <c r="G9098" s="202" t="str">
        <f t="shared" si="141"/>
        <v/>
      </c>
    </row>
    <row r="9099" spans="1:7" s="172" customFormat="1" ht="15" customHeight="1" x14ac:dyDescent="0.25">
      <c r="A9099" s="803" t="s">
        <v>12973</v>
      </c>
      <c r="B9099" s="803" t="s">
        <v>8198</v>
      </c>
      <c r="C9099" s="803" t="s">
        <v>8198</v>
      </c>
      <c r="D9099" s="803" t="s">
        <v>8524</v>
      </c>
      <c r="E9099" s="803">
        <v>250</v>
      </c>
      <c r="F9099" s="803">
        <v>125</v>
      </c>
      <c r="G9099" s="202" t="str">
        <f t="shared" si="141"/>
        <v/>
      </c>
    </row>
    <row r="9100" spans="1:7" s="172" customFormat="1" ht="15" customHeight="1" x14ac:dyDescent="0.25">
      <c r="A9100" s="803" t="s">
        <v>6397</v>
      </c>
      <c r="B9100" s="803" t="s">
        <v>8198</v>
      </c>
      <c r="C9100" s="803" t="s">
        <v>8198</v>
      </c>
      <c r="D9100" s="803" t="s">
        <v>8525</v>
      </c>
      <c r="E9100" s="803">
        <v>10</v>
      </c>
      <c r="F9100" s="803">
        <v>0</v>
      </c>
      <c r="G9100" s="202" t="str">
        <f t="shared" si="141"/>
        <v/>
      </c>
    </row>
    <row r="9101" spans="1:7" s="172" customFormat="1" ht="15" customHeight="1" x14ac:dyDescent="0.25">
      <c r="A9101" s="803" t="s">
        <v>12974</v>
      </c>
      <c r="B9101" s="803" t="s">
        <v>8198</v>
      </c>
      <c r="C9101" s="803" t="s">
        <v>8198</v>
      </c>
      <c r="D9101" s="803" t="s">
        <v>8526</v>
      </c>
      <c r="E9101" s="803">
        <v>63</v>
      </c>
      <c r="F9101" s="803">
        <v>10</v>
      </c>
      <c r="G9101" s="202" t="str">
        <f t="shared" si="141"/>
        <v/>
      </c>
    </row>
    <row r="9102" spans="1:7" s="172" customFormat="1" ht="15" customHeight="1" x14ac:dyDescent="0.25">
      <c r="A9102" s="803" t="s">
        <v>4892</v>
      </c>
      <c r="B9102" s="803" t="s">
        <v>8198</v>
      </c>
      <c r="C9102" s="803" t="s">
        <v>8198</v>
      </c>
      <c r="D9102" s="803" t="s">
        <v>8527</v>
      </c>
      <c r="E9102" s="803">
        <v>250</v>
      </c>
      <c r="F9102" s="803">
        <v>75</v>
      </c>
      <c r="G9102" s="202" t="str">
        <f t="shared" si="141"/>
        <v/>
      </c>
    </row>
    <row r="9103" spans="1:7" s="172" customFormat="1" ht="15" customHeight="1" x14ac:dyDescent="0.25">
      <c r="A9103" s="803" t="s">
        <v>12975</v>
      </c>
      <c r="B9103" s="803" t="s">
        <v>8198</v>
      </c>
      <c r="C9103" s="803" t="s">
        <v>8198</v>
      </c>
      <c r="D9103" s="803" t="s">
        <v>8528</v>
      </c>
      <c r="E9103" s="803">
        <v>100</v>
      </c>
      <c r="F9103" s="803">
        <v>30</v>
      </c>
      <c r="G9103" s="202" t="str">
        <f t="shared" si="141"/>
        <v/>
      </c>
    </row>
    <row r="9104" spans="1:7" s="172" customFormat="1" ht="15" customHeight="1" x14ac:dyDescent="0.25">
      <c r="A9104" s="803" t="s">
        <v>8529</v>
      </c>
      <c r="B9104" s="803" t="s">
        <v>8198</v>
      </c>
      <c r="C9104" s="803" t="s">
        <v>8198</v>
      </c>
      <c r="D9104" s="803" t="s">
        <v>8530</v>
      </c>
      <c r="E9104" s="803">
        <v>100</v>
      </c>
      <c r="F9104" s="803">
        <v>10</v>
      </c>
      <c r="G9104" s="202" t="str">
        <f t="shared" si="141"/>
        <v/>
      </c>
    </row>
    <row r="9105" spans="1:7" s="172" customFormat="1" ht="15" customHeight="1" x14ac:dyDescent="0.25">
      <c r="A9105" s="803" t="s">
        <v>8529</v>
      </c>
      <c r="B9105" s="803" t="s">
        <v>8198</v>
      </c>
      <c r="C9105" s="803" t="s">
        <v>8198</v>
      </c>
      <c r="D9105" s="803" t="s">
        <v>8531</v>
      </c>
      <c r="E9105" s="803">
        <v>63</v>
      </c>
      <c r="F9105" s="803">
        <v>10</v>
      </c>
      <c r="G9105" s="202" t="str">
        <f t="shared" si="141"/>
        <v/>
      </c>
    </row>
    <row r="9106" spans="1:7" s="172" customFormat="1" ht="15" customHeight="1" x14ac:dyDescent="0.25">
      <c r="A9106" s="803" t="s">
        <v>8529</v>
      </c>
      <c r="B9106" s="803" t="s">
        <v>8198</v>
      </c>
      <c r="C9106" s="803" t="s">
        <v>8198</v>
      </c>
      <c r="D9106" s="803" t="s">
        <v>8532</v>
      </c>
      <c r="E9106" s="803">
        <v>30</v>
      </c>
      <c r="F9106" s="803">
        <v>3</v>
      </c>
      <c r="G9106" s="202" t="str">
        <f t="shared" si="141"/>
        <v/>
      </c>
    </row>
    <row r="9107" spans="1:7" s="172" customFormat="1" ht="15" customHeight="1" x14ac:dyDescent="0.25">
      <c r="A9107" s="803" t="s">
        <v>8529</v>
      </c>
      <c r="B9107" s="803" t="s">
        <v>8198</v>
      </c>
      <c r="C9107" s="803" t="s">
        <v>8198</v>
      </c>
      <c r="D9107" s="803" t="s">
        <v>8533</v>
      </c>
      <c r="E9107" s="803">
        <v>250</v>
      </c>
      <c r="F9107" s="803">
        <v>125</v>
      </c>
      <c r="G9107" s="202" t="str">
        <f t="shared" si="141"/>
        <v/>
      </c>
    </row>
    <row r="9108" spans="1:7" s="172" customFormat="1" ht="15" customHeight="1" x14ac:dyDescent="0.25">
      <c r="A9108" s="803" t="s">
        <v>8529</v>
      </c>
      <c r="B9108" s="803" t="s">
        <v>8198</v>
      </c>
      <c r="C9108" s="803" t="s">
        <v>8198</v>
      </c>
      <c r="D9108" s="803" t="s">
        <v>8534</v>
      </c>
      <c r="E9108" s="803">
        <v>400</v>
      </c>
      <c r="F9108" s="803">
        <v>200</v>
      </c>
      <c r="G9108" s="202" t="str">
        <f t="shared" si="141"/>
        <v/>
      </c>
    </row>
    <row r="9109" spans="1:7" s="172" customFormat="1" ht="15" customHeight="1" x14ac:dyDescent="0.25">
      <c r="A9109" s="803" t="s">
        <v>8529</v>
      </c>
      <c r="B9109" s="803" t="s">
        <v>8198</v>
      </c>
      <c r="C9109" s="803" t="s">
        <v>8198</v>
      </c>
      <c r="D9109" s="803" t="s">
        <v>8535</v>
      </c>
      <c r="E9109" s="803">
        <v>250</v>
      </c>
      <c r="F9109" s="803">
        <v>50</v>
      </c>
      <c r="G9109" s="202" t="str">
        <f t="shared" si="141"/>
        <v/>
      </c>
    </row>
    <row r="9110" spans="1:7" s="172" customFormat="1" ht="15" customHeight="1" x14ac:dyDescent="0.25">
      <c r="A9110" s="803" t="s">
        <v>12976</v>
      </c>
      <c r="B9110" s="803" t="s">
        <v>8198</v>
      </c>
      <c r="C9110" s="803" t="s">
        <v>8198</v>
      </c>
      <c r="D9110" s="803" t="s">
        <v>8536</v>
      </c>
      <c r="E9110" s="803">
        <v>25</v>
      </c>
      <c r="F9110" s="803">
        <v>20</v>
      </c>
      <c r="G9110" s="202" t="str">
        <f t="shared" si="141"/>
        <v/>
      </c>
    </row>
    <row r="9111" spans="1:7" s="172" customFormat="1" ht="15" customHeight="1" x14ac:dyDescent="0.25">
      <c r="A9111" s="803" t="s">
        <v>12977</v>
      </c>
      <c r="B9111" s="803" t="s">
        <v>8198</v>
      </c>
      <c r="C9111" s="803" t="s">
        <v>8198</v>
      </c>
      <c r="D9111" s="803" t="s">
        <v>8537</v>
      </c>
      <c r="E9111" s="803">
        <v>100</v>
      </c>
      <c r="F9111" s="803">
        <v>20</v>
      </c>
      <c r="G9111" s="202" t="str">
        <f t="shared" si="141"/>
        <v/>
      </c>
    </row>
    <row r="9112" spans="1:7" s="172" customFormat="1" ht="15" customHeight="1" x14ac:dyDescent="0.25">
      <c r="A9112" s="803" t="s">
        <v>12978</v>
      </c>
      <c r="B9112" s="803" t="s">
        <v>8198</v>
      </c>
      <c r="C9112" s="803" t="s">
        <v>8198</v>
      </c>
      <c r="D9112" s="803" t="s">
        <v>8538</v>
      </c>
      <c r="E9112" s="803">
        <v>100</v>
      </c>
      <c r="F9112" s="803">
        <v>30</v>
      </c>
      <c r="G9112" s="202" t="str">
        <f t="shared" si="141"/>
        <v/>
      </c>
    </row>
    <row r="9113" spans="1:7" s="172" customFormat="1" ht="15" customHeight="1" x14ac:dyDescent="0.25">
      <c r="A9113" s="803" t="s">
        <v>8539</v>
      </c>
      <c r="B9113" s="803" t="s">
        <v>8198</v>
      </c>
      <c r="C9113" s="803" t="s">
        <v>8198</v>
      </c>
      <c r="D9113" s="803" t="s">
        <v>8540</v>
      </c>
      <c r="E9113" s="803">
        <v>250</v>
      </c>
      <c r="F9113" s="803">
        <v>200</v>
      </c>
      <c r="G9113" s="202" t="str">
        <f t="shared" si="141"/>
        <v/>
      </c>
    </row>
    <row r="9114" spans="1:7" s="172" customFormat="1" ht="15" customHeight="1" x14ac:dyDescent="0.25">
      <c r="A9114" s="803" t="s">
        <v>10817</v>
      </c>
      <c r="B9114" s="803" t="s">
        <v>8198</v>
      </c>
      <c r="C9114" s="803" t="s">
        <v>8198</v>
      </c>
      <c r="D9114" s="803" t="s">
        <v>8541</v>
      </c>
      <c r="E9114" s="803">
        <v>100</v>
      </c>
      <c r="F9114" s="803">
        <v>50</v>
      </c>
      <c r="G9114" s="202" t="str">
        <f t="shared" si="141"/>
        <v/>
      </c>
    </row>
    <row r="9115" spans="1:7" s="172" customFormat="1" ht="15" customHeight="1" x14ac:dyDescent="0.25">
      <c r="A9115" s="803" t="s">
        <v>12870</v>
      </c>
      <c r="B9115" s="803" t="s">
        <v>8198</v>
      </c>
      <c r="C9115" s="803" t="s">
        <v>8198</v>
      </c>
      <c r="D9115" s="803" t="s">
        <v>8542</v>
      </c>
      <c r="E9115" s="803">
        <v>100</v>
      </c>
      <c r="F9115" s="803">
        <v>25</v>
      </c>
      <c r="G9115" s="202" t="str">
        <f t="shared" si="141"/>
        <v/>
      </c>
    </row>
    <row r="9116" spans="1:7" s="172" customFormat="1" ht="15" customHeight="1" x14ac:dyDescent="0.25">
      <c r="A9116" s="803" t="s">
        <v>8543</v>
      </c>
      <c r="B9116" s="803" t="s">
        <v>8198</v>
      </c>
      <c r="C9116" s="803" t="s">
        <v>8198</v>
      </c>
      <c r="D9116" s="803" t="s">
        <v>8544</v>
      </c>
      <c r="E9116" s="803">
        <v>100</v>
      </c>
      <c r="F9116" s="803">
        <v>0</v>
      </c>
      <c r="G9116" s="202" t="str">
        <f t="shared" si="141"/>
        <v/>
      </c>
    </row>
    <row r="9117" spans="1:7" s="172" customFormat="1" ht="15" customHeight="1" x14ac:dyDescent="0.25">
      <c r="A9117" s="803" t="s">
        <v>12979</v>
      </c>
      <c r="B9117" s="803" t="s">
        <v>8198</v>
      </c>
      <c r="C9117" s="803" t="s">
        <v>8198</v>
      </c>
      <c r="D9117" s="803" t="s">
        <v>8545</v>
      </c>
      <c r="E9117" s="803">
        <v>30</v>
      </c>
      <c r="F9117" s="803">
        <v>0</v>
      </c>
      <c r="G9117" s="202" t="str">
        <f t="shared" si="141"/>
        <v/>
      </c>
    </row>
    <row r="9118" spans="1:7" s="172" customFormat="1" ht="15" customHeight="1" x14ac:dyDescent="0.25">
      <c r="A9118" s="803" t="s">
        <v>12980</v>
      </c>
      <c r="B9118" s="803" t="s">
        <v>8198</v>
      </c>
      <c r="C9118" s="803" t="s">
        <v>8198</v>
      </c>
      <c r="D9118" s="803" t="s">
        <v>8546</v>
      </c>
      <c r="E9118" s="803">
        <v>60</v>
      </c>
      <c r="F9118" s="803">
        <v>18</v>
      </c>
      <c r="G9118" s="202" t="str">
        <f t="shared" ref="G9118:G9179" si="142">IF(E9118=F9118,"не загружен","")</f>
        <v/>
      </c>
    </row>
    <row r="9119" spans="1:7" s="172" customFormat="1" ht="15" customHeight="1" x14ac:dyDescent="0.25">
      <c r="A9119" s="803" t="s">
        <v>8547</v>
      </c>
      <c r="B9119" s="803" t="s">
        <v>8198</v>
      </c>
      <c r="C9119" s="803" t="s">
        <v>8198</v>
      </c>
      <c r="D9119" s="803" t="s">
        <v>8548</v>
      </c>
      <c r="E9119" s="803">
        <v>30</v>
      </c>
      <c r="F9119" s="803">
        <v>18</v>
      </c>
      <c r="G9119" s="202" t="str">
        <f t="shared" si="142"/>
        <v/>
      </c>
    </row>
    <row r="9120" spans="1:7" s="172" customFormat="1" ht="15" customHeight="1" x14ac:dyDescent="0.25">
      <c r="A9120" s="803" t="s">
        <v>4859</v>
      </c>
      <c r="B9120" s="803" t="s">
        <v>8198</v>
      </c>
      <c r="C9120" s="803" t="s">
        <v>8198</v>
      </c>
      <c r="D9120" s="803" t="s">
        <v>8549</v>
      </c>
      <c r="E9120" s="803">
        <v>60</v>
      </c>
      <c r="F9120" s="803">
        <v>12</v>
      </c>
      <c r="G9120" s="202" t="str">
        <f t="shared" si="142"/>
        <v/>
      </c>
    </row>
    <row r="9121" spans="1:7" s="172" customFormat="1" ht="15" customHeight="1" x14ac:dyDescent="0.25">
      <c r="A9121" s="803" t="s">
        <v>4859</v>
      </c>
      <c r="B9121" s="803" t="s">
        <v>8198</v>
      </c>
      <c r="C9121" s="803" t="s">
        <v>8198</v>
      </c>
      <c r="D9121" s="803" t="s">
        <v>8550</v>
      </c>
      <c r="E9121" s="803">
        <v>60</v>
      </c>
      <c r="F9121" s="803">
        <v>24</v>
      </c>
      <c r="G9121" s="202" t="str">
        <f t="shared" si="142"/>
        <v/>
      </c>
    </row>
    <row r="9122" spans="1:7" s="172" customFormat="1" ht="15" customHeight="1" x14ac:dyDescent="0.25">
      <c r="A9122" s="803" t="s">
        <v>4859</v>
      </c>
      <c r="B9122" s="803" t="s">
        <v>8198</v>
      </c>
      <c r="C9122" s="803" t="s">
        <v>8198</v>
      </c>
      <c r="D9122" s="803" t="s">
        <v>8551</v>
      </c>
      <c r="E9122" s="803">
        <v>100</v>
      </c>
      <c r="F9122" s="803">
        <v>95</v>
      </c>
      <c r="G9122" s="202" t="str">
        <f t="shared" si="142"/>
        <v/>
      </c>
    </row>
    <row r="9123" spans="1:7" s="172" customFormat="1" ht="15" customHeight="1" x14ac:dyDescent="0.25">
      <c r="A9123" s="803" t="s">
        <v>4859</v>
      </c>
      <c r="B9123" s="803" t="s">
        <v>8198</v>
      </c>
      <c r="C9123" s="803" t="s">
        <v>8198</v>
      </c>
      <c r="D9123" s="803" t="s">
        <v>8552</v>
      </c>
      <c r="E9123" s="803">
        <v>100</v>
      </c>
      <c r="F9123" s="803">
        <v>95</v>
      </c>
      <c r="G9123" s="202" t="str">
        <f t="shared" si="142"/>
        <v/>
      </c>
    </row>
    <row r="9124" spans="1:7" s="172" customFormat="1" ht="15" customHeight="1" x14ac:dyDescent="0.25">
      <c r="A9124" s="803" t="s">
        <v>4859</v>
      </c>
      <c r="B9124" s="803" t="s">
        <v>8198</v>
      </c>
      <c r="C9124" s="803" t="s">
        <v>8198</v>
      </c>
      <c r="D9124" s="803" t="s">
        <v>8553</v>
      </c>
      <c r="E9124" s="803">
        <v>160</v>
      </c>
      <c r="F9124" s="803">
        <v>96</v>
      </c>
      <c r="G9124" s="202" t="str">
        <f t="shared" si="142"/>
        <v/>
      </c>
    </row>
    <row r="9125" spans="1:7" s="172" customFormat="1" ht="15" customHeight="1" x14ac:dyDescent="0.25">
      <c r="A9125" s="803" t="s">
        <v>8554</v>
      </c>
      <c r="B9125" s="803" t="s">
        <v>8198</v>
      </c>
      <c r="C9125" s="803" t="s">
        <v>8198</v>
      </c>
      <c r="D9125" s="803" t="s">
        <v>8555</v>
      </c>
      <c r="E9125" s="803">
        <v>250</v>
      </c>
      <c r="F9125" s="803">
        <v>125</v>
      </c>
      <c r="G9125" s="202" t="str">
        <f t="shared" si="142"/>
        <v/>
      </c>
    </row>
    <row r="9126" spans="1:7" s="172" customFormat="1" ht="15" customHeight="1" x14ac:dyDescent="0.25">
      <c r="A9126" s="803" t="s">
        <v>6075</v>
      </c>
      <c r="B9126" s="803" t="s">
        <v>8198</v>
      </c>
      <c r="C9126" s="803" t="s">
        <v>8198</v>
      </c>
      <c r="D9126" s="803" t="s">
        <v>8556</v>
      </c>
      <c r="E9126" s="803">
        <v>40</v>
      </c>
      <c r="F9126" s="803">
        <v>4</v>
      </c>
      <c r="G9126" s="202" t="str">
        <f t="shared" si="142"/>
        <v/>
      </c>
    </row>
    <row r="9127" spans="1:7" s="172" customFormat="1" ht="15" customHeight="1" x14ac:dyDescent="0.25">
      <c r="A9127" s="803" t="s">
        <v>12981</v>
      </c>
      <c r="B9127" s="803" t="s">
        <v>8198</v>
      </c>
      <c r="C9127" s="803" t="s">
        <v>8198</v>
      </c>
      <c r="D9127" s="803" t="s">
        <v>8557</v>
      </c>
      <c r="E9127" s="803">
        <v>60</v>
      </c>
      <c r="F9127" s="803">
        <v>24</v>
      </c>
      <c r="G9127" s="202" t="str">
        <f t="shared" si="142"/>
        <v/>
      </c>
    </row>
    <row r="9128" spans="1:7" s="172" customFormat="1" ht="15" customHeight="1" x14ac:dyDescent="0.25">
      <c r="A9128" s="803" t="s">
        <v>12982</v>
      </c>
      <c r="B9128" s="803" t="s">
        <v>8198</v>
      </c>
      <c r="C9128" s="803" t="s">
        <v>8198</v>
      </c>
      <c r="D9128" s="803" t="s">
        <v>8558</v>
      </c>
      <c r="E9128" s="803">
        <v>100</v>
      </c>
      <c r="F9128" s="803">
        <v>60</v>
      </c>
      <c r="G9128" s="202" t="str">
        <f t="shared" si="142"/>
        <v/>
      </c>
    </row>
    <row r="9129" spans="1:7" s="172" customFormat="1" ht="15" customHeight="1" x14ac:dyDescent="0.25">
      <c r="A9129" s="803" t="s">
        <v>12983</v>
      </c>
      <c r="B9129" s="803" t="s">
        <v>8198</v>
      </c>
      <c r="C9129" s="803" t="s">
        <v>8198</v>
      </c>
      <c r="D9129" s="803" t="s">
        <v>8559</v>
      </c>
      <c r="E9129" s="803">
        <v>30</v>
      </c>
      <c r="F9129" s="803">
        <v>15</v>
      </c>
      <c r="G9129" s="202" t="str">
        <f t="shared" si="142"/>
        <v/>
      </c>
    </row>
    <row r="9130" spans="1:7" s="172" customFormat="1" ht="15" customHeight="1" x14ac:dyDescent="0.25">
      <c r="A9130" s="803" t="s">
        <v>12984</v>
      </c>
      <c r="B9130" s="803" t="s">
        <v>8198</v>
      </c>
      <c r="C9130" s="803" t="s">
        <v>8198</v>
      </c>
      <c r="D9130" s="803" t="s">
        <v>8560</v>
      </c>
      <c r="E9130" s="803">
        <v>63</v>
      </c>
      <c r="F9130" s="803">
        <v>30</v>
      </c>
      <c r="G9130" s="202" t="str">
        <f t="shared" si="142"/>
        <v/>
      </c>
    </row>
    <row r="9131" spans="1:7" s="172" customFormat="1" ht="15" customHeight="1" x14ac:dyDescent="0.25">
      <c r="A9131" s="803" t="s">
        <v>12985</v>
      </c>
      <c r="B9131" s="803" t="s">
        <v>8198</v>
      </c>
      <c r="C9131" s="803" t="s">
        <v>8198</v>
      </c>
      <c r="D9131" s="803" t="s">
        <v>8561</v>
      </c>
      <c r="E9131" s="803">
        <v>60</v>
      </c>
      <c r="F9131" s="803">
        <v>9</v>
      </c>
      <c r="G9131" s="202" t="str">
        <f t="shared" si="142"/>
        <v/>
      </c>
    </row>
    <row r="9132" spans="1:7" s="172" customFormat="1" ht="15" customHeight="1" x14ac:dyDescent="0.25">
      <c r="A9132" s="803" t="s">
        <v>8562</v>
      </c>
      <c r="B9132" s="803" t="s">
        <v>8198</v>
      </c>
      <c r="C9132" s="803" t="s">
        <v>8198</v>
      </c>
      <c r="D9132" s="803" t="s">
        <v>8563</v>
      </c>
      <c r="E9132" s="803">
        <v>100</v>
      </c>
      <c r="F9132" s="803">
        <v>70</v>
      </c>
      <c r="G9132" s="202" t="str">
        <f t="shared" si="142"/>
        <v/>
      </c>
    </row>
    <row r="9133" spans="1:7" s="172" customFormat="1" ht="15" customHeight="1" x14ac:dyDescent="0.25">
      <c r="A9133" s="803" t="s">
        <v>8562</v>
      </c>
      <c r="B9133" s="803" t="s">
        <v>8198</v>
      </c>
      <c r="C9133" s="803" t="s">
        <v>8198</v>
      </c>
      <c r="D9133" s="803" t="s">
        <v>8564</v>
      </c>
      <c r="E9133" s="803">
        <v>100</v>
      </c>
      <c r="F9133" s="803">
        <v>70</v>
      </c>
      <c r="G9133" s="202" t="str">
        <f t="shared" si="142"/>
        <v/>
      </c>
    </row>
    <row r="9134" spans="1:7" s="172" customFormat="1" ht="15" customHeight="1" x14ac:dyDescent="0.25">
      <c r="A9134" s="803" t="s">
        <v>3284</v>
      </c>
      <c r="B9134" s="803" t="s">
        <v>8198</v>
      </c>
      <c r="C9134" s="803" t="s">
        <v>8198</v>
      </c>
      <c r="D9134" s="803" t="s">
        <v>8565</v>
      </c>
      <c r="E9134" s="803">
        <v>63</v>
      </c>
      <c r="F9134" s="803">
        <v>10</v>
      </c>
      <c r="G9134" s="202" t="str">
        <f t="shared" si="142"/>
        <v/>
      </c>
    </row>
    <row r="9135" spans="1:7" s="172" customFormat="1" ht="15" customHeight="1" x14ac:dyDescent="0.25">
      <c r="A9135" s="803" t="s">
        <v>3284</v>
      </c>
      <c r="B9135" s="803" t="s">
        <v>8198</v>
      </c>
      <c r="C9135" s="803" t="s">
        <v>8198</v>
      </c>
      <c r="D9135" s="803" t="s">
        <v>8566</v>
      </c>
      <c r="E9135" s="803">
        <v>160</v>
      </c>
      <c r="F9135" s="803">
        <v>16</v>
      </c>
      <c r="G9135" s="202" t="str">
        <f t="shared" si="142"/>
        <v/>
      </c>
    </row>
    <row r="9136" spans="1:7" s="172" customFormat="1" ht="15" customHeight="1" x14ac:dyDescent="0.25">
      <c r="A9136" s="803" t="s">
        <v>12986</v>
      </c>
      <c r="B9136" s="803" t="s">
        <v>8198</v>
      </c>
      <c r="C9136" s="803" t="s">
        <v>8198</v>
      </c>
      <c r="D9136" s="803" t="s">
        <v>8567</v>
      </c>
      <c r="E9136" s="803">
        <v>63</v>
      </c>
      <c r="F9136" s="803">
        <v>20</v>
      </c>
      <c r="G9136" s="202" t="str">
        <f t="shared" si="142"/>
        <v/>
      </c>
    </row>
    <row r="9137" spans="1:7" s="172" customFormat="1" ht="15" customHeight="1" x14ac:dyDescent="0.25">
      <c r="A9137" s="803" t="s">
        <v>5771</v>
      </c>
      <c r="B9137" s="803" t="s">
        <v>8198</v>
      </c>
      <c r="C9137" s="803" t="s">
        <v>8198</v>
      </c>
      <c r="D9137" s="803" t="s">
        <v>8568</v>
      </c>
      <c r="E9137" s="803">
        <v>100</v>
      </c>
      <c r="F9137" s="803">
        <v>30</v>
      </c>
      <c r="G9137" s="202" t="str">
        <f t="shared" si="142"/>
        <v/>
      </c>
    </row>
    <row r="9138" spans="1:7" s="172" customFormat="1" ht="15" customHeight="1" x14ac:dyDescent="0.25">
      <c r="A9138" s="803" t="s">
        <v>8570</v>
      </c>
      <c r="B9138" s="803" t="s">
        <v>8198</v>
      </c>
      <c r="C9138" s="803" t="s">
        <v>8198</v>
      </c>
      <c r="D9138" s="803" t="s">
        <v>8569</v>
      </c>
      <c r="E9138" s="803">
        <v>60</v>
      </c>
      <c r="F9138" s="803">
        <v>0</v>
      </c>
      <c r="G9138" s="202" t="str">
        <f t="shared" si="142"/>
        <v/>
      </c>
    </row>
    <row r="9139" spans="1:7" s="172" customFormat="1" ht="15" customHeight="1" x14ac:dyDescent="0.25">
      <c r="A9139" s="803" t="s">
        <v>8570</v>
      </c>
      <c r="B9139" s="803" t="s">
        <v>8198</v>
      </c>
      <c r="C9139" s="803" t="s">
        <v>8198</v>
      </c>
      <c r="D9139" s="803" t="s">
        <v>8571</v>
      </c>
      <c r="E9139" s="803">
        <v>100</v>
      </c>
      <c r="F9139" s="803">
        <v>0</v>
      </c>
      <c r="G9139" s="202" t="str">
        <f t="shared" si="142"/>
        <v/>
      </c>
    </row>
    <row r="9140" spans="1:7" s="172" customFormat="1" ht="15" customHeight="1" x14ac:dyDescent="0.25">
      <c r="A9140" s="803" t="s">
        <v>8570</v>
      </c>
      <c r="B9140" s="803" t="s">
        <v>8198</v>
      </c>
      <c r="C9140" s="803" t="s">
        <v>8198</v>
      </c>
      <c r="D9140" s="803" t="s">
        <v>8572</v>
      </c>
      <c r="E9140" s="803">
        <v>100</v>
      </c>
      <c r="F9140" s="803">
        <v>0</v>
      </c>
      <c r="G9140" s="202" t="str">
        <f t="shared" si="142"/>
        <v/>
      </c>
    </row>
    <row r="9141" spans="1:7" s="172" customFormat="1" ht="15" customHeight="1" x14ac:dyDescent="0.25">
      <c r="A9141" s="803" t="s">
        <v>8574</v>
      </c>
      <c r="B9141" s="803" t="s">
        <v>8198</v>
      </c>
      <c r="C9141" s="803" t="s">
        <v>8198</v>
      </c>
      <c r="D9141" s="803" t="s">
        <v>8573</v>
      </c>
      <c r="E9141" s="803">
        <v>250</v>
      </c>
      <c r="F9141" s="803">
        <v>0</v>
      </c>
      <c r="G9141" s="202" t="str">
        <f t="shared" si="142"/>
        <v/>
      </c>
    </row>
    <row r="9142" spans="1:7" s="172" customFormat="1" ht="15" customHeight="1" x14ac:dyDescent="0.25">
      <c r="A9142" s="803" t="s">
        <v>8574</v>
      </c>
      <c r="B9142" s="803" t="s">
        <v>8198</v>
      </c>
      <c r="C9142" s="803" t="s">
        <v>8198</v>
      </c>
      <c r="D9142" s="803" t="s">
        <v>8575</v>
      </c>
      <c r="E9142" s="803">
        <v>250</v>
      </c>
      <c r="F9142" s="803">
        <v>0</v>
      </c>
      <c r="G9142" s="202" t="str">
        <f t="shared" si="142"/>
        <v/>
      </c>
    </row>
    <row r="9143" spans="1:7" s="172" customFormat="1" ht="15" customHeight="1" x14ac:dyDescent="0.25">
      <c r="A9143" s="803" t="s">
        <v>12987</v>
      </c>
      <c r="B9143" s="803" t="s">
        <v>8198</v>
      </c>
      <c r="C9143" s="803" t="s">
        <v>8198</v>
      </c>
      <c r="D9143" s="803" t="s">
        <v>8576</v>
      </c>
      <c r="E9143" s="803">
        <v>250</v>
      </c>
      <c r="F9143" s="803">
        <v>30</v>
      </c>
      <c r="G9143" s="202" t="str">
        <f t="shared" si="142"/>
        <v/>
      </c>
    </row>
    <row r="9144" spans="1:7" s="172" customFormat="1" ht="15" customHeight="1" x14ac:dyDescent="0.25">
      <c r="A9144" s="803" t="s">
        <v>12988</v>
      </c>
      <c r="B9144" s="803" t="s">
        <v>8198</v>
      </c>
      <c r="C9144" s="803" t="s">
        <v>8198</v>
      </c>
      <c r="D9144" s="803" t="s">
        <v>8577</v>
      </c>
      <c r="E9144" s="803">
        <v>30</v>
      </c>
      <c r="F9144" s="803">
        <v>30</v>
      </c>
      <c r="G9144" s="202" t="str">
        <f t="shared" si="142"/>
        <v>не загружен</v>
      </c>
    </row>
    <row r="9145" spans="1:7" s="172" customFormat="1" ht="15" customHeight="1" x14ac:dyDescent="0.25">
      <c r="A9145" s="803" t="s">
        <v>12989</v>
      </c>
      <c r="B9145" s="803" t="s">
        <v>8198</v>
      </c>
      <c r="C9145" s="803" t="s">
        <v>8198</v>
      </c>
      <c r="D9145" s="803" t="s">
        <v>8578</v>
      </c>
      <c r="E9145" s="803">
        <v>60</v>
      </c>
      <c r="F9145" s="803">
        <v>12</v>
      </c>
      <c r="G9145" s="202" t="str">
        <f t="shared" si="142"/>
        <v/>
      </c>
    </row>
    <row r="9146" spans="1:7" s="172" customFormat="1" ht="15" customHeight="1" x14ac:dyDescent="0.25">
      <c r="A9146" s="803" t="s">
        <v>8579</v>
      </c>
      <c r="B9146" s="803" t="s">
        <v>8198</v>
      </c>
      <c r="C9146" s="803" t="s">
        <v>8198</v>
      </c>
      <c r="D9146" s="803" t="s">
        <v>8580</v>
      </c>
      <c r="E9146" s="803">
        <v>30</v>
      </c>
      <c r="F9146" s="803">
        <v>3</v>
      </c>
      <c r="G9146" s="202" t="str">
        <f t="shared" si="142"/>
        <v/>
      </c>
    </row>
    <row r="9147" spans="1:7" s="172" customFormat="1" ht="15" customHeight="1" x14ac:dyDescent="0.25">
      <c r="A9147" s="803" t="s">
        <v>12990</v>
      </c>
      <c r="B9147" s="803" t="s">
        <v>8198</v>
      </c>
      <c r="C9147" s="803" t="s">
        <v>8198</v>
      </c>
      <c r="D9147" s="803" t="s">
        <v>8581</v>
      </c>
      <c r="E9147" s="803">
        <v>63</v>
      </c>
      <c r="F9147" s="803">
        <v>10</v>
      </c>
      <c r="G9147" s="202" t="str">
        <f t="shared" si="142"/>
        <v/>
      </c>
    </row>
    <row r="9148" spans="1:7" s="172" customFormat="1" ht="15" customHeight="1" x14ac:dyDescent="0.25">
      <c r="A9148" s="803" t="s">
        <v>8583</v>
      </c>
      <c r="B9148" s="803" t="s">
        <v>8198</v>
      </c>
      <c r="C9148" s="803" t="s">
        <v>8198</v>
      </c>
      <c r="D9148" s="803" t="s">
        <v>8582</v>
      </c>
      <c r="E9148" s="803">
        <v>250</v>
      </c>
      <c r="F9148" s="803">
        <v>0</v>
      </c>
      <c r="G9148" s="202" t="str">
        <f t="shared" si="142"/>
        <v/>
      </c>
    </row>
    <row r="9149" spans="1:7" s="172" customFormat="1" ht="15" customHeight="1" x14ac:dyDescent="0.25">
      <c r="A9149" s="803" t="s">
        <v>8583</v>
      </c>
      <c r="B9149" s="803" t="s">
        <v>8198</v>
      </c>
      <c r="C9149" s="803" t="s">
        <v>8198</v>
      </c>
      <c r="D9149" s="803" t="s">
        <v>8584</v>
      </c>
      <c r="E9149" s="803">
        <v>250</v>
      </c>
      <c r="F9149" s="803">
        <v>150</v>
      </c>
      <c r="G9149" s="202" t="str">
        <f t="shared" si="142"/>
        <v/>
      </c>
    </row>
    <row r="9150" spans="1:7" s="172" customFormat="1" ht="15" customHeight="1" x14ac:dyDescent="0.25">
      <c r="A9150" s="803" t="s">
        <v>12991</v>
      </c>
      <c r="B9150" s="803" t="s">
        <v>8198</v>
      </c>
      <c r="C9150" s="803" t="s">
        <v>8198</v>
      </c>
      <c r="D9150" s="803" t="s">
        <v>8585</v>
      </c>
      <c r="E9150" s="803">
        <v>250</v>
      </c>
      <c r="F9150" s="803">
        <v>100</v>
      </c>
      <c r="G9150" s="202" t="str">
        <f t="shared" si="142"/>
        <v/>
      </c>
    </row>
    <row r="9151" spans="1:7" s="172" customFormat="1" ht="15" customHeight="1" x14ac:dyDescent="0.25">
      <c r="A9151" s="803" t="s">
        <v>12992</v>
      </c>
      <c r="B9151" s="803" t="s">
        <v>8198</v>
      </c>
      <c r="C9151" s="803" t="s">
        <v>8198</v>
      </c>
      <c r="D9151" s="803" t="s">
        <v>8586</v>
      </c>
      <c r="E9151" s="803">
        <v>250</v>
      </c>
      <c r="F9151" s="803">
        <v>100</v>
      </c>
      <c r="G9151" s="202" t="str">
        <f t="shared" si="142"/>
        <v/>
      </c>
    </row>
    <row r="9152" spans="1:7" s="172" customFormat="1" ht="15" customHeight="1" x14ac:dyDescent="0.25">
      <c r="A9152" s="803" t="s">
        <v>12993</v>
      </c>
      <c r="B9152" s="803" t="s">
        <v>8198</v>
      </c>
      <c r="C9152" s="803" t="s">
        <v>8198</v>
      </c>
      <c r="D9152" s="803" t="s">
        <v>8587</v>
      </c>
      <c r="E9152" s="803">
        <v>100</v>
      </c>
      <c r="F9152" s="803">
        <v>80</v>
      </c>
      <c r="G9152" s="202" t="str">
        <f t="shared" si="142"/>
        <v/>
      </c>
    </row>
    <row r="9153" spans="1:7" s="172" customFormat="1" ht="15" customHeight="1" x14ac:dyDescent="0.25">
      <c r="A9153" s="803" t="s">
        <v>8588</v>
      </c>
      <c r="B9153" s="803" t="s">
        <v>8198</v>
      </c>
      <c r="C9153" s="803" t="s">
        <v>8198</v>
      </c>
      <c r="D9153" s="803" t="s">
        <v>8589</v>
      </c>
      <c r="E9153" s="803">
        <v>60</v>
      </c>
      <c r="F9153" s="803">
        <v>30</v>
      </c>
      <c r="G9153" s="202" t="str">
        <f t="shared" si="142"/>
        <v/>
      </c>
    </row>
    <row r="9154" spans="1:7" s="172" customFormat="1" ht="15" customHeight="1" x14ac:dyDescent="0.25">
      <c r="A9154" s="803" t="s">
        <v>12994</v>
      </c>
      <c r="B9154" s="803" t="s">
        <v>8198</v>
      </c>
      <c r="C9154" s="803" t="s">
        <v>8198</v>
      </c>
      <c r="D9154" s="803" t="s">
        <v>8590</v>
      </c>
      <c r="E9154" s="803">
        <v>100</v>
      </c>
      <c r="F9154" s="803">
        <v>60</v>
      </c>
      <c r="G9154" s="202" t="str">
        <f t="shared" si="142"/>
        <v/>
      </c>
    </row>
    <row r="9155" spans="1:7" s="172" customFormat="1" ht="15" customHeight="1" x14ac:dyDescent="0.25">
      <c r="A9155" s="803" t="s">
        <v>6165</v>
      </c>
      <c r="B9155" s="803" t="s">
        <v>8198</v>
      </c>
      <c r="C9155" s="803" t="s">
        <v>8198</v>
      </c>
      <c r="D9155" s="803" t="s">
        <v>8591</v>
      </c>
      <c r="E9155" s="803">
        <v>160</v>
      </c>
      <c r="F9155" s="803">
        <v>144</v>
      </c>
      <c r="G9155" s="202" t="str">
        <f t="shared" si="142"/>
        <v/>
      </c>
    </row>
    <row r="9156" spans="1:7" s="172" customFormat="1" ht="15" customHeight="1" x14ac:dyDescent="0.25">
      <c r="A9156" s="803" t="s">
        <v>6165</v>
      </c>
      <c r="B9156" s="803" t="s">
        <v>8198</v>
      </c>
      <c r="C9156" s="803" t="s">
        <v>8198</v>
      </c>
      <c r="D9156" s="803" t="s">
        <v>8592</v>
      </c>
      <c r="E9156" s="803">
        <v>160</v>
      </c>
      <c r="F9156" s="803">
        <v>16</v>
      </c>
      <c r="G9156" s="202" t="str">
        <f t="shared" si="142"/>
        <v/>
      </c>
    </row>
    <row r="9157" spans="1:7" s="172" customFormat="1" ht="15" customHeight="1" x14ac:dyDescent="0.25">
      <c r="A9157" s="803" t="s">
        <v>6165</v>
      </c>
      <c r="B9157" s="803" t="s">
        <v>8198</v>
      </c>
      <c r="C9157" s="803" t="s">
        <v>8198</v>
      </c>
      <c r="D9157" s="803" t="s">
        <v>8593</v>
      </c>
      <c r="E9157" s="803">
        <v>180</v>
      </c>
      <c r="F9157" s="803">
        <v>36</v>
      </c>
      <c r="G9157" s="202" t="str">
        <f t="shared" si="142"/>
        <v/>
      </c>
    </row>
    <row r="9158" spans="1:7" s="172" customFormat="1" ht="15" customHeight="1" x14ac:dyDescent="0.25">
      <c r="A9158" s="803" t="s">
        <v>6165</v>
      </c>
      <c r="B9158" s="803" t="s">
        <v>8198</v>
      </c>
      <c r="C9158" s="803" t="s">
        <v>8198</v>
      </c>
      <c r="D9158" s="803" t="s">
        <v>8594</v>
      </c>
      <c r="E9158" s="803">
        <v>250</v>
      </c>
      <c r="F9158" s="803">
        <v>20</v>
      </c>
      <c r="G9158" s="202" t="str">
        <f t="shared" si="142"/>
        <v/>
      </c>
    </row>
    <row r="9159" spans="1:7" s="172" customFormat="1" ht="15" customHeight="1" x14ac:dyDescent="0.25">
      <c r="A9159" s="803" t="s">
        <v>4817</v>
      </c>
      <c r="B9159" s="803" t="s">
        <v>8198</v>
      </c>
      <c r="C9159" s="803" t="s">
        <v>8198</v>
      </c>
      <c r="D9159" s="803" t="s">
        <v>8595</v>
      </c>
      <c r="E9159" s="803">
        <v>250</v>
      </c>
      <c r="F9159" s="803">
        <v>100</v>
      </c>
      <c r="G9159" s="202" t="str">
        <f t="shared" si="142"/>
        <v/>
      </c>
    </row>
    <row r="9160" spans="1:7" s="172" customFormat="1" ht="15" customHeight="1" x14ac:dyDescent="0.25">
      <c r="A9160" s="803" t="s">
        <v>12995</v>
      </c>
      <c r="B9160" s="803" t="s">
        <v>8198</v>
      </c>
      <c r="C9160" s="803" t="s">
        <v>8198</v>
      </c>
      <c r="D9160" s="803" t="s">
        <v>8596</v>
      </c>
      <c r="E9160" s="803">
        <v>30</v>
      </c>
      <c r="F9160" s="803">
        <v>12</v>
      </c>
      <c r="G9160" s="202" t="str">
        <f t="shared" si="142"/>
        <v/>
      </c>
    </row>
    <row r="9161" spans="1:7" s="172" customFormat="1" ht="15" customHeight="1" x14ac:dyDescent="0.25">
      <c r="A9161" s="803" t="s">
        <v>6427</v>
      </c>
      <c r="B9161" s="803" t="s">
        <v>8198</v>
      </c>
      <c r="C9161" s="803" t="s">
        <v>8198</v>
      </c>
      <c r="D9161" s="803" t="s">
        <v>8597</v>
      </c>
      <c r="E9161" s="803">
        <v>60</v>
      </c>
      <c r="F9161" s="803">
        <v>18</v>
      </c>
      <c r="G9161" s="202" t="str">
        <f t="shared" si="142"/>
        <v/>
      </c>
    </row>
    <row r="9162" spans="1:7" s="172" customFormat="1" ht="15" customHeight="1" x14ac:dyDescent="0.25">
      <c r="A9162" s="803" t="s">
        <v>3130</v>
      </c>
      <c r="B9162" s="803" t="s">
        <v>8198</v>
      </c>
      <c r="C9162" s="803" t="s">
        <v>8198</v>
      </c>
      <c r="D9162" s="803" t="s">
        <v>8598</v>
      </c>
      <c r="E9162" s="803">
        <v>250</v>
      </c>
      <c r="F9162" s="803">
        <v>100</v>
      </c>
      <c r="G9162" s="202" t="str">
        <f t="shared" si="142"/>
        <v/>
      </c>
    </row>
    <row r="9163" spans="1:7" s="172" customFormat="1" ht="15" customHeight="1" x14ac:dyDescent="0.25">
      <c r="A9163" s="803" t="s">
        <v>3130</v>
      </c>
      <c r="B9163" s="803" t="s">
        <v>8198</v>
      </c>
      <c r="C9163" s="803" t="s">
        <v>8198</v>
      </c>
      <c r="D9163" s="803" t="s">
        <v>8599</v>
      </c>
      <c r="E9163" s="803">
        <v>30</v>
      </c>
      <c r="F9163" s="803">
        <v>12</v>
      </c>
      <c r="G9163" s="202" t="str">
        <f t="shared" si="142"/>
        <v/>
      </c>
    </row>
    <row r="9164" spans="1:7" s="172" customFormat="1" ht="15" customHeight="1" x14ac:dyDescent="0.25">
      <c r="A9164" s="803" t="s">
        <v>3130</v>
      </c>
      <c r="B9164" s="803" t="s">
        <v>8198</v>
      </c>
      <c r="C9164" s="803" t="s">
        <v>8198</v>
      </c>
      <c r="D9164" s="803" t="s">
        <v>8600</v>
      </c>
      <c r="E9164" s="803">
        <v>60</v>
      </c>
      <c r="F9164" s="803">
        <v>6</v>
      </c>
      <c r="G9164" s="202" t="str">
        <f t="shared" si="142"/>
        <v/>
      </c>
    </row>
    <row r="9165" spans="1:7" s="172" customFormat="1" ht="15" customHeight="1" x14ac:dyDescent="0.25">
      <c r="A9165" s="803" t="s">
        <v>3130</v>
      </c>
      <c r="B9165" s="803" t="s">
        <v>8198</v>
      </c>
      <c r="C9165" s="803" t="s">
        <v>8198</v>
      </c>
      <c r="D9165" s="803" t="s">
        <v>8601</v>
      </c>
      <c r="E9165" s="803">
        <v>250</v>
      </c>
      <c r="F9165" s="803">
        <v>20</v>
      </c>
      <c r="G9165" s="202" t="str">
        <f t="shared" si="142"/>
        <v/>
      </c>
    </row>
    <row r="9166" spans="1:7" s="172" customFormat="1" ht="15" customHeight="1" x14ac:dyDescent="0.25">
      <c r="A9166" s="803" t="s">
        <v>8602</v>
      </c>
      <c r="B9166" s="803" t="s">
        <v>8198</v>
      </c>
      <c r="C9166" s="803" t="s">
        <v>8198</v>
      </c>
      <c r="D9166" s="803" t="s">
        <v>8603</v>
      </c>
      <c r="E9166" s="803">
        <v>63</v>
      </c>
      <c r="F9166" s="803">
        <v>0</v>
      </c>
      <c r="G9166" s="202" t="str">
        <f t="shared" si="142"/>
        <v/>
      </c>
    </row>
    <row r="9167" spans="1:7" s="172" customFormat="1" ht="15" customHeight="1" x14ac:dyDescent="0.25">
      <c r="A9167" s="803" t="s">
        <v>8604</v>
      </c>
      <c r="B9167" s="803" t="s">
        <v>8198</v>
      </c>
      <c r="C9167" s="803" t="s">
        <v>8198</v>
      </c>
      <c r="D9167" s="803" t="s">
        <v>8605</v>
      </c>
      <c r="E9167" s="803">
        <v>60</v>
      </c>
      <c r="F9167" s="803">
        <v>30</v>
      </c>
      <c r="G9167" s="202" t="str">
        <f t="shared" si="142"/>
        <v/>
      </c>
    </row>
    <row r="9168" spans="1:7" s="172" customFormat="1" ht="15" customHeight="1" x14ac:dyDescent="0.25">
      <c r="A9168" s="803" t="s">
        <v>8604</v>
      </c>
      <c r="B9168" s="803" t="s">
        <v>8198</v>
      </c>
      <c r="C9168" s="803" t="s">
        <v>8198</v>
      </c>
      <c r="D9168" s="803" t="s">
        <v>8606</v>
      </c>
      <c r="E9168" s="803">
        <v>10</v>
      </c>
      <c r="F9168" s="803">
        <v>0</v>
      </c>
      <c r="G9168" s="202" t="str">
        <f t="shared" si="142"/>
        <v/>
      </c>
    </row>
    <row r="9169" spans="1:7" s="172" customFormat="1" ht="15" customHeight="1" x14ac:dyDescent="0.25">
      <c r="A9169" s="803" t="s">
        <v>12996</v>
      </c>
      <c r="B9169" s="803" t="s">
        <v>8198</v>
      </c>
      <c r="C9169" s="803" t="s">
        <v>8198</v>
      </c>
      <c r="D9169" s="803" t="s">
        <v>8607</v>
      </c>
      <c r="E9169" s="803">
        <v>100</v>
      </c>
      <c r="F9169" s="803">
        <v>0</v>
      </c>
      <c r="G9169" s="202" t="str">
        <f t="shared" si="142"/>
        <v/>
      </c>
    </row>
    <row r="9170" spans="1:7" s="172" customFormat="1" ht="15" customHeight="1" x14ac:dyDescent="0.25">
      <c r="A9170" s="803" t="s">
        <v>8608</v>
      </c>
      <c r="B9170" s="803" t="s">
        <v>8198</v>
      </c>
      <c r="C9170" s="803" t="s">
        <v>8198</v>
      </c>
      <c r="D9170" s="803" t="s">
        <v>8609</v>
      </c>
      <c r="E9170" s="803">
        <v>250</v>
      </c>
      <c r="F9170" s="803">
        <v>100</v>
      </c>
      <c r="G9170" s="202" t="str">
        <f t="shared" si="142"/>
        <v/>
      </c>
    </row>
    <row r="9171" spans="1:7" s="172" customFormat="1" ht="15" customHeight="1" x14ac:dyDescent="0.25">
      <c r="A9171" s="803" t="s">
        <v>2515</v>
      </c>
      <c r="B9171" s="803" t="s">
        <v>8198</v>
      </c>
      <c r="C9171" s="803" t="s">
        <v>8198</v>
      </c>
      <c r="D9171" s="803" t="s">
        <v>8610</v>
      </c>
      <c r="E9171" s="803">
        <v>60</v>
      </c>
      <c r="F9171" s="803">
        <v>30</v>
      </c>
      <c r="G9171" s="202" t="str">
        <f t="shared" si="142"/>
        <v/>
      </c>
    </row>
    <row r="9172" spans="1:7" s="172" customFormat="1" ht="15" customHeight="1" x14ac:dyDescent="0.25">
      <c r="A9172" s="803" t="s">
        <v>2515</v>
      </c>
      <c r="B9172" s="803" t="s">
        <v>8198</v>
      </c>
      <c r="C9172" s="803" t="s">
        <v>8198</v>
      </c>
      <c r="D9172" s="803" t="s">
        <v>8611</v>
      </c>
      <c r="E9172" s="803">
        <v>250</v>
      </c>
      <c r="F9172" s="803">
        <v>125</v>
      </c>
      <c r="G9172" s="202" t="str">
        <f t="shared" si="142"/>
        <v/>
      </c>
    </row>
    <row r="9173" spans="1:7" s="172" customFormat="1" ht="15" customHeight="1" x14ac:dyDescent="0.25">
      <c r="A9173" s="803" t="s">
        <v>12997</v>
      </c>
      <c r="B9173" s="803" t="s">
        <v>8198</v>
      </c>
      <c r="C9173" s="803" t="s">
        <v>8198</v>
      </c>
      <c r="D9173" s="803" t="s">
        <v>8612</v>
      </c>
      <c r="E9173" s="803">
        <v>63</v>
      </c>
      <c r="F9173" s="803">
        <v>20</v>
      </c>
      <c r="G9173" s="202" t="str">
        <f t="shared" si="142"/>
        <v/>
      </c>
    </row>
    <row r="9174" spans="1:7" s="172" customFormat="1" ht="15" customHeight="1" x14ac:dyDescent="0.25">
      <c r="A9174" s="803" t="s">
        <v>12998</v>
      </c>
      <c r="B9174" s="803" t="s">
        <v>8198</v>
      </c>
      <c r="C9174" s="803" t="s">
        <v>8198</v>
      </c>
      <c r="D9174" s="803" t="s">
        <v>8613</v>
      </c>
      <c r="E9174" s="803">
        <v>40</v>
      </c>
      <c r="F9174" s="803">
        <v>0</v>
      </c>
      <c r="G9174" s="202" t="str">
        <f t="shared" si="142"/>
        <v/>
      </c>
    </row>
    <row r="9175" spans="1:7" s="172" customFormat="1" ht="15" customHeight="1" x14ac:dyDescent="0.25">
      <c r="A9175" s="803" t="s">
        <v>8218</v>
      </c>
      <c r="B9175" s="803" t="s">
        <v>8198</v>
      </c>
      <c r="C9175" s="803" t="s">
        <v>8198</v>
      </c>
      <c r="D9175" s="803" t="s">
        <v>8614</v>
      </c>
      <c r="E9175" s="803">
        <v>100</v>
      </c>
      <c r="F9175" s="803">
        <v>30</v>
      </c>
      <c r="G9175" s="202" t="str">
        <f t="shared" si="142"/>
        <v/>
      </c>
    </row>
    <row r="9176" spans="1:7" s="172" customFormat="1" ht="15" customHeight="1" x14ac:dyDescent="0.25">
      <c r="A9176" s="803" t="s">
        <v>8618</v>
      </c>
      <c r="B9176" s="803" t="s">
        <v>8198</v>
      </c>
      <c r="C9176" s="803" t="s">
        <v>8198</v>
      </c>
      <c r="D9176" s="803" t="s">
        <v>8615</v>
      </c>
      <c r="E9176" s="803">
        <v>400</v>
      </c>
      <c r="F9176" s="803">
        <v>360</v>
      </c>
      <c r="G9176" s="202" t="str">
        <f t="shared" si="142"/>
        <v/>
      </c>
    </row>
    <row r="9177" spans="1:7" s="172" customFormat="1" ht="15" customHeight="1" x14ac:dyDescent="0.25">
      <c r="A9177" s="803" t="s">
        <v>8618</v>
      </c>
      <c r="B9177" s="803" t="s">
        <v>8198</v>
      </c>
      <c r="C9177" s="803" t="s">
        <v>8198</v>
      </c>
      <c r="D9177" s="803" t="s">
        <v>8616</v>
      </c>
      <c r="E9177" s="803">
        <v>250</v>
      </c>
      <c r="F9177" s="803">
        <v>25</v>
      </c>
      <c r="G9177" s="202" t="str">
        <f t="shared" si="142"/>
        <v/>
      </c>
    </row>
    <row r="9178" spans="1:7" s="172" customFormat="1" ht="15" customHeight="1" x14ac:dyDescent="0.25">
      <c r="A9178" s="803" t="s">
        <v>8618</v>
      </c>
      <c r="B9178" s="803" t="s">
        <v>8198</v>
      </c>
      <c r="C9178" s="803" t="s">
        <v>8198</v>
      </c>
      <c r="D9178" s="803" t="s">
        <v>8617</v>
      </c>
      <c r="E9178" s="803">
        <v>250</v>
      </c>
      <c r="F9178" s="803">
        <v>0</v>
      </c>
      <c r="G9178" s="202" t="str">
        <f t="shared" si="142"/>
        <v/>
      </c>
    </row>
    <row r="9179" spans="1:7" s="172" customFormat="1" ht="15" customHeight="1" x14ac:dyDescent="0.25">
      <c r="A9179" s="803" t="s">
        <v>8618</v>
      </c>
      <c r="B9179" s="803" t="s">
        <v>8198</v>
      </c>
      <c r="C9179" s="803" t="s">
        <v>8198</v>
      </c>
      <c r="D9179" s="803" t="s">
        <v>8619</v>
      </c>
      <c r="E9179" s="803">
        <v>60</v>
      </c>
      <c r="F9179" s="803">
        <v>3</v>
      </c>
      <c r="G9179" s="202" t="str">
        <f t="shared" si="142"/>
        <v/>
      </c>
    </row>
    <row r="9180" spans="1:7" s="172" customFormat="1" ht="15" customHeight="1" x14ac:dyDescent="0.25">
      <c r="A9180" s="803" t="s">
        <v>8618</v>
      </c>
      <c r="B9180" s="803" t="s">
        <v>8198</v>
      </c>
      <c r="C9180" s="803" t="s">
        <v>8198</v>
      </c>
      <c r="D9180" s="803" t="s">
        <v>8620</v>
      </c>
      <c r="E9180" s="803">
        <v>100</v>
      </c>
      <c r="F9180" s="803">
        <v>50</v>
      </c>
      <c r="G9180" s="202" t="str">
        <f t="shared" ref="G9180:G9243" si="143">IF(E9180=F9180,"не загружен","")</f>
        <v/>
      </c>
    </row>
    <row r="9181" spans="1:7" s="172" customFormat="1" ht="15" customHeight="1" x14ac:dyDescent="0.25">
      <c r="A9181" s="803" t="s">
        <v>12999</v>
      </c>
      <c r="B9181" s="803" t="s">
        <v>8198</v>
      </c>
      <c r="C9181" s="803" t="s">
        <v>8198</v>
      </c>
      <c r="D9181" s="803" t="s">
        <v>8621</v>
      </c>
      <c r="E9181" s="803">
        <v>100</v>
      </c>
      <c r="F9181" s="803">
        <v>90</v>
      </c>
      <c r="G9181" s="202" t="str">
        <f t="shared" si="143"/>
        <v/>
      </c>
    </row>
    <row r="9182" spans="1:7" s="172" customFormat="1" ht="15" customHeight="1" x14ac:dyDescent="0.25">
      <c r="A9182" s="803" t="s">
        <v>13000</v>
      </c>
      <c r="B9182" s="803" t="s">
        <v>8198</v>
      </c>
      <c r="C9182" s="803" t="s">
        <v>8198</v>
      </c>
      <c r="D9182" s="803" t="s">
        <v>8622</v>
      </c>
      <c r="E9182" s="803">
        <v>100</v>
      </c>
      <c r="F9182" s="803">
        <v>30</v>
      </c>
      <c r="G9182" s="202" t="str">
        <f t="shared" si="143"/>
        <v/>
      </c>
    </row>
    <row r="9183" spans="1:7" s="172" customFormat="1" ht="15" customHeight="1" x14ac:dyDescent="0.25">
      <c r="A9183" s="803" t="s">
        <v>13001</v>
      </c>
      <c r="B9183" s="803" t="s">
        <v>8198</v>
      </c>
      <c r="C9183" s="803" t="s">
        <v>8198</v>
      </c>
      <c r="D9183" s="803" t="s">
        <v>8623</v>
      </c>
      <c r="E9183" s="803">
        <v>250</v>
      </c>
      <c r="F9183" s="803">
        <v>75</v>
      </c>
      <c r="G9183" s="202" t="str">
        <f t="shared" si="143"/>
        <v/>
      </c>
    </row>
    <row r="9184" spans="1:7" s="172" customFormat="1" ht="15" customHeight="1" x14ac:dyDescent="0.25">
      <c r="A9184" s="803" t="s">
        <v>13001</v>
      </c>
      <c r="B9184" s="803" t="s">
        <v>8198</v>
      </c>
      <c r="C9184" s="803" t="s">
        <v>8198</v>
      </c>
      <c r="D9184" s="803" t="s">
        <v>8624</v>
      </c>
      <c r="E9184" s="803">
        <v>250</v>
      </c>
      <c r="F9184" s="803">
        <v>100</v>
      </c>
      <c r="G9184" s="202" t="str">
        <f t="shared" si="143"/>
        <v/>
      </c>
    </row>
    <row r="9185" spans="1:7" s="172" customFormat="1" ht="15" customHeight="1" x14ac:dyDescent="0.25">
      <c r="A9185" s="803" t="s">
        <v>13001</v>
      </c>
      <c r="B9185" s="803" t="s">
        <v>8198</v>
      </c>
      <c r="C9185" s="803" t="s">
        <v>8198</v>
      </c>
      <c r="D9185" s="803" t="s">
        <v>8625</v>
      </c>
      <c r="E9185" s="803">
        <v>250</v>
      </c>
      <c r="F9185" s="803">
        <v>50</v>
      </c>
      <c r="G9185" s="202" t="str">
        <f t="shared" si="143"/>
        <v/>
      </c>
    </row>
    <row r="9186" spans="1:7" s="172" customFormat="1" ht="15" customHeight="1" x14ac:dyDescent="0.25">
      <c r="A9186" s="803" t="s">
        <v>13001</v>
      </c>
      <c r="B9186" s="803" t="s">
        <v>8198</v>
      </c>
      <c r="C9186" s="803" t="s">
        <v>8198</v>
      </c>
      <c r="D9186" s="803" t="s">
        <v>8626</v>
      </c>
      <c r="E9186" s="803">
        <v>60</v>
      </c>
      <c r="F9186" s="803">
        <v>6</v>
      </c>
      <c r="G9186" s="202" t="str">
        <f t="shared" si="143"/>
        <v/>
      </c>
    </row>
    <row r="9187" spans="1:7" s="172" customFormat="1" ht="15" customHeight="1" x14ac:dyDescent="0.25">
      <c r="A9187" s="803" t="s">
        <v>13001</v>
      </c>
      <c r="B9187" s="803" t="s">
        <v>8198</v>
      </c>
      <c r="C9187" s="803" t="s">
        <v>8198</v>
      </c>
      <c r="D9187" s="803" t="s">
        <v>8627</v>
      </c>
      <c r="E9187" s="803">
        <v>250</v>
      </c>
      <c r="F9187" s="803">
        <v>125</v>
      </c>
      <c r="G9187" s="202" t="str">
        <f t="shared" si="143"/>
        <v/>
      </c>
    </row>
    <row r="9188" spans="1:7" s="172" customFormat="1" ht="15" customHeight="1" x14ac:dyDescent="0.25">
      <c r="A9188" s="803" t="s">
        <v>13002</v>
      </c>
      <c r="B9188" s="803" t="s">
        <v>8198</v>
      </c>
      <c r="C9188" s="803" t="s">
        <v>8198</v>
      </c>
      <c r="D9188" s="803" t="s">
        <v>8628</v>
      </c>
      <c r="E9188" s="803">
        <v>100</v>
      </c>
      <c r="F9188" s="803">
        <v>30</v>
      </c>
      <c r="G9188" s="202" t="str">
        <f t="shared" si="143"/>
        <v/>
      </c>
    </row>
    <row r="9189" spans="1:7" s="172" customFormat="1" ht="15" customHeight="1" x14ac:dyDescent="0.25">
      <c r="A9189" s="803" t="s">
        <v>13003</v>
      </c>
      <c r="B9189" s="803" t="s">
        <v>8198</v>
      </c>
      <c r="C9189" s="803" t="s">
        <v>8198</v>
      </c>
      <c r="D9189" s="803" t="s">
        <v>8629</v>
      </c>
      <c r="E9189" s="803">
        <v>100</v>
      </c>
      <c r="F9189" s="803">
        <v>20</v>
      </c>
      <c r="G9189" s="202" t="str">
        <f t="shared" si="143"/>
        <v/>
      </c>
    </row>
    <row r="9190" spans="1:7" s="172" customFormat="1" ht="15" customHeight="1" x14ac:dyDescent="0.25">
      <c r="A9190" s="803" t="s">
        <v>8630</v>
      </c>
      <c r="B9190" s="803" t="s">
        <v>8198</v>
      </c>
      <c r="C9190" s="803" t="s">
        <v>8198</v>
      </c>
      <c r="D9190" s="803" t="s">
        <v>8631</v>
      </c>
      <c r="E9190" s="803">
        <v>30</v>
      </c>
      <c r="F9190" s="803">
        <v>9</v>
      </c>
      <c r="G9190" s="202" t="str">
        <f t="shared" si="143"/>
        <v/>
      </c>
    </row>
    <row r="9191" spans="1:7" s="172" customFormat="1" ht="15" customHeight="1" x14ac:dyDescent="0.25">
      <c r="A9191" s="803" t="s">
        <v>13004</v>
      </c>
      <c r="B9191" s="803" t="s">
        <v>8198</v>
      </c>
      <c r="C9191" s="803" t="s">
        <v>8198</v>
      </c>
      <c r="D9191" s="803" t="s">
        <v>8632</v>
      </c>
      <c r="E9191" s="803">
        <v>100</v>
      </c>
      <c r="F9191" s="803">
        <v>60</v>
      </c>
      <c r="G9191" s="202" t="str">
        <f t="shared" si="143"/>
        <v/>
      </c>
    </row>
    <row r="9192" spans="1:7" s="172" customFormat="1" ht="15" customHeight="1" x14ac:dyDescent="0.25">
      <c r="A9192" s="803" t="s">
        <v>13005</v>
      </c>
      <c r="B9192" s="803" t="s">
        <v>8198</v>
      </c>
      <c r="C9192" s="803" t="s">
        <v>8198</v>
      </c>
      <c r="D9192" s="803" t="s">
        <v>8633</v>
      </c>
      <c r="E9192" s="803">
        <v>60</v>
      </c>
      <c r="F9192" s="803">
        <v>36</v>
      </c>
      <c r="G9192" s="202" t="str">
        <f t="shared" si="143"/>
        <v/>
      </c>
    </row>
    <row r="9193" spans="1:7" s="172" customFormat="1" ht="15" customHeight="1" x14ac:dyDescent="0.25">
      <c r="A9193" s="803" t="s">
        <v>13006</v>
      </c>
      <c r="B9193" s="803" t="s">
        <v>8198</v>
      </c>
      <c r="C9193" s="803" t="s">
        <v>8198</v>
      </c>
      <c r="D9193" s="803" t="s">
        <v>8634</v>
      </c>
      <c r="E9193" s="803">
        <v>63</v>
      </c>
      <c r="F9193" s="803">
        <v>20</v>
      </c>
      <c r="G9193" s="202" t="str">
        <f t="shared" si="143"/>
        <v/>
      </c>
    </row>
    <row r="9194" spans="1:7" s="172" customFormat="1" ht="15" customHeight="1" x14ac:dyDescent="0.25">
      <c r="A9194" s="803" t="s">
        <v>8635</v>
      </c>
      <c r="B9194" s="803" t="s">
        <v>8198</v>
      </c>
      <c r="C9194" s="803" t="s">
        <v>8198</v>
      </c>
      <c r="D9194" s="803" t="s">
        <v>8636</v>
      </c>
      <c r="E9194" s="803">
        <v>60</v>
      </c>
      <c r="F9194" s="803">
        <v>12</v>
      </c>
      <c r="G9194" s="202" t="str">
        <f t="shared" si="143"/>
        <v/>
      </c>
    </row>
    <row r="9195" spans="1:7" s="172" customFormat="1" ht="15" customHeight="1" x14ac:dyDescent="0.25">
      <c r="A9195" s="803" t="s">
        <v>13007</v>
      </c>
      <c r="B9195" s="803" t="s">
        <v>8198</v>
      </c>
      <c r="C9195" s="803" t="s">
        <v>8198</v>
      </c>
      <c r="D9195" s="803" t="s">
        <v>8637</v>
      </c>
      <c r="E9195" s="803">
        <v>30</v>
      </c>
      <c r="F9195" s="803">
        <v>24</v>
      </c>
      <c r="G9195" s="202" t="str">
        <f t="shared" si="143"/>
        <v/>
      </c>
    </row>
    <row r="9196" spans="1:7" s="172" customFormat="1" ht="15" customHeight="1" x14ac:dyDescent="0.25">
      <c r="A9196" s="803" t="s">
        <v>13008</v>
      </c>
      <c r="B9196" s="803" t="s">
        <v>8198</v>
      </c>
      <c r="C9196" s="803" t="s">
        <v>8198</v>
      </c>
      <c r="D9196" s="803" t="s">
        <v>8638</v>
      </c>
      <c r="E9196" s="803">
        <v>30</v>
      </c>
      <c r="F9196" s="803">
        <v>15</v>
      </c>
      <c r="G9196" s="202" t="str">
        <f t="shared" si="143"/>
        <v/>
      </c>
    </row>
    <row r="9197" spans="1:7" s="172" customFormat="1" ht="15" customHeight="1" x14ac:dyDescent="0.25">
      <c r="A9197" s="803" t="s">
        <v>6279</v>
      </c>
      <c r="B9197" s="803" t="s">
        <v>8198</v>
      </c>
      <c r="C9197" s="803" t="s">
        <v>8198</v>
      </c>
      <c r="D9197" s="803" t="s">
        <v>8639</v>
      </c>
      <c r="E9197" s="803">
        <v>60</v>
      </c>
      <c r="F9197" s="803">
        <v>30</v>
      </c>
      <c r="G9197" s="202" t="str">
        <f t="shared" si="143"/>
        <v/>
      </c>
    </row>
    <row r="9198" spans="1:7" s="172" customFormat="1" ht="15" customHeight="1" x14ac:dyDescent="0.25">
      <c r="A9198" s="803" t="s">
        <v>4816</v>
      </c>
      <c r="B9198" s="803" t="s">
        <v>8198</v>
      </c>
      <c r="C9198" s="803" t="s">
        <v>8198</v>
      </c>
      <c r="D9198" s="803" t="s">
        <v>8640</v>
      </c>
      <c r="E9198" s="803">
        <v>100</v>
      </c>
      <c r="F9198" s="803">
        <v>30</v>
      </c>
      <c r="G9198" s="202" t="str">
        <f t="shared" si="143"/>
        <v/>
      </c>
    </row>
    <row r="9199" spans="1:7" s="172" customFormat="1" ht="15" customHeight="1" x14ac:dyDescent="0.25">
      <c r="A9199" s="803" t="s">
        <v>13009</v>
      </c>
      <c r="B9199" s="803" t="s">
        <v>8198</v>
      </c>
      <c r="C9199" s="803" t="s">
        <v>8198</v>
      </c>
      <c r="D9199" s="803" t="s">
        <v>8641</v>
      </c>
      <c r="E9199" s="803">
        <v>100</v>
      </c>
      <c r="F9199" s="803">
        <v>0</v>
      </c>
      <c r="G9199" s="202" t="str">
        <f t="shared" si="143"/>
        <v/>
      </c>
    </row>
    <row r="9200" spans="1:7" s="172" customFormat="1" ht="15" customHeight="1" x14ac:dyDescent="0.25">
      <c r="A9200" s="803" t="s">
        <v>13010</v>
      </c>
      <c r="B9200" s="803" t="s">
        <v>8198</v>
      </c>
      <c r="C9200" s="803" t="s">
        <v>8198</v>
      </c>
      <c r="D9200" s="803" t="s">
        <v>8642</v>
      </c>
      <c r="E9200" s="803">
        <v>63</v>
      </c>
      <c r="F9200" s="803">
        <v>10</v>
      </c>
      <c r="G9200" s="202" t="str">
        <f t="shared" si="143"/>
        <v/>
      </c>
    </row>
    <row r="9201" spans="1:7" s="172" customFormat="1" ht="15" customHeight="1" x14ac:dyDescent="0.25">
      <c r="A9201" s="803" t="s">
        <v>13011</v>
      </c>
      <c r="B9201" s="803" t="s">
        <v>8198</v>
      </c>
      <c r="C9201" s="803" t="s">
        <v>8198</v>
      </c>
      <c r="D9201" s="803" t="s">
        <v>8643</v>
      </c>
      <c r="E9201" s="803">
        <v>63</v>
      </c>
      <c r="F9201" s="803">
        <v>10</v>
      </c>
      <c r="G9201" s="202" t="str">
        <f t="shared" si="143"/>
        <v/>
      </c>
    </row>
    <row r="9202" spans="1:7" s="172" customFormat="1" ht="15" customHeight="1" x14ac:dyDescent="0.25">
      <c r="A9202" s="803" t="s">
        <v>8644</v>
      </c>
      <c r="B9202" s="803" t="s">
        <v>8198</v>
      </c>
      <c r="C9202" s="803" t="s">
        <v>8198</v>
      </c>
      <c r="D9202" s="803" t="s">
        <v>8645</v>
      </c>
      <c r="E9202" s="803">
        <v>63</v>
      </c>
      <c r="F9202" s="803">
        <v>0</v>
      </c>
      <c r="G9202" s="202" t="str">
        <f t="shared" si="143"/>
        <v/>
      </c>
    </row>
    <row r="9203" spans="1:7" s="172" customFormat="1" ht="15" customHeight="1" x14ac:dyDescent="0.25">
      <c r="A9203" s="803" t="s">
        <v>8644</v>
      </c>
      <c r="B9203" s="803" t="s">
        <v>8198</v>
      </c>
      <c r="C9203" s="803" t="s">
        <v>8198</v>
      </c>
      <c r="D9203" s="803" t="s">
        <v>8646</v>
      </c>
      <c r="E9203" s="803">
        <v>250</v>
      </c>
      <c r="F9203" s="803">
        <v>0</v>
      </c>
      <c r="G9203" s="202" t="str">
        <f t="shared" si="143"/>
        <v/>
      </c>
    </row>
    <row r="9204" spans="1:7" s="172" customFormat="1" ht="15" customHeight="1" x14ac:dyDescent="0.25">
      <c r="A9204" s="803" t="s">
        <v>13012</v>
      </c>
      <c r="B9204" s="803" t="s">
        <v>8198</v>
      </c>
      <c r="C9204" s="803" t="s">
        <v>8198</v>
      </c>
      <c r="D9204" s="803" t="s">
        <v>8647</v>
      </c>
      <c r="E9204" s="803">
        <v>60</v>
      </c>
      <c r="F9204" s="803">
        <v>0</v>
      </c>
      <c r="G9204" s="202" t="str">
        <f t="shared" si="143"/>
        <v/>
      </c>
    </row>
    <row r="9205" spans="1:7" s="172" customFormat="1" ht="15" customHeight="1" x14ac:dyDescent="0.25">
      <c r="A9205" s="803" t="s">
        <v>13013</v>
      </c>
      <c r="B9205" s="803" t="s">
        <v>8198</v>
      </c>
      <c r="C9205" s="803" t="s">
        <v>8198</v>
      </c>
      <c r="D9205" s="803" t="s">
        <v>8648</v>
      </c>
      <c r="E9205" s="803">
        <v>160</v>
      </c>
      <c r="F9205" s="803">
        <v>100</v>
      </c>
      <c r="G9205" s="202" t="str">
        <f t="shared" si="143"/>
        <v/>
      </c>
    </row>
    <row r="9206" spans="1:7" s="172" customFormat="1" ht="15" customHeight="1" x14ac:dyDescent="0.25">
      <c r="A9206" s="803" t="s">
        <v>13014</v>
      </c>
      <c r="B9206" s="803" t="s">
        <v>8198</v>
      </c>
      <c r="C9206" s="803" t="s">
        <v>8198</v>
      </c>
      <c r="D9206" s="803" t="s">
        <v>8649</v>
      </c>
      <c r="E9206" s="803">
        <v>60</v>
      </c>
      <c r="F9206" s="803">
        <v>18</v>
      </c>
      <c r="G9206" s="202" t="str">
        <f t="shared" si="143"/>
        <v/>
      </c>
    </row>
    <row r="9207" spans="1:7" s="172" customFormat="1" ht="15" customHeight="1" x14ac:dyDescent="0.25">
      <c r="A9207" s="803" t="s">
        <v>13015</v>
      </c>
      <c r="B9207" s="803" t="s">
        <v>8198</v>
      </c>
      <c r="C9207" s="803" t="s">
        <v>8198</v>
      </c>
      <c r="D9207" s="803" t="s">
        <v>8650</v>
      </c>
      <c r="E9207" s="803">
        <v>30</v>
      </c>
      <c r="F9207" s="803">
        <v>24</v>
      </c>
      <c r="G9207" s="202" t="str">
        <f t="shared" si="143"/>
        <v/>
      </c>
    </row>
    <row r="9208" spans="1:7" s="172" customFormat="1" ht="15" customHeight="1" x14ac:dyDescent="0.25">
      <c r="A9208" s="803" t="s">
        <v>8651</v>
      </c>
      <c r="B9208" s="803" t="s">
        <v>8198</v>
      </c>
      <c r="C9208" s="803" t="s">
        <v>8198</v>
      </c>
      <c r="D9208" s="803" t="s">
        <v>8652</v>
      </c>
      <c r="E9208" s="803">
        <v>100</v>
      </c>
      <c r="F9208" s="803">
        <v>15</v>
      </c>
      <c r="G9208" s="202" t="str">
        <f t="shared" si="143"/>
        <v/>
      </c>
    </row>
    <row r="9209" spans="1:7" s="172" customFormat="1" ht="15" customHeight="1" x14ac:dyDescent="0.25">
      <c r="A9209" s="803" t="s">
        <v>12892</v>
      </c>
      <c r="B9209" s="803" t="s">
        <v>8198</v>
      </c>
      <c r="C9209" s="803" t="s">
        <v>8198</v>
      </c>
      <c r="D9209" s="803" t="s">
        <v>8653</v>
      </c>
      <c r="E9209" s="803">
        <v>100</v>
      </c>
      <c r="F9209" s="803">
        <v>30</v>
      </c>
      <c r="G9209" s="202" t="str">
        <f t="shared" si="143"/>
        <v/>
      </c>
    </row>
    <row r="9210" spans="1:7" s="172" customFormat="1" ht="15" customHeight="1" x14ac:dyDescent="0.25">
      <c r="A9210" s="803" t="s">
        <v>7546</v>
      </c>
      <c r="B9210" s="803" t="s">
        <v>8198</v>
      </c>
      <c r="C9210" s="803" t="s">
        <v>8198</v>
      </c>
      <c r="D9210" s="803" t="s">
        <v>8654</v>
      </c>
      <c r="E9210" s="803">
        <v>30</v>
      </c>
      <c r="F9210" s="803">
        <v>0</v>
      </c>
      <c r="G9210" s="202" t="str">
        <f t="shared" si="143"/>
        <v/>
      </c>
    </row>
    <row r="9211" spans="1:7" s="172" customFormat="1" ht="15" customHeight="1" x14ac:dyDescent="0.25">
      <c r="A9211" s="803" t="s">
        <v>13016</v>
      </c>
      <c r="B9211" s="803" t="s">
        <v>8198</v>
      </c>
      <c r="C9211" s="803" t="s">
        <v>8198</v>
      </c>
      <c r="D9211" s="803" t="s">
        <v>8655</v>
      </c>
      <c r="E9211" s="803">
        <v>60</v>
      </c>
      <c r="F9211" s="803">
        <v>30</v>
      </c>
      <c r="G9211" s="202" t="str">
        <f t="shared" si="143"/>
        <v/>
      </c>
    </row>
    <row r="9212" spans="1:7" s="172" customFormat="1" ht="15" customHeight="1" x14ac:dyDescent="0.25">
      <c r="A9212" s="803" t="s">
        <v>7878</v>
      </c>
      <c r="B9212" s="803" t="s">
        <v>8198</v>
      </c>
      <c r="C9212" s="803" t="s">
        <v>8198</v>
      </c>
      <c r="D9212" s="803" t="s">
        <v>8656</v>
      </c>
      <c r="E9212" s="803">
        <v>250</v>
      </c>
      <c r="F9212" s="803">
        <v>150</v>
      </c>
      <c r="G9212" s="202" t="str">
        <f t="shared" si="143"/>
        <v/>
      </c>
    </row>
    <row r="9213" spans="1:7" s="172" customFormat="1" ht="15" customHeight="1" x14ac:dyDescent="0.25">
      <c r="A9213" s="803" t="s">
        <v>13017</v>
      </c>
      <c r="B9213" s="803" t="s">
        <v>8198</v>
      </c>
      <c r="C9213" s="803" t="s">
        <v>8198</v>
      </c>
      <c r="D9213" s="803" t="s">
        <v>8657</v>
      </c>
      <c r="E9213" s="803">
        <v>160</v>
      </c>
      <c r="F9213" s="803">
        <v>48</v>
      </c>
      <c r="G9213" s="202" t="str">
        <f t="shared" si="143"/>
        <v/>
      </c>
    </row>
    <row r="9214" spans="1:7" s="172" customFormat="1" ht="15" customHeight="1" x14ac:dyDescent="0.25">
      <c r="A9214" s="803" t="s">
        <v>13018</v>
      </c>
      <c r="B9214" s="803" t="s">
        <v>8198</v>
      </c>
      <c r="C9214" s="803" t="s">
        <v>8198</v>
      </c>
      <c r="D9214" s="803" t="s">
        <v>8658</v>
      </c>
      <c r="E9214" s="803">
        <v>250</v>
      </c>
      <c r="F9214" s="803">
        <v>100</v>
      </c>
      <c r="G9214" s="202" t="str">
        <f t="shared" si="143"/>
        <v/>
      </c>
    </row>
    <row r="9215" spans="1:7" s="172" customFormat="1" ht="15" customHeight="1" x14ac:dyDescent="0.25">
      <c r="A9215" s="803" t="s">
        <v>13019</v>
      </c>
      <c r="B9215" s="803" t="s">
        <v>8198</v>
      </c>
      <c r="C9215" s="803" t="s">
        <v>8198</v>
      </c>
      <c r="D9215" s="803" t="s">
        <v>8659</v>
      </c>
      <c r="E9215" s="803">
        <v>40</v>
      </c>
      <c r="F9215" s="803">
        <v>4</v>
      </c>
      <c r="G9215" s="202" t="str">
        <f t="shared" si="143"/>
        <v/>
      </c>
    </row>
    <row r="9216" spans="1:7" s="172" customFormat="1" ht="15" customHeight="1" x14ac:dyDescent="0.25">
      <c r="A9216" s="803" t="s">
        <v>13020</v>
      </c>
      <c r="B9216" s="803" t="s">
        <v>8198</v>
      </c>
      <c r="C9216" s="803" t="s">
        <v>8198</v>
      </c>
      <c r="D9216" s="803" t="s">
        <v>8660</v>
      </c>
      <c r="E9216" s="803">
        <v>100</v>
      </c>
      <c r="F9216" s="803">
        <v>15</v>
      </c>
      <c r="G9216" s="202" t="str">
        <f t="shared" si="143"/>
        <v/>
      </c>
    </row>
    <row r="9217" spans="1:7" s="172" customFormat="1" ht="15" customHeight="1" x14ac:dyDescent="0.25">
      <c r="A9217" s="803" t="s">
        <v>13021</v>
      </c>
      <c r="B9217" s="803" t="s">
        <v>8198</v>
      </c>
      <c r="C9217" s="803" t="s">
        <v>8198</v>
      </c>
      <c r="D9217" s="803" t="s">
        <v>8661</v>
      </c>
      <c r="E9217" s="803">
        <v>250</v>
      </c>
      <c r="F9217" s="803">
        <v>25</v>
      </c>
      <c r="G9217" s="202" t="str">
        <f t="shared" si="143"/>
        <v/>
      </c>
    </row>
    <row r="9218" spans="1:7" s="172" customFormat="1" ht="15" customHeight="1" x14ac:dyDescent="0.25">
      <c r="A9218" s="803" t="s">
        <v>11553</v>
      </c>
      <c r="B9218" s="803" t="s">
        <v>8198</v>
      </c>
      <c r="C9218" s="803" t="s">
        <v>8198</v>
      </c>
      <c r="D9218" s="803" t="s">
        <v>8662</v>
      </c>
      <c r="E9218" s="803">
        <v>60</v>
      </c>
      <c r="F9218" s="803">
        <v>12</v>
      </c>
      <c r="G9218" s="202" t="str">
        <f t="shared" si="143"/>
        <v/>
      </c>
    </row>
    <row r="9219" spans="1:7" s="172" customFormat="1" ht="15" customHeight="1" x14ac:dyDescent="0.25">
      <c r="A9219" s="803" t="s">
        <v>3459</v>
      </c>
      <c r="B9219" s="803" t="s">
        <v>8198</v>
      </c>
      <c r="C9219" s="803" t="s">
        <v>8198</v>
      </c>
      <c r="D9219" s="803" t="s">
        <v>8663</v>
      </c>
      <c r="E9219" s="803">
        <v>250</v>
      </c>
      <c r="F9219" s="803">
        <v>75</v>
      </c>
      <c r="G9219" s="202" t="str">
        <f t="shared" si="143"/>
        <v/>
      </c>
    </row>
    <row r="9220" spans="1:7" s="172" customFormat="1" ht="15" customHeight="1" x14ac:dyDescent="0.25">
      <c r="A9220" s="803" t="s">
        <v>13022</v>
      </c>
      <c r="B9220" s="803" t="s">
        <v>8198</v>
      </c>
      <c r="C9220" s="803" t="s">
        <v>8198</v>
      </c>
      <c r="D9220" s="803" t="s">
        <v>8664</v>
      </c>
      <c r="E9220" s="803">
        <v>30</v>
      </c>
      <c r="F9220" s="803">
        <v>0</v>
      </c>
      <c r="G9220" s="202" t="str">
        <f t="shared" si="143"/>
        <v/>
      </c>
    </row>
    <row r="9221" spans="1:7" s="172" customFormat="1" ht="15" customHeight="1" x14ac:dyDescent="0.25">
      <c r="A9221" s="803" t="s">
        <v>13023</v>
      </c>
      <c r="B9221" s="803" t="s">
        <v>8198</v>
      </c>
      <c r="C9221" s="803" t="s">
        <v>8198</v>
      </c>
      <c r="D9221" s="803" t="s">
        <v>8665</v>
      </c>
      <c r="E9221" s="803">
        <v>60</v>
      </c>
      <c r="F9221" s="803">
        <v>24</v>
      </c>
      <c r="G9221" s="202" t="str">
        <f t="shared" si="143"/>
        <v/>
      </c>
    </row>
    <row r="9222" spans="1:7" s="172" customFormat="1" ht="15" customHeight="1" x14ac:dyDescent="0.25">
      <c r="A9222" s="803" t="s">
        <v>13024</v>
      </c>
      <c r="B9222" s="803" t="s">
        <v>8198</v>
      </c>
      <c r="C9222" s="803" t="s">
        <v>8198</v>
      </c>
      <c r="D9222" s="803" t="s">
        <v>8666</v>
      </c>
      <c r="E9222" s="803">
        <v>30</v>
      </c>
      <c r="F9222" s="803">
        <v>18</v>
      </c>
      <c r="G9222" s="202" t="str">
        <f t="shared" si="143"/>
        <v/>
      </c>
    </row>
    <row r="9223" spans="1:7" s="172" customFormat="1" ht="15" customHeight="1" x14ac:dyDescent="0.25">
      <c r="A9223" s="803" t="s">
        <v>8667</v>
      </c>
      <c r="B9223" s="803" t="s">
        <v>8198</v>
      </c>
      <c r="C9223" s="803" t="s">
        <v>8198</v>
      </c>
      <c r="D9223" s="803" t="s">
        <v>8668</v>
      </c>
      <c r="E9223" s="803">
        <v>30</v>
      </c>
      <c r="F9223" s="803">
        <v>9</v>
      </c>
      <c r="G9223" s="202" t="str">
        <f t="shared" si="143"/>
        <v/>
      </c>
    </row>
    <row r="9224" spans="1:7" s="172" customFormat="1" ht="15" customHeight="1" x14ac:dyDescent="0.25">
      <c r="A9224" s="803" t="s">
        <v>8667</v>
      </c>
      <c r="B9224" s="803" t="s">
        <v>8198</v>
      </c>
      <c r="C9224" s="803" t="s">
        <v>8198</v>
      </c>
      <c r="D9224" s="803" t="s">
        <v>8669</v>
      </c>
      <c r="E9224" s="803">
        <v>250</v>
      </c>
      <c r="F9224" s="803">
        <v>75</v>
      </c>
      <c r="G9224" s="202" t="str">
        <f t="shared" si="143"/>
        <v/>
      </c>
    </row>
    <row r="9225" spans="1:7" s="172" customFormat="1" ht="15" customHeight="1" x14ac:dyDescent="0.25">
      <c r="A9225" s="803" t="s">
        <v>5037</v>
      </c>
      <c r="B9225" s="803" t="s">
        <v>8198</v>
      </c>
      <c r="C9225" s="803" t="s">
        <v>8198</v>
      </c>
      <c r="D9225" s="803" t="s">
        <v>8670</v>
      </c>
      <c r="E9225" s="803">
        <v>250</v>
      </c>
      <c r="F9225" s="803">
        <v>200</v>
      </c>
      <c r="G9225" s="202" t="str">
        <f t="shared" si="143"/>
        <v/>
      </c>
    </row>
    <row r="9226" spans="1:7" s="172" customFormat="1" ht="15" customHeight="1" x14ac:dyDescent="0.25">
      <c r="A9226" s="803" t="s">
        <v>5037</v>
      </c>
      <c r="B9226" s="803" t="s">
        <v>8198</v>
      </c>
      <c r="C9226" s="803" t="s">
        <v>8198</v>
      </c>
      <c r="D9226" s="803" t="s">
        <v>8671</v>
      </c>
      <c r="E9226" s="803">
        <v>250</v>
      </c>
      <c r="F9226" s="803">
        <v>50</v>
      </c>
      <c r="G9226" s="202" t="str">
        <f t="shared" si="143"/>
        <v/>
      </c>
    </row>
    <row r="9227" spans="1:7" s="172" customFormat="1" ht="15" customHeight="1" x14ac:dyDescent="0.25">
      <c r="A9227" s="803" t="s">
        <v>5037</v>
      </c>
      <c r="B9227" s="803" t="s">
        <v>8198</v>
      </c>
      <c r="C9227" s="803" t="s">
        <v>8198</v>
      </c>
      <c r="D9227" s="803" t="s">
        <v>8672</v>
      </c>
      <c r="E9227" s="803">
        <v>60</v>
      </c>
      <c r="F9227" s="803">
        <v>30</v>
      </c>
      <c r="G9227" s="202" t="str">
        <f t="shared" si="143"/>
        <v/>
      </c>
    </row>
    <row r="9228" spans="1:7" s="172" customFormat="1" ht="15" customHeight="1" x14ac:dyDescent="0.25">
      <c r="A9228" s="803" t="s">
        <v>5037</v>
      </c>
      <c r="B9228" s="803" t="s">
        <v>8198</v>
      </c>
      <c r="C9228" s="803" t="s">
        <v>8198</v>
      </c>
      <c r="D9228" s="803" t="s">
        <v>8673</v>
      </c>
      <c r="E9228" s="803">
        <v>250</v>
      </c>
      <c r="F9228" s="803">
        <v>12.5</v>
      </c>
      <c r="G9228" s="202" t="str">
        <f t="shared" si="143"/>
        <v/>
      </c>
    </row>
    <row r="9229" spans="1:7" s="172" customFormat="1" ht="15" customHeight="1" x14ac:dyDescent="0.25">
      <c r="A9229" s="803" t="s">
        <v>8208</v>
      </c>
      <c r="B9229" s="803" t="s">
        <v>8198</v>
      </c>
      <c r="C9229" s="803" t="s">
        <v>8198</v>
      </c>
      <c r="D9229" s="803" t="s">
        <v>8674</v>
      </c>
      <c r="E9229" s="803">
        <v>250</v>
      </c>
      <c r="F9229" s="803">
        <v>12.5</v>
      </c>
      <c r="G9229" s="202" t="str">
        <f t="shared" si="143"/>
        <v/>
      </c>
    </row>
    <row r="9230" spans="1:7" s="172" customFormat="1" ht="15" customHeight="1" x14ac:dyDescent="0.25">
      <c r="A9230" s="803" t="s">
        <v>8208</v>
      </c>
      <c r="B9230" s="803" t="s">
        <v>8198</v>
      </c>
      <c r="C9230" s="803" t="s">
        <v>8198</v>
      </c>
      <c r="D9230" s="803" t="s">
        <v>8675</v>
      </c>
      <c r="E9230" s="803">
        <v>30</v>
      </c>
      <c r="F9230" s="803">
        <v>4.5</v>
      </c>
      <c r="G9230" s="202" t="str">
        <f t="shared" si="143"/>
        <v/>
      </c>
    </row>
    <row r="9231" spans="1:7" s="172" customFormat="1" ht="15" customHeight="1" x14ac:dyDescent="0.25">
      <c r="A9231" s="803" t="s">
        <v>8208</v>
      </c>
      <c r="B9231" s="803" t="s">
        <v>8198</v>
      </c>
      <c r="C9231" s="803" t="s">
        <v>8198</v>
      </c>
      <c r="D9231" s="803" t="s">
        <v>8676</v>
      </c>
      <c r="E9231" s="803">
        <v>160</v>
      </c>
      <c r="F9231" s="803">
        <v>0</v>
      </c>
      <c r="G9231" s="202" t="str">
        <f t="shared" si="143"/>
        <v/>
      </c>
    </row>
    <row r="9232" spans="1:7" s="172" customFormat="1" ht="15" customHeight="1" x14ac:dyDescent="0.25">
      <c r="A9232" s="803" t="s">
        <v>13025</v>
      </c>
      <c r="B9232" s="803" t="s">
        <v>8198</v>
      </c>
      <c r="C9232" s="803" t="s">
        <v>8198</v>
      </c>
      <c r="D9232" s="803" t="s">
        <v>8677</v>
      </c>
      <c r="E9232" s="803">
        <v>60</v>
      </c>
      <c r="F9232" s="803">
        <v>36</v>
      </c>
      <c r="G9232" s="202" t="str">
        <f t="shared" si="143"/>
        <v/>
      </c>
    </row>
    <row r="9233" spans="1:7" s="172" customFormat="1" ht="15" customHeight="1" x14ac:dyDescent="0.25">
      <c r="A9233" s="803" t="s">
        <v>13026</v>
      </c>
      <c r="B9233" s="803" t="s">
        <v>8198</v>
      </c>
      <c r="C9233" s="803" t="s">
        <v>8198</v>
      </c>
      <c r="D9233" s="803" t="s">
        <v>8678</v>
      </c>
      <c r="E9233" s="803">
        <v>100</v>
      </c>
      <c r="F9233" s="803">
        <v>30</v>
      </c>
      <c r="G9233" s="202" t="str">
        <f t="shared" si="143"/>
        <v/>
      </c>
    </row>
    <row r="9234" spans="1:7" s="172" customFormat="1" ht="15" customHeight="1" x14ac:dyDescent="0.25">
      <c r="A9234" s="803" t="s">
        <v>13027</v>
      </c>
      <c r="B9234" s="803" t="s">
        <v>8198</v>
      </c>
      <c r="C9234" s="803" t="s">
        <v>8198</v>
      </c>
      <c r="D9234" s="803" t="s">
        <v>8679</v>
      </c>
      <c r="E9234" s="803">
        <v>100</v>
      </c>
      <c r="F9234" s="803">
        <v>40</v>
      </c>
      <c r="G9234" s="202" t="str">
        <f t="shared" si="143"/>
        <v/>
      </c>
    </row>
    <row r="9235" spans="1:7" s="172" customFormat="1" ht="15" customHeight="1" x14ac:dyDescent="0.25">
      <c r="A9235" s="803" t="s">
        <v>12926</v>
      </c>
      <c r="B9235" s="803" t="s">
        <v>8198</v>
      </c>
      <c r="C9235" s="803" t="s">
        <v>8198</v>
      </c>
      <c r="D9235" s="803" t="s">
        <v>8680</v>
      </c>
      <c r="E9235" s="803">
        <v>250</v>
      </c>
      <c r="F9235" s="803">
        <v>25</v>
      </c>
      <c r="G9235" s="202" t="str">
        <f t="shared" si="143"/>
        <v/>
      </c>
    </row>
    <row r="9236" spans="1:7" s="172" customFormat="1" ht="15" customHeight="1" x14ac:dyDescent="0.25">
      <c r="A9236" s="803" t="s">
        <v>13028</v>
      </c>
      <c r="B9236" s="803" t="s">
        <v>8198</v>
      </c>
      <c r="C9236" s="803" t="s">
        <v>8198</v>
      </c>
      <c r="D9236" s="803" t="s">
        <v>8681</v>
      </c>
      <c r="E9236" s="803">
        <v>30</v>
      </c>
      <c r="F9236" s="803">
        <v>5</v>
      </c>
      <c r="G9236" s="202" t="str">
        <f t="shared" si="143"/>
        <v/>
      </c>
    </row>
    <row r="9237" spans="1:7" s="172" customFormat="1" ht="15" customHeight="1" x14ac:dyDescent="0.25">
      <c r="A9237" s="803" t="s">
        <v>8704</v>
      </c>
      <c r="B9237" s="803" t="s">
        <v>8198</v>
      </c>
      <c r="C9237" s="803" t="s">
        <v>8198</v>
      </c>
      <c r="D9237" s="803" t="s">
        <v>8682</v>
      </c>
      <c r="E9237" s="803">
        <v>160</v>
      </c>
      <c r="F9237" s="803">
        <v>112</v>
      </c>
      <c r="G9237" s="202" t="str">
        <f t="shared" si="143"/>
        <v/>
      </c>
    </row>
    <row r="9238" spans="1:7" s="172" customFormat="1" ht="15" customHeight="1" x14ac:dyDescent="0.25">
      <c r="A9238" s="803" t="s">
        <v>8683</v>
      </c>
      <c r="B9238" s="803" t="s">
        <v>8198</v>
      </c>
      <c r="C9238" s="803" t="s">
        <v>8198</v>
      </c>
      <c r="D9238" s="803" t="s">
        <v>8684</v>
      </c>
      <c r="E9238" s="803">
        <v>60</v>
      </c>
      <c r="F9238" s="803">
        <v>60</v>
      </c>
      <c r="G9238" s="202" t="str">
        <f t="shared" si="143"/>
        <v>не загружен</v>
      </c>
    </row>
    <row r="9239" spans="1:7" s="172" customFormat="1" ht="15" customHeight="1" x14ac:dyDescent="0.25">
      <c r="A9239" s="803" t="s">
        <v>8704</v>
      </c>
      <c r="B9239" s="803" t="s">
        <v>8198</v>
      </c>
      <c r="C9239" s="803" t="s">
        <v>8198</v>
      </c>
      <c r="D9239" s="803" t="s">
        <v>8685</v>
      </c>
      <c r="E9239" s="803">
        <v>400</v>
      </c>
      <c r="F9239" s="803">
        <v>240</v>
      </c>
      <c r="G9239" s="202" t="str">
        <f t="shared" si="143"/>
        <v/>
      </c>
    </row>
    <row r="9240" spans="1:7" s="172" customFormat="1" ht="15" customHeight="1" x14ac:dyDescent="0.25">
      <c r="A9240" s="803" t="s">
        <v>8693</v>
      </c>
      <c r="B9240" s="803" t="s">
        <v>8198</v>
      </c>
      <c r="C9240" s="803" t="s">
        <v>8198</v>
      </c>
      <c r="D9240" s="803" t="s">
        <v>8686</v>
      </c>
      <c r="E9240" s="803">
        <v>160</v>
      </c>
      <c r="F9240" s="803">
        <v>120</v>
      </c>
      <c r="G9240" s="202" t="str">
        <f t="shared" si="143"/>
        <v/>
      </c>
    </row>
    <row r="9241" spans="1:7" s="172" customFormat="1" ht="15" customHeight="1" x14ac:dyDescent="0.25">
      <c r="A9241" s="803" t="s">
        <v>8693</v>
      </c>
      <c r="B9241" s="803" t="s">
        <v>8198</v>
      </c>
      <c r="C9241" s="803" t="s">
        <v>8198</v>
      </c>
      <c r="D9241" s="803" t="s">
        <v>8687</v>
      </c>
      <c r="E9241" s="803">
        <v>30</v>
      </c>
      <c r="F9241" s="803">
        <v>0</v>
      </c>
      <c r="G9241" s="202" t="str">
        <f t="shared" si="143"/>
        <v/>
      </c>
    </row>
    <row r="9242" spans="1:7" s="172" customFormat="1" ht="15" customHeight="1" x14ac:dyDescent="0.25">
      <c r="A9242" s="803" t="s">
        <v>13029</v>
      </c>
      <c r="B9242" s="803" t="s">
        <v>8198</v>
      </c>
      <c r="C9242" s="803" t="s">
        <v>8198</v>
      </c>
      <c r="D9242" s="803" t="s">
        <v>8688</v>
      </c>
      <c r="E9242" s="803">
        <v>250</v>
      </c>
      <c r="F9242" s="803">
        <v>25</v>
      </c>
      <c r="G9242" s="202" t="str">
        <f t="shared" si="143"/>
        <v/>
      </c>
    </row>
    <row r="9243" spans="1:7" s="172" customFormat="1" ht="15" customHeight="1" x14ac:dyDescent="0.25">
      <c r="A9243" s="803" t="s">
        <v>13030</v>
      </c>
      <c r="B9243" s="803" t="s">
        <v>8198</v>
      </c>
      <c r="C9243" s="803" t="s">
        <v>8198</v>
      </c>
      <c r="D9243" s="803" t="s">
        <v>8689</v>
      </c>
      <c r="E9243" s="803">
        <v>250</v>
      </c>
      <c r="F9243" s="803">
        <v>75</v>
      </c>
      <c r="G9243" s="202" t="str">
        <f t="shared" si="143"/>
        <v/>
      </c>
    </row>
    <row r="9244" spans="1:7" s="172" customFormat="1" ht="15" customHeight="1" x14ac:dyDescent="0.25">
      <c r="A9244" s="803" t="s">
        <v>8690</v>
      </c>
      <c r="B9244" s="803" t="s">
        <v>8198</v>
      </c>
      <c r="C9244" s="803" t="s">
        <v>8198</v>
      </c>
      <c r="D9244" s="803" t="s">
        <v>8691</v>
      </c>
      <c r="E9244" s="803">
        <v>250</v>
      </c>
      <c r="F9244" s="803">
        <v>25</v>
      </c>
      <c r="G9244" s="202" t="str">
        <f t="shared" ref="G9244:G9307" si="144">IF(E9244=F9244,"не загружен","")</f>
        <v/>
      </c>
    </row>
    <row r="9245" spans="1:7" s="172" customFormat="1" ht="15" customHeight="1" x14ac:dyDescent="0.25">
      <c r="A9245" s="803" t="s">
        <v>8690</v>
      </c>
      <c r="B9245" s="803" t="s">
        <v>8198</v>
      </c>
      <c r="C9245" s="803" t="s">
        <v>8198</v>
      </c>
      <c r="D9245" s="803" t="s">
        <v>8692</v>
      </c>
      <c r="E9245" s="803">
        <v>250</v>
      </c>
      <c r="F9245" s="803">
        <v>25</v>
      </c>
      <c r="G9245" s="202" t="str">
        <f t="shared" si="144"/>
        <v/>
      </c>
    </row>
    <row r="9246" spans="1:7" s="172" customFormat="1" ht="15" customHeight="1" x14ac:dyDescent="0.25">
      <c r="A9246" s="803" t="s">
        <v>8693</v>
      </c>
      <c r="B9246" s="803" t="s">
        <v>8198</v>
      </c>
      <c r="C9246" s="803" t="s">
        <v>8198</v>
      </c>
      <c r="D9246" s="803" t="s">
        <v>8694</v>
      </c>
      <c r="E9246" s="803">
        <v>250</v>
      </c>
      <c r="F9246" s="803">
        <v>0</v>
      </c>
      <c r="G9246" s="202" t="str">
        <f t="shared" si="144"/>
        <v/>
      </c>
    </row>
    <row r="9247" spans="1:7" s="172" customFormat="1" ht="15" customHeight="1" x14ac:dyDescent="0.25">
      <c r="A9247" s="803" t="s">
        <v>8695</v>
      </c>
      <c r="B9247" s="803" t="s">
        <v>8198</v>
      </c>
      <c r="C9247" s="803" t="s">
        <v>8198</v>
      </c>
      <c r="D9247" s="803" t="s">
        <v>8696</v>
      </c>
      <c r="E9247" s="803">
        <v>160</v>
      </c>
      <c r="F9247" s="803">
        <v>24</v>
      </c>
      <c r="G9247" s="202" t="str">
        <f t="shared" si="144"/>
        <v/>
      </c>
    </row>
    <row r="9248" spans="1:7" s="172" customFormat="1" ht="15" customHeight="1" x14ac:dyDescent="0.25">
      <c r="A9248" s="803" t="s">
        <v>8695</v>
      </c>
      <c r="B9248" s="803" t="s">
        <v>8198</v>
      </c>
      <c r="C9248" s="803" t="s">
        <v>8198</v>
      </c>
      <c r="D9248" s="803" t="s">
        <v>8697</v>
      </c>
      <c r="E9248" s="803">
        <v>60</v>
      </c>
      <c r="F9248" s="803">
        <v>30</v>
      </c>
      <c r="G9248" s="202" t="str">
        <f t="shared" si="144"/>
        <v/>
      </c>
    </row>
    <row r="9249" spans="1:7" s="172" customFormat="1" ht="15" customHeight="1" x14ac:dyDescent="0.25">
      <c r="A9249" s="803" t="s">
        <v>8695</v>
      </c>
      <c r="B9249" s="803" t="s">
        <v>8198</v>
      </c>
      <c r="C9249" s="803" t="s">
        <v>8198</v>
      </c>
      <c r="D9249" s="803" t="s">
        <v>8698</v>
      </c>
      <c r="E9249" s="803">
        <v>250</v>
      </c>
      <c r="F9249" s="803">
        <v>245</v>
      </c>
      <c r="G9249" s="202" t="str">
        <f t="shared" si="144"/>
        <v/>
      </c>
    </row>
    <row r="9250" spans="1:7" s="172" customFormat="1" ht="15" customHeight="1" x14ac:dyDescent="0.25">
      <c r="A9250" s="803" t="s">
        <v>8695</v>
      </c>
      <c r="B9250" s="803" t="s">
        <v>8198</v>
      </c>
      <c r="C9250" s="803" t="s">
        <v>8198</v>
      </c>
      <c r="D9250" s="803" t="s">
        <v>8699</v>
      </c>
      <c r="E9250" s="803">
        <v>100</v>
      </c>
      <c r="F9250" s="803">
        <v>60</v>
      </c>
      <c r="G9250" s="202" t="str">
        <f t="shared" si="144"/>
        <v/>
      </c>
    </row>
    <row r="9251" spans="1:7" s="172" customFormat="1" ht="15" customHeight="1" x14ac:dyDescent="0.25">
      <c r="A9251" s="803" t="s">
        <v>8683</v>
      </c>
      <c r="B9251" s="803" t="s">
        <v>8198</v>
      </c>
      <c r="C9251" s="803" t="s">
        <v>8198</v>
      </c>
      <c r="D9251" s="803" t="s">
        <v>8700</v>
      </c>
      <c r="E9251" s="803">
        <v>160</v>
      </c>
      <c r="F9251" s="803">
        <v>24</v>
      </c>
      <c r="G9251" s="202" t="str">
        <f t="shared" si="144"/>
        <v/>
      </c>
    </row>
    <row r="9252" spans="1:7" s="172" customFormat="1" ht="15" customHeight="1" x14ac:dyDescent="0.25">
      <c r="A9252" s="803" t="s">
        <v>8455</v>
      </c>
      <c r="B9252" s="803" t="s">
        <v>8198</v>
      </c>
      <c r="C9252" s="803" t="s">
        <v>8198</v>
      </c>
      <c r="D9252" s="803" t="s">
        <v>8701</v>
      </c>
      <c r="E9252" s="803">
        <v>250</v>
      </c>
      <c r="F9252" s="803">
        <v>125</v>
      </c>
      <c r="G9252" s="202" t="str">
        <f t="shared" si="144"/>
        <v/>
      </c>
    </row>
    <row r="9253" spans="1:7" s="172" customFormat="1" ht="15" customHeight="1" x14ac:dyDescent="0.25">
      <c r="A9253" s="803" t="s">
        <v>8693</v>
      </c>
      <c r="B9253" s="803" t="s">
        <v>8198</v>
      </c>
      <c r="C9253" s="803" t="s">
        <v>8198</v>
      </c>
      <c r="D9253" s="803" t="s">
        <v>8702</v>
      </c>
      <c r="E9253" s="803">
        <v>30</v>
      </c>
      <c r="F9253" s="803">
        <v>9</v>
      </c>
      <c r="G9253" s="202" t="str">
        <f t="shared" si="144"/>
        <v/>
      </c>
    </row>
    <row r="9254" spans="1:7" s="172" customFormat="1" ht="15" customHeight="1" x14ac:dyDescent="0.25">
      <c r="A9254" s="803" t="s">
        <v>8693</v>
      </c>
      <c r="B9254" s="803" t="s">
        <v>8198</v>
      </c>
      <c r="C9254" s="803" t="s">
        <v>8198</v>
      </c>
      <c r="D9254" s="803" t="s">
        <v>8703</v>
      </c>
      <c r="E9254" s="803">
        <v>250</v>
      </c>
      <c r="F9254" s="803">
        <v>50</v>
      </c>
      <c r="G9254" s="202" t="str">
        <f t="shared" si="144"/>
        <v/>
      </c>
    </row>
    <row r="9255" spans="1:7" s="172" customFormat="1" ht="15" customHeight="1" x14ac:dyDescent="0.25">
      <c r="A9255" s="803" t="s">
        <v>8704</v>
      </c>
      <c r="B9255" s="803" t="s">
        <v>8198</v>
      </c>
      <c r="C9255" s="803" t="s">
        <v>8198</v>
      </c>
      <c r="D9255" s="803" t="s">
        <v>8705</v>
      </c>
      <c r="E9255" s="803">
        <v>30</v>
      </c>
      <c r="F9255" s="803">
        <v>6</v>
      </c>
      <c r="G9255" s="202" t="str">
        <f t="shared" si="144"/>
        <v/>
      </c>
    </row>
    <row r="9256" spans="1:7" s="172" customFormat="1" ht="15" customHeight="1" x14ac:dyDescent="0.25">
      <c r="A9256" s="803" t="s">
        <v>8704</v>
      </c>
      <c r="B9256" s="803" t="s">
        <v>8198</v>
      </c>
      <c r="C9256" s="803" t="s">
        <v>8198</v>
      </c>
      <c r="D9256" s="803" t="s">
        <v>8706</v>
      </c>
      <c r="E9256" s="803">
        <v>160</v>
      </c>
      <c r="F9256" s="803">
        <v>32</v>
      </c>
      <c r="G9256" s="202" t="str">
        <f t="shared" si="144"/>
        <v/>
      </c>
    </row>
    <row r="9257" spans="1:7" s="172" customFormat="1" ht="15" customHeight="1" x14ac:dyDescent="0.25">
      <c r="A9257" s="803" t="s">
        <v>8583</v>
      </c>
      <c r="B9257" s="803" t="s">
        <v>8198</v>
      </c>
      <c r="C9257" s="803" t="s">
        <v>8198</v>
      </c>
      <c r="D9257" s="803" t="s">
        <v>8707</v>
      </c>
      <c r="E9257" s="803">
        <v>250</v>
      </c>
      <c r="F9257" s="803">
        <v>0</v>
      </c>
      <c r="G9257" s="202" t="str">
        <f t="shared" si="144"/>
        <v/>
      </c>
    </row>
    <row r="9258" spans="1:7" s="172" customFormat="1" ht="15" customHeight="1" x14ac:dyDescent="0.25">
      <c r="A9258" s="803" t="s">
        <v>8212</v>
      </c>
      <c r="B9258" s="803" t="s">
        <v>8198</v>
      </c>
      <c r="C9258" s="803" t="s">
        <v>8198</v>
      </c>
      <c r="D9258" s="803" t="s">
        <v>8708</v>
      </c>
      <c r="E9258" s="803">
        <v>250</v>
      </c>
      <c r="F9258" s="803">
        <v>0</v>
      </c>
      <c r="G9258" s="202" t="str">
        <f t="shared" si="144"/>
        <v/>
      </c>
    </row>
    <row r="9259" spans="1:7" s="172" customFormat="1" ht="15" customHeight="1" x14ac:dyDescent="0.25">
      <c r="A9259" s="803" t="s">
        <v>8212</v>
      </c>
      <c r="B9259" s="803" t="s">
        <v>8198</v>
      </c>
      <c r="C9259" s="803" t="s">
        <v>8198</v>
      </c>
      <c r="D9259" s="803" t="s">
        <v>8709</v>
      </c>
      <c r="E9259" s="803">
        <v>160</v>
      </c>
      <c r="F9259" s="803">
        <v>150</v>
      </c>
      <c r="G9259" s="202" t="str">
        <f t="shared" si="144"/>
        <v/>
      </c>
    </row>
    <row r="9260" spans="1:7" s="172" customFormat="1" ht="15" customHeight="1" x14ac:dyDescent="0.25">
      <c r="A9260" s="803" t="s">
        <v>8693</v>
      </c>
      <c r="B9260" s="803" t="s">
        <v>8198</v>
      </c>
      <c r="C9260" s="803" t="s">
        <v>8198</v>
      </c>
      <c r="D9260" s="803" t="s">
        <v>8710</v>
      </c>
      <c r="E9260" s="803">
        <v>250</v>
      </c>
      <c r="F9260" s="803">
        <v>75</v>
      </c>
      <c r="G9260" s="202" t="str">
        <f t="shared" si="144"/>
        <v/>
      </c>
    </row>
    <row r="9261" spans="1:7" s="172" customFormat="1" ht="15" customHeight="1" x14ac:dyDescent="0.25">
      <c r="A9261" s="803" t="s">
        <v>8711</v>
      </c>
      <c r="B9261" s="803" t="s">
        <v>8198</v>
      </c>
      <c r="C9261" s="803" t="s">
        <v>8198</v>
      </c>
      <c r="D9261" s="803" t="s">
        <v>8712</v>
      </c>
      <c r="E9261" s="803">
        <v>250</v>
      </c>
      <c r="F9261" s="803">
        <v>250</v>
      </c>
      <c r="G9261" s="202" t="str">
        <f t="shared" si="144"/>
        <v>не загружен</v>
      </c>
    </row>
    <row r="9262" spans="1:7" s="172" customFormat="1" ht="15" customHeight="1" x14ac:dyDescent="0.25">
      <c r="A9262" s="803" t="s">
        <v>8711</v>
      </c>
      <c r="B9262" s="803" t="s">
        <v>8198</v>
      </c>
      <c r="C9262" s="803" t="s">
        <v>8198</v>
      </c>
      <c r="D9262" s="803" t="s">
        <v>8713</v>
      </c>
      <c r="E9262" s="803">
        <v>250</v>
      </c>
      <c r="F9262" s="803">
        <v>250</v>
      </c>
      <c r="G9262" s="202" t="str">
        <f t="shared" si="144"/>
        <v>не загружен</v>
      </c>
    </row>
    <row r="9263" spans="1:7" s="172" customFormat="1" ht="15" customHeight="1" x14ac:dyDescent="0.25">
      <c r="A9263" s="803" t="s">
        <v>8714</v>
      </c>
      <c r="B9263" s="803" t="s">
        <v>8198</v>
      </c>
      <c r="C9263" s="803" t="s">
        <v>8198</v>
      </c>
      <c r="D9263" s="803" t="s">
        <v>8715</v>
      </c>
      <c r="E9263" s="803">
        <v>30</v>
      </c>
      <c r="F9263" s="803">
        <v>30</v>
      </c>
      <c r="G9263" s="202" t="str">
        <f t="shared" si="144"/>
        <v>не загружен</v>
      </c>
    </row>
    <row r="9264" spans="1:7" s="172" customFormat="1" ht="15" customHeight="1" x14ac:dyDescent="0.25">
      <c r="A9264" s="803" t="s">
        <v>8714</v>
      </c>
      <c r="B9264" s="803" t="s">
        <v>8198</v>
      </c>
      <c r="C9264" s="803" t="s">
        <v>8198</v>
      </c>
      <c r="D9264" s="803" t="s">
        <v>8716</v>
      </c>
      <c r="E9264" s="803">
        <v>250</v>
      </c>
      <c r="F9264" s="803">
        <v>75</v>
      </c>
      <c r="G9264" s="202" t="str">
        <f t="shared" si="144"/>
        <v/>
      </c>
    </row>
    <row r="9265" spans="1:7" s="172" customFormat="1" ht="15" customHeight="1" x14ac:dyDescent="0.25">
      <c r="A9265" s="803" t="s">
        <v>8570</v>
      </c>
      <c r="B9265" s="803" t="s">
        <v>8198</v>
      </c>
      <c r="C9265" s="803" t="s">
        <v>8198</v>
      </c>
      <c r="D9265" s="803" t="s">
        <v>8717</v>
      </c>
      <c r="E9265" s="803">
        <v>250</v>
      </c>
      <c r="F9265" s="803">
        <v>0</v>
      </c>
      <c r="G9265" s="202" t="str">
        <f t="shared" si="144"/>
        <v/>
      </c>
    </row>
    <row r="9266" spans="1:7" s="172" customFormat="1" ht="15" customHeight="1" x14ac:dyDescent="0.25">
      <c r="A9266" s="803" t="s">
        <v>3267</v>
      </c>
      <c r="B9266" s="803" t="s">
        <v>8198</v>
      </c>
      <c r="C9266" s="803" t="s">
        <v>8198</v>
      </c>
      <c r="D9266" s="803" t="s">
        <v>8718</v>
      </c>
      <c r="E9266" s="803">
        <v>100</v>
      </c>
      <c r="F9266" s="803">
        <v>50</v>
      </c>
      <c r="G9266" s="202" t="str">
        <f t="shared" si="144"/>
        <v/>
      </c>
    </row>
    <row r="9267" spans="1:7" s="172" customFormat="1" ht="15" customHeight="1" x14ac:dyDescent="0.25">
      <c r="A9267" s="803" t="s">
        <v>13031</v>
      </c>
      <c r="B9267" s="803" t="s">
        <v>8198</v>
      </c>
      <c r="C9267" s="803" t="s">
        <v>8198</v>
      </c>
      <c r="D9267" s="803" t="s">
        <v>8719</v>
      </c>
      <c r="E9267" s="803">
        <v>50</v>
      </c>
      <c r="F9267" s="803">
        <v>0</v>
      </c>
      <c r="G9267" s="202" t="str">
        <f t="shared" si="144"/>
        <v/>
      </c>
    </row>
    <row r="9268" spans="1:7" s="172" customFormat="1" ht="15" customHeight="1" x14ac:dyDescent="0.25">
      <c r="A9268" s="803" t="s">
        <v>3131</v>
      </c>
      <c r="B9268" s="803" t="s">
        <v>8198</v>
      </c>
      <c r="C9268" s="803" t="s">
        <v>8198</v>
      </c>
      <c r="D9268" s="803" t="s">
        <v>8720</v>
      </c>
      <c r="E9268" s="803">
        <v>100</v>
      </c>
      <c r="F9268" s="803">
        <v>50</v>
      </c>
      <c r="G9268" s="202" t="str">
        <f t="shared" si="144"/>
        <v/>
      </c>
    </row>
    <row r="9269" spans="1:7" s="172" customFormat="1" ht="15" customHeight="1" x14ac:dyDescent="0.25">
      <c r="A9269" s="803" t="s">
        <v>13032</v>
      </c>
      <c r="B9269" s="803" t="s">
        <v>8198</v>
      </c>
      <c r="C9269" s="803" t="s">
        <v>8198</v>
      </c>
      <c r="D9269" s="803" t="s">
        <v>8721</v>
      </c>
      <c r="E9269" s="803">
        <v>160</v>
      </c>
      <c r="F9269" s="803">
        <v>80</v>
      </c>
      <c r="G9269" s="202" t="str">
        <f t="shared" si="144"/>
        <v/>
      </c>
    </row>
    <row r="9270" spans="1:7" s="172" customFormat="1" ht="15" customHeight="1" x14ac:dyDescent="0.25">
      <c r="A9270" s="803" t="s">
        <v>13033</v>
      </c>
      <c r="B9270" s="803" t="s">
        <v>8198</v>
      </c>
      <c r="C9270" s="803" t="s">
        <v>8198</v>
      </c>
      <c r="D9270" s="803" t="s">
        <v>8722</v>
      </c>
      <c r="E9270" s="803">
        <v>250</v>
      </c>
      <c r="F9270" s="803">
        <v>225</v>
      </c>
      <c r="G9270" s="202" t="str">
        <f t="shared" si="144"/>
        <v/>
      </c>
    </row>
    <row r="9271" spans="1:7" s="172" customFormat="1" ht="15" customHeight="1" x14ac:dyDescent="0.25">
      <c r="A9271" s="803" t="s">
        <v>3346</v>
      </c>
      <c r="B9271" s="803" t="s">
        <v>8198</v>
      </c>
      <c r="C9271" s="803" t="s">
        <v>8198</v>
      </c>
      <c r="D9271" s="803" t="s">
        <v>8723</v>
      </c>
      <c r="E9271" s="803">
        <v>60</v>
      </c>
      <c r="F9271" s="803">
        <v>0</v>
      </c>
      <c r="G9271" s="202" t="str">
        <f t="shared" si="144"/>
        <v/>
      </c>
    </row>
    <row r="9272" spans="1:7" s="172" customFormat="1" ht="15" customHeight="1" x14ac:dyDescent="0.25">
      <c r="A9272" s="803" t="s">
        <v>8724</v>
      </c>
      <c r="B9272" s="803" t="s">
        <v>8198</v>
      </c>
      <c r="C9272" s="803" t="s">
        <v>8198</v>
      </c>
      <c r="D9272" s="803" t="s">
        <v>8725</v>
      </c>
      <c r="E9272" s="803">
        <v>100</v>
      </c>
      <c r="F9272" s="803">
        <v>10</v>
      </c>
      <c r="G9272" s="202" t="str">
        <f t="shared" si="144"/>
        <v/>
      </c>
    </row>
    <row r="9273" spans="1:7" s="172" customFormat="1" ht="15" customHeight="1" x14ac:dyDescent="0.25">
      <c r="A9273" s="803" t="s">
        <v>8726</v>
      </c>
      <c r="B9273" s="803" t="s">
        <v>8198</v>
      </c>
      <c r="C9273" s="803" t="s">
        <v>8198</v>
      </c>
      <c r="D9273" s="803" t="s">
        <v>8727</v>
      </c>
      <c r="E9273" s="803">
        <v>30</v>
      </c>
      <c r="F9273" s="803">
        <v>9</v>
      </c>
      <c r="G9273" s="202" t="str">
        <f t="shared" si="144"/>
        <v/>
      </c>
    </row>
    <row r="9274" spans="1:7" s="172" customFormat="1" ht="15" customHeight="1" x14ac:dyDescent="0.25">
      <c r="A9274" s="803" t="s">
        <v>13034</v>
      </c>
      <c r="B9274" s="803" t="s">
        <v>8198</v>
      </c>
      <c r="C9274" s="803" t="s">
        <v>8198</v>
      </c>
      <c r="D9274" s="803" t="s">
        <v>8728</v>
      </c>
      <c r="E9274" s="803">
        <v>30</v>
      </c>
      <c r="F9274" s="803">
        <v>12</v>
      </c>
      <c r="G9274" s="202" t="str">
        <f t="shared" si="144"/>
        <v/>
      </c>
    </row>
    <row r="9275" spans="1:7" s="172" customFormat="1" ht="15" customHeight="1" x14ac:dyDescent="0.25">
      <c r="A9275" s="803" t="s">
        <v>5873</v>
      </c>
      <c r="B9275" s="803" t="s">
        <v>8198</v>
      </c>
      <c r="C9275" s="803" t="s">
        <v>8198</v>
      </c>
      <c r="D9275" s="803" t="s">
        <v>8729</v>
      </c>
      <c r="E9275" s="803">
        <v>160</v>
      </c>
      <c r="F9275" s="803">
        <v>32</v>
      </c>
      <c r="G9275" s="202" t="str">
        <f t="shared" si="144"/>
        <v/>
      </c>
    </row>
    <row r="9276" spans="1:7" s="172" customFormat="1" ht="15" customHeight="1" x14ac:dyDescent="0.25">
      <c r="A9276" s="803" t="s">
        <v>8341</v>
      </c>
      <c r="B9276" s="803" t="s">
        <v>8198</v>
      </c>
      <c r="C9276" s="803" t="s">
        <v>8198</v>
      </c>
      <c r="D9276" s="803" t="s">
        <v>8730</v>
      </c>
      <c r="E9276" s="803">
        <v>25</v>
      </c>
      <c r="F9276" s="803">
        <v>2.5</v>
      </c>
      <c r="G9276" s="202" t="str">
        <f t="shared" si="144"/>
        <v/>
      </c>
    </row>
    <row r="9277" spans="1:7" s="172" customFormat="1" ht="15" customHeight="1" x14ac:dyDescent="0.25">
      <c r="A9277" s="803" t="s">
        <v>13035</v>
      </c>
      <c r="B9277" s="803" t="s">
        <v>8198</v>
      </c>
      <c r="C9277" s="803" t="s">
        <v>8198</v>
      </c>
      <c r="D9277" s="803" t="s">
        <v>8731</v>
      </c>
      <c r="E9277" s="803">
        <v>60</v>
      </c>
      <c r="F9277" s="803">
        <v>18</v>
      </c>
      <c r="G9277" s="202" t="str">
        <f t="shared" si="144"/>
        <v/>
      </c>
    </row>
    <row r="9278" spans="1:7" s="172" customFormat="1" ht="15" customHeight="1" x14ac:dyDescent="0.25">
      <c r="A9278" s="803" t="s">
        <v>2575</v>
      </c>
      <c r="B9278" s="803" t="s">
        <v>8198</v>
      </c>
      <c r="C9278" s="803" t="s">
        <v>8198</v>
      </c>
      <c r="D9278" s="803" t="s">
        <v>8732</v>
      </c>
      <c r="E9278" s="803">
        <v>20</v>
      </c>
      <c r="F9278" s="803">
        <v>0</v>
      </c>
      <c r="G9278" s="202" t="str">
        <f t="shared" si="144"/>
        <v/>
      </c>
    </row>
    <row r="9279" spans="1:7" s="172" customFormat="1" ht="15" customHeight="1" x14ac:dyDescent="0.25">
      <c r="A9279" s="803" t="s">
        <v>8733</v>
      </c>
      <c r="B9279" s="803" t="s">
        <v>8198</v>
      </c>
      <c r="C9279" s="803" t="s">
        <v>8198</v>
      </c>
      <c r="D9279" s="803" t="s">
        <v>8734</v>
      </c>
      <c r="E9279" s="803">
        <v>100</v>
      </c>
      <c r="F9279" s="803">
        <v>40</v>
      </c>
      <c r="G9279" s="202" t="str">
        <f t="shared" si="144"/>
        <v/>
      </c>
    </row>
    <row r="9280" spans="1:7" s="172" customFormat="1" ht="15" customHeight="1" x14ac:dyDescent="0.25">
      <c r="A9280" s="803" t="s">
        <v>8735</v>
      </c>
      <c r="B9280" s="803" t="s">
        <v>8198</v>
      </c>
      <c r="C9280" s="803" t="s">
        <v>8198</v>
      </c>
      <c r="D9280" s="803" t="s">
        <v>8736</v>
      </c>
      <c r="E9280" s="803">
        <v>30</v>
      </c>
      <c r="F9280" s="803">
        <v>0</v>
      </c>
      <c r="G9280" s="202" t="str">
        <f t="shared" si="144"/>
        <v/>
      </c>
    </row>
    <row r="9281" spans="1:7" s="172" customFormat="1" ht="15" customHeight="1" x14ac:dyDescent="0.25">
      <c r="A9281" s="803" t="s">
        <v>6379</v>
      </c>
      <c r="B9281" s="803" t="s">
        <v>8198</v>
      </c>
      <c r="C9281" s="803" t="s">
        <v>8198</v>
      </c>
      <c r="D9281" s="803" t="s">
        <v>8737</v>
      </c>
      <c r="E9281" s="803">
        <v>60</v>
      </c>
      <c r="F9281" s="803">
        <v>18</v>
      </c>
      <c r="G9281" s="202" t="str">
        <f t="shared" si="144"/>
        <v/>
      </c>
    </row>
    <row r="9282" spans="1:7" s="172" customFormat="1" ht="15" customHeight="1" x14ac:dyDescent="0.25">
      <c r="A9282" s="803" t="s">
        <v>8738</v>
      </c>
      <c r="B9282" s="803" t="s">
        <v>8198</v>
      </c>
      <c r="C9282" s="803" t="s">
        <v>8198</v>
      </c>
      <c r="D9282" s="803" t="s">
        <v>8739</v>
      </c>
      <c r="E9282" s="803">
        <v>63</v>
      </c>
      <c r="F9282" s="803">
        <v>12.6</v>
      </c>
      <c r="G9282" s="202" t="str">
        <f t="shared" si="144"/>
        <v/>
      </c>
    </row>
    <row r="9283" spans="1:7" s="172" customFormat="1" ht="15" customHeight="1" x14ac:dyDescent="0.25">
      <c r="A9283" s="803" t="s">
        <v>3401</v>
      </c>
      <c r="B9283" s="803" t="s">
        <v>8198</v>
      </c>
      <c r="C9283" s="803" t="s">
        <v>8198</v>
      </c>
      <c r="D9283" s="803" t="s">
        <v>8740</v>
      </c>
      <c r="E9283" s="803">
        <v>60</v>
      </c>
      <c r="F9283" s="803">
        <v>6</v>
      </c>
      <c r="G9283" s="202" t="str">
        <f t="shared" si="144"/>
        <v/>
      </c>
    </row>
    <row r="9284" spans="1:7" s="172" customFormat="1" ht="15" customHeight="1" x14ac:dyDescent="0.25">
      <c r="A9284" s="803" t="s">
        <v>8461</v>
      </c>
      <c r="B9284" s="803" t="s">
        <v>8198</v>
      </c>
      <c r="C9284" s="803" t="s">
        <v>8198</v>
      </c>
      <c r="D9284" s="803" t="s">
        <v>8741</v>
      </c>
      <c r="E9284" s="803">
        <v>100</v>
      </c>
      <c r="F9284" s="803">
        <v>20</v>
      </c>
      <c r="G9284" s="202" t="str">
        <f t="shared" si="144"/>
        <v/>
      </c>
    </row>
    <row r="9285" spans="1:7" s="172" customFormat="1" ht="15" customHeight="1" x14ac:dyDescent="0.25">
      <c r="A9285" s="803" t="s">
        <v>6523</v>
      </c>
      <c r="B9285" s="803" t="s">
        <v>8198</v>
      </c>
      <c r="C9285" s="803" t="s">
        <v>8198</v>
      </c>
      <c r="D9285" s="803" t="s">
        <v>8742</v>
      </c>
      <c r="E9285" s="803">
        <v>100</v>
      </c>
      <c r="F9285" s="803">
        <v>30</v>
      </c>
      <c r="G9285" s="202" t="str">
        <f t="shared" si="144"/>
        <v/>
      </c>
    </row>
    <row r="9286" spans="1:7" s="172" customFormat="1" ht="15" customHeight="1" x14ac:dyDescent="0.25">
      <c r="A9286" s="803" t="s">
        <v>5604</v>
      </c>
      <c r="B9286" s="803" t="s">
        <v>8198</v>
      </c>
      <c r="C9286" s="803" t="s">
        <v>8198</v>
      </c>
      <c r="D9286" s="803" t="s">
        <v>8743</v>
      </c>
      <c r="E9286" s="803">
        <v>60</v>
      </c>
      <c r="F9286" s="803">
        <v>30</v>
      </c>
      <c r="G9286" s="202" t="str">
        <f t="shared" si="144"/>
        <v/>
      </c>
    </row>
    <row r="9287" spans="1:7" s="172" customFormat="1" ht="15" customHeight="1" x14ac:dyDescent="0.25">
      <c r="A9287" s="803" t="s">
        <v>7489</v>
      </c>
      <c r="B9287" s="803" t="s">
        <v>8198</v>
      </c>
      <c r="C9287" s="803" t="s">
        <v>8198</v>
      </c>
      <c r="D9287" s="803" t="s">
        <v>8744</v>
      </c>
      <c r="E9287" s="803">
        <v>250</v>
      </c>
      <c r="F9287" s="803">
        <v>125</v>
      </c>
      <c r="G9287" s="202" t="str">
        <f t="shared" si="144"/>
        <v/>
      </c>
    </row>
    <row r="9288" spans="1:7" s="172" customFormat="1" ht="15" customHeight="1" x14ac:dyDescent="0.25">
      <c r="A9288" s="803" t="s">
        <v>2609</v>
      </c>
      <c r="B9288" s="803" t="s">
        <v>8198</v>
      </c>
      <c r="C9288" s="803" t="s">
        <v>8198</v>
      </c>
      <c r="D9288" s="803" t="s">
        <v>8745</v>
      </c>
      <c r="E9288" s="803">
        <v>160</v>
      </c>
      <c r="F9288" s="803">
        <v>16</v>
      </c>
      <c r="G9288" s="202" t="str">
        <f t="shared" si="144"/>
        <v/>
      </c>
    </row>
    <row r="9289" spans="1:7" s="172" customFormat="1" ht="15" customHeight="1" x14ac:dyDescent="0.25">
      <c r="A9289" s="803" t="s">
        <v>8562</v>
      </c>
      <c r="B9289" s="803" t="s">
        <v>8198</v>
      </c>
      <c r="C9289" s="803" t="s">
        <v>8198</v>
      </c>
      <c r="D9289" s="803" t="s">
        <v>8746</v>
      </c>
      <c r="E9289" s="803">
        <v>100</v>
      </c>
      <c r="F9289" s="803">
        <v>40</v>
      </c>
      <c r="G9289" s="202" t="str">
        <f t="shared" si="144"/>
        <v/>
      </c>
    </row>
    <row r="9290" spans="1:7" s="172" customFormat="1" ht="15" customHeight="1" x14ac:dyDescent="0.25">
      <c r="A9290" s="803" t="s">
        <v>13036</v>
      </c>
      <c r="B9290" s="803" t="s">
        <v>8198</v>
      </c>
      <c r="C9290" s="803" t="s">
        <v>8198</v>
      </c>
      <c r="D9290" s="803" t="s">
        <v>8747</v>
      </c>
      <c r="E9290" s="803">
        <v>30</v>
      </c>
      <c r="F9290" s="803">
        <v>3</v>
      </c>
      <c r="G9290" s="202" t="str">
        <f t="shared" si="144"/>
        <v/>
      </c>
    </row>
    <row r="9291" spans="1:7" s="172" customFormat="1" ht="15" customHeight="1" x14ac:dyDescent="0.25">
      <c r="A9291" s="803" t="s">
        <v>8748</v>
      </c>
      <c r="B9291" s="803" t="s">
        <v>8198</v>
      </c>
      <c r="C9291" s="803" t="s">
        <v>8198</v>
      </c>
      <c r="D9291" s="803" t="s">
        <v>8749</v>
      </c>
      <c r="E9291" s="803">
        <v>30</v>
      </c>
      <c r="F9291" s="803">
        <v>0</v>
      </c>
      <c r="G9291" s="202" t="str">
        <f t="shared" si="144"/>
        <v/>
      </c>
    </row>
    <row r="9292" spans="1:7" s="172" customFormat="1" ht="15" customHeight="1" x14ac:dyDescent="0.25">
      <c r="A9292" s="803" t="s">
        <v>13037</v>
      </c>
      <c r="B9292" s="803" t="s">
        <v>8198</v>
      </c>
      <c r="C9292" s="803" t="s">
        <v>8198</v>
      </c>
      <c r="D9292" s="803" t="s">
        <v>8750</v>
      </c>
      <c r="E9292" s="803">
        <v>250</v>
      </c>
      <c r="F9292" s="803">
        <v>62.5</v>
      </c>
      <c r="G9292" s="202" t="str">
        <f t="shared" si="144"/>
        <v/>
      </c>
    </row>
    <row r="9293" spans="1:7" s="172" customFormat="1" ht="15" customHeight="1" x14ac:dyDescent="0.25">
      <c r="A9293" s="803" t="s">
        <v>13038</v>
      </c>
      <c r="B9293" s="803" t="s">
        <v>8198</v>
      </c>
      <c r="C9293" s="803" t="s">
        <v>8198</v>
      </c>
      <c r="D9293" s="803" t="s">
        <v>8751</v>
      </c>
      <c r="E9293" s="803">
        <v>25</v>
      </c>
      <c r="F9293" s="803">
        <v>5</v>
      </c>
      <c r="G9293" s="202" t="str">
        <f t="shared" si="144"/>
        <v/>
      </c>
    </row>
    <row r="9294" spans="1:7" s="172" customFormat="1" ht="15" customHeight="1" x14ac:dyDescent="0.25">
      <c r="A9294" s="803" t="s">
        <v>13039</v>
      </c>
      <c r="B9294" s="803" t="s">
        <v>8198</v>
      </c>
      <c r="C9294" s="803" t="s">
        <v>8198</v>
      </c>
      <c r="D9294" s="803" t="s">
        <v>8752</v>
      </c>
      <c r="E9294" s="803">
        <v>60</v>
      </c>
      <c r="F9294" s="803">
        <v>30</v>
      </c>
      <c r="G9294" s="202" t="str">
        <f t="shared" si="144"/>
        <v/>
      </c>
    </row>
    <row r="9295" spans="1:7" s="172" customFormat="1" ht="15" customHeight="1" x14ac:dyDescent="0.25">
      <c r="A9295" s="803" t="s">
        <v>13040</v>
      </c>
      <c r="B9295" s="803" t="s">
        <v>8198</v>
      </c>
      <c r="C9295" s="803" t="s">
        <v>8198</v>
      </c>
      <c r="D9295" s="803" t="s">
        <v>8753</v>
      </c>
      <c r="E9295" s="803">
        <v>30</v>
      </c>
      <c r="F9295" s="803">
        <v>1.5</v>
      </c>
      <c r="G9295" s="202" t="str">
        <f t="shared" si="144"/>
        <v/>
      </c>
    </row>
    <row r="9296" spans="1:7" s="172" customFormat="1" ht="15" customHeight="1" x14ac:dyDescent="0.25">
      <c r="A9296" s="803" t="s">
        <v>13041</v>
      </c>
      <c r="B9296" s="803" t="s">
        <v>8198</v>
      </c>
      <c r="C9296" s="803" t="s">
        <v>8198</v>
      </c>
      <c r="D9296" s="803" t="s">
        <v>8754</v>
      </c>
      <c r="E9296" s="803">
        <v>30</v>
      </c>
      <c r="F9296" s="803">
        <v>0</v>
      </c>
      <c r="G9296" s="202" t="str">
        <f t="shared" si="144"/>
        <v/>
      </c>
    </row>
    <row r="9297" spans="1:7" s="172" customFormat="1" ht="15" customHeight="1" x14ac:dyDescent="0.25">
      <c r="A9297" s="803" t="s">
        <v>13042</v>
      </c>
      <c r="B9297" s="803" t="s">
        <v>8198</v>
      </c>
      <c r="C9297" s="803" t="s">
        <v>8198</v>
      </c>
      <c r="D9297" s="803" t="s">
        <v>8755</v>
      </c>
      <c r="E9297" s="803">
        <v>30</v>
      </c>
      <c r="F9297" s="803">
        <v>9</v>
      </c>
      <c r="G9297" s="202" t="str">
        <f t="shared" si="144"/>
        <v/>
      </c>
    </row>
    <row r="9298" spans="1:7" s="172" customFormat="1" ht="15" customHeight="1" x14ac:dyDescent="0.25">
      <c r="A9298" s="803" t="s">
        <v>8704</v>
      </c>
      <c r="B9298" s="803" t="s">
        <v>8198</v>
      </c>
      <c r="C9298" s="803" t="s">
        <v>8198</v>
      </c>
      <c r="D9298" s="803" t="s">
        <v>8756</v>
      </c>
      <c r="E9298" s="803">
        <v>250</v>
      </c>
      <c r="F9298" s="803">
        <v>50</v>
      </c>
      <c r="G9298" s="202" t="str">
        <f t="shared" si="144"/>
        <v/>
      </c>
    </row>
    <row r="9299" spans="1:7" s="172" customFormat="1" ht="15" customHeight="1" x14ac:dyDescent="0.25">
      <c r="A9299" s="803" t="s">
        <v>8704</v>
      </c>
      <c r="B9299" s="803" t="s">
        <v>8198</v>
      </c>
      <c r="C9299" s="803" t="s">
        <v>8198</v>
      </c>
      <c r="D9299" s="803" t="s">
        <v>8757</v>
      </c>
      <c r="E9299" s="803">
        <v>30</v>
      </c>
      <c r="F9299" s="803">
        <v>0</v>
      </c>
      <c r="G9299" s="202" t="str">
        <f t="shared" si="144"/>
        <v/>
      </c>
    </row>
    <row r="9300" spans="1:7" s="172" customFormat="1" ht="15" customHeight="1" x14ac:dyDescent="0.25">
      <c r="A9300" s="803" t="s">
        <v>9816</v>
      </c>
      <c r="B9300" s="803" t="s">
        <v>9817</v>
      </c>
      <c r="C9300" s="803" t="s">
        <v>9817</v>
      </c>
      <c r="D9300" s="803" t="s">
        <v>9818</v>
      </c>
      <c r="E9300" s="803">
        <v>100</v>
      </c>
      <c r="F9300" s="803">
        <v>37</v>
      </c>
      <c r="G9300" s="202" t="str">
        <f t="shared" si="144"/>
        <v/>
      </c>
    </row>
    <row r="9301" spans="1:7" s="172" customFormat="1" ht="15" customHeight="1" x14ac:dyDescent="0.25">
      <c r="A9301" s="803" t="s">
        <v>9819</v>
      </c>
      <c r="B9301" s="803" t="s">
        <v>9817</v>
      </c>
      <c r="C9301" s="803" t="s">
        <v>9817</v>
      </c>
      <c r="D9301" s="803" t="s">
        <v>9820</v>
      </c>
      <c r="E9301" s="803">
        <v>63</v>
      </c>
      <c r="F9301" s="803">
        <v>21</v>
      </c>
      <c r="G9301" s="202" t="str">
        <f t="shared" si="144"/>
        <v/>
      </c>
    </row>
    <row r="9302" spans="1:7" s="172" customFormat="1" ht="15" customHeight="1" x14ac:dyDescent="0.25">
      <c r="A9302" s="803" t="s">
        <v>9821</v>
      </c>
      <c r="B9302" s="803" t="s">
        <v>9817</v>
      </c>
      <c r="C9302" s="803" t="s">
        <v>9817</v>
      </c>
      <c r="D9302" s="803" t="s">
        <v>9822</v>
      </c>
      <c r="E9302" s="803">
        <v>250</v>
      </c>
      <c r="F9302" s="803">
        <v>14</v>
      </c>
      <c r="G9302" s="202" t="str">
        <f t="shared" si="144"/>
        <v/>
      </c>
    </row>
    <row r="9303" spans="1:7" s="172" customFormat="1" ht="15" customHeight="1" x14ac:dyDescent="0.25">
      <c r="A9303" s="803" t="s">
        <v>9821</v>
      </c>
      <c r="B9303" s="803" t="s">
        <v>9817</v>
      </c>
      <c r="C9303" s="803" t="s">
        <v>9817</v>
      </c>
      <c r="D9303" s="803" t="s">
        <v>9823</v>
      </c>
      <c r="E9303" s="803">
        <v>160</v>
      </c>
      <c r="F9303" s="803">
        <v>22</v>
      </c>
      <c r="G9303" s="202" t="str">
        <f t="shared" si="144"/>
        <v/>
      </c>
    </row>
    <row r="9304" spans="1:7" s="172" customFormat="1" ht="15" customHeight="1" x14ac:dyDescent="0.25">
      <c r="A9304" s="803" t="s">
        <v>9821</v>
      </c>
      <c r="B9304" s="803" t="s">
        <v>9817</v>
      </c>
      <c r="C9304" s="803" t="s">
        <v>9817</v>
      </c>
      <c r="D9304" s="803" t="s">
        <v>9824</v>
      </c>
      <c r="E9304" s="803">
        <v>0</v>
      </c>
      <c r="F9304" s="803">
        <v>0</v>
      </c>
      <c r="G9304" s="202" t="str">
        <f t="shared" si="144"/>
        <v>не загружен</v>
      </c>
    </row>
    <row r="9305" spans="1:7" s="172" customFormat="1" ht="15" customHeight="1" x14ac:dyDescent="0.25">
      <c r="A9305" s="803" t="s">
        <v>9821</v>
      </c>
      <c r="B9305" s="803" t="s">
        <v>9817</v>
      </c>
      <c r="C9305" s="803" t="s">
        <v>9817</v>
      </c>
      <c r="D9305" s="803" t="s">
        <v>9825</v>
      </c>
      <c r="E9305" s="803">
        <v>250</v>
      </c>
      <c r="F9305" s="803">
        <v>10</v>
      </c>
      <c r="G9305" s="202" t="str">
        <f t="shared" si="144"/>
        <v/>
      </c>
    </row>
    <row r="9306" spans="1:7" s="172" customFormat="1" ht="15" customHeight="1" x14ac:dyDescent="0.25">
      <c r="A9306" s="803" t="s">
        <v>9826</v>
      </c>
      <c r="B9306" s="803" t="s">
        <v>9817</v>
      </c>
      <c r="C9306" s="803" t="s">
        <v>9817</v>
      </c>
      <c r="D9306" s="803" t="s">
        <v>9827</v>
      </c>
      <c r="E9306" s="803">
        <v>160</v>
      </c>
      <c r="F9306" s="803">
        <v>3.1999999999999993</v>
      </c>
      <c r="G9306" s="202" t="str">
        <f t="shared" si="144"/>
        <v/>
      </c>
    </row>
    <row r="9307" spans="1:7" s="172" customFormat="1" ht="15" customHeight="1" x14ac:dyDescent="0.25">
      <c r="A9307" s="803" t="s">
        <v>9828</v>
      </c>
      <c r="B9307" s="803" t="s">
        <v>9817</v>
      </c>
      <c r="C9307" s="803" t="s">
        <v>9817</v>
      </c>
      <c r="D9307" s="803" t="s">
        <v>9829</v>
      </c>
      <c r="E9307" s="803">
        <v>30</v>
      </c>
      <c r="F9307" s="803">
        <v>6</v>
      </c>
      <c r="G9307" s="202" t="str">
        <f t="shared" si="144"/>
        <v/>
      </c>
    </row>
    <row r="9308" spans="1:7" s="172" customFormat="1" ht="15" customHeight="1" x14ac:dyDescent="0.25">
      <c r="A9308" s="803" t="s">
        <v>16817</v>
      </c>
      <c r="B9308" s="803" t="s">
        <v>9817</v>
      </c>
      <c r="C9308" s="803" t="s">
        <v>9817</v>
      </c>
      <c r="D9308" s="803" t="s">
        <v>9830</v>
      </c>
      <c r="E9308" s="803">
        <v>160</v>
      </c>
      <c r="F9308" s="803">
        <v>48</v>
      </c>
      <c r="G9308" s="202" t="str">
        <f t="shared" ref="G9308:G9371" si="145">IF(E9308=F9308,"не загружен","")</f>
        <v/>
      </c>
    </row>
    <row r="9309" spans="1:7" s="172" customFormat="1" ht="15" customHeight="1" x14ac:dyDescent="0.25">
      <c r="A9309" s="803" t="s">
        <v>16817</v>
      </c>
      <c r="B9309" s="803" t="s">
        <v>9817</v>
      </c>
      <c r="C9309" s="803" t="s">
        <v>9817</v>
      </c>
      <c r="D9309" s="803" t="s">
        <v>9831</v>
      </c>
      <c r="E9309" s="803">
        <v>160</v>
      </c>
      <c r="F9309" s="803">
        <v>11.4</v>
      </c>
      <c r="G9309" s="202" t="str">
        <f t="shared" si="145"/>
        <v/>
      </c>
    </row>
    <row r="9310" spans="1:7" s="172" customFormat="1" ht="15" customHeight="1" x14ac:dyDescent="0.25">
      <c r="A9310" s="803" t="s">
        <v>16817</v>
      </c>
      <c r="B9310" s="803" t="s">
        <v>9817</v>
      </c>
      <c r="C9310" s="803" t="s">
        <v>9817</v>
      </c>
      <c r="D9310" s="803" t="s">
        <v>9832</v>
      </c>
      <c r="E9310" s="803">
        <v>100</v>
      </c>
      <c r="F9310" s="803">
        <v>17</v>
      </c>
      <c r="G9310" s="202" t="str">
        <f t="shared" si="145"/>
        <v/>
      </c>
    </row>
    <row r="9311" spans="1:7" s="172" customFormat="1" ht="15" customHeight="1" x14ac:dyDescent="0.25">
      <c r="A9311" s="803" t="s">
        <v>9833</v>
      </c>
      <c r="B9311" s="803" t="s">
        <v>9817</v>
      </c>
      <c r="C9311" s="803" t="s">
        <v>9817</v>
      </c>
      <c r="D9311" s="803" t="s">
        <v>9834</v>
      </c>
      <c r="E9311" s="803">
        <v>160</v>
      </c>
      <c r="F9311" s="803">
        <v>19</v>
      </c>
      <c r="G9311" s="202" t="str">
        <f t="shared" si="145"/>
        <v/>
      </c>
    </row>
    <row r="9312" spans="1:7" s="172" customFormat="1" ht="15" customHeight="1" x14ac:dyDescent="0.25">
      <c r="A9312" s="803" t="s">
        <v>9835</v>
      </c>
      <c r="B9312" s="803" t="s">
        <v>9817</v>
      </c>
      <c r="C9312" s="803" t="s">
        <v>9817</v>
      </c>
      <c r="D9312" s="803" t="s">
        <v>9836</v>
      </c>
      <c r="E9312" s="803">
        <v>160</v>
      </c>
      <c r="F9312" s="803">
        <v>0</v>
      </c>
      <c r="G9312" s="202" t="str">
        <f t="shared" si="145"/>
        <v/>
      </c>
    </row>
    <row r="9313" spans="1:7" s="172" customFormat="1" ht="15" customHeight="1" x14ac:dyDescent="0.25">
      <c r="A9313" s="803" t="s">
        <v>9837</v>
      </c>
      <c r="B9313" s="803" t="s">
        <v>9817</v>
      </c>
      <c r="C9313" s="803" t="s">
        <v>9817</v>
      </c>
      <c r="D9313" s="803" t="s">
        <v>9838</v>
      </c>
      <c r="E9313" s="803">
        <v>50</v>
      </c>
      <c r="F9313" s="803">
        <v>19</v>
      </c>
      <c r="G9313" s="202" t="str">
        <f t="shared" si="145"/>
        <v/>
      </c>
    </row>
    <row r="9314" spans="1:7" s="172" customFormat="1" ht="15" customHeight="1" x14ac:dyDescent="0.25">
      <c r="A9314" s="803" t="s">
        <v>9839</v>
      </c>
      <c r="B9314" s="803" t="s">
        <v>9817</v>
      </c>
      <c r="C9314" s="803" t="s">
        <v>9817</v>
      </c>
      <c r="D9314" s="803" t="s">
        <v>9840</v>
      </c>
      <c r="E9314" s="803">
        <v>50</v>
      </c>
      <c r="F9314" s="803">
        <v>22</v>
      </c>
      <c r="G9314" s="202" t="str">
        <f t="shared" si="145"/>
        <v/>
      </c>
    </row>
    <row r="9315" spans="1:7" s="172" customFormat="1" ht="15" customHeight="1" x14ac:dyDescent="0.25">
      <c r="A9315" s="803" t="s">
        <v>9841</v>
      </c>
      <c r="B9315" s="803" t="s">
        <v>9817</v>
      </c>
      <c r="C9315" s="803" t="s">
        <v>9817</v>
      </c>
      <c r="D9315" s="803" t="s">
        <v>9842</v>
      </c>
      <c r="E9315" s="803">
        <v>30</v>
      </c>
      <c r="F9315" s="803">
        <v>9.3000000000000007</v>
      </c>
      <c r="G9315" s="202" t="str">
        <f t="shared" si="145"/>
        <v/>
      </c>
    </row>
    <row r="9316" spans="1:7" s="172" customFormat="1" ht="15" customHeight="1" x14ac:dyDescent="0.25">
      <c r="A9316" s="803" t="s">
        <v>9843</v>
      </c>
      <c r="B9316" s="803" t="s">
        <v>9817</v>
      </c>
      <c r="C9316" s="803" t="s">
        <v>9817</v>
      </c>
      <c r="D9316" s="803" t="s">
        <v>9844</v>
      </c>
      <c r="E9316" s="803">
        <v>30</v>
      </c>
      <c r="F9316" s="803">
        <v>10</v>
      </c>
      <c r="G9316" s="202" t="str">
        <f t="shared" si="145"/>
        <v/>
      </c>
    </row>
    <row r="9317" spans="1:7" s="172" customFormat="1" ht="15" customHeight="1" x14ac:dyDescent="0.25">
      <c r="A9317" s="803" t="s">
        <v>9845</v>
      </c>
      <c r="B9317" s="803" t="s">
        <v>9817</v>
      </c>
      <c r="C9317" s="803" t="s">
        <v>9817</v>
      </c>
      <c r="D9317" s="803" t="s">
        <v>9846</v>
      </c>
      <c r="E9317" s="803">
        <v>100</v>
      </c>
      <c r="F9317" s="803">
        <v>20</v>
      </c>
      <c r="G9317" s="202" t="str">
        <f t="shared" si="145"/>
        <v/>
      </c>
    </row>
    <row r="9318" spans="1:7" s="172" customFormat="1" ht="15" customHeight="1" x14ac:dyDescent="0.25">
      <c r="A9318" s="803" t="s">
        <v>9847</v>
      </c>
      <c r="B9318" s="803" t="s">
        <v>9817</v>
      </c>
      <c r="C9318" s="803" t="s">
        <v>9817</v>
      </c>
      <c r="D9318" s="803" t="s">
        <v>9848</v>
      </c>
      <c r="E9318" s="803">
        <v>63</v>
      </c>
      <c r="F9318" s="803">
        <v>6</v>
      </c>
      <c r="G9318" s="202" t="str">
        <f t="shared" si="145"/>
        <v/>
      </c>
    </row>
    <row r="9319" spans="1:7" s="172" customFormat="1" ht="15" customHeight="1" x14ac:dyDescent="0.25">
      <c r="A9319" s="803" t="s">
        <v>9849</v>
      </c>
      <c r="B9319" s="803" t="s">
        <v>9817</v>
      </c>
      <c r="C9319" s="803" t="s">
        <v>9817</v>
      </c>
      <c r="D9319" s="803" t="s">
        <v>9850</v>
      </c>
      <c r="E9319" s="803">
        <v>100</v>
      </c>
      <c r="F9319" s="803">
        <v>0</v>
      </c>
      <c r="G9319" s="202" t="str">
        <f t="shared" si="145"/>
        <v/>
      </c>
    </row>
    <row r="9320" spans="1:7" s="172" customFormat="1" ht="15" customHeight="1" x14ac:dyDescent="0.25">
      <c r="A9320" s="803" t="s">
        <v>4834</v>
      </c>
      <c r="B9320" s="803" t="s">
        <v>9817</v>
      </c>
      <c r="C9320" s="803" t="s">
        <v>9817</v>
      </c>
      <c r="D9320" s="803" t="s">
        <v>9851</v>
      </c>
      <c r="E9320" s="803">
        <v>100</v>
      </c>
      <c r="F9320" s="803">
        <v>10</v>
      </c>
      <c r="G9320" s="202" t="str">
        <f t="shared" si="145"/>
        <v/>
      </c>
    </row>
    <row r="9321" spans="1:7" s="172" customFormat="1" ht="15" customHeight="1" x14ac:dyDescent="0.25">
      <c r="A9321" s="803" t="s">
        <v>9852</v>
      </c>
      <c r="B9321" s="803" t="s">
        <v>9817</v>
      </c>
      <c r="C9321" s="803" t="s">
        <v>9817</v>
      </c>
      <c r="D9321" s="803" t="s">
        <v>16818</v>
      </c>
      <c r="E9321" s="803">
        <v>100</v>
      </c>
      <c r="F9321" s="803">
        <v>20</v>
      </c>
      <c r="G9321" s="202" t="str">
        <f t="shared" si="145"/>
        <v/>
      </c>
    </row>
    <row r="9322" spans="1:7" s="172" customFormat="1" ht="15" customHeight="1" x14ac:dyDescent="0.25">
      <c r="A9322" s="803" t="s">
        <v>9852</v>
      </c>
      <c r="B9322" s="803" t="s">
        <v>9817</v>
      </c>
      <c r="C9322" s="803" t="s">
        <v>9817</v>
      </c>
      <c r="D9322" s="803" t="s">
        <v>9853</v>
      </c>
      <c r="E9322" s="803">
        <v>250</v>
      </c>
      <c r="F9322" s="803">
        <v>25</v>
      </c>
      <c r="G9322" s="202" t="str">
        <f t="shared" si="145"/>
        <v/>
      </c>
    </row>
    <row r="9323" spans="1:7" s="172" customFormat="1" ht="15" customHeight="1" x14ac:dyDescent="0.25">
      <c r="A9323" s="803" t="s">
        <v>9852</v>
      </c>
      <c r="B9323" s="803" t="s">
        <v>9817</v>
      </c>
      <c r="C9323" s="803" t="s">
        <v>9817</v>
      </c>
      <c r="D9323" s="803" t="s">
        <v>9854</v>
      </c>
      <c r="E9323" s="803">
        <v>160</v>
      </c>
      <c r="F9323" s="803">
        <v>40.85</v>
      </c>
      <c r="G9323" s="202" t="str">
        <f t="shared" si="145"/>
        <v/>
      </c>
    </row>
    <row r="9324" spans="1:7" s="172" customFormat="1" ht="15" customHeight="1" x14ac:dyDescent="0.25">
      <c r="A9324" s="803" t="s">
        <v>9855</v>
      </c>
      <c r="B9324" s="803" t="s">
        <v>9817</v>
      </c>
      <c r="C9324" s="803" t="s">
        <v>9817</v>
      </c>
      <c r="D9324" s="803" t="s">
        <v>9856</v>
      </c>
      <c r="E9324" s="803">
        <v>30</v>
      </c>
      <c r="F9324" s="803">
        <v>0</v>
      </c>
      <c r="G9324" s="202" t="str">
        <f t="shared" si="145"/>
        <v/>
      </c>
    </row>
    <row r="9325" spans="1:7" s="172" customFormat="1" ht="15" customHeight="1" x14ac:dyDescent="0.25">
      <c r="A9325" s="803" t="s">
        <v>9857</v>
      </c>
      <c r="B9325" s="803" t="s">
        <v>9817</v>
      </c>
      <c r="C9325" s="803" t="s">
        <v>9817</v>
      </c>
      <c r="D9325" s="803" t="s">
        <v>9858</v>
      </c>
      <c r="E9325" s="803">
        <v>30</v>
      </c>
      <c r="F9325" s="803">
        <v>5</v>
      </c>
      <c r="G9325" s="202" t="str">
        <f t="shared" si="145"/>
        <v/>
      </c>
    </row>
    <row r="9326" spans="1:7" s="172" customFormat="1" ht="15" customHeight="1" x14ac:dyDescent="0.25">
      <c r="A9326" s="803" t="s">
        <v>9859</v>
      </c>
      <c r="B9326" s="803" t="s">
        <v>9817</v>
      </c>
      <c r="C9326" s="803" t="s">
        <v>9817</v>
      </c>
      <c r="D9326" s="803" t="s">
        <v>9860</v>
      </c>
      <c r="E9326" s="803">
        <v>25</v>
      </c>
      <c r="F9326" s="803">
        <v>5</v>
      </c>
      <c r="G9326" s="202" t="str">
        <f t="shared" si="145"/>
        <v/>
      </c>
    </row>
    <row r="9327" spans="1:7" s="172" customFormat="1" ht="15" customHeight="1" x14ac:dyDescent="0.25">
      <c r="A9327" s="803" t="s">
        <v>3557</v>
      </c>
      <c r="B9327" s="803" t="s">
        <v>9817</v>
      </c>
      <c r="C9327" s="803" t="s">
        <v>9817</v>
      </c>
      <c r="D9327" s="803" t="s">
        <v>9861</v>
      </c>
      <c r="E9327" s="803">
        <v>30</v>
      </c>
      <c r="F9327" s="803">
        <v>3</v>
      </c>
      <c r="G9327" s="202" t="str">
        <f t="shared" si="145"/>
        <v/>
      </c>
    </row>
    <row r="9328" spans="1:7" s="172" customFormat="1" ht="15" customHeight="1" x14ac:dyDescent="0.25">
      <c r="A9328" s="803" t="s">
        <v>9862</v>
      </c>
      <c r="B9328" s="803" t="s">
        <v>9817</v>
      </c>
      <c r="C9328" s="803" t="s">
        <v>9817</v>
      </c>
      <c r="D9328" s="803" t="s">
        <v>9863</v>
      </c>
      <c r="E9328" s="803">
        <v>100</v>
      </c>
      <c r="F9328" s="803">
        <v>28</v>
      </c>
      <c r="G9328" s="202" t="str">
        <f t="shared" si="145"/>
        <v/>
      </c>
    </row>
    <row r="9329" spans="1:7" s="172" customFormat="1" ht="15" customHeight="1" x14ac:dyDescent="0.25">
      <c r="A9329" s="803" t="s">
        <v>9864</v>
      </c>
      <c r="B9329" s="803" t="s">
        <v>9817</v>
      </c>
      <c r="C9329" s="803" t="s">
        <v>9817</v>
      </c>
      <c r="D9329" s="803" t="s">
        <v>9865</v>
      </c>
      <c r="E9329" s="803">
        <v>100</v>
      </c>
      <c r="F9329" s="803">
        <v>48</v>
      </c>
      <c r="G9329" s="202" t="str">
        <f t="shared" si="145"/>
        <v/>
      </c>
    </row>
    <row r="9330" spans="1:7" s="172" customFormat="1" ht="15" customHeight="1" x14ac:dyDescent="0.25">
      <c r="A9330" s="803" t="s">
        <v>16819</v>
      </c>
      <c r="B9330" s="803" t="s">
        <v>9817</v>
      </c>
      <c r="C9330" s="803" t="s">
        <v>9817</v>
      </c>
      <c r="D9330" s="803" t="s">
        <v>9866</v>
      </c>
      <c r="E9330" s="803">
        <v>250</v>
      </c>
      <c r="F9330" s="803">
        <v>5.5</v>
      </c>
      <c r="G9330" s="202" t="str">
        <f t="shared" si="145"/>
        <v/>
      </c>
    </row>
    <row r="9331" spans="1:7" s="172" customFormat="1" ht="15" customHeight="1" x14ac:dyDescent="0.25">
      <c r="A9331" s="803" t="s">
        <v>16819</v>
      </c>
      <c r="B9331" s="803" t="s">
        <v>9817</v>
      </c>
      <c r="C9331" s="803" t="s">
        <v>9817</v>
      </c>
      <c r="D9331" s="803" t="s">
        <v>9867</v>
      </c>
      <c r="E9331" s="803">
        <v>400</v>
      </c>
      <c r="F9331" s="803">
        <v>16</v>
      </c>
      <c r="G9331" s="202" t="str">
        <f t="shared" si="145"/>
        <v/>
      </c>
    </row>
    <row r="9332" spans="1:7" s="172" customFormat="1" ht="15" customHeight="1" x14ac:dyDescent="0.25">
      <c r="A9332" s="803" t="s">
        <v>16819</v>
      </c>
      <c r="B9332" s="803" t="s">
        <v>9817</v>
      </c>
      <c r="C9332" s="803" t="s">
        <v>9817</v>
      </c>
      <c r="D9332" s="803" t="s">
        <v>9868</v>
      </c>
      <c r="E9332" s="803" t="s">
        <v>18196</v>
      </c>
      <c r="F9332" s="803">
        <v>28</v>
      </c>
      <c r="G9332" s="202" t="str">
        <f t="shared" si="145"/>
        <v/>
      </c>
    </row>
    <row r="9333" spans="1:7" s="172" customFormat="1" ht="15" customHeight="1" x14ac:dyDescent="0.25">
      <c r="A9333" s="803" t="s">
        <v>16820</v>
      </c>
      <c r="B9333" s="803" t="s">
        <v>9817</v>
      </c>
      <c r="C9333" s="803" t="s">
        <v>9817</v>
      </c>
      <c r="D9333" s="803" t="s">
        <v>9869</v>
      </c>
      <c r="E9333" s="803">
        <v>250</v>
      </c>
      <c r="F9333" s="803">
        <v>0</v>
      </c>
      <c r="G9333" s="202" t="str">
        <f t="shared" si="145"/>
        <v/>
      </c>
    </row>
    <row r="9334" spans="1:7" s="172" customFormat="1" ht="15" customHeight="1" x14ac:dyDescent="0.25">
      <c r="A9334" s="803" t="s">
        <v>9870</v>
      </c>
      <c r="B9334" s="803" t="s">
        <v>9817</v>
      </c>
      <c r="C9334" s="803" t="s">
        <v>9817</v>
      </c>
      <c r="D9334" s="803" t="s">
        <v>9871</v>
      </c>
      <c r="E9334" s="803">
        <v>250</v>
      </c>
      <c r="F9334" s="803">
        <v>40</v>
      </c>
      <c r="G9334" s="202" t="str">
        <f t="shared" si="145"/>
        <v/>
      </c>
    </row>
    <row r="9335" spans="1:7" s="172" customFormat="1" ht="15" customHeight="1" x14ac:dyDescent="0.25">
      <c r="A9335" s="803" t="s">
        <v>9872</v>
      </c>
      <c r="B9335" s="803" t="s">
        <v>9817</v>
      </c>
      <c r="C9335" s="803" t="s">
        <v>9817</v>
      </c>
      <c r="D9335" s="803" t="s">
        <v>9873</v>
      </c>
      <c r="E9335" s="803">
        <v>63</v>
      </c>
      <c r="F9335" s="803">
        <v>6</v>
      </c>
      <c r="G9335" s="202" t="str">
        <f t="shared" si="145"/>
        <v/>
      </c>
    </row>
    <row r="9336" spans="1:7" s="172" customFormat="1" ht="15" customHeight="1" x14ac:dyDescent="0.25">
      <c r="A9336" s="803" t="s">
        <v>16821</v>
      </c>
      <c r="B9336" s="803" t="s">
        <v>9817</v>
      </c>
      <c r="C9336" s="803" t="s">
        <v>9817</v>
      </c>
      <c r="D9336" s="803" t="s">
        <v>9874</v>
      </c>
      <c r="E9336" s="803">
        <v>100</v>
      </c>
      <c r="F9336" s="803">
        <v>14.4</v>
      </c>
      <c r="G9336" s="202" t="str">
        <f t="shared" si="145"/>
        <v/>
      </c>
    </row>
    <row r="9337" spans="1:7" s="172" customFormat="1" ht="15" customHeight="1" x14ac:dyDescent="0.25">
      <c r="A9337" s="803" t="s">
        <v>16822</v>
      </c>
      <c r="B9337" s="803" t="s">
        <v>9817</v>
      </c>
      <c r="C9337" s="803" t="s">
        <v>9817</v>
      </c>
      <c r="D9337" s="803" t="s">
        <v>9875</v>
      </c>
      <c r="E9337" s="803">
        <v>60</v>
      </c>
      <c r="F9337" s="803">
        <v>0</v>
      </c>
      <c r="G9337" s="202" t="str">
        <f t="shared" si="145"/>
        <v/>
      </c>
    </row>
    <row r="9338" spans="1:7" s="172" customFormat="1" ht="15" customHeight="1" x14ac:dyDescent="0.25">
      <c r="A9338" s="803" t="s">
        <v>16823</v>
      </c>
      <c r="B9338" s="803" t="s">
        <v>9817</v>
      </c>
      <c r="C9338" s="803" t="s">
        <v>9817</v>
      </c>
      <c r="D9338" s="803" t="s">
        <v>9876</v>
      </c>
      <c r="E9338" s="803">
        <v>63</v>
      </c>
      <c r="F9338" s="803">
        <v>21</v>
      </c>
      <c r="G9338" s="202" t="str">
        <f t="shared" si="145"/>
        <v/>
      </c>
    </row>
    <row r="9339" spans="1:7" s="172" customFormat="1" ht="15" customHeight="1" x14ac:dyDescent="0.25">
      <c r="A9339" s="803" t="s">
        <v>16823</v>
      </c>
      <c r="B9339" s="803" t="s">
        <v>9817</v>
      </c>
      <c r="C9339" s="803" t="s">
        <v>9817</v>
      </c>
      <c r="D9339" s="803" t="s">
        <v>9877</v>
      </c>
      <c r="E9339" s="803">
        <v>63</v>
      </c>
      <c r="F9339" s="803">
        <v>9</v>
      </c>
      <c r="G9339" s="202" t="str">
        <f t="shared" si="145"/>
        <v/>
      </c>
    </row>
    <row r="9340" spans="1:7" s="172" customFormat="1" ht="15" customHeight="1" x14ac:dyDescent="0.25">
      <c r="A9340" s="803" t="s">
        <v>16824</v>
      </c>
      <c r="B9340" s="803" t="s">
        <v>9817</v>
      </c>
      <c r="C9340" s="803" t="s">
        <v>9817</v>
      </c>
      <c r="D9340" s="803" t="s">
        <v>9878</v>
      </c>
      <c r="E9340" s="803">
        <v>100</v>
      </c>
      <c r="F9340" s="803">
        <v>12</v>
      </c>
      <c r="G9340" s="202" t="str">
        <f t="shared" si="145"/>
        <v/>
      </c>
    </row>
    <row r="9341" spans="1:7" s="172" customFormat="1" ht="15" customHeight="1" x14ac:dyDescent="0.25">
      <c r="A9341" s="803" t="s">
        <v>9879</v>
      </c>
      <c r="B9341" s="803" t="s">
        <v>9817</v>
      </c>
      <c r="C9341" s="803" t="s">
        <v>9817</v>
      </c>
      <c r="D9341" s="803" t="s">
        <v>9880</v>
      </c>
      <c r="E9341" s="803">
        <v>10</v>
      </c>
      <c r="F9341" s="803">
        <v>0</v>
      </c>
      <c r="G9341" s="202" t="str">
        <f t="shared" si="145"/>
        <v/>
      </c>
    </row>
    <row r="9342" spans="1:7" s="172" customFormat="1" ht="15" customHeight="1" x14ac:dyDescent="0.25">
      <c r="A9342" s="803" t="s">
        <v>2796</v>
      </c>
      <c r="B9342" s="803" t="s">
        <v>9817</v>
      </c>
      <c r="C9342" s="803" t="s">
        <v>9817</v>
      </c>
      <c r="D9342" s="803" t="s">
        <v>9881</v>
      </c>
      <c r="E9342" s="803">
        <v>250</v>
      </c>
      <c r="F9342" s="803">
        <v>35</v>
      </c>
      <c r="G9342" s="202" t="str">
        <f t="shared" si="145"/>
        <v/>
      </c>
    </row>
    <row r="9343" spans="1:7" s="172" customFormat="1" ht="15" customHeight="1" x14ac:dyDescent="0.25">
      <c r="A9343" s="803" t="s">
        <v>9882</v>
      </c>
      <c r="B9343" s="803" t="s">
        <v>9817</v>
      </c>
      <c r="C9343" s="803" t="s">
        <v>9817</v>
      </c>
      <c r="D9343" s="803" t="s">
        <v>9883</v>
      </c>
      <c r="E9343" s="803">
        <v>40</v>
      </c>
      <c r="F9343" s="803">
        <v>0</v>
      </c>
      <c r="G9343" s="202" t="str">
        <f t="shared" si="145"/>
        <v/>
      </c>
    </row>
    <row r="9344" spans="1:7" s="172" customFormat="1" ht="15" customHeight="1" x14ac:dyDescent="0.25">
      <c r="A9344" s="803" t="s">
        <v>9884</v>
      </c>
      <c r="B9344" s="803" t="s">
        <v>9817</v>
      </c>
      <c r="C9344" s="803" t="s">
        <v>9817</v>
      </c>
      <c r="D9344" s="803" t="s">
        <v>9885</v>
      </c>
      <c r="E9344" s="803">
        <v>60</v>
      </c>
      <c r="F9344" s="803">
        <v>21</v>
      </c>
      <c r="G9344" s="202" t="str">
        <f t="shared" si="145"/>
        <v/>
      </c>
    </row>
    <row r="9345" spans="1:7" s="172" customFormat="1" ht="15" customHeight="1" x14ac:dyDescent="0.25">
      <c r="A9345" s="803" t="s">
        <v>16825</v>
      </c>
      <c r="B9345" s="803" t="s">
        <v>9817</v>
      </c>
      <c r="C9345" s="803" t="s">
        <v>9817</v>
      </c>
      <c r="D9345" s="803" t="s">
        <v>9886</v>
      </c>
      <c r="E9345" s="803">
        <v>250</v>
      </c>
      <c r="F9345" s="803">
        <v>15</v>
      </c>
      <c r="G9345" s="202" t="str">
        <f t="shared" si="145"/>
        <v/>
      </c>
    </row>
    <row r="9346" spans="1:7" s="172" customFormat="1" ht="15" customHeight="1" x14ac:dyDescent="0.25">
      <c r="A9346" s="803" t="s">
        <v>16826</v>
      </c>
      <c r="B9346" s="803" t="s">
        <v>9817</v>
      </c>
      <c r="C9346" s="803" t="s">
        <v>9817</v>
      </c>
      <c r="D9346" s="803" t="s">
        <v>9887</v>
      </c>
      <c r="E9346" s="803">
        <v>50</v>
      </c>
      <c r="F9346" s="803">
        <v>5</v>
      </c>
      <c r="G9346" s="202" t="str">
        <f t="shared" si="145"/>
        <v/>
      </c>
    </row>
    <row r="9347" spans="1:7" s="172" customFormat="1" ht="15" customHeight="1" x14ac:dyDescent="0.25">
      <c r="A9347" s="803" t="s">
        <v>9888</v>
      </c>
      <c r="B9347" s="803" t="s">
        <v>9817</v>
      </c>
      <c r="C9347" s="803" t="s">
        <v>9817</v>
      </c>
      <c r="D9347" s="803" t="s">
        <v>9889</v>
      </c>
      <c r="E9347" s="803">
        <v>100</v>
      </c>
      <c r="F9347" s="803">
        <v>20</v>
      </c>
      <c r="G9347" s="202" t="str">
        <f t="shared" si="145"/>
        <v/>
      </c>
    </row>
    <row r="9348" spans="1:7" s="172" customFormat="1" ht="15" customHeight="1" x14ac:dyDescent="0.25">
      <c r="A9348" s="803" t="s">
        <v>9890</v>
      </c>
      <c r="B9348" s="803" t="s">
        <v>9817</v>
      </c>
      <c r="C9348" s="803" t="s">
        <v>9817</v>
      </c>
      <c r="D9348" s="803" t="s">
        <v>9891</v>
      </c>
      <c r="E9348" s="803">
        <v>40</v>
      </c>
      <c r="F9348" s="803">
        <v>0</v>
      </c>
      <c r="G9348" s="202" t="str">
        <f t="shared" si="145"/>
        <v/>
      </c>
    </row>
    <row r="9349" spans="1:7" s="172" customFormat="1" ht="15" customHeight="1" x14ac:dyDescent="0.25">
      <c r="A9349" s="803" t="s">
        <v>9892</v>
      </c>
      <c r="B9349" s="803" t="s">
        <v>9817</v>
      </c>
      <c r="C9349" s="803" t="s">
        <v>9817</v>
      </c>
      <c r="D9349" s="803" t="s">
        <v>9893</v>
      </c>
      <c r="E9349" s="803">
        <v>63</v>
      </c>
      <c r="F9349" s="803">
        <v>0</v>
      </c>
      <c r="G9349" s="202" t="str">
        <f t="shared" si="145"/>
        <v/>
      </c>
    </row>
    <row r="9350" spans="1:7" s="172" customFormat="1" ht="15" customHeight="1" x14ac:dyDescent="0.25">
      <c r="A9350" s="803" t="s">
        <v>9892</v>
      </c>
      <c r="B9350" s="803" t="s">
        <v>9817</v>
      </c>
      <c r="C9350" s="803" t="s">
        <v>9817</v>
      </c>
      <c r="D9350" s="803" t="s">
        <v>16827</v>
      </c>
      <c r="E9350" s="803">
        <v>250</v>
      </c>
      <c r="F9350" s="803">
        <v>250</v>
      </c>
      <c r="G9350" s="202" t="str">
        <f t="shared" si="145"/>
        <v>не загружен</v>
      </c>
    </row>
    <row r="9351" spans="1:7" s="172" customFormat="1" ht="15" customHeight="1" x14ac:dyDescent="0.25">
      <c r="A9351" s="803" t="s">
        <v>9894</v>
      </c>
      <c r="B9351" s="803" t="s">
        <v>9817</v>
      </c>
      <c r="C9351" s="803" t="s">
        <v>9817</v>
      </c>
      <c r="D9351" s="803" t="s">
        <v>9895</v>
      </c>
      <c r="E9351" s="803">
        <v>400</v>
      </c>
      <c r="F9351" s="803">
        <v>20</v>
      </c>
      <c r="G9351" s="202" t="str">
        <f t="shared" si="145"/>
        <v/>
      </c>
    </row>
    <row r="9352" spans="1:7" s="172" customFormat="1" ht="15" customHeight="1" x14ac:dyDescent="0.25">
      <c r="A9352" s="803" t="s">
        <v>9896</v>
      </c>
      <c r="B9352" s="803" t="s">
        <v>9817</v>
      </c>
      <c r="C9352" s="803" t="s">
        <v>9817</v>
      </c>
      <c r="D9352" s="803" t="s">
        <v>9897</v>
      </c>
      <c r="E9352" s="803">
        <v>100</v>
      </c>
      <c r="F9352" s="803">
        <v>0</v>
      </c>
      <c r="G9352" s="202" t="str">
        <f t="shared" si="145"/>
        <v/>
      </c>
    </row>
    <row r="9353" spans="1:7" s="172" customFormat="1" ht="15" customHeight="1" x14ac:dyDescent="0.25">
      <c r="A9353" s="803" t="s">
        <v>9898</v>
      </c>
      <c r="B9353" s="803" t="s">
        <v>9817</v>
      </c>
      <c r="C9353" s="803" t="s">
        <v>9817</v>
      </c>
      <c r="D9353" s="803" t="s">
        <v>9899</v>
      </c>
      <c r="E9353" s="803">
        <v>63</v>
      </c>
      <c r="F9353" s="803">
        <v>0</v>
      </c>
      <c r="G9353" s="202" t="str">
        <f t="shared" si="145"/>
        <v/>
      </c>
    </row>
    <row r="9354" spans="1:7" s="172" customFormat="1" ht="15" customHeight="1" x14ac:dyDescent="0.25">
      <c r="A9354" s="803" t="s">
        <v>2735</v>
      </c>
      <c r="B9354" s="803" t="s">
        <v>9817</v>
      </c>
      <c r="C9354" s="803" t="s">
        <v>9817</v>
      </c>
      <c r="D9354" s="803" t="s">
        <v>9900</v>
      </c>
      <c r="E9354" s="803">
        <v>63</v>
      </c>
      <c r="F9354" s="803">
        <v>10</v>
      </c>
      <c r="G9354" s="202" t="str">
        <f t="shared" si="145"/>
        <v/>
      </c>
    </row>
    <row r="9355" spans="1:7" s="172" customFormat="1" ht="15" customHeight="1" x14ac:dyDescent="0.25">
      <c r="A9355" s="803" t="s">
        <v>16828</v>
      </c>
      <c r="B9355" s="803" t="s">
        <v>9817</v>
      </c>
      <c r="C9355" s="803" t="s">
        <v>9817</v>
      </c>
      <c r="D9355" s="803" t="s">
        <v>9901</v>
      </c>
      <c r="E9355" s="803">
        <v>100</v>
      </c>
      <c r="F9355" s="803">
        <v>0</v>
      </c>
      <c r="G9355" s="202" t="str">
        <f t="shared" si="145"/>
        <v/>
      </c>
    </row>
    <row r="9356" spans="1:7" s="172" customFormat="1" ht="15" customHeight="1" x14ac:dyDescent="0.25">
      <c r="A9356" s="803" t="s">
        <v>9902</v>
      </c>
      <c r="B9356" s="803" t="s">
        <v>9817</v>
      </c>
      <c r="C9356" s="803" t="s">
        <v>9817</v>
      </c>
      <c r="D9356" s="803" t="s">
        <v>9903</v>
      </c>
      <c r="E9356" s="803">
        <v>20</v>
      </c>
      <c r="F9356" s="803">
        <v>8</v>
      </c>
      <c r="G9356" s="202" t="str">
        <f t="shared" si="145"/>
        <v/>
      </c>
    </row>
    <row r="9357" spans="1:7" s="172" customFormat="1" ht="15" customHeight="1" x14ac:dyDescent="0.25">
      <c r="A9357" s="803" t="s">
        <v>16829</v>
      </c>
      <c r="B9357" s="803" t="s">
        <v>9817</v>
      </c>
      <c r="C9357" s="803" t="s">
        <v>9817</v>
      </c>
      <c r="D9357" s="803" t="s">
        <v>9904</v>
      </c>
      <c r="E9357" s="803">
        <v>100</v>
      </c>
      <c r="F9357" s="803">
        <v>18</v>
      </c>
      <c r="G9357" s="202" t="str">
        <f t="shared" si="145"/>
        <v/>
      </c>
    </row>
    <row r="9358" spans="1:7" s="172" customFormat="1" ht="15" customHeight="1" x14ac:dyDescent="0.25">
      <c r="A9358" s="803" t="s">
        <v>9905</v>
      </c>
      <c r="B9358" s="803" t="s">
        <v>9817</v>
      </c>
      <c r="C9358" s="803" t="s">
        <v>9817</v>
      </c>
      <c r="D9358" s="803" t="s">
        <v>9906</v>
      </c>
      <c r="E9358" s="803">
        <v>250</v>
      </c>
      <c r="F9358" s="803">
        <v>6</v>
      </c>
      <c r="G9358" s="202" t="str">
        <f t="shared" si="145"/>
        <v/>
      </c>
    </row>
    <row r="9359" spans="1:7" s="172" customFormat="1" ht="15" customHeight="1" x14ac:dyDescent="0.25">
      <c r="A9359" s="803" t="s">
        <v>5028</v>
      </c>
      <c r="B9359" s="803" t="s">
        <v>9817</v>
      </c>
      <c r="C9359" s="803" t="s">
        <v>9817</v>
      </c>
      <c r="D9359" s="803" t="s">
        <v>9907</v>
      </c>
      <c r="E9359" s="803">
        <v>160</v>
      </c>
      <c r="F9359" s="803">
        <v>16</v>
      </c>
      <c r="G9359" s="202" t="str">
        <f t="shared" si="145"/>
        <v/>
      </c>
    </row>
    <row r="9360" spans="1:7" s="172" customFormat="1" ht="15" customHeight="1" x14ac:dyDescent="0.25">
      <c r="A9360" s="803" t="s">
        <v>16830</v>
      </c>
      <c r="B9360" s="803" t="s">
        <v>9817</v>
      </c>
      <c r="C9360" s="803" t="s">
        <v>9817</v>
      </c>
      <c r="D9360" s="803" t="s">
        <v>9908</v>
      </c>
      <c r="E9360" s="803" t="s">
        <v>19176</v>
      </c>
      <c r="F9360" s="803">
        <v>120</v>
      </c>
      <c r="G9360" s="202" t="str">
        <f t="shared" si="145"/>
        <v/>
      </c>
    </row>
    <row r="9361" spans="1:7" s="172" customFormat="1" ht="15" customHeight="1" x14ac:dyDescent="0.25">
      <c r="A9361" s="803" t="s">
        <v>16830</v>
      </c>
      <c r="B9361" s="803" t="s">
        <v>9817</v>
      </c>
      <c r="C9361" s="803" t="s">
        <v>9817</v>
      </c>
      <c r="D9361" s="803" t="s">
        <v>9909</v>
      </c>
      <c r="E9361" s="803" t="s">
        <v>18197</v>
      </c>
      <c r="F9361" s="803">
        <v>12</v>
      </c>
      <c r="G9361" s="202" t="str">
        <f t="shared" si="145"/>
        <v/>
      </c>
    </row>
    <row r="9362" spans="1:7" s="172" customFormat="1" ht="15" customHeight="1" x14ac:dyDescent="0.25">
      <c r="A9362" s="803" t="s">
        <v>16831</v>
      </c>
      <c r="B9362" s="803" t="s">
        <v>9817</v>
      </c>
      <c r="C9362" s="803" t="s">
        <v>9817</v>
      </c>
      <c r="D9362" s="803" t="s">
        <v>9910</v>
      </c>
      <c r="E9362" s="803">
        <v>63</v>
      </c>
      <c r="F9362" s="803">
        <v>0</v>
      </c>
      <c r="G9362" s="202" t="str">
        <f t="shared" si="145"/>
        <v/>
      </c>
    </row>
    <row r="9363" spans="1:7" s="172" customFormat="1" ht="15" customHeight="1" x14ac:dyDescent="0.25">
      <c r="A9363" s="803" t="s">
        <v>9215</v>
      </c>
      <c r="B9363" s="803" t="s">
        <v>9817</v>
      </c>
      <c r="C9363" s="803" t="s">
        <v>9817</v>
      </c>
      <c r="D9363" s="803" t="s">
        <v>9911</v>
      </c>
      <c r="E9363" s="803">
        <v>30</v>
      </c>
      <c r="F9363" s="803">
        <v>12</v>
      </c>
      <c r="G9363" s="202" t="str">
        <f t="shared" si="145"/>
        <v/>
      </c>
    </row>
    <row r="9364" spans="1:7" s="172" customFormat="1" ht="15" customHeight="1" x14ac:dyDescent="0.25">
      <c r="A9364" s="803" t="s">
        <v>6962</v>
      </c>
      <c r="B9364" s="803" t="s">
        <v>9817</v>
      </c>
      <c r="C9364" s="803" t="s">
        <v>9817</v>
      </c>
      <c r="D9364" s="803" t="s">
        <v>9912</v>
      </c>
      <c r="E9364" s="803">
        <v>30</v>
      </c>
      <c r="F9364" s="803">
        <v>17</v>
      </c>
      <c r="G9364" s="202" t="str">
        <f t="shared" si="145"/>
        <v/>
      </c>
    </row>
    <row r="9365" spans="1:7" s="172" customFormat="1" ht="15" customHeight="1" x14ac:dyDescent="0.25">
      <c r="A9365" s="803" t="s">
        <v>7717</v>
      </c>
      <c r="B9365" s="803" t="s">
        <v>9817</v>
      </c>
      <c r="C9365" s="803" t="s">
        <v>9817</v>
      </c>
      <c r="D9365" s="803" t="s">
        <v>9913</v>
      </c>
      <c r="E9365" s="803">
        <v>30</v>
      </c>
      <c r="F9365" s="803">
        <v>12</v>
      </c>
      <c r="G9365" s="202" t="str">
        <f t="shared" si="145"/>
        <v/>
      </c>
    </row>
    <row r="9366" spans="1:7" s="172" customFormat="1" ht="15" customHeight="1" x14ac:dyDescent="0.25">
      <c r="A9366" s="803" t="s">
        <v>3491</v>
      </c>
      <c r="B9366" s="803" t="s">
        <v>9817</v>
      </c>
      <c r="C9366" s="803" t="s">
        <v>9817</v>
      </c>
      <c r="D9366" s="803" t="s">
        <v>9914</v>
      </c>
      <c r="E9366" s="803">
        <v>20</v>
      </c>
      <c r="F9366" s="803">
        <v>4</v>
      </c>
      <c r="G9366" s="202" t="str">
        <f t="shared" si="145"/>
        <v/>
      </c>
    </row>
    <row r="9367" spans="1:7" s="172" customFormat="1" ht="15" customHeight="1" x14ac:dyDescent="0.25">
      <c r="A9367" s="803" t="s">
        <v>9915</v>
      </c>
      <c r="B9367" s="803" t="s">
        <v>9817</v>
      </c>
      <c r="C9367" s="803" t="s">
        <v>9817</v>
      </c>
      <c r="D9367" s="803" t="s">
        <v>9916</v>
      </c>
      <c r="E9367" s="803">
        <v>30</v>
      </c>
      <c r="F9367" s="803">
        <v>7</v>
      </c>
      <c r="G9367" s="202" t="str">
        <f t="shared" si="145"/>
        <v/>
      </c>
    </row>
    <row r="9368" spans="1:7" s="172" customFormat="1" ht="15" customHeight="1" x14ac:dyDescent="0.25">
      <c r="A9368" s="803" t="s">
        <v>9917</v>
      </c>
      <c r="B9368" s="803" t="s">
        <v>9817</v>
      </c>
      <c r="C9368" s="803" t="s">
        <v>9817</v>
      </c>
      <c r="D9368" s="803" t="s">
        <v>9918</v>
      </c>
      <c r="E9368" s="803">
        <v>30</v>
      </c>
      <c r="F9368" s="803">
        <v>6</v>
      </c>
      <c r="G9368" s="202" t="str">
        <f t="shared" si="145"/>
        <v/>
      </c>
    </row>
    <row r="9369" spans="1:7" s="172" customFormat="1" ht="15" customHeight="1" x14ac:dyDescent="0.25">
      <c r="A9369" s="803" t="s">
        <v>8583</v>
      </c>
      <c r="B9369" s="803" t="s">
        <v>9817</v>
      </c>
      <c r="C9369" s="803" t="s">
        <v>9817</v>
      </c>
      <c r="D9369" s="803" t="s">
        <v>9919</v>
      </c>
      <c r="E9369" s="803">
        <v>60</v>
      </c>
      <c r="F9369" s="803">
        <v>18</v>
      </c>
      <c r="G9369" s="202" t="str">
        <f t="shared" si="145"/>
        <v/>
      </c>
    </row>
    <row r="9370" spans="1:7" s="172" customFormat="1" ht="15" customHeight="1" x14ac:dyDescent="0.25">
      <c r="A9370" s="803" t="s">
        <v>9920</v>
      </c>
      <c r="B9370" s="803" t="s">
        <v>9817</v>
      </c>
      <c r="C9370" s="803" t="s">
        <v>9817</v>
      </c>
      <c r="D9370" s="803" t="s">
        <v>9921</v>
      </c>
      <c r="E9370" s="803">
        <v>250</v>
      </c>
      <c r="F9370" s="803">
        <v>24</v>
      </c>
      <c r="G9370" s="202" t="str">
        <f t="shared" si="145"/>
        <v/>
      </c>
    </row>
    <row r="9371" spans="1:7" s="172" customFormat="1" ht="15" customHeight="1" x14ac:dyDescent="0.25">
      <c r="A9371" s="803" t="s">
        <v>9920</v>
      </c>
      <c r="B9371" s="803" t="s">
        <v>9817</v>
      </c>
      <c r="C9371" s="803" t="s">
        <v>9817</v>
      </c>
      <c r="D9371" s="803" t="s">
        <v>9922</v>
      </c>
      <c r="E9371" s="803">
        <v>63</v>
      </c>
      <c r="F9371" s="803">
        <v>16</v>
      </c>
      <c r="G9371" s="202" t="str">
        <f t="shared" si="145"/>
        <v/>
      </c>
    </row>
    <row r="9372" spans="1:7" s="172" customFormat="1" ht="15" customHeight="1" x14ac:dyDescent="0.25">
      <c r="A9372" s="803" t="s">
        <v>9923</v>
      </c>
      <c r="B9372" s="803" t="s">
        <v>9817</v>
      </c>
      <c r="C9372" s="803" t="s">
        <v>9817</v>
      </c>
      <c r="D9372" s="803" t="s">
        <v>9924</v>
      </c>
      <c r="E9372" s="803">
        <v>160</v>
      </c>
      <c r="F9372" s="803">
        <v>15</v>
      </c>
      <c r="G9372" s="202" t="str">
        <f t="shared" ref="G9372:G9435" si="146">IF(E9372=F9372,"не загружен","")</f>
        <v/>
      </c>
    </row>
    <row r="9373" spans="1:7" s="172" customFormat="1" ht="15" customHeight="1" x14ac:dyDescent="0.25">
      <c r="A9373" s="803" t="s">
        <v>9925</v>
      </c>
      <c r="B9373" s="803" t="s">
        <v>9817</v>
      </c>
      <c r="C9373" s="803" t="s">
        <v>9817</v>
      </c>
      <c r="D9373" s="803" t="s">
        <v>9926</v>
      </c>
      <c r="E9373" s="803">
        <v>160</v>
      </c>
      <c r="F9373" s="803">
        <v>25</v>
      </c>
      <c r="G9373" s="202" t="str">
        <f t="shared" si="146"/>
        <v/>
      </c>
    </row>
    <row r="9374" spans="1:7" s="172" customFormat="1" ht="15" customHeight="1" x14ac:dyDescent="0.25">
      <c r="A9374" s="803" t="s">
        <v>9927</v>
      </c>
      <c r="B9374" s="803" t="s">
        <v>9817</v>
      </c>
      <c r="C9374" s="803" t="s">
        <v>9817</v>
      </c>
      <c r="D9374" s="803" t="s">
        <v>16832</v>
      </c>
      <c r="E9374" s="803">
        <v>160</v>
      </c>
      <c r="F9374" s="803">
        <v>0</v>
      </c>
      <c r="G9374" s="202" t="str">
        <f t="shared" si="146"/>
        <v/>
      </c>
    </row>
    <row r="9375" spans="1:7" s="172" customFormat="1" ht="15" customHeight="1" x14ac:dyDescent="0.25">
      <c r="A9375" s="803" t="s">
        <v>2796</v>
      </c>
      <c r="B9375" s="803" t="s">
        <v>9817</v>
      </c>
      <c r="C9375" s="803" t="s">
        <v>9817</v>
      </c>
      <c r="D9375" s="803" t="s">
        <v>9928</v>
      </c>
      <c r="E9375" s="803">
        <v>100</v>
      </c>
      <c r="F9375" s="803">
        <v>20</v>
      </c>
      <c r="G9375" s="202" t="str">
        <f t="shared" si="146"/>
        <v/>
      </c>
    </row>
    <row r="9376" spans="1:7" s="172" customFormat="1" ht="15" customHeight="1" x14ac:dyDescent="0.25">
      <c r="A9376" s="803" t="s">
        <v>16833</v>
      </c>
      <c r="B9376" s="803" t="s">
        <v>9817</v>
      </c>
      <c r="C9376" s="803" t="s">
        <v>9817</v>
      </c>
      <c r="D9376" s="803" t="s">
        <v>9929</v>
      </c>
      <c r="E9376" s="803">
        <v>250</v>
      </c>
      <c r="F9376" s="803">
        <v>23</v>
      </c>
      <c r="G9376" s="202" t="str">
        <f t="shared" si="146"/>
        <v/>
      </c>
    </row>
    <row r="9377" spans="1:7" s="172" customFormat="1" ht="15" customHeight="1" x14ac:dyDescent="0.25">
      <c r="A9377" s="803" t="s">
        <v>16833</v>
      </c>
      <c r="B9377" s="803" t="s">
        <v>9817</v>
      </c>
      <c r="C9377" s="803" t="s">
        <v>9817</v>
      </c>
      <c r="D9377" s="803" t="s">
        <v>9930</v>
      </c>
      <c r="E9377" s="803">
        <v>250</v>
      </c>
      <c r="F9377" s="803">
        <v>25</v>
      </c>
      <c r="G9377" s="202" t="str">
        <f t="shared" si="146"/>
        <v/>
      </c>
    </row>
    <row r="9378" spans="1:7" s="172" customFormat="1" ht="15" customHeight="1" x14ac:dyDescent="0.25">
      <c r="A9378" s="803" t="s">
        <v>16833</v>
      </c>
      <c r="B9378" s="803" t="s">
        <v>9817</v>
      </c>
      <c r="C9378" s="803" t="s">
        <v>9817</v>
      </c>
      <c r="D9378" s="803" t="s">
        <v>9931</v>
      </c>
      <c r="E9378" s="803">
        <v>400</v>
      </c>
      <c r="F9378" s="803">
        <v>34</v>
      </c>
      <c r="G9378" s="202" t="str">
        <f t="shared" si="146"/>
        <v/>
      </c>
    </row>
    <row r="9379" spans="1:7" s="172" customFormat="1" ht="15" customHeight="1" x14ac:dyDescent="0.25">
      <c r="A9379" s="803" t="s">
        <v>16833</v>
      </c>
      <c r="B9379" s="803" t="s">
        <v>9817</v>
      </c>
      <c r="C9379" s="803" t="s">
        <v>9817</v>
      </c>
      <c r="D9379" s="803" t="s">
        <v>9932</v>
      </c>
      <c r="E9379" s="803">
        <v>400</v>
      </c>
      <c r="F9379" s="803">
        <v>39</v>
      </c>
      <c r="G9379" s="202" t="str">
        <f t="shared" si="146"/>
        <v/>
      </c>
    </row>
    <row r="9380" spans="1:7" s="172" customFormat="1" ht="15" customHeight="1" x14ac:dyDescent="0.25">
      <c r="A9380" s="803" t="s">
        <v>16833</v>
      </c>
      <c r="B9380" s="803" t="s">
        <v>9817</v>
      </c>
      <c r="C9380" s="803" t="s">
        <v>9817</v>
      </c>
      <c r="D9380" s="803" t="s">
        <v>9933</v>
      </c>
      <c r="E9380" s="803">
        <v>160</v>
      </c>
      <c r="F9380" s="803">
        <v>38</v>
      </c>
      <c r="G9380" s="202" t="str">
        <f t="shared" si="146"/>
        <v/>
      </c>
    </row>
    <row r="9381" spans="1:7" s="172" customFormat="1" ht="15" customHeight="1" x14ac:dyDescent="0.25">
      <c r="A9381" s="803" t="s">
        <v>9934</v>
      </c>
      <c r="B9381" s="803" t="s">
        <v>9817</v>
      </c>
      <c r="C9381" s="803" t="s">
        <v>9817</v>
      </c>
      <c r="D9381" s="803" t="s">
        <v>9935</v>
      </c>
      <c r="E9381" s="803">
        <v>10</v>
      </c>
      <c r="F9381" s="803">
        <v>0</v>
      </c>
      <c r="G9381" s="202" t="str">
        <f t="shared" si="146"/>
        <v/>
      </c>
    </row>
    <row r="9382" spans="1:7" s="172" customFormat="1" ht="15" customHeight="1" x14ac:dyDescent="0.25">
      <c r="A9382" s="803" t="s">
        <v>9936</v>
      </c>
      <c r="B9382" s="803" t="s">
        <v>9817</v>
      </c>
      <c r="C9382" s="803" t="s">
        <v>9817</v>
      </c>
      <c r="D9382" s="803" t="s">
        <v>9937</v>
      </c>
      <c r="E9382" s="803">
        <v>100</v>
      </c>
      <c r="F9382" s="803">
        <v>39</v>
      </c>
      <c r="G9382" s="202" t="str">
        <f t="shared" si="146"/>
        <v/>
      </c>
    </row>
    <row r="9383" spans="1:7" s="172" customFormat="1" ht="15" customHeight="1" x14ac:dyDescent="0.25">
      <c r="A9383" s="803" t="s">
        <v>9936</v>
      </c>
      <c r="B9383" s="803" t="s">
        <v>9817</v>
      </c>
      <c r="C9383" s="803" t="s">
        <v>9817</v>
      </c>
      <c r="D9383" s="803" t="s">
        <v>9938</v>
      </c>
      <c r="E9383" s="803">
        <v>160</v>
      </c>
      <c r="F9383" s="803">
        <v>41</v>
      </c>
      <c r="G9383" s="202" t="str">
        <f t="shared" si="146"/>
        <v/>
      </c>
    </row>
    <row r="9384" spans="1:7" s="172" customFormat="1" ht="15" customHeight="1" x14ac:dyDescent="0.25">
      <c r="A9384" s="803" t="s">
        <v>9939</v>
      </c>
      <c r="B9384" s="803" t="s">
        <v>9817</v>
      </c>
      <c r="C9384" s="803" t="s">
        <v>9817</v>
      </c>
      <c r="D9384" s="803" t="s">
        <v>9940</v>
      </c>
      <c r="E9384" s="803">
        <v>10</v>
      </c>
      <c r="F9384" s="803">
        <v>0</v>
      </c>
      <c r="G9384" s="202" t="str">
        <f t="shared" si="146"/>
        <v/>
      </c>
    </row>
    <row r="9385" spans="1:7" s="172" customFormat="1" ht="15" customHeight="1" x14ac:dyDescent="0.25">
      <c r="A9385" s="803" t="s">
        <v>9941</v>
      </c>
      <c r="B9385" s="803" t="s">
        <v>9817</v>
      </c>
      <c r="C9385" s="803" t="s">
        <v>9817</v>
      </c>
      <c r="D9385" s="803" t="s">
        <v>9942</v>
      </c>
      <c r="E9385" s="803">
        <v>60</v>
      </c>
      <c r="F9385" s="803">
        <v>21</v>
      </c>
      <c r="G9385" s="202" t="str">
        <f t="shared" si="146"/>
        <v/>
      </c>
    </row>
    <row r="9386" spans="1:7" s="172" customFormat="1" ht="15" customHeight="1" x14ac:dyDescent="0.25">
      <c r="A9386" s="803" t="s">
        <v>9943</v>
      </c>
      <c r="B9386" s="803" t="s">
        <v>9817</v>
      </c>
      <c r="C9386" s="803" t="s">
        <v>9817</v>
      </c>
      <c r="D9386" s="803" t="s">
        <v>9944</v>
      </c>
      <c r="E9386" s="803">
        <v>50</v>
      </c>
      <c r="F9386" s="803">
        <v>26</v>
      </c>
      <c r="G9386" s="202" t="str">
        <f t="shared" si="146"/>
        <v/>
      </c>
    </row>
    <row r="9387" spans="1:7" s="172" customFormat="1" ht="15" customHeight="1" x14ac:dyDescent="0.25">
      <c r="A9387" s="803" t="s">
        <v>9943</v>
      </c>
      <c r="B9387" s="803" t="s">
        <v>9817</v>
      </c>
      <c r="C9387" s="803" t="s">
        <v>9817</v>
      </c>
      <c r="D9387" s="803" t="s">
        <v>9945</v>
      </c>
      <c r="E9387" s="803">
        <v>100</v>
      </c>
      <c r="F9387" s="803">
        <v>21</v>
      </c>
      <c r="G9387" s="202" t="str">
        <f t="shared" si="146"/>
        <v/>
      </c>
    </row>
    <row r="9388" spans="1:7" s="172" customFormat="1" ht="15" customHeight="1" x14ac:dyDescent="0.25">
      <c r="A9388" s="803" t="s">
        <v>2552</v>
      </c>
      <c r="B9388" s="803" t="s">
        <v>9817</v>
      </c>
      <c r="C9388" s="803" t="s">
        <v>9817</v>
      </c>
      <c r="D9388" s="803" t="s">
        <v>9946</v>
      </c>
      <c r="E9388" s="803">
        <v>30</v>
      </c>
      <c r="F9388" s="803">
        <v>12</v>
      </c>
      <c r="G9388" s="202" t="str">
        <f t="shared" si="146"/>
        <v/>
      </c>
    </row>
    <row r="9389" spans="1:7" s="172" customFormat="1" ht="15" customHeight="1" x14ac:dyDescent="0.25">
      <c r="A9389" s="803" t="s">
        <v>9947</v>
      </c>
      <c r="B9389" s="803" t="s">
        <v>9817</v>
      </c>
      <c r="C9389" s="803" t="s">
        <v>9817</v>
      </c>
      <c r="D9389" s="803" t="s">
        <v>9948</v>
      </c>
      <c r="E9389" s="803">
        <v>100</v>
      </c>
      <c r="F9389" s="803">
        <v>10</v>
      </c>
      <c r="G9389" s="202" t="str">
        <f t="shared" si="146"/>
        <v/>
      </c>
    </row>
    <row r="9390" spans="1:7" s="172" customFormat="1" ht="15" customHeight="1" x14ac:dyDescent="0.25">
      <c r="A9390" s="803" t="s">
        <v>9949</v>
      </c>
      <c r="B9390" s="803" t="s">
        <v>9817</v>
      </c>
      <c r="C9390" s="803" t="s">
        <v>9817</v>
      </c>
      <c r="D9390" s="803" t="s">
        <v>9950</v>
      </c>
      <c r="E9390" s="803">
        <v>250</v>
      </c>
      <c r="F9390" s="803">
        <v>40</v>
      </c>
      <c r="G9390" s="202" t="str">
        <f t="shared" si="146"/>
        <v/>
      </c>
    </row>
    <row r="9391" spans="1:7" s="172" customFormat="1" ht="15" customHeight="1" x14ac:dyDescent="0.25">
      <c r="A9391" s="803" t="s">
        <v>16247</v>
      </c>
      <c r="B9391" s="803" t="s">
        <v>9817</v>
      </c>
      <c r="C9391" s="803" t="s">
        <v>9817</v>
      </c>
      <c r="D9391" s="803" t="s">
        <v>9951</v>
      </c>
      <c r="E9391" s="803" t="s">
        <v>18196</v>
      </c>
      <c r="F9391" s="803">
        <v>25</v>
      </c>
      <c r="G9391" s="202" t="str">
        <f t="shared" si="146"/>
        <v/>
      </c>
    </row>
    <row r="9392" spans="1:7" s="172" customFormat="1" ht="15" customHeight="1" x14ac:dyDescent="0.25">
      <c r="A9392" s="803" t="s">
        <v>16247</v>
      </c>
      <c r="B9392" s="803" t="s">
        <v>9817</v>
      </c>
      <c r="C9392" s="803" t="s">
        <v>9817</v>
      </c>
      <c r="D9392" s="803" t="s">
        <v>9952</v>
      </c>
      <c r="E9392" s="803" t="s">
        <v>18196</v>
      </c>
      <c r="F9392" s="803">
        <v>23</v>
      </c>
      <c r="G9392" s="202" t="str">
        <f t="shared" si="146"/>
        <v/>
      </c>
    </row>
    <row r="9393" spans="1:7" s="172" customFormat="1" ht="15" customHeight="1" x14ac:dyDescent="0.25">
      <c r="A9393" s="803" t="s">
        <v>16247</v>
      </c>
      <c r="B9393" s="803" t="s">
        <v>9817</v>
      </c>
      <c r="C9393" s="803" t="s">
        <v>9817</v>
      </c>
      <c r="D9393" s="803" t="s">
        <v>9953</v>
      </c>
      <c r="E9393" s="803">
        <v>250</v>
      </c>
      <c r="F9393" s="803">
        <v>29</v>
      </c>
      <c r="G9393" s="202" t="str">
        <f t="shared" si="146"/>
        <v/>
      </c>
    </row>
    <row r="9394" spans="1:7" s="172" customFormat="1" ht="15" customHeight="1" x14ac:dyDescent="0.25">
      <c r="A9394" s="803" t="s">
        <v>9954</v>
      </c>
      <c r="B9394" s="803" t="s">
        <v>9817</v>
      </c>
      <c r="C9394" s="803" t="s">
        <v>9817</v>
      </c>
      <c r="D9394" s="803" t="s">
        <v>9955</v>
      </c>
      <c r="E9394" s="803">
        <v>40</v>
      </c>
      <c r="F9394" s="803">
        <v>28</v>
      </c>
      <c r="G9394" s="202" t="str">
        <f t="shared" si="146"/>
        <v/>
      </c>
    </row>
    <row r="9395" spans="1:7" s="172" customFormat="1" ht="15" customHeight="1" x14ac:dyDescent="0.25">
      <c r="A9395" s="803" t="s">
        <v>9956</v>
      </c>
      <c r="B9395" s="803" t="s">
        <v>9817</v>
      </c>
      <c r="C9395" s="803" t="s">
        <v>9817</v>
      </c>
      <c r="D9395" s="803" t="s">
        <v>9957</v>
      </c>
      <c r="E9395" s="803">
        <v>40</v>
      </c>
      <c r="F9395" s="803">
        <v>15</v>
      </c>
      <c r="G9395" s="202" t="str">
        <f t="shared" si="146"/>
        <v/>
      </c>
    </row>
    <row r="9396" spans="1:7" s="172" customFormat="1" ht="15" customHeight="1" x14ac:dyDescent="0.25">
      <c r="A9396" s="803" t="s">
        <v>16834</v>
      </c>
      <c r="B9396" s="803" t="s">
        <v>9817</v>
      </c>
      <c r="C9396" s="803" t="s">
        <v>9817</v>
      </c>
      <c r="D9396" s="803" t="s">
        <v>9958</v>
      </c>
      <c r="E9396" s="803">
        <v>160</v>
      </c>
      <c r="F9396" s="803">
        <v>30</v>
      </c>
      <c r="G9396" s="202" t="str">
        <f t="shared" si="146"/>
        <v/>
      </c>
    </row>
    <row r="9397" spans="1:7" s="172" customFormat="1" ht="15" customHeight="1" x14ac:dyDescent="0.25">
      <c r="A9397" s="803" t="s">
        <v>16834</v>
      </c>
      <c r="B9397" s="803" t="s">
        <v>9817</v>
      </c>
      <c r="C9397" s="803" t="s">
        <v>9817</v>
      </c>
      <c r="D9397" s="803" t="s">
        <v>9959</v>
      </c>
      <c r="E9397" s="803">
        <v>160</v>
      </c>
      <c r="F9397" s="803">
        <v>5</v>
      </c>
      <c r="G9397" s="202" t="str">
        <f t="shared" si="146"/>
        <v/>
      </c>
    </row>
    <row r="9398" spans="1:7" s="172" customFormat="1" ht="15" customHeight="1" x14ac:dyDescent="0.25">
      <c r="A9398" s="803" t="s">
        <v>9960</v>
      </c>
      <c r="B9398" s="803" t="s">
        <v>9817</v>
      </c>
      <c r="C9398" s="803" t="s">
        <v>9817</v>
      </c>
      <c r="D9398" s="803" t="s">
        <v>9961</v>
      </c>
      <c r="E9398" s="803">
        <v>30</v>
      </c>
      <c r="F9398" s="803">
        <v>6</v>
      </c>
      <c r="G9398" s="202" t="str">
        <f t="shared" si="146"/>
        <v/>
      </c>
    </row>
    <row r="9399" spans="1:7" s="172" customFormat="1" ht="15" customHeight="1" x14ac:dyDescent="0.25">
      <c r="A9399" s="803" t="s">
        <v>16835</v>
      </c>
      <c r="B9399" s="803" t="s">
        <v>9817</v>
      </c>
      <c r="C9399" s="803" t="s">
        <v>9817</v>
      </c>
      <c r="D9399" s="803" t="s">
        <v>16836</v>
      </c>
      <c r="E9399" s="803">
        <v>0</v>
      </c>
      <c r="F9399" s="803">
        <v>0</v>
      </c>
      <c r="G9399" s="202" t="str">
        <f t="shared" si="146"/>
        <v>не загружен</v>
      </c>
    </row>
    <row r="9400" spans="1:7" s="172" customFormat="1" ht="15" customHeight="1" x14ac:dyDescent="0.25">
      <c r="A9400" s="803" t="s">
        <v>16835</v>
      </c>
      <c r="B9400" s="803" t="s">
        <v>9817</v>
      </c>
      <c r="C9400" s="803" t="s">
        <v>9817</v>
      </c>
      <c r="D9400" s="803" t="s">
        <v>16837</v>
      </c>
      <c r="E9400" s="803">
        <v>0</v>
      </c>
      <c r="F9400" s="803">
        <v>0</v>
      </c>
      <c r="G9400" s="202" t="str">
        <f t="shared" si="146"/>
        <v>не загружен</v>
      </c>
    </row>
    <row r="9401" spans="1:7" s="172" customFormat="1" ht="15" customHeight="1" x14ac:dyDescent="0.25">
      <c r="A9401" s="803" t="s">
        <v>16835</v>
      </c>
      <c r="B9401" s="803" t="s">
        <v>9817</v>
      </c>
      <c r="C9401" s="803" t="s">
        <v>9817</v>
      </c>
      <c r="D9401" s="803" t="s">
        <v>9962</v>
      </c>
      <c r="E9401" s="803" t="s">
        <v>18197</v>
      </c>
      <c r="F9401" s="803">
        <v>350</v>
      </c>
      <c r="G9401" s="202" t="str">
        <f t="shared" si="146"/>
        <v/>
      </c>
    </row>
    <row r="9402" spans="1:7" s="172" customFormat="1" ht="15" customHeight="1" x14ac:dyDescent="0.25">
      <c r="A9402" s="803" t="s">
        <v>16835</v>
      </c>
      <c r="B9402" s="803" t="s">
        <v>9817</v>
      </c>
      <c r="C9402" s="803" t="s">
        <v>9817</v>
      </c>
      <c r="D9402" s="803" t="s">
        <v>9963</v>
      </c>
      <c r="E9402" s="803">
        <v>250</v>
      </c>
      <c r="F9402" s="803">
        <v>32</v>
      </c>
      <c r="G9402" s="202" t="str">
        <f t="shared" si="146"/>
        <v/>
      </c>
    </row>
    <row r="9403" spans="1:7" s="172" customFormat="1" ht="15" customHeight="1" x14ac:dyDescent="0.25">
      <c r="A9403" s="803" t="s">
        <v>16835</v>
      </c>
      <c r="B9403" s="803" t="s">
        <v>9817</v>
      </c>
      <c r="C9403" s="803" t="s">
        <v>9817</v>
      </c>
      <c r="D9403" s="803" t="s">
        <v>9964</v>
      </c>
      <c r="E9403" s="803">
        <v>500</v>
      </c>
      <c r="F9403" s="803">
        <v>316.25</v>
      </c>
      <c r="G9403" s="202" t="str">
        <f t="shared" si="146"/>
        <v/>
      </c>
    </row>
    <row r="9404" spans="1:7" s="172" customFormat="1" ht="15" customHeight="1" x14ac:dyDescent="0.25">
      <c r="A9404" s="803" t="s">
        <v>9965</v>
      </c>
      <c r="B9404" s="803" t="s">
        <v>9817</v>
      </c>
      <c r="C9404" s="803" t="s">
        <v>9817</v>
      </c>
      <c r="D9404" s="803" t="s">
        <v>9966</v>
      </c>
      <c r="E9404" s="803">
        <v>30</v>
      </c>
      <c r="F9404" s="803">
        <v>9</v>
      </c>
      <c r="G9404" s="202" t="str">
        <f t="shared" si="146"/>
        <v/>
      </c>
    </row>
    <row r="9405" spans="1:7" s="172" customFormat="1" ht="15" customHeight="1" x14ac:dyDescent="0.25">
      <c r="A9405" s="803" t="s">
        <v>9967</v>
      </c>
      <c r="B9405" s="803" t="s">
        <v>9817</v>
      </c>
      <c r="C9405" s="803" t="s">
        <v>9817</v>
      </c>
      <c r="D9405" s="803" t="s">
        <v>9968</v>
      </c>
      <c r="E9405" s="803">
        <v>60</v>
      </c>
      <c r="F9405" s="803">
        <v>26</v>
      </c>
      <c r="G9405" s="202" t="str">
        <f t="shared" si="146"/>
        <v/>
      </c>
    </row>
    <row r="9406" spans="1:7" s="172" customFormat="1" ht="15" customHeight="1" x14ac:dyDescent="0.25">
      <c r="A9406" s="803" t="s">
        <v>16838</v>
      </c>
      <c r="B9406" s="803" t="s">
        <v>9817</v>
      </c>
      <c r="C9406" s="803" t="s">
        <v>9817</v>
      </c>
      <c r="D9406" s="803" t="s">
        <v>9969</v>
      </c>
      <c r="E9406" s="803" t="s">
        <v>18197</v>
      </c>
      <c r="F9406" s="803">
        <v>42</v>
      </c>
      <c r="G9406" s="202" t="str">
        <f t="shared" si="146"/>
        <v/>
      </c>
    </row>
    <row r="9407" spans="1:7" s="172" customFormat="1" ht="15" customHeight="1" x14ac:dyDescent="0.25">
      <c r="A9407" s="803" t="s">
        <v>16838</v>
      </c>
      <c r="B9407" s="803" t="s">
        <v>9817</v>
      </c>
      <c r="C9407" s="803" t="s">
        <v>9817</v>
      </c>
      <c r="D9407" s="803" t="s">
        <v>9970</v>
      </c>
      <c r="E9407" s="803">
        <v>100</v>
      </c>
      <c r="F9407" s="803">
        <v>45</v>
      </c>
      <c r="G9407" s="202" t="str">
        <f t="shared" si="146"/>
        <v/>
      </c>
    </row>
    <row r="9408" spans="1:7" s="172" customFormat="1" ht="15" customHeight="1" x14ac:dyDescent="0.25">
      <c r="A9408" s="803" t="s">
        <v>16838</v>
      </c>
      <c r="B9408" s="803" t="s">
        <v>9817</v>
      </c>
      <c r="C9408" s="803" t="s">
        <v>9817</v>
      </c>
      <c r="D9408" s="803" t="s">
        <v>9971</v>
      </c>
      <c r="E9408" s="803">
        <v>100</v>
      </c>
      <c r="F9408" s="803">
        <v>20</v>
      </c>
      <c r="G9408" s="202" t="str">
        <f t="shared" si="146"/>
        <v/>
      </c>
    </row>
    <row r="9409" spans="1:7" s="172" customFormat="1" ht="15" customHeight="1" x14ac:dyDescent="0.25">
      <c r="A9409" s="803" t="s">
        <v>16838</v>
      </c>
      <c r="B9409" s="803" t="s">
        <v>9817</v>
      </c>
      <c r="C9409" s="803" t="s">
        <v>9817</v>
      </c>
      <c r="D9409" s="803" t="s">
        <v>9972</v>
      </c>
      <c r="E9409" s="803">
        <v>160</v>
      </c>
      <c r="F9409" s="803">
        <v>50</v>
      </c>
      <c r="G9409" s="202" t="str">
        <f t="shared" si="146"/>
        <v/>
      </c>
    </row>
    <row r="9410" spans="1:7" s="172" customFormat="1" ht="15" customHeight="1" x14ac:dyDescent="0.25">
      <c r="A9410" s="803" t="s">
        <v>9973</v>
      </c>
      <c r="B9410" s="803" t="s">
        <v>9817</v>
      </c>
      <c r="C9410" s="803" t="s">
        <v>9817</v>
      </c>
      <c r="D9410" s="803" t="s">
        <v>9974</v>
      </c>
      <c r="E9410" s="803">
        <v>100</v>
      </c>
      <c r="F9410" s="803">
        <v>32</v>
      </c>
      <c r="G9410" s="202" t="str">
        <f t="shared" si="146"/>
        <v/>
      </c>
    </row>
    <row r="9411" spans="1:7" s="172" customFormat="1" ht="15" customHeight="1" x14ac:dyDescent="0.25">
      <c r="A9411" s="803" t="s">
        <v>8795</v>
      </c>
      <c r="B9411" s="803" t="s">
        <v>9817</v>
      </c>
      <c r="C9411" s="803" t="s">
        <v>9817</v>
      </c>
      <c r="D9411" s="803" t="s">
        <v>9975</v>
      </c>
      <c r="E9411" s="803">
        <v>40</v>
      </c>
      <c r="F9411" s="803">
        <v>19</v>
      </c>
      <c r="G9411" s="202" t="str">
        <f t="shared" si="146"/>
        <v/>
      </c>
    </row>
    <row r="9412" spans="1:7" s="172" customFormat="1" ht="15" customHeight="1" x14ac:dyDescent="0.25">
      <c r="A9412" s="803" t="s">
        <v>9976</v>
      </c>
      <c r="B9412" s="803" t="s">
        <v>9817</v>
      </c>
      <c r="C9412" s="803" t="s">
        <v>9817</v>
      </c>
      <c r="D9412" s="803" t="s">
        <v>9977</v>
      </c>
      <c r="E9412" s="803">
        <v>30</v>
      </c>
      <c r="F9412" s="803">
        <v>12</v>
      </c>
      <c r="G9412" s="202" t="str">
        <f t="shared" si="146"/>
        <v/>
      </c>
    </row>
    <row r="9413" spans="1:7" s="172" customFormat="1" ht="15" customHeight="1" x14ac:dyDescent="0.25">
      <c r="A9413" s="803" t="s">
        <v>9978</v>
      </c>
      <c r="B9413" s="803" t="s">
        <v>9817</v>
      </c>
      <c r="C9413" s="803" t="s">
        <v>9817</v>
      </c>
      <c r="D9413" s="803" t="s">
        <v>9979</v>
      </c>
      <c r="E9413" s="803">
        <v>30</v>
      </c>
      <c r="F9413" s="803">
        <v>10</v>
      </c>
      <c r="G9413" s="202" t="str">
        <f t="shared" si="146"/>
        <v/>
      </c>
    </row>
    <row r="9414" spans="1:7" s="172" customFormat="1" ht="15" customHeight="1" x14ac:dyDescent="0.25">
      <c r="A9414" s="803" t="s">
        <v>5123</v>
      </c>
      <c r="B9414" s="803" t="s">
        <v>9817</v>
      </c>
      <c r="C9414" s="803" t="s">
        <v>9817</v>
      </c>
      <c r="D9414" s="803" t="s">
        <v>9980</v>
      </c>
      <c r="E9414" s="803">
        <v>30</v>
      </c>
      <c r="F9414" s="803">
        <v>8</v>
      </c>
      <c r="G9414" s="202" t="str">
        <f t="shared" si="146"/>
        <v/>
      </c>
    </row>
    <row r="9415" spans="1:7" s="172" customFormat="1" ht="15" customHeight="1" x14ac:dyDescent="0.25">
      <c r="A9415" s="803" t="s">
        <v>2897</v>
      </c>
      <c r="B9415" s="803" t="s">
        <v>9817</v>
      </c>
      <c r="C9415" s="803" t="s">
        <v>9817</v>
      </c>
      <c r="D9415" s="803" t="s">
        <v>9981</v>
      </c>
      <c r="E9415" s="803">
        <v>30</v>
      </c>
      <c r="F9415" s="803">
        <v>11</v>
      </c>
      <c r="G9415" s="202" t="str">
        <f t="shared" si="146"/>
        <v/>
      </c>
    </row>
    <row r="9416" spans="1:7" s="172" customFormat="1" ht="15" customHeight="1" x14ac:dyDescent="0.25">
      <c r="A9416" s="803" t="s">
        <v>9982</v>
      </c>
      <c r="B9416" s="803" t="s">
        <v>9817</v>
      </c>
      <c r="C9416" s="803" t="s">
        <v>9817</v>
      </c>
      <c r="D9416" s="803" t="s">
        <v>9983</v>
      </c>
      <c r="E9416" s="803">
        <v>20</v>
      </c>
      <c r="F9416" s="803">
        <v>7</v>
      </c>
      <c r="G9416" s="202" t="str">
        <f t="shared" si="146"/>
        <v/>
      </c>
    </row>
    <row r="9417" spans="1:7" s="172" customFormat="1" ht="15" customHeight="1" x14ac:dyDescent="0.25">
      <c r="A9417" s="803" t="s">
        <v>9984</v>
      </c>
      <c r="B9417" s="803" t="s">
        <v>9817</v>
      </c>
      <c r="C9417" s="803" t="s">
        <v>9817</v>
      </c>
      <c r="D9417" s="803" t="s">
        <v>9985</v>
      </c>
      <c r="E9417" s="803">
        <v>50</v>
      </c>
      <c r="F9417" s="803">
        <v>13</v>
      </c>
      <c r="G9417" s="202" t="str">
        <f t="shared" si="146"/>
        <v/>
      </c>
    </row>
    <row r="9418" spans="1:7" s="172" customFormat="1" ht="15" customHeight="1" x14ac:dyDescent="0.25">
      <c r="A9418" s="803" t="s">
        <v>9986</v>
      </c>
      <c r="B9418" s="803" t="s">
        <v>9817</v>
      </c>
      <c r="C9418" s="803" t="s">
        <v>9817</v>
      </c>
      <c r="D9418" s="803" t="s">
        <v>9987</v>
      </c>
      <c r="E9418" s="803">
        <v>30</v>
      </c>
      <c r="F9418" s="803">
        <v>10</v>
      </c>
      <c r="G9418" s="202" t="str">
        <f t="shared" si="146"/>
        <v/>
      </c>
    </row>
    <row r="9419" spans="1:7" s="172" customFormat="1" ht="15" customHeight="1" x14ac:dyDescent="0.25">
      <c r="A9419" s="803" t="s">
        <v>9988</v>
      </c>
      <c r="B9419" s="803" t="s">
        <v>9817</v>
      </c>
      <c r="C9419" s="803" t="s">
        <v>9817</v>
      </c>
      <c r="D9419" s="803" t="s">
        <v>9989</v>
      </c>
      <c r="E9419" s="803">
        <v>160</v>
      </c>
      <c r="F9419" s="803">
        <v>10</v>
      </c>
      <c r="G9419" s="202" t="str">
        <f t="shared" si="146"/>
        <v/>
      </c>
    </row>
    <row r="9420" spans="1:7" s="172" customFormat="1" ht="15" customHeight="1" x14ac:dyDescent="0.25">
      <c r="A9420" s="803" t="s">
        <v>9826</v>
      </c>
      <c r="B9420" s="803" t="s">
        <v>9817</v>
      </c>
      <c r="C9420" s="803" t="s">
        <v>9817</v>
      </c>
      <c r="D9420" s="803" t="s">
        <v>9990</v>
      </c>
      <c r="E9420" s="803">
        <v>100</v>
      </c>
      <c r="F9420" s="803">
        <v>5</v>
      </c>
      <c r="G9420" s="202" t="str">
        <f t="shared" si="146"/>
        <v/>
      </c>
    </row>
    <row r="9421" spans="1:7" s="172" customFormat="1" ht="15" customHeight="1" x14ac:dyDescent="0.25">
      <c r="A9421" s="803" t="s">
        <v>9991</v>
      </c>
      <c r="B9421" s="803" t="s">
        <v>9817</v>
      </c>
      <c r="C9421" s="803" t="s">
        <v>9817</v>
      </c>
      <c r="D9421" s="803" t="s">
        <v>9992</v>
      </c>
      <c r="E9421" s="803">
        <v>63</v>
      </c>
      <c r="F9421" s="803">
        <v>29</v>
      </c>
      <c r="G9421" s="202" t="str">
        <f t="shared" si="146"/>
        <v/>
      </c>
    </row>
    <row r="9422" spans="1:7" s="172" customFormat="1" ht="15" customHeight="1" x14ac:dyDescent="0.25">
      <c r="A9422" s="803" t="s">
        <v>9993</v>
      </c>
      <c r="B9422" s="803" t="s">
        <v>9817</v>
      </c>
      <c r="C9422" s="803" t="s">
        <v>9817</v>
      </c>
      <c r="D9422" s="803" t="s">
        <v>9994</v>
      </c>
      <c r="E9422" s="803">
        <v>100</v>
      </c>
      <c r="F9422" s="803">
        <v>20</v>
      </c>
      <c r="G9422" s="202" t="str">
        <f t="shared" si="146"/>
        <v/>
      </c>
    </row>
    <row r="9423" spans="1:7" s="172" customFormat="1" ht="15" customHeight="1" x14ac:dyDescent="0.25">
      <c r="A9423" s="803" t="s">
        <v>9995</v>
      </c>
      <c r="B9423" s="803" t="s">
        <v>9817</v>
      </c>
      <c r="C9423" s="803" t="s">
        <v>9817</v>
      </c>
      <c r="D9423" s="803" t="s">
        <v>9996</v>
      </c>
      <c r="E9423" s="803">
        <v>40</v>
      </c>
      <c r="F9423" s="803">
        <v>23</v>
      </c>
      <c r="G9423" s="202" t="str">
        <f t="shared" si="146"/>
        <v/>
      </c>
    </row>
    <row r="9424" spans="1:7" s="172" customFormat="1" ht="15" customHeight="1" x14ac:dyDescent="0.25">
      <c r="A9424" s="803" t="s">
        <v>16839</v>
      </c>
      <c r="B9424" s="803" t="s">
        <v>9817</v>
      </c>
      <c r="C9424" s="803" t="s">
        <v>9817</v>
      </c>
      <c r="D9424" s="803" t="s">
        <v>9997</v>
      </c>
      <c r="E9424" s="803" t="s">
        <v>18197</v>
      </c>
      <c r="F9424" s="803">
        <v>28</v>
      </c>
      <c r="G9424" s="202" t="str">
        <f t="shared" si="146"/>
        <v/>
      </c>
    </row>
    <row r="9425" spans="1:7" s="172" customFormat="1" ht="15" customHeight="1" x14ac:dyDescent="0.25">
      <c r="A9425" s="803" t="s">
        <v>9998</v>
      </c>
      <c r="B9425" s="803" t="s">
        <v>9817</v>
      </c>
      <c r="C9425" s="803" t="s">
        <v>9817</v>
      </c>
      <c r="D9425" s="803" t="s">
        <v>9999</v>
      </c>
      <c r="E9425" s="803">
        <v>160</v>
      </c>
      <c r="F9425" s="803">
        <v>25</v>
      </c>
      <c r="G9425" s="202" t="str">
        <f t="shared" si="146"/>
        <v/>
      </c>
    </row>
    <row r="9426" spans="1:7" s="172" customFormat="1" ht="15" customHeight="1" x14ac:dyDescent="0.25">
      <c r="A9426" s="803" t="s">
        <v>10000</v>
      </c>
      <c r="B9426" s="803" t="s">
        <v>9817</v>
      </c>
      <c r="C9426" s="803" t="s">
        <v>9817</v>
      </c>
      <c r="D9426" s="803" t="s">
        <v>10001</v>
      </c>
      <c r="E9426" s="803">
        <v>40</v>
      </c>
      <c r="F9426" s="803">
        <v>3</v>
      </c>
      <c r="G9426" s="202" t="str">
        <f t="shared" si="146"/>
        <v/>
      </c>
    </row>
    <row r="9427" spans="1:7" s="172" customFormat="1" ht="15" customHeight="1" x14ac:dyDescent="0.25">
      <c r="A9427" s="803" t="s">
        <v>10002</v>
      </c>
      <c r="B9427" s="803" t="s">
        <v>9817</v>
      </c>
      <c r="C9427" s="803" t="s">
        <v>9817</v>
      </c>
      <c r="D9427" s="803" t="s">
        <v>10003</v>
      </c>
      <c r="E9427" s="803">
        <v>63</v>
      </c>
      <c r="F9427" s="803">
        <v>34</v>
      </c>
      <c r="G9427" s="202" t="str">
        <f t="shared" si="146"/>
        <v/>
      </c>
    </row>
    <row r="9428" spans="1:7" s="172" customFormat="1" ht="15" customHeight="1" x14ac:dyDescent="0.25">
      <c r="A9428" s="803" t="s">
        <v>10004</v>
      </c>
      <c r="B9428" s="803" t="s">
        <v>9817</v>
      </c>
      <c r="C9428" s="803" t="s">
        <v>9817</v>
      </c>
      <c r="D9428" s="803" t="s">
        <v>10005</v>
      </c>
      <c r="E9428" s="803">
        <v>10</v>
      </c>
      <c r="F9428" s="803">
        <v>0</v>
      </c>
      <c r="G9428" s="202" t="str">
        <f t="shared" si="146"/>
        <v/>
      </c>
    </row>
    <row r="9429" spans="1:7" s="172" customFormat="1" ht="15" customHeight="1" x14ac:dyDescent="0.25">
      <c r="A9429" s="803" t="s">
        <v>10006</v>
      </c>
      <c r="B9429" s="803" t="s">
        <v>9817</v>
      </c>
      <c r="C9429" s="803" t="s">
        <v>9817</v>
      </c>
      <c r="D9429" s="803" t="s">
        <v>10007</v>
      </c>
      <c r="E9429" s="803">
        <v>100</v>
      </c>
      <c r="F9429" s="803">
        <v>12</v>
      </c>
      <c r="G9429" s="202" t="str">
        <f t="shared" si="146"/>
        <v/>
      </c>
    </row>
    <row r="9430" spans="1:7" s="172" customFormat="1" ht="15" customHeight="1" x14ac:dyDescent="0.25">
      <c r="A9430" s="803" t="s">
        <v>10008</v>
      </c>
      <c r="B9430" s="803" t="s">
        <v>9817</v>
      </c>
      <c r="C9430" s="803" t="s">
        <v>9817</v>
      </c>
      <c r="D9430" s="803" t="s">
        <v>10009</v>
      </c>
      <c r="E9430" s="803">
        <v>63</v>
      </c>
      <c r="F9430" s="803">
        <v>17</v>
      </c>
      <c r="G9430" s="202" t="str">
        <f t="shared" si="146"/>
        <v/>
      </c>
    </row>
    <row r="9431" spans="1:7" s="172" customFormat="1" ht="15" customHeight="1" x14ac:dyDescent="0.25">
      <c r="A9431" s="803" t="s">
        <v>6274</v>
      </c>
      <c r="B9431" s="803" t="s">
        <v>9817</v>
      </c>
      <c r="C9431" s="803" t="s">
        <v>9817</v>
      </c>
      <c r="D9431" s="803" t="s">
        <v>10010</v>
      </c>
      <c r="E9431" s="803">
        <v>100</v>
      </c>
      <c r="F9431" s="803">
        <v>32</v>
      </c>
      <c r="G9431" s="202" t="str">
        <f t="shared" si="146"/>
        <v/>
      </c>
    </row>
    <row r="9432" spans="1:7" s="172" customFormat="1" ht="15" customHeight="1" x14ac:dyDescent="0.25">
      <c r="A9432" s="803" t="s">
        <v>5516</v>
      </c>
      <c r="B9432" s="803" t="s">
        <v>9817</v>
      </c>
      <c r="C9432" s="803" t="s">
        <v>9817</v>
      </c>
      <c r="D9432" s="803" t="s">
        <v>10011</v>
      </c>
      <c r="E9432" s="803">
        <v>250</v>
      </c>
      <c r="F9432" s="803">
        <v>45</v>
      </c>
      <c r="G9432" s="202" t="str">
        <f t="shared" si="146"/>
        <v/>
      </c>
    </row>
    <row r="9433" spans="1:7" s="172" customFormat="1" ht="15" customHeight="1" x14ac:dyDescent="0.25">
      <c r="A9433" s="803" t="s">
        <v>5516</v>
      </c>
      <c r="B9433" s="803" t="s">
        <v>9817</v>
      </c>
      <c r="C9433" s="803" t="s">
        <v>9817</v>
      </c>
      <c r="D9433" s="803" t="s">
        <v>10012</v>
      </c>
      <c r="E9433" s="803">
        <v>250</v>
      </c>
      <c r="F9433" s="803">
        <v>51</v>
      </c>
      <c r="G9433" s="202" t="str">
        <f t="shared" si="146"/>
        <v/>
      </c>
    </row>
    <row r="9434" spans="1:7" s="172" customFormat="1" ht="15" customHeight="1" x14ac:dyDescent="0.25">
      <c r="A9434" s="803" t="s">
        <v>10013</v>
      </c>
      <c r="B9434" s="803" t="s">
        <v>9817</v>
      </c>
      <c r="C9434" s="803" t="s">
        <v>9817</v>
      </c>
      <c r="D9434" s="803" t="s">
        <v>10014</v>
      </c>
      <c r="E9434" s="803">
        <v>30</v>
      </c>
      <c r="F9434" s="803">
        <v>12</v>
      </c>
      <c r="G9434" s="202" t="str">
        <f t="shared" si="146"/>
        <v/>
      </c>
    </row>
    <row r="9435" spans="1:7" s="172" customFormat="1" ht="15" customHeight="1" x14ac:dyDescent="0.25">
      <c r="A9435" s="803" t="s">
        <v>8618</v>
      </c>
      <c r="B9435" s="803" t="s">
        <v>9817</v>
      </c>
      <c r="C9435" s="803" t="s">
        <v>9817</v>
      </c>
      <c r="D9435" s="803" t="s">
        <v>10015</v>
      </c>
      <c r="E9435" s="803">
        <v>20</v>
      </c>
      <c r="F9435" s="803">
        <v>0</v>
      </c>
      <c r="G9435" s="202" t="str">
        <f t="shared" si="146"/>
        <v/>
      </c>
    </row>
    <row r="9436" spans="1:7" s="172" customFormat="1" ht="15" customHeight="1" x14ac:dyDescent="0.25">
      <c r="A9436" s="803" t="s">
        <v>10016</v>
      </c>
      <c r="B9436" s="803" t="s">
        <v>9817</v>
      </c>
      <c r="C9436" s="803" t="s">
        <v>9817</v>
      </c>
      <c r="D9436" s="803" t="s">
        <v>10017</v>
      </c>
      <c r="E9436" s="803">
        <v>30</v>
      </c>
      <c r="F9436" s="803">
        <v>13</v>
      </c>
      <c r="G9436" s="202" t="str">
        <f t="shared" ref="G9436:G9499" si="147">IF(E9436=F9436,"не загружен","")</f>
        <v/>
      </c>
    </row>
    <row r="9437" spans="1:7" s="172" customFormat="1" ht="15" customHeight="1" x14ac:dyDescent="0.25">
      <c r="A9437" s="803" t="s">
        <v>10018</v>
      </c>
      <c r="B9437" s="803" t="s">
        <v>9817</v>
      </c>
      <c r="C9437" s="803" t="s">
        <v>9817</v>
      </c>
      <c r="D9437" s="803" t="s">
        <v>10019</v>
      </c>
      <c r="E9437" s="803">
        <v>63</v>
      </c>
      <c r="F9437" s="803">
        <v>33</v>
      </c>
      <c r="G9437" s="202" t="str">
        <f t="shared" si="147"/>
        <v/>
      </c>
    </row>
    <row r="9438" spans="1:7" s="172" customFormat="1" ht="15" customHeight="1" x14ac:dyDescent="0.25">
      <c r="A9438" s="803" t="s">
        <v>10020</v>
      </c>
      <c r="B9438" s="803" t="s">
        <v>9817</v>
      </c>
      <c r="C9438" s="803" t="s">
        <v>9817</v>
      </c>
      <c r="D9438" s="803" t="s">
        <v>10021</v>
      </c>
      <c r="E9438" s="803">
        <v>40</v>
      </c>
      <c r="F9438" s="803">
        <v>12</v>
      </c>
      <c r="G9438" s="202" t="str">
        <f t="shared" si="147"/>
        <v/>
      </c>
    </row>
    <row r="9439" spans="1:7" s="172" customFormat="1" ht="15" customHeight="1" x14ac:dyDescent="0.25">
      <c r="A9439" s="803" t="s">
        <v>10022</v>
      </c>
      <c r="B9439" s="803" t="s">
        <v>9817</v>
      </c>
      <c r="C9439" s="803" t="s">
        <v>9817</v>
      </c>
      <c r="D9439" s="803" t="s">
        <v>10023</v>
      </c>
      <c r="E9439" s="803">
        <v>63</v>
      </c>
      <c r="F9439" s="803">
        <v>28</v>
      </c>
      <c r="G9439" s="202" t="str">
        <f t="shared" si="147"/>
        <v/>
      </c>
    </row>
    <row r="9440" spans="1:7" s="172" customFormat="1" ht="15" customHeight="1" x14ac:dyDescent="0.25">
      <c r="A9440" s="803" t="s">
        <v>3135</v>
      </c>
      <c r="B9440" s="803" t="s">
        <v>9817</v>
      </c>
      <c r="C9440" s="803" t="s">
        <v>9817</v>
      </c>
      <c r="D9440" s="803" t="s">
        <v>10024</v>
      </c>
      <c r="E9440" s="803">
        <v>100</v>
      </c>
      <c r="F9440" s="803">
        <v>6</v>
      </c>
      <c r="G9440" s="202" t="str">
        <f t="shared" si="147"/>
        <v/>
      </c>
    </row>
    <row r="9441" spans="1:7" s="172" customFormat="1" ht="15" customHeight="1" x14ac:dyDescent="0.25">
      <c r="A9441" s="803" t="s">
        <v>10025</v>
      </c>
      <c r="B9441" s="803" t="s">
        <v>9817</v>
      </c>
      <c r="C9441" s="803" t="s">
        <v>9817</v>
      </c>
      <c r="D9441" s="803" t="s">
        <v>10026</v>
      </c>
      <c r="E9441" s="803">
        <v>63</v>
      </c>
      <c r="F9441" s="803">
        <v>20</v>
      </c>
      <c r="G9441" s="202" t="str">
        <f t="shared" si="147"/>
        <v/>
      </c>
    </row>
    <row r="9442" spans="1:7" s="172" customFormat="1" ht="15" customHeight="1" x14ac:dyDescent="0.25">
      <c r="A9442" s="803" t="s">
        <v>9826</v>
      </c>
      <c r="B9442" s="803" t="s">
        <v>9817</v>
      </c>
      <c r="C9442" s="803" t="s">
        <v>9817</v>
      </c>
      <c r="D9442" s="803" t="s">
        <v>10027</v>
      </c>
      <c r="E9442" s="803">
        <v>160</v>
      </c>
      <c r="F9442" s="803">
        <v>20</v>
      </c>
      <c r="G9442" s="202" t="str">
        <f t="shared" si="147"/>
        <v/>
      </c>
    </row>
    <row r="9443" spans="1:7" s="172" customFormat="1" ht="15" customHeight="1" x14ac:dyDescent="0.25">
      <c r="A9443" s="803" t="s">
        <v>9835</v>
      </c>
      <c r="B9443" s="803" t="s">
        <v>9817</v>
      </c>
      <c r="C9443" s="803" t="s">
        <v>9817</v>
      </c>
      <c r="D9443" s="803" t="s">
        <v>10028</v>
      </c>
      <c r="E9443" s="803">
        <v>100</v>
      </c>
      <c r="F9443" s="803">
        <v>12</v>
      </c>
      <c r="G9443" s="202" t="str">
        <f t="shared" si="147"/>
        <v/>
      </c>
    </row>
    <row r="9444" spans="1:7" s="172" customFormat="1" ht="15" customHeight="1" x14ac:dyDescent="0.25">
      <c r="A9444" s="803" t="s">
        <v>16840</v>
      </c>
      <c r="B9444" s="803" t="s">
        <v>9817</v>
      </c>
      <c r="C9444" s="803" t="s">
        <v>9817</v>
      </c>
      <c r="D9444" s="803" t="s">
        <v>10029</v>
      </c>
      <c r="E9444" s="803">
        <v>250</v>
      </c>
      <c r="F9444" s="803">
        <v>34</v>
      </c>
      <c r="G9444" s="202" t="str">
        <f t="shared" si="147"/>
        <v/>
      </c>
    </row>
    <row r="9445" spans="1:7" s="172" customFormat="1" ht="15" customHeight="1" x14ac:dyDescent="0.25">
      <c r="A9445" s="803" t="s">
        <v>10279</v>
      </c>
      <c r="B9445" s="803" t="s">
        <v>9817</v>
      </c>
      <c r="C9445" s="803" t="s">
        <v>9817</v>
      </c>
      <c r="D9445" s="803" t="s">
        <v>20162</v>
      </c>
      <c r="E9445" s="803">
        <v>100</v>
      </c>
      <c r="F9445" s="803">
        <v>45</v>
      </c>
      <c r="G9445" s="202" t="str">
        <f t="shared" si="147"/>
        <v/>
      </c>
    </row>
    <row r="9446" spans="1:7" s="172" customFormat="1" ht="15" customHeight="1" x14ac:dyDescent="0.25">
      <c r="A9446" s="803" t="s">
        <v>16833</v>
      </c>
      <c r="B9446" s="803" t="s">
        <v>9817</v>
      </c>
      <c r="C9446" s="803" t="s">
        <v>9817</v>
      </c>
      <c r="D9446" s="803" t="s">
        <v>20163</v>
      </c>
      <c r="E9446" s="803">
        <v>250</v>
      </c>
      <c r="F9446" s="803">
        <v>140</v>
      </c>
      <c r="G9446" s="202" t="str">
        <f t="shared" si="147"/>
        <v/>
      </c>
    </row>
    <row r="9447" spans="1:7" s="172" customFormat="1" ht="15" customHeight="1" x14ac:dyDescent="0.25">
      <c r="A9447" s="803" t="s">
        <v>4848</v>
      </c>
      <c r="B9447" s="803" t="s">
        <v>9817</v>
      </c>
      <c r="C9447" s="803" t="s">
        <v>9817</v>
      </c>
      <c r="D9447" s="803" t="s">
        <v>10499</v>
      </c>
      <c r="E9447" s="803">
        <v>250</v>
      </c>
      <c r="F9447" s="803">
        <v>200</v>
      </c>
      <c r="G9447" s="202" t="str">
        <f t="shared" si="147"/>
        <v/>
      </c>
    </row>
    <row r="9448" spans="1:7" s="172" customFormat="1" ht="15" customHeight="1" x14ac:dyDescent="0.25">
      <c r="A9448" s="803" t="s">
        <v>10498</v>
      </c>
      <c r="B9448" s="803" t="s">
        <v>9817</v>
      </c>
      <c r="C9448" s="803" t="s">
        <v>9817</v>
      </c>
      <c r="D9448" s="803" t="s">
        <v>20164</v>
      </c>
      <c r="E9448" s="803">
        <v>10</v>
      </c>
      <c r="F9448" s="803">
        <v>2</v>
      </c>
      <c r="G9448" s="202" t="str">
        <f t="shared" si="147"/>
        <v/>
      </c>
    </row>
    <row r="9449" spans="1:7" s="172" customFormat="1" ht="15" customHeight="1" x14ac:dyDescent="0.25">
      <c r="A9449" s="803" t="s">
        <v>20165</v>
      </c>
      <c r="B9449" s="803" t="s">
        <v>9817</v>
      </c>
      <c r="C9449" s="803" t="s">
        <v>9817</v>
      </c>
      <c r="D9449" s="803" t="s">
        <v>20166</v>
      </c>
      <c r="E9449" s="803">
        <v>160</v>
      </c>
      <c r="F9449" s="803">
        <v>43</v>
      </c>
      <c r="G9449" s="202" t="str">
        <f t="shared" si="147"/>
        <v/>
      </c>
    </row>
    <row r="9450" spans="1:7" s="172" customFormat="1" ht="15" customHeight="1" x14ac:dyDescent="0.25">
      <c r="A9450" s="803" t="s">
        <v>16833</v>
      </c>
      <c r="B9450" s="803" t="s">
        <v>9817</v>
      </c>
      <c r="C9450" s="803" t="s">
        <v>9817</v>
      </c>
      <c r="D9450" s="803" t="s">
        <v>20167</v>
      </c>
      <c r="E9450" s="803">
        <v>250</v>
      </c>
      <c r="F9450" s="803">
        <v>28</v>
      </c>
      <c r="G9450" s="202" t="str">
        <f t="shared" si="147"/>
        <v/>
      </c>
    </row>
    <row r="9451" spans="1:7" s="172" customFormat="1" ht="15" customHeight="1" x14ac:dyDescent="0.25">
      <c r="A9451" s="803" t="s">
        <v>16833</v>
      </c>
      <c r="B9451" s="803" t="s">
        <v>9817</v>
      </c>
      <c r="C9451" s="803" t="s">
        <v>9817</v>
      </c>
      <c r="D9451" s="803" t="s">
        <v>20168</v>
      </c>
      <c r="E9451" s="803">
        <v>250</v>
      </c>
      <c r="F9451" s="803">
        <v>20</v>
      </c>
      <c r="G9451" s="202" t="str">
        <f t="shared" si="147"/>
        <v/>
      </c>
    </row>
    <row r="9452" spans="1:7" s="172" customFormat="1" ht="15" customHeight="1" x14ac:dyDescent="0.25">
      <c r="A9452" s="803" t="s">
        <v>16841</v>
      </c>
      <c r="B9452" s="803" t="s">
        <v>9817</v>
      </c>
      <c r="C9452" s="803" t="s">
        <v>9817</v>
      </c>
      <c r="D9452" s="803" t="s">
        <v>10030</v>
      </c>
      <c r="E9452" s="803">
        <v>100</v>
      </c>
      <c r="F9452" s="803">
        <v>10</v>
      </c>
      <c r="G9452" s="202" t="str">
        <f t="shared" si="147"/>
        <v/>
      </c>
    </row>
    <row r="9453" spans="1:7" s="172" customFormat="1" ht="15" customHeight="1" x14ac:dyDescent="0.25">
      <c r="A9453" s="803" t="s">
        <v>10031</v>
      </c>
      <c r="B9453" s="803" t="s">
        <v>9817</v>
      </c>
      <c r="C9453" s="803" t="s">
        <v>9817</v>
      </c>
      <c r="D9453" s="803" t="s">
        <v>10032</v>
      </c>
      <c r="E9453" s="803">
        <v>40</v>
      </c>
      <c r="F9453" s="803">
        <v>19</v>
      </c>
      <c r="G9453" s="202" t="str">
        <f t="shared" si="147"/>
        <v/>
      </c>
    </row>
    <row r="9454" spans="1:7" s="172" customFormat="1" ht="15" customHeight="1" x14ac:dyDescent="0.25">
      <c r="A9454" s="803" t="s">
        <v>10033</v>
      </c>
      <c r="B9454" s="803" t="s">
        <v>9817</v>
      </c>
      <c r="C9454" s="803" t="s">
        <v>9817</v>
      </c>
      <c r="D9454" s="803" t="s">
        <v>10034</v>
      </c>
      <c r="E9454" s="803">
        <v>63</v>
      </c>
      <c r="F9454" s="803">
        <v>15</v>
      </c>
      <c r="G9454" s="202" t="str">
        <f t="shared" si="147"/>
        <v/>
      </c>
    </row>
    <row r="9455" spans="1:7" s="172" customFormat="1" ht="15" customHeight="1" x14ac:dyDescent="0.25">
      <c r="A9455" s="803" t="s">
        <v>16833</v>
      </c>
      <c r="B9455" s="803" t="s">
        <v>9817</v>
      </c>
      <c r="C9455" s="803" t="s">
        <v>9817</v>
      </c>
      <c r="D9455" s="803" t="s">
        <v>10035</v>
      </c>
      <c r="E9455" s="803">
        <v>630</v>
      </c>
      <c r="F9455" s="803">
        <v>12</v>
      </c>
      <c r="G9455" s="202" t="str">
        <f t="shared" si="147"/>
        <v/>
      </c>
    </row>
    <row r="9456" spans="1:7" s="172" customFormat="1" ht="15" customHeight="1" x14ac:dyDescent="0.25">
      <c r="A9456" s="803" t="s">
        <v>16842</v>
      </c>
      <c r="B9456" s="803" t="s">
        <v>9817</v>
      </c>
      <c r="C9456" s="803" t="s">
        <v>9817</v>
      </c>
      <c r="D9456" s="803" t="s">
        <v>10036</v>
      </c>
      <c r="E9456" s="803">
        <v>10</v>
      </c>
      <c r="F9456" s="803">
        <v>0</v>
      </c>
      <c r="G9456" s="202" t="str">
        <f t="shared" si="147"/>
        <v/>
      </c>
    </row>
    <row r="9457" spans="1:7" s="172" customFormat="1" ht="15" customHeight="1" x14ac:dyDescent="0.25">
      <c r="A9457" s="803" t="s">
        <v>16833</v>
      </c>
      <c r="B9457" s="803" t="s">
        <v>9817</v>
      </c>
      <c r="C9457" s="803" t="s">
        <v>9817</v>
      </c>
      <c r="D9457" s="803" t="s">
        <v>10037</v>
      </c>
      <c r="E9457" s="803">
        <v>160</v>
      </c>
      <c r="F9457" s="803">
        <v>23</v>
      </c>
      <c r="G9457" s="202" t="str">
        <f t="shared" si="147"/>
        <v/>
      </c>
    </row>
    <row r="9458" spans="1:7" s="172" customFormat="1" ht="15" customHeight="1" x14ac:dyDescent="0.25">
      <c r="A9458" s="803" t="s">
        <v>16833</v>
      </c>
      <c r="B9458" s="803" t="s">
        <v>9817</v>
      </c>
      <c r="C9458" s="803" t="s">
        <v>9817</v>
      </c>
      <c r="D9458" s="803" t="s">
        <v>10038</v>
      </c>
      <c r="E9458" s="803">
        <v>630</v>
      </c>
      <c r="F9458" s="803">
        <v>34</v>
      </c>
      <c r="G9458" s="202" t="str">
        <f t="shared" si="147"/>
        <v/>
      </c>
    </row>
    <row r="9459" spans="1:7" s="172" customFormat="1" ht="15" customHeight="1" x14ac:dyDescent="0.25">
      <c r="A9459" s="803" t="s">
        <v>10039</v>
      </c>
      <c r="B9459" s="803" t="s">
        <v>9817</v>
      </c>
      <c r="C9459" s="803" t="s">
        <v>9817</v>
      </c>
      <c r="D9459" s="803" t="s">
        <v>10040</v>
      </c>
      <c r="E9459" s="803">
        <v>160</v>
      </c>
      <c r="F9459" s="803">
        <v>20</v>
      </c>
      <c r="G9459" s="202" t="str">
        <f t="shared" si="147"/>
        <v/>
      </c>
    </row>
    <row r="9460" spans="1:7" s="172" customFormat="1" ht="15" customHeight="1" x14ac:dyDescent="0.25">
      <c r="A9460" s="803" t="s">
        <v>10013</v>
      </c>
      <c r="B9460" s="803" t="s">
        <v>9817</v>
      </c>
      <c r="C9460" s="803" t="s">
        <v>9817</v>
      </c>
      <c r="D9460" s="803" t="s">
        <v>10041</v>
      </c>
      <c r="E9460" s="803">
        <v>100</v>
      </c>
      <c r="F9460" s="803">
        <v>28</v>
      </c>
      <c r="G9460" s="202" t="str">
        <f t="shared" si="147"/>
        <v/>
      </c>
    </row>
    <row r="9461" spans="1:7" s="172" customFormat="1" ht="15" customHeight="1" x14ac:dyDescent="0.25">
      <c r="A9461" s="803" t="s">
        <v>7586</v>
      </c>
      <c r="B9461" s="803" t="s">
        <v>9817</v>
      </c>
      <c r="C9461" s="803" t="s">
        <v>9817</v>
      </c>
      <c r="D9461" s="803" t="s">
        <v>10042</v>
      </c>
      <c r="E9461" s="803">
        <v>100</v>
      </c>
      <c r="F9461" s="803">
        <v>16</v>
      </c>
      <c r="G9461" s="202" t="str">
        <f t="shared" si="147"/>
        <v/>
      </c>
    </row>
    <row r="9462" spans="1:7" s="172" customFormat="1" ht="15" customHeight="1" x14ac:dyDescent="0.25">
      <c r="A9462" s="803" t="s">
        <v>10043</v>
      </c>
      <c r="B9462" s="803" t="s">
        <v>9817</v>
      </c>
      <c r="C9462" s="803" t="s">
        <v>9817</v>
      </c>
      <c r="D9462" s="803" t="s">
        <v>10044</v>
      </c>
      <c r="E9462" s="803">
        <v>60</v>
      </c>
      <c r="F9462" s="803">
        <v>23</v>
      </c>
      <c r="G9462" s="202" t="str">
        <f t="shared" si="147"/>
        <v/>
      </c>
    </row>
    <row r="9463" spans="1:7" s="172" customFormat="1" ht="15" customHeight="1" x14ac:dyDescent="0.25">
      <c r="A9463" s="803" t="s">
        <v>10045</v>
      </c>
      <c r="B9463" s="803" t="s">
        <v>9817</v>
      </c>
      <c r="C9463" s="803" t="s">
        <v>9817</v>
      </c>
      <c r="D9463" s="803" t="s">
        <v>10046</v>
      </c>
      <c r="E9463" s="803">
        <v>60</v>
      </c>
      <c r="F9463" s="803">
        <v>21</v>
      </c>
      <c r="G9463" s="202" t="str">
        <f t="shared" si="147"/>
        <v/>
      </c>
    </row>
    <row r="9464" spans="1:7" s="172" customFormat="1" ht="15" customHeight="1" x14ac:dyDescent="0.25">
      <c r="A9464" s="803" t="s">
        <v>10045</v>
      </c>
      <c r="B9464" s="803" t="s">
        <v>9817</v>
      </c>
      <c r="C9464" s="803" t="s">
        <v>9817</v>
      </c>
      <c r="D9464" s="803" t="s">
        <v>10047</v>
      </c>
      <c r="E9464" s="803">
        <v>30</v>
      </c>
      <c r="F9464" s="803">
        <v>12</v>
      </c>
      <c r="G9464" s="202" t="str">
        <f t="shared" si="147"/>
        <v/>
      </c>
    </row>
    <row r="9465" spans="1:7" s="172" customFormat="1" ht="15" customHeight="1" x14ac:dyDescent="0.25">
      <c r="A9465" s="803" t="s">
        <v>10048</v>
      </c>
      <c r="B9465" s="803" t="s">
        <v>9817</v>
      </c>
      <c r="C9465" s="803" t="s">
        <v>9817</v>
      </c>
      <c r="D9465" s="803" t="s">
        <v>10049</v>
      </c>
      <c r="E9465" s="803">
        <v>100</v>
      </c>
      <c r="F9465" s="803">
        <v>20</v>
      </c>
      <c r="G9465" s="202" t="str">
        <f t="shared" si="147"/>
        <v/>
      </c>
    </row>
    <row r="9466" spans="1:7" s="172" customFormat="1" ht="15" customHeight="1" x14ac:dyDescent="0.25">
      <c r="A9466" s="803" t="s">
        <v>6531</v>
      </c>
      <c r="B9466" s="803" t="s">
        <v>9817</v>
      </c>
      <c r="C9466" s="803" t="s">
        <v>9817</v>
      </c>
      <c r="D9466" s="803" t="s">
        <v>10050</v>
      </c>
      <c r="E9466" s="803">
        <v>100</v>
      </c>
      <c r="F9466" s="803">
        <v>0</v>
      </c>
      <c r="G9466" s="202" t="str">
        <f t="shared" si="147"/>
        <v/>
      </c>
    </row>
    <row r="9467" spans="1:7" s="172" customFormat="1" ht="15" customHeight="1" x14ac:dyDescent="0.25">
      <c r="A9467" s="803" t="s">
        <v>16843</v>
      </c>
      <c r="B9467" s="803" t="s">
        <v>9817</v>
      </c>
      <c r="C9467" s="803" t="s">
        <v>9817</v>
      </c>
      <c r="D9467" s="803" t="s">
        <v>10051</v>
      </c>
      <c r="E9467" s="803">
        <v>63</v>
      </c>
      <c r="F9467" s="803">
        <v>22</v>
      </c>
      <c r="G9467" s="202" t="str">
        <f t="shared" si="147"/>
        <v/>
      </c>
    </row>
    <row r="9468" spans="1:7" s="172" customFormat="1" ht="15" customHeight="1" x14ac:dyDescent="0.25">
      <c r="A9468" s="803" t="s">
        <v>10052</v>
      </c>
      <c r="B9468" s="803" t="s">
        <v>9817</v>
      </c>
      <c r="C9468" s="803" t="s">
        <v>9817</v>
      </c>
      <c r="D9468" s="803" t="s">
        <v>10053</v>
      </c>
      <c r="E9468" s="803">
        <v>63</v>
      </c>
      <c r="F9468" s="803">
        <v>21</v>
      </c>
      <c r="G9468" s="202" t="str">
        <f t="shared" si="147"/>
        <v/>
      </c>
    </row>
    <row r="9469" spans="1:7" s="172" customFormat="1" ht="15" customHeight="1" x14ac:dyDescent="0.25">
      <c r="A9469" s="803" t="s">
        <v>10054</v>
      </c>
      <c r="B9469" s="803" t="s">
        <v>9817</v>
      </c>
      <c r="C9469" s="803" t="s">
        <v>9817</v>
      </c>
      <c r="D9469" s="803" t="s">
        <v>10055</v>
      </c>
      <c r="E9469" s="803">
        <v>63</v>
      </c>
      <c r="F9469" s="803">
        <v>21</v>
      </c>
      <c r="G9469" s="202" t="str">
        <f t="shared" si="147"/>
        <v/>
      </c>
    </row>
    <row r="9470" spans="1:7" s="172" customFormat="1" ht="15" customHeight="1" x14ac:dyDescent="0.25">
      <c r="A9470" s="803" t="s">
        <v>10056</v>
      </c>
      <c r="B9470" s="803" t="s">
        <v>9817</v>
      </c>
      <c r="C9470" s="803" t="s">
        <v>9817</v>
      </c>
      <c r="D9470" s="803" t="s">
        <v>10057</v>
      </c>
      <c r="E9470" s="803">
        <v>60</v>
      </c>
      <c r="F9470" s="803">
        <v>19</v>
      </c>
      <c r="G9470" s="202" t="str">
        <f t="shared" si="147"/>
        <v/>
      </c>
    </row>
    <row r="9471" spans="1:7" s="172" customFormat="1" ht="15" customHeight="1" x14ac:dyDescent="0.25">
      <c r="A9471" s="803" t="s">
        <v>10058</v>
      </c>
      <c r="B9471" s="803" t="s">
        <v>9817</v>
      </c>
      <c r="C9471" s="803" t="s">
        <v>9817</v>
      </c>
      <c r="D9471" s="803" t="s">
        <v>10059</v>
      </c>
      <c r="E9471" s="803">
        <v>160</v>
      </c>
      <c r="F9471" s="803">
        <v>10</v>
      </c>
      <c r="G9471" s="202" t="str">
        <f t="shared" si="147"/>
        <v/>
      </c>
    </row>
    <row r="9472" spans="1:7" s="172" customFormat="1" ht="15" customHeight="1" x14ac:dyDescent="0.25">
      <c r="A9472" s="803" t="s">
        <v>10058</v>
      </c>
      <c r="B9472" s="803" t="s">
        <v>9817</v>
      </c>
      <c r="C9472" s="803" t="s">
        <v>9817</v>
      </c>
      <c r="D9472" s="803" t="s">
        <v>10060</v>
      </c>
      <c r="E9472" s="803">
        <v>100</v>
      </c>
      <c r="F9472" s="803">
        <v>20</v>
      </c>
      <c r="G9472" s="202" t="str">
        <f t="shared" si="147"/>
        <v/>
      </c>
    </row>
    <row r="9473" spans="1:7" s="172" customFormat="1" ht="15" customHeight="1" x14ac:dyDescent="0.25">
      <c r="A9473" s="803" t="s">
        <v>10061</v>
      </c>
      <c r="B9473" s="803" t="s">
        <v>9817</v>
      </c>
      <c r="C9473" s="803" t="s">
        <v>9817</v>
      </c>
      <c r="D9473" s="803" t="s">
        <v>10062</v>
      </c>
      <c r="E9473" s="803">
        <v>250</v>
      </c>
      <c r="F9473" s="803">
        <v>20</v>
      </c>
      <c r="G9473" s="202" t="str">
        <f t="shared" si="147"/>
        <v/>
      </c>
    </row>
    <row r="9474" spans="1:7" s="172" customFormat="1" ht="15" customHeight="1" x14ac:dyDescent="0.25">
      <c r="A9474" s="803" t="s">
        <v>16844</v>
      </c>
      <c r="B9474" s="803" t="s">
        <v>9817</v>
      </c>
      <c r="C9474" s="803" t="s">
        <v>9817</v>
      </c>
      <c r="D9474" s="803" t="s">
        <v>16845</v>
      </c>
      <c r="E9474" s="803">
        <v>0</v>
      </c>
      <c r="F9474" s="803">
        <v>0</v>
      </c>
      <c r="G9474" s="202" t="str">
        <f t="shared" si="147"/>
        <v>не загружен</v>
      </c>
    </row>
    <row r="9475" spans="1:7" s="172" customFormat="1" ht="15" customHeight="1" x14ac:dyDescent="0.25">
      <c r="A9475" s="803" t="s">
        <v>10063</v>
      </c>
      <c r="B9475" s="803" t="s">
        <v>9817</v>
      </c>
      <c r="C9475" s="803" t="s">
        <v>9817</v>
      </c>
      <c r="D9475" s="803" t="s">
        <v>10064</v>
      </c>
      <c r="E9475" s="803">
        <v>160</v>
      </c>
      <c r="F9475" s="803">
        <v>0</v>
      </c>
      <c r="G9475" s="202" t="str">
        <f t="shared" si="147"/>
        <v/>
      </c>
    </row>
    <row r="9476" spans="1:7" s="172" customFormat="1" ht="15" customHeight="1" x14ac:dyDescent="0.25">
      <c r="A9476" s="803" t="s">
        <v>10065</v>
      </c>
      <c r="B9476" s="803" t="s">
        <v>9817</v>
      </c>
      <c r="C9476" s="803" t="s">
        <v>9817</v>
      </c>
      <c r="D9476" s="803" t="s">
        <v>10066</v>
      </c>
      <c r="E9476" s="803">
        <v>100</v>
      </c>
      <c r="F9476" s="803">
        <v>0</v>
      </c>
      <c r="G9476" s="202" t="str">
        <f t="shared" si="147"/>
        <v/>
      </c>
    </row>
    <row r="9477" spans="1:7" s="172" customFormat="1" ht="15" customHeight="1" x14ac:dyDescent="0.25">
      <c r="A9477" s="803" t="s">
        <v>10067</v>
      </c>
      <c r="B9477" s="803" t="s">
        <v>9817</v>
      </c>
      <c r="C9477" s="803" t="s">
        <v>9817</v>
      </c>
      <c r="D9477" s="803" t="s">
        <v>10068</v>
      </c>
      <c r="E9477" s="803">
        <v>30</v>
      </c>
      <c r="F9477" s="803">
        <v>5</v>
      </c>
      <c r="G9477" s="202" t="str">
        <f t="shared" si="147"/>
        <v/>
      </c>
    </row>
    <row r="9478" spans="1:7" s="172" customFormat="1" ht="15" customHeight="1" x14ac:dyDescent="0.25">
      <c r="A9478" s="803" t="s">
        <v>16846</v>
      </c>
      <c r="B9478" s="803" t="s">
        <v>9817</v>
      </c>
      <c r="C9478" s="803" t="s">
        <v>9817</v>
      </c>
      <c r="D9478" s="803" t="s">
        <v>10069</v>
      </c>
      <c r="E9478" s="803" t="s">
        <v>18197</v>
      </c>
      <c r="F9478" s="803">
        <v>50</v>
      </c>
      <c r="G9478" s="202" t="str">
        <f t="shared" si="147"/>
        <v/>
      </c>
    </row>
    <row r="9479" spans="1:7" s="172" customFormat="1" ht="15" customHeight="1" x14ac:dyDescent="0.25">
      <c r="A9479" s="803" t="s">
        <v>10070</v>
      </c>
      <c r="B9479" s="803" t="s">
        <v>9817</v>
      </c>
      <c r="C9479" s="803" t="s">
        <v>9817</v>
      </c>
      <c r="D9479" s="803" t="s">
        <v>10071</v>
      </c>
      <c r="E9479" s="803">
        <v>63</v>
      </c>
      <c r="F9479" s="803">
        <v>33</v>
      </c>
      <c r="G9479" s="202" t="str">
        <f t="shared" si="147"/>
        <v/>
      </c>
    </row>
    <row r="9480" spans="1:7" s="172" customFormat="1" ht="15" customHeight="1" x14ac:dyDescent="0.25">
      <c r="A9480" s="803" t="s">
        <v>10070</v>
      </c>
      <c r="B9480" s="803" t="s">
        <v>9817</v>
      </c>
      <c r="C9480" s="803" t="s">
        <v>9817</v>
      </c>
      <c r="D9480" s="803" t="s">
        <v>10072</v>
      </c>
      <c r="E9480" s="803">
        <v>63</v>
      </c>
      <c r="F9480" s="803">
        <v>35</v>
      </c>
      <c r="G9480" s="202" t="str">
        <f t="shared" si="147"/>
        <v/>
      </c>
    </row>
    <row r="9481" spans="1:7" s="172" customFormat="1" ht="15" customHeight="1" x14ac:dyDescent="0.25">
      <c r="A9481" s="803" t="s">
        <v>16106</v>
      </c>
      <c r="B9481" s="803" t="s">
        <v>9817</v>
      </c>
      <c r="C9481" s="803" t="s">
        <v>9817</v>
      </c>
      <c r="D9481" s="803" t="s">
        <v>10073</v>
      </c>
      <c r="E9481" s="803">
        <v>250</v>
      </c>
      <c r="F9481" s="803">
        <v>53</v>
      </c>
      <c r="G9481" s="202" t="str">
        <f t="shared" si="147"/>
        <v/>
      </c>
    </row>
    <row r="9482" spans="1:7" s="172" customFormat="1" ht="15" customHeight="1" x14ac:dyDescent="0.25">
      <c r="A9482" s="803" t="s">
        <v>16847</v>
      </c>
      <c r="B9482" s="803" t="s">
        <v>9817</v>
      </c>
      <c r="C9482" s="803" t="s">
        <v>9817</v>
      </c>
      <c r="D9482" s="803" t="s">
        <v>10074</v>
      </c>
      <c r="E9482" s="803">
        <v>63</v>
      </c>
      <c r="F9482" s="803">
        <v>32</v>
      </c>
      <c r="G9482" s="202" t="str">
        <f t="shared" si="147"/>
        <v/>
      </c>
    </row>
    <row r="9483" spans="1:7" s="172" customFormat="1" ht="15" customHeight="1" x14ac:dyDescent="0.25">
      <c r="A9483" s="803" t="s">
        <v>16848</v>
      </c>
      <c r="B9483" s="803" t="s">
        <v>9817</v>
      </c>
      <c r="C9483" s="803" t="s">
        <v>9817</v>
      </c>
      <c r="D9483" s="803" t="s">
        <v>10075</v>
      </c>
      <c r="E9483" s="803">
        <v>30</v>
      </c>
      <c r="F9483" s="803">
        <v>12</v>
      </c>
      <c r="G9483" s="202" t="str">
        <f t="shared" si="147"/>
        <v/>
      </c>
    </row>
    <row r="9484" spans="1:7" s="172" customFormat="1" ht="15" customHeight="1" x14ac:dyDescent="0.25">
      <c r="A9484" s="803" t="s">
        <v>10076</v>
      </c>
      <c r="B9484" s="803" t="s">
        <v>9817</v>
      </c>
      <c r="C9484" s="803" t="s">
        <v>9817</v>
      </c>
      <c r="D9484" s="803" t="s">
        <v>10077</v>
      </c>
      <c r="E9484" s="803">
        <v>100</v>
      </c>
      <c r="F9484" s="803">
        <v>30</v>
      </c>
      <c r="G9484" s="202" t="str">
        <f t="shared" si="147"/>
        <v/>
      </c>
    </row>
    <row r="9485" spans="1:7" s="172" customFormat="1" ht="15" customHeight="1" x14ac:dyDescent="0.25">
      <c r="A9485" s="803" t="s">
        <v>16849</v>
      </c>
      <c r="B9485" s="803" t="s">
        <v>9817</v>
      </c>
      <c r="C9485" s="803" t="s">
        <v>9817</v>
      </c>
      <c r="D9485" s="803" t="s">
        <v>10078</v>
      </c>
      <c r="E9485" s="803">
        <v>250</v>
      </c>
      <c r="F9485" s="803">
        <v>53</v>
      </c>
      <c r="G9485" s="202" t="str">
        <f t="shared" si="147"/>
        <v/>
      </c>
    </row>
    <row r="9486" spans="1:7" s="172" customFormat="1" ht="15" customHeight="1" x14ac:dyDescent="0.25">
      <c r="A9486" s="803" t="s">
        <v>16850</v>
      </c>
      <c r="B9486" s="803" t="s">
        <v>9817</v>
      </c>
      <c r="C9486" s="803" t="s">
        <v>9817</v>
      </c>
      <c r="D9486" s="803" t="s">
        <v>10079</v>
      </c>
      <c r="E9486" s="803">
        <v>63</v>
      </c>
      <c r="F9486" s="803">
        <v>24</v>
      </c>
      <c r="G9486" s="202" t="str">
        <f t="shared" si="147"/>
        <v/>
      </c>
    </row>
    <row r="9487" spans="1:7" s="172" customFormat="1" ht="15" customHeight="1" x14ac:dyDescent="0.25">
      <c r="A9487" s="803" t="s">
        <v>10080</v>
      </c>
      <c r="B9487" s="803" t="s">
        <v>9817</v>
      </c>
      <c r="C9487" s="803" t="s">
        <v>9817</v>
      </c>
      <c r="D9487" s="803" t="s">
        <v>10081</v>
      </c>
      <c r="E9487" s="803">
        <v>250</v>
      </c>
      <c r="F9487" s="803">
        <v>20</v>
      </c>
      <c r="G9487" s="202" t="str">
        <f t="shared" si="147"/>
        <v/>
      </c>
    </row>
    <row r="9488" spans="1:7" s="172" customFormat="1" ht="15" customHeight="1" x14ac:dyDescent="0.25">
      <c r="A9488" s="803" t="s">
        <v>10080</v>
      </c>
      <c r="B9488" s="803" t="s">
        <v>9817</v>
      </c>
      <c r="C9488" s="803" t="s">
        <v>9817</v>
      </c>
      <c r="D9488" s="803" t="s">
        <v>10082</v>
      </c>
      <c r="E9488" s="803">
        <v>60</v>
      </c>
      <c r="F9488" s="803">
        <v>14</v>
      </c>
      <c r="G9488" s="202" t="str">
        <f t="shared" si="147"/>
        <v/>
      </c>
    </row>
    <row r="9489" spans="1:7" s="172" customFormat="1" ht="15" customHeight="1" x14ac:dyDescent="0.25">
      <c r="A9489" s="803" t="s">
        <v>10083</v>
      </c>
      <c r="B9489" s="803" t="s">
        <v>9817</v>
      </c>
      <c r="C9489" s="803" t="s">
        <v>9817</v>
      </c>
      <c r="D9489" s="803" t="s">
        <v>10084</v>
      </c>
      <c r="E9489" s="803">
        <v>20</v>
      </c>
      <c r="F9489" s="803">
        <v>0</v>
      </c>
      <c r="G9489" s="202" t="str">
        <f t="shared" si="147"/>
        <v/>
      </c>
    </row>
    <row r="9490" spans="1:7" s="172" customFormat="1" ht="15" customHeight="1" x14ac:dyDescent="0.25">
      <c r="A9490" s="803" t="s">
        <v>3429</v>
      </c>
      <c r="B9490" s="803" t="s">
        <v>9817</v>
      </c>
      <c r="C9490" s="803" t="s">
        <v>9817</v>
      </c>
      <c r="D9490" s="803" t="s">
        <v>10085</v>
      </c>
      <c r="E9490" s="803">
        <v>30</v>
      </c>
      <c r="F9490" s="803">
        <v>8</v>
      </c>
      <c r="G9490" s="202" t="str">
        <f t="shared" si="147"/>
        <v/>
      </c>
    </row>
    <row r="9491" spans="1:7" s="172" customFormat="1" ht="15" customHeight="1" x14ac:dyDescent="0.25">
      <c r="A9491" s="803" t="s">
        <v>10086</v>
      </c>
      <c r="B9491" s="803" t="s">
        <v>9817</v>
      </c>
      <c r="C9491" s="803" t="s">
        <v>9817</v>
      </c>
      <c r="D9491" s="803" t="s">
        <v>10087</v>
      </c>
      <c r="E9491" s="803">
        <v>63</v>
      </c>
      <c r="F9491" s="803">
        <v>34</v>
      </c>
      <c r="G9491" s="202" t="str">
        <f t="shared" si="147"/>
        <v/>
      </c>
    </row>
    <row r="9492" spans="1:7" s="172" customFormat="1" ht="15" customHeight="1" x14ac:dyDescent="0.25">
      <c r="A9492" s="803" t="s">
        <v>6256</v>
      </c>
      <c r="B9492" s="803" t="s">
        <v>9817</v>
      </c>
      <c r="C9492" s="803" t="s">
        <v>9817</v>
      </c>
      <c r="D9492" s="803" t="s">
        <v>10088</v>
      </c>
      <c r="E9492" s="803">
        <v>100</v>
      </c>
      <c r="F9492" s="803">
        <v>19</v>
      </c>
      <c r="G9492" s="202" t="str">
        <f t="shared" si="147"/>
        <v/>
      </c>
    </row>
    <row r="9493" spans="1:7" s="172" customFormat="1" ht="15" customHeight="1" x14ac:dyDescent="0.25">
      <c r="A9493" s="803" t="s">
        <v>10089</v>
      </c>
      <c r="B9493" s="803" t="s">
        <v>9817</v>
      </c>
      <c r="C9493" s="803" t="s">
        <v>9817</v>
      </c>
      <c r="D9493" s="803" t="s">
        <v>10090</v>
      </c>
      <c r="E9493" s="803">
        <v>40</v>
      </c>
      <c r="F9493" s="803">
        <v>26</v>
      </c>
      <c r="G9493" s="202" t="str">
        <f t="shared" si="147"/>
        <v/>
      </c>
    </row>
    <row r="9494" spans="1:7" s="172" customFormat="1" ht="15" customHeight="1" x14ac:dyDescent="0.25">
      <c r="A9494" s="803" t="s">
        <v>10091</v>
      </c>
      <c r="B9494" s="803" t="s">
        <v>9817</v>
      </c>
      <c r="C9494" s="803" t="s">
        <v>9817</v>
      </c>
      <c r="D9494" s="803" t="s">
        <v>10092</v>
      </c>
      <c r="E9494" s="803">
        <v>100</v>
      </c>
      <c r="F9494" s="803">
        <v>20</v>
      </c>
      <c r="G9494" s="202" t="str">
        <f t="shared" si="147"/>
        <v/>
      </c>
    </row>
    <row r="9495" spans="1:7" s="172" customFormat="1" ht="15" customHeight="1" x14ac:dyDescent="0.25">
      <c r="A9495" s="803" t="s">
        <v>10091</v>
      </c>
      <c r="B9495" s="803" t="s">
        <v>9817</v>
      </c>
      <c r="C9495" s="803" t="s">
        <v>9817</v>
      </c>
      <c r="D9495" s="803" t="s">
        <v>10093</v>
      </c>
      <c r="E9495" s="803">
        <v>63</v>
      </c>
      <c r="F9495" s="803">
        <v>41</v>
      </c>
      <c r="G9495" s="202" t="str">
        <f t="shared" si="147"/>
        <v/>
      </c>
    </row>
    <row r="9496" spans="1:7" s="172" customFormat="1" ht="15" customHeight="1" x14ac:dyDescent="0.25">
      <c r="A9496" s="803" t="s">
        <v>10094</v>
      </c>
      <c r="B9496" s="803" t="s">
        <v>9817</v>
      </c>
      <c r="C9496" s="803" t="s">
        <v>9817</v>
      </c>
      <c r="D9496" s="803" t="s">
        <v>10095</v>
      </c>
      <c r="E9496" s="803">
        <v>100</v>
      </c>
      <c r="F9496" s="803">
        <v>19</v>
      </c>
      <c r="G9496" s="202" t="str">
        <f t="shared" si="147"/>
        <v/>
      </c>
    </row>
    <row r="9497" spans="1:7" s="172" customFormat="1" ht="15" customHeight="1" x14ac:dyDescent="0.25">
      <c r="A9497" s="803" t="s">
        <v>10096</v>
      </c>
      <c r="B9497" s="803" t="s">
        <v>9817</v>
      </c>
      <c r="C9497" s="803" t="s">
        <v>9817</v>
      </c>
      <c r="D9497" s="803" t="s">
        <v>10097</v>
      </c>
      <c r="E9497" s="803">
        <v>30</v>
      </c>
      <c r="F9497" s="803">
        <v>0</v>
      </c>
      <c r="G9497" s="202" t="str">
        <f t="shared" si="147"/>
        <v/>
      </c>
    </row>
    <row r="9498" spans="1:7" s="172" customFormat="1" ht="15" customHeight="1" x14ac:dyDescent="0.25">
      <c r="A9498" s="803" t="s">
        <v>10098</v>
      </c>
      <c r="B9498" s="803" t="s">
        <v>9817</v>
      </c>
      <c r="C9498" s="803" t="s">
        <v>9817</v>
      </c>
      <c r="D9498" s="803" t="s">
        <v>10099</v>
      </c>
      <c r="E9498" s="803">
        <v>50</v>
      </c>
      <c r="F9498" s="803">
        <v>21</v>
      </c>
      <c r="G9498" s="202" t="str">
        <f t="shared" si="147"/>
        <v/>
      </c>
    </row>
    <row r="9499" spans="1:7" s="172" customFormat="1" ht="15" customHeight="1" x14ac:dyDescent="0.25">
      <c r="A9499" s="803" t="s">
        <v>5779</v>
      </c>
      <c r="B9499" s="803" t="s">
        <v>9817</v>
      </c>
      <c r="C9499" s="803" t="s">
        <v>9817</v>
      </c>
      <c r="D9499" s="803" t="s">
        <v>10100</v>
      </c>
      <c r="E9499" s="803">
        <v>63</v>
      </c>
      <c r="F9499" s="803">
        <v>26</v>
      </c>
      <c r="G9499" s="202" t="str">
        <f t="shared" si="147"/>
        <v/>
      </c>
    </row>
    <row r="9500" spans="1:7" s="172" customFormat="1" ht="15" customHeight="1" x14ac:dyDescent="0.25">
      <c r="A9500" s="803" t="s">
        <v>16851</v>
      </c>
      <c r="B9500" s="803" t="s">
        <v>9817</v>
      </c>
      <c r="C9500" s="803" t="s">
        <v>9817</v>
      </c>
      <c r="D9500" s="803" t="s">
        <v>10101</v>
      </c>
      <c r="E9500" s="803">
        <v>160</v>
      </c>
      <c r="F9500" s="803">
        <v>23</v>
      </c>
      <c r="G9500" s="202" t="str">
        <f t="shared" ref="G9500:G9563" si="148">IF(E9500=F9500,"не загружен","")</f>
        <v/>
      </c>
    </row>
    <row r="9501" spans="1:7" s="172" customFormat="1" ht="15" customHeight="1" x14ac:dyDescent="0.25">
      <c r="A9501" s="803" t="s">
        <v>16851</v>
      </c>
      <c r="B9501" s="803" t="s">
        <v>9817</v>
      </c>
      <c r="C9501" s="803" t="s">
        <v>9817</v>
      </c>
      <c r="D9501" s="803" t="s">
        <v>10102</v>
      </c>
      <c r="E9501" s="803">
        <v>250</v>
      </c>
      <c r="F9501" s="803">
        <v>33</v>
      </c>
      <c r="G9501" s="202" t="str">
        <f t="shared" si="148"/>
        <v/>
      </c>
    </row>
    <row r="9502" spans="1:7" s="172" customFormat="1" ht="15" customHeight="1" x14ac:dyDescent="0.25">
      <c r="A9502" s="803" t="s">
        <v>16852</v>
      </c>
      <c r="B9502" s="803" t="s">
        <v>9817</v>
      </c>
      <c r="C9502" s="803" t="s">
        <v>9817</v>
      </c>
      <c r="D9502" s="803" t="s">
        <v>10103</v>
      </c>
      <c r="E9502" s="803" t="s">
        <v>18196</v>
      </c>
      <c r="F9502" s="803">
        <v>23</v>
      </c>
      <c r="G9502" s="202" t="str">
        <f t="shared" si="148"/>
        <v/>
      </c>
    </row>
    <row r="9503" spans="1:7" s="172" customFormat="1" ht="15" customHeight="1" x14ac:dyDescent="0.25">
      <c r="A9503" s="803" t="s">
        <v>16852</v>
      </c>
      <c r="B9503" s="803" t="s">
        <v>9817</v>
      </c>
      <c r="C9503" s="803" t="s">
        <v>9817</v>
      </c>
      <c r="D9503" s="803" t="s">
        <v>10104</v>
      </c>
      <c r="E9503" s="803">
        <v>160</v>
      </c>
      <c r="F9503" s="803">
        <v>21</v>
      </c>
      <c r="G9503" s="202" t="str">
        <f t="shared" si="148"/>
        <v/>
      </c>
    </row>
    <row r="9504" spans="1:7" s="172" customFormat="1" ht="15" customHeight="1" x14ac:dyDescent="0.25">
      <c r="A9504" s="803" t="s">
        <v>16852</v>
      </c>
      <c r="B9504" s="803" t="s">
        <v>9817</v>
      </c>
      <c r="C9504" s="803" t="s">
        <v>9817</v>
      </c>
      <c r="D9504" s="803" t="s">
        <v>10105</v>
      </c>
      <c r="E9504" s="803" t="s">
        <v>18196</v>
      </c>
      <c r="F9504" s="803">
        <v>25</v>
      </c>
      <c r="G9504" s="202" t="str">
        <f t="shared" si="148"/>
        <v/>
      </c>
    </row>
    <row r="9505" spans="1:7" s="172" customFormat="1" ht="15" customHeight="1" x14ac:dyDescent="0.25">
      <c r="A9505" s="803" t="s">
        <v>4840</v>
      </c>
      <c r="B9505" s="803" t="s">
        <v>9817</v>
      </c>
      <c r="C9505" s="803" t="s">
        <v>9817</v>
      </c>
      <c r="D9505" s="803" t="s">
        <v>10106</v>
      </c>
      <c r="E9505" s="803">
        <v>30</v>
      </c>
      <c r="F9505" s="803">
        <v>8</v>
      </c>
      <c r="G9505" s="202" t="str">
        <f t="shared" si="148"/>
        <v/>
      </c>
    </row>
    <row r="9506" spans="1:7" s="172" customFormat="1" ht="15" customHeight="1" x14ac:dyDescent="0.25">
      <c r="A9506" s="803" t="s">
        <v>6523</v>
      </c>
      <c r="B9506" s="803" t="s">
        <v>9817</v>
      </c>
      <c r="C9506" s="803" t="s">
        <v>9817</v>
      </c>
      <c r="D9506" s="803" t="s">
        <v>16853</v>
      </c>
      <c r="E9506" s="803">
        <v>0</v>
      </c>
      <c r="F9506" s="803">
        <v>0</v>
      </c>
      <c r="G9506" s="202" t="str">
        <f t="shared" si="148"/>
        <v>не загружен</v>
      </c>
    </row>
    <row r="9507" spans="1:7" s="172" customFormat="1" ht="15" customHeight="1" x14ac:dyDescent="0.25">
      <c r="A9507" s="803" t="s">
        <v>16106</v>
      </c>
      <c r="B9507" s="803" t="s">
        <v>9817</v>
      </c>
      <c r="C9507" s="803" t="s">
        <v>9817</v>
      </c>
      <c r="D9507" s="803" t="s">
        <v>10107</v>
      </c>
      <c r="E9507" s="803">
        <v>160</v>
      </c>
      <c r="F9507" s="803">
        <v>25</v>
      </c>
      <c r="G9507" s="202" t="str">
        <f t="shared" si="148"/>
        <v/>
      </c>
    </row>
    <row r="9508" spans="1:7" s="172" customFormat="1" ht="15" customHeight="1" x14ac:dyDescent="0.25">
      <c r="A9508" s="803" t="s">
        <v>16106</v>
      </c>
      <c r="B9508" s="803" t="s">
        <v>9817</v>
      </c>
      <c r="C9508" s="803" t="s">
        <v>9817</v>
      </c>
      <c r="D9508" s="803" t="s">
        <v>10108</v>
      </c>
      <c r="E9508" s="803">
        <v>250</v>
      </c>
      <c r="F9508" s="803">
        <v>20</v>
      </c>
      <c r="G9508" s="202" t="str">
        <f t="shared" si="148"/>
        <v/>
      </c>
    </row>
    <row r="9509" spans="1:7" s="172" customFormat="1" ht="15" customHeight="1" x14ac:dyDescent="0.25">
      <c r="A9509" s="803" t="s">
        <v>16106</v>
      </c>
      <c r="B9509" s="803" t="s">
        <v>9817</v>
      </c>
      <c r="C9509" s="803" t="s">
        <v>9817</v>
      </c>
      <c r="D9509" s="803" t="s">
        <v>10109</v>
      </c>
      <c r="E9509" s="803">
        <v>63</v>
      </c>
      <c r="F9509" s="803">
        <v>18.8</v>
      </c>
      <c r="G9509" s="202" t="str">
        <f t="shared" si="148"/>
        <v/>
      </c>
    </row>
    <row r="9510" spans="1:7" s="172" customFormat="1" ht="15" customHeight="1" x14ac:dyDescent="0.25">
      <c r="A9510" s="803" t="s">
        <v>16854</v>
      </c>
      <c r="B9510" s="803" t="s">
        <v>9817</v>
      </c>
      <c r="C9510" s="803" t="s">
        <v>9817</v>
      </c>
      <c r="D9510" s="803" t="s">
        <v>10110</v>
      </c>
      <c r="E9510" s="803" t="s">
        <v>18197</v>
      </c>
      <c r="F9510" s="803">
        <v>24</v>
      </c>
      <c r="G9510" s="202" t="str">
        <f t="shared" si="148"/>
        <v/>
      </c>
    </row>
    <row r="9511" spans="1:7" s="172" customFormat="1" ht="15" customHeight="1" x14ac:dyDescent="0.25">
      <c r="A9511" s="803" t="s">
        <v>16854</v>
      </c>
      <c r="B9511" s="803" t="s">
        <v>9817</v>
      </c>
      <c r="C9511" s="803" t="s">
        <v>9817</v>
      </c>
      <c r="D9511" s="803" t="s">
        <v>10111</v>
      </c>
      <c r="E9511" s="803">
        <v>400</v>
      </c>
      <c r="F9511" s="803">
        <v>23</v>
      </c>
      <c r="G9511" s="202" t="str">
        <f t="shared" si="148"/>
        <v/>
      </c>
    </row>
    <row r="9512" spans="1:7" s="172" customFormat="1" ht="15" customHeight="1" x14ac:dyDescent="0.25">
      <c r="A9512" s="803" t="s">
        <v>6493</v>
      </c>
      <c r="B9512" s="803" t="s">
        <v>9817</v>
      </c>
      <c r="C9512" s="803" t="s">
        <v>9817</v>
      </c>
      <c r="D9512" s="803" t="s">
        <v>10112</v>
      </c>
      <c r="E9512" s="803">
        <v>63</v>
      </c>
      <c r="F9512" s="803">
        <v>21</v>
      </c>
      <c r="G9512" s="202" t="str">
        <f t="shared" si="148"/>
        <v/>
      </c>
    </row>
    <row r="9513" spans="1:7" s="172" customFormat="1" ht="15" customHeight="1" x14ac:dyDescent="0.25">
      <c r="A9513" s="803" t="s">
        <v>16855</v>
      </c>
      <c r="B9513" s="803" t="s">
        <v>9817</v>
      </c>
      <c r="C9513" s="803" t="s">
        <v>9817</v>
      </c>
      <c r="D9513" s="803" t="s">
        <v>10113</v>
      </c>
      <c r="E9513" s="803">
        <v>63</v>
      </c>
      <c r="F9513" s="803">
        <v>18</v>
      </c>
      <c r="G9513" s="202" t="str">
        <f t="shared" si="148"/>
        <v/>
      </c>
    </row>
    <row r="9514" spans="1:7" s="172" customFormat="1" ht="15" customHeight="1" x14ac:dyDescent="0.25">
      <c r="A9514" s="803" t="s">
        <v>10114</v>
      </c>
      <c r="B9514" s="803" t="s">
        <v>9817</v>
      </c>
      <c r="C9514" s="803" t="s">
        <v>9817</v>
      </c>
      <c r="D9514" s="803" t="s">
        <v>10115</v>
      </c>
      <c r="E9514" s="803">
        <v>400</v>
      </c>
      <c r="F9514" s="803">
        <v>200</v>
      </c>
      <c r="G9514" s="202" t="str">
        <f t="shared" si="148"/>
        <v/>
      </c>
    </row>
    <row r="9515" spans="1:7" s="172" customFormat="1" ht="15" customHeight="1" x14ac:dyDescent="0.25">
      <c r="A9515" s="803" t="s">
        <v>10114</v>
      </c>
      <c r="B9515" s="803" t="s">
        <v>9817</v>
      </c>
      <c r="C9515" s="803" t="s">
        <v>9817</v>
      </c>
      <c r="D9515" s="803" t="s">
        <v>10116</v>
      </c>
      <c r="E9515" s="803">
        <v>400</v>
      </c>
      <c r="F9515" s="803">
        <v>150</v>
      </c>
      <c r="G9515" s="202" t="str">
        <f t="shared" si="148"/>
        <v/>
      </c>
    </row>
    <row r="9516" spans="1:7" s="172" customFormat="1" ht="15" customHeight="1" x14ac:dyDescent="0.25">
      <c r="A9516" s="803" t="s">
        <v>10114</v>
      </c>
      <c r="B9516" s="803" t="s">
        <v>9817</v>
      </c>
      <c r="C9516" s="803" t="s">
        <v>9817</v>
      </c>
      <c r="D9516" s="803" t="s">
        <v>10117</v>
      </c>
      <c r="E9516" s="803" t="s">
        <v>18198</v>
      </c>
      <c r="F9516" s="803">
        <v>180</v>
      </c>
      <c r="G9516" s="202" t="str">
        <f t="shared" si="148"/>
        <v/>
      </c>
    </row>
    <row r="9517" spans="1:7" s="172" customFormat="1" ht="15" customHeight="1" x14ac:dyDescent="0.25">
      <c r="A9517" s="803" t="s">
        <v>10118</v>
      </c>
      <c r="B9517" s="803" t="s">
        <v>9817</v>
      </c>
      <c r="C9517" s="803" t="s">
        <v>9817</v>
      </c>
      <c r="D9517" s="803" t="s">
        <v>10119</v>
      </c>
      <c r="E9517" s="803">
        <v>30</v>
      </c>
      <c r="F9517" s="803">
        <v>0</v>
      </c>
      <c r="G9517" s="202" t="str">
        <f t="shared" si="148"/>
        <v/>
      </c>
    </row>
    <row r="9518" spans="1:7" s="172" customFormat="1" ht="15" customHeight="1" x14ac:dyDescent="0.25">
      <c r="A9518" s="803" t="s">
        <v>16856</v>
      </c>
      <c r="B9518" s="803" t="s">
        <v>9817</v>
      </c>
      <c r="C9518" s="803" t="s">
        <v>9817</v>
      </c>
      <c r="D9518" s="803" t="s">
        <v>10120</v>
      </c>
      <c r="E9518" s="803">
        <v>40</v>
      </c>
      <c r="F9518" s="803">
        <v>13</v>
      </c>
      <c r="G9518" s="202" t="str">
        <f t="shared" si="148"/>
        <v/>
      </c>
    </row>
    <row r="9519" spans="1:7" s="172" customFormat="1" ht="15" customHeight="1" x14ac:dyDescent="0.25">
      <c r="A9519" s="803" t="s">
        <v>10121</v>
      </c>
      <c r="B9519" s="803" t="s">
        <v>9817</v>
      </c>
      <c r="C9519" s="803" t="s">
        <v>9817</v>
      </c>
      <c r="D9519" s="803" t="s">
        <v>10122</v>
      </c>
      <c r="E9519" s="803">
        <v>400</v>
      </c>
      <c r="F9519" s="803">
        <v>35</v>
      </c>
      <c r="G9519" s="202" t="str">
        <f t="shared" si="148"/>
        <v/>
      </c>
    </row>
    <row r="9520" spans="1:7" s="172" customFormat="1" ht="15" customHeight="1" x14ac:dyDescent="0.25">
      <c r="A9520" s="803" t="s">
        <v>10121</v>
      </c>
      <c r="B9520" s="803" t="s">
        <v>9817</v>
      </c>
      <c r="C9520" s="803" t="s">
        <v>9817</v>
      </c>
      <c r="D9520" s="803" t="s">
        <v>10123</v>
      </c>
      <c r="E9520" s="803">
        <v>400</v>
      </c>
      <c r="F9520" s="803">
        <v>32</v>
      </c>
      <c r="G9520" s="202" t="str">
        <f t="shared" si="148"/>
        <v/>
      </c>
    </row>
    <row r="9521" spans="1:7" s="172" customFormat="1" ht="15" customHeight="1" x14ac:dyDescent="0.25">
      <c r="A9521" s="803" t="s">
        <v>10121</v>
      </c>
      <c r="B9521" s="803" t="s">
        <v>9817</v>
      </c>
      <c r="C9521" s="803" t="s">
        <v>9817</v>
      </c>
      <c r="D9521" s="803" t="s">
        <v>10124</v>
      </c>
      <c r="E9521" s="803">
        <v>160</v>
      </c>
      <c r="F9521" s="803">
        <v>10</v>
      </c>
      <c r="G9521" s="202" t="str">
        <f t="shared" si="148"/>
        <v/>
      </c>
    </row>
    <row r="9522" spans="1:7" s="172" customFormat="1" ht="15" customHeight="1" x14ac:dyDescent="0.25">
      <c r="A9522" s="803" t="s">
        <v>16857</v>
      </c>
      <c r="B9522" s="803" t="s">
        <v>9817</v>
      </c>
      <c r="C9522" s="803" t="s">
        <v>9817</v>
      </c>
      <c r="D9522" s="803" t="s">
        <v>10125</v>
      </c>
      <c r="E9522" s="803">
        <v>40</v>
      </c>
      <c r="F9522" s="803">
        <v>13</v>
      </c>
      <c r="G9522" s="202" t="str">
        <f t="shared" si="148"/>
        <v/>
      </c>
    </row>
    <row r="9523" spans="1:7" s="172" customFormat="1" ht="15" customHeight="1" x14ac:dyDescent="0.25">
      <c r="A9523" s="803" t="s">
        <v>10126</v>
      </c>
      <c r="B9523" s="803" t="s">
        <v>9817</v>
      </c>
      <c r="C9523" s="803" t="s">
        <v>9817</v>
      </c>
      <c r="D9523" s="803" t="s">
        <v>10127</v>
      </c>
      <c r="E9523" s="803">
        <v>63</v>
      </c>
      <c r="F9523" s="803">
        <v>22</v>
      </c>
      <c r="G9523" s="202" t="str">
        <f t="shared" si="148"/>
        <v/>
      </c>
    </row>
    <row r="9524" spans="1:7" s="172" customFormat="1" ht="15" customHeight="1" x14ac:dyDescent="0.25">
      <c r="A9524" s="803" t="s">
        <v>10128</v>
      </c>
      <c r="B9524" s="803" t="s">
        <v>9817</v>
      </c>
      <c r="C9524" s="803" t="s">
        <v>9817</v>
      </c>
      <c r="D9524" s="803" t="s">
        <v>10129</v>
      </c>
      <c r="E9524" s="803">
        <v>0</v>
      </c>
      <c r="F9524" s="803">
        <v>0</v>
      </c>
      <c r="G9524" s="202" t="str">
        <f t="shared" si="148"/>
        <v>не загружен</v>
      </c>
    </row>
    <row r="9525" spans="1:7" s="172" customFormat="1" ht="15" customHeight="1" x14ac:dyDescent="0.25">
      <c r="A9525" s="803" t="s">
        <v>10130</v>
      </c>
      <c r="B9525" s="803" t="s">
        <v>9817</v>
      </c>
      <c r="C9525" s="803" t="s">
        <v>9817</v>
      </c>
      <c r="D9525" s="803" t="s">
        <v>10131</v>
      </c>
      <c r="E9525" s="803">
        <v>30</v>
      </c>
      <c r="F9525" s="803">
        <v>14</v>
      </c>
      <c r="G9525" s="202" t="str">
        <f t="shared" si="148"/>
        <v/>
      </c>
    </row>
    <row r="9526" spans="1:7" s="172" customFormat="1" ht="15" customHeight="1" x14ac:dyDescent="0.25">
      <c r="A9526" s="803" t="s">
        <v>16858</v>
      </c>
      <c r="B9526" s="803" t="s">
        <v>9817</v>
      </c>
      <c r="C9526" s="803" t="s">
        <v>9817</v>
      </c>
      <c r="D9526" s="803" t="s">
        <v>10132</v>
      </c>
      <c r="E9526" s="803">
        <v>50</v>
      </c>
      <c r="F9526" s="803">
        <v>3</v>
      </c>
      <c r="G9526" s="202" t="str">
        <f t="shared" si="148"/>
        <v/>
      </c>
    </row>
    <row r="9527" spans="1:7" s="172" customFormat="1" ht="15" customHeight="1" x14ac:dyDescent="0.25">
      <c r="A9527" s="803" t="s">
        <v>16858</v>
      </c>
      <c r="B9527" s="803" t="s">
        <v>9817</v>
      </c>
      <c r="C9527" s="803" t="s">
        <v>9817</v>
      </c>
      <c r="D9527" s="803" t="s">
        <v>10133</v>
      </c>
      <c r="E9527" s="803">
        <v>100</v>
      </c>
      <c r="F9527" s="803">
        <v>26</v>
      </c>
      <c r="G9527" s="202" t="str">
        <f t="shared" si="148"/>
        <v/>
      </c>
    </row>
    <row r="9528" spans="1:7" s="172" customFormat="1" ht="15" customHeight="1" x14ac:dyDescent="0.25">
      <c r="A9528" s="803" t="s">
        <v>3607</v>
      </c>
      <c r="B9528" s="803" t="s">
        <v>9817</v>
      </c>
      <c r="C9528" s="803" t="s">
        <v>9817</v>
      </c>
      <c r="D9528" s="803" t="s">
        <v>10134</v>
      </c>
      <c r="E9528" s="803">
        <v>63</v>
      </c>
      <c r="F9528" s="803">
        <v>23</v>
      </c>
      <c r="G9528" s="202" t="str">
        <f t="shared" si="148"/>
        <v/>
      </c>
    </row>
    <row r="9529" spans="1:7" s="172" customFormat="1" ht="15" customHeight="1" x14ac:dyDescent="0.25">
      <c r="A9529" s="803" t="s">
        <v>16859</v>
      </c>
      <c r="B9529" s="803" t="s">
        <v>9817</v>
      </c>
      <c r="C9529" s="803" t="s">
        <v>9817</v>
      </c>
      <c r="D9529" s="803" t="s">
        <v>10135</v>
      </c>
      <c r="E9529" s="803">
        <v>100</v>
      </c>
      <c r="F9529" s="803">
        <v>0</v>
      </c>
      <c r="G9529" s="202" t="str">
        <f t="shared" si="148"/>
        <v/>
      </c>
    </row>
    <row r="9530" spans="1:7" s="172" customFormat="1" ht="15" customHeight="1" x14ac:dyDescent="0.25">
      <c r="A9530" s="803" t="s">
        <v>16859</v>
      </c>
      <c r="B9530" s="803" t="s">
        <v>9817</v>
      </c>
      <c r="C9530" s="803" t="s">
        <v>9817</v>
      </c>
      <c r="D9530" s="803" t="s">
        <v>10136</v>
      </c>
      <c r="E9530" s="803">
        <v>30</v>
      </c>
      <c r="F9530" s="803">
        <v>26</v>
      </c>
      <c r="G9530" s="202" t="str">
        <f t="shared" si="148"/>
        <v/>
      </c>
    </row>
    <row r="9531" spans="1:7" s="172" customFormat="1" ht="15" customHeight="1" x14ac:dyDescent="0.25">
      <c r="A9531" s="803" t="s">
        <v>16859</v>
      </c>
      <c r="B9531" s="803" t="s">
        <v>9817</v>
      </c>
      <c r="C9531" s="803" t="s">
        <v>9817</v>
      </c>
      <c r="D9531" s="803" t="s">
        <v>10137</v>
      </c>
      <c r="E9531" s="803">
        <v>250</v>
      </c>
      <c r="F9531" s="803">
        <v>0</v>
      </c>
      <c r="G9531" s="202" t="str">
        <f t="shared" si="148"/>
        <v/>
      </c>
    </row>
    <row r="9532" spans="1:7" s="172" customFormat="1" ht="15" customHeight="1" x14ac:dyDescent="0.25">
      <c r="A9532" s="803" t="s">
        <v>16859</v>
      </c>
      <c r="B9532" s="803" t="s">
        <v>9817</v>
      </c>
      <c r="C9532" s="803" t="s">
        <v>9817</v>
      </c>
      <c r="D9532" s="803" t="s">
        <v>10138</v>
      </c>
      <c r="E9532" s="803">
        <v>250</v>
      </c>
      <c r="F9532" s="803">
        <v>36</v>
      </c>
      <c r="G9532" s="202" t="str">
        <f t="shared" si="148"/>
        <v/>
      </c>
    </row>
    <row r="9533" spans="1:7" s="172" customFormat="1" ht="15" customHeight="1" x14ac:dyDescent="0.25">
      <c r="A9533" s="803" t="s">
        <v>16860</v>
      </c>
      <c r="B9533" s="803" t="s">
        <v>9817</v>
      </c>
      <c r="C9533" s="803" t="s">
        <v>9817</v>
      </c>
      <c r="D9533" s="803" t="s">
        <v>10139</v>
      </c>
      <c r="E9533" s="803">
        <v>250</v>
      </c>
      <c r="F9533" s="803">
        <v>0</v>
      </c>
      <c r="G9533" s="202" t="str">
        <f t="shared" si="148"/>
        <v/>
      </c>
    </row>
    <row r="9534" spans="1:7" s="172" customFormat="1" ht="15" customHeight="1" x14ac:dyDescent="0.25">
      <c r="A9534" s="803" t="s">
        <v>16184</v>
      </c>
      <c r="B9534" s="803" t="s">
        <v>9817</v>
      </c>
      <c r="C9534" s="803" t="s">
        <v>9817</v>
      </c>
      <c r="D9534" s="803" t="s">
        <v>10140</v>
      </c>
      <c r="E9534" s="803">
        <v>25</v>
      </c>
      <c r="F9534" s="803">
        <v>3</v>
      </c>
      <c r="G9534" s="202" t="str">
        <f t="shared" si="148"/>
        <v/>
      </c>
    </row>
    <row r="9535" spans="1:7" s="172" customFormat="1" ht="15" customHeight="1" x14ac:dyDescent="0.25">
      <c r="A9535" s="803" t="s">
        <v>16861</v>
      </c>
      <c r="B9535" s="803" t="s">
        <v>9817</v>
      </c>
      <c r="C9535" s="803" t="s">
        <v>9817</v>
      </c>
      <c r="D9535" s="803" t="s">
        <v>10141</v>
      </c>
      <c r="E9535" s="803">
        <v>60</v>
      </c>
      <c r="F9535" s="803">
        <v>30</v>
      </c>
      <c r="G9535" s="202" t="str">
        <f t="shared" si="148"/>
        <v/>
      </c>
    </row>
    <row r="9536" spans="1:7" s="172" customFormat="1" ht="15" customHeight="1" x14ac:dyDescent="0.25">
      <c r="A9536" s="803" t="s">
        <v>16862</v>
      </c>
      <c r="B9536" s="803" t="s">
        <v>9817</v>
      </c>
      <c r="C9536" s="803" t="s">
        <v>9817</v>
      </c>
      <c r="D9536" s="803" t="s">
        <v>10142</v>
      </c>
      <c r="E9536" s="803">
        <v>160</v>
      </c>
      <c r="F9536" s="803">
        <v>12</v>
      </c>
      <c r="G9536" s="202" t="str">
        <f t="shared" si="148"/>
        <v/>
      </c>
    </row>
    <row r="9537" spans="1:7" s="172" customFormat="1" ht="15" customHeight="1" x14ac:dyDescent="0.25">
      <c r="A9537" s="803" t="s">
        <v>10143</v>
      </c>
      <c r="B9537" s="803" t="s">
        <v>9817</v>
      </c>
      <c r="C9537" s="803" t="s">
        <v>9817</v>
      </c>
      <c r="D9537" s="803" t="s">
        <v>10144</v>
      </c>
      <c r="E9537" s="803">
        <v>30</v>
      </c>
      <c r="F9537" s="803">
        <v>0</v>
      </c>
      <c r="G9537" s="202" t="str">
        <f t="shared" si="148"/>
        <v/>
      </c>
    </row>
    <row r="9538" spans="1:7" s="172" customFormat="1" ht="15" customHeight="1" x14ac:dyDescent="0.25">
      <c r="A9538" s="803" t="s">
        <v>16863</v>
      </c>
      <c r="B9538" s="803" t="s">
        <v>9817</v>
      </c>
      <c r="C9538" s="803" t="s">
        <v>9817</v>
      </c>
      <c r="D9538" s="803" t="s">
        <v>10145</v>
      </c>
      <c r="E9538" s="803">
        <v>180</v>
      </c>
      <c r="F9538" s="803">
        <v>51</v>
      </c>
      <c r="G9538" s="202" t="str">
        <f t="shared" si="148"/>
        <v/>
      </c>
    </row>
    <row r="9539" spans="1:7" s="172" customFormat="1" ht="15" customHeight="1" x14ac:dyDescent="0.25">
      <c r="A9539" s="803" t="s">
        <v>16863</v>
      </c>
      <c r="B9539" s="803" t="s">
        <v>9817</v>
      </c>
      <c r="C9539" s="803" t="s">
        <v>9817</v>
      </c>
      <c r="D9539" s="803" t="s">
        <v>10146</v>
      </c>
      <c r="E9539" s="803">
        <v>50</v>
      </c>
      <c r="F9539" s="803">
        <v>13</v>
      </c>
      <c r="G9539" s="202" t="str">
        <f t="shared" si="148"/>
        <v/>
      </c>
    </row>
    <row r="9540" spans="1:7" s="172" customFormat="1" ht="15" customHeight="1" x14ac:dyDescent="0.25">
      <c r="A9540" s="803" t="s">
        <v>10147</v>
      </c>
      <c r="B9540" s="803" t="s">
        <v>9817</v>
      </c>
      <c r="C9540" s="803" t="s">
        <v>9817</v>
      </c>
      <c r="D9540" s="803" t="s">
        <v>10148</v>
      </c>
      <c r="E9540" s="803">
        <v>400</v>
      </c>
      <c r="F9540" s="803">
        <v>41</v>
      </c>
      <c r="G9540" s="202" t="str">
        <f t="shared" si="148"/>
        <v/>
      </c>
    </row>
    <row r="9541" spans="1:7" s="172" customFormat="1" ht="15" customHeight="1" x14ac:dyDescent="0.25">
      <c r="A9541" s="803" t="s">
        <v>10149</v>
      </c>
      <c r="B9541" s="803" t="s">
        <v>9817</v>
      </c>
      <c r="C9541" s="803" t="s">
        <v>9817</v>
      </c>
      <c r="D9541" s="803" t="s">
        <v>10150</v>
      </c>
      <c r="E9541" s="803">
        <v>30</v>
      </c>
      <c r="F9541" s="803">
        <v>12</v>
      </c>
      <c r="G9541" s="202" t="str">
        <f t="shared" si="148"/>
        <v/>
      </c>
    </row>
    <row r="9542" spans="1:7" s="172" customFormat="1" ht="15" customHeight="1" x14ac:dyDescent="0.25">
      <c r="A9542" s="803" t="s">
        <v>10151</v>
      </c>
      <c r="B9542" s="803" t="s">
        <v>9817</v>
      </c>
      <c r="C9542" s="803" t="s">
        <v>9817</v>
      </c>
      <c r="D9542" s="803" t="s">
        <v>10152</v>
      </c>
      <c r="E9542" s="803">
        <v>100</v>
      </c>
      <c r="F9542" s="803">
        <v>32</v>
      </c>
      <c r="G9542" s="202" t="str">
        <f t="shared" si="148"/>
        <v/>
      </c>
    </row>
    <row r="9543" spans="1:7" s="172" customFormat="1" ht="15" customHeight="1" x14ac:dyDescent="0.25">
      <c r="A9543" s="803" t="s">
        <v>8428</v>
      </c>
      <c r="B9543" s="803" t="s">
        <v>9817</v>
      </c>
      <c r="C9543" s="803" t="s">
        <v>9817</v>
      </c>
      <c r="D9543" s="803" t="s">
        <v>10153</v>
      </c>
      <c r="E9543" s="803">
        <v>30</v>
      </c>
      <c r="F9543" s="803">
        <v>9</v>
      </c>
      <c r="G9543" s="202" t="str">
        <f t="shared" si="148"/>
        <v/>
      </c>
    </row>
    <row r="9544" spans="1:7" s="172" customFormat="1" ht="15" customHeight="1" x14ac:dyDescent="0.25">
      <c r="A9544" s="803" t="s">
        <v>16864</v>
      </c>
      <c r="B9544" s="803" t="s">
        <v>9817</v>
      </c>
      <c r="C9544" s="803" t="s">
        <v>9817</v>
      </c>
      <c r="D9544" s="803" t="s">
        <v>10154</v>
      </c>
      <c r="E9544" s="803">
        <v>160</v>
      </c>
      <c r="F9544" s="803">
        <v>31</v>
      </c>
      <c r="G9544" s="202" t="str">
        <f t="shared" si="148"/>
        <v/>
      </c>
    </row>
    <row r="9545" spans="1:7" s="172" customFormat="1" ht="15" customHeight="1" x14ac:dyDescent="0.25">
      <c r="A9545" s="803" t="s">
        <v>16864</v>
      </c>
      <c r="B9545" s="803" t="s">
        <v>9817</v>
      </c>
      <c r="C9545" s="803" t="s">
        <v>9817</v>
      </c>
      <c r="D9545" s="803" t="s">
        <v>10155</v>
      </c>
      <c r="E9545" s="803">
        <v>100</v>
      </c>
      <c r="F9545" s="803">
        <v>35</v>
      </c>
      <c r="G9545" s="202" t="str">
        <f t="shared" si="148"/>
        <v/>
      </c>
    </row>
    <row r="9546" spans="1:7" s="172" customFormat="1" ht="15" customHeight="1" x14ac:dyDescent="0.25">
      <c r="A9546" s="803" t="s">
        <v>16864</v>
      </c>
      <c r="B9546" s="803" t="s">
        <v>9817</v>
      </c>
      <c r="C9546" s="803" t="s">
        <v>9817</v>
      </c>
      <c r="D9546" s="803" t="s">
        <v>10156</v>
      </c>
      <c r="E9546" s="803" t="s">
        <v>18199</v>
      </c>
      <c r="F9546" s="803">
        <v>32</v>
      </c>
      <c r="G9546" s="202" t="str">
        <f t="shared" si="148"/>
        <v/>
      </c>
    </row>
    <row r="9547" spans="1:7" s="172" customFormat="1" ht="15" customHeight="1" x14ac:dyDescent="0.25">
      <c r="A9547" s="803" t="s">
        <v>10157</v>
      </c>
      <c r="B9547" s="803" t="s">
        <v>9817</v>
      </c>
      <c r="C9547" s="803" t="s">
        <v>9817</v>
      </c>
      <c r="D9547" s="803" t="s">
        <v>10158</v>
      </c>
      <c r="E9547" s="803">
        <v>60</v>
      </c>
      <c r="F9547" s="803">
        <v>30</v>
      </c>
      <c r="G9547" s="202" t="str">
        <f t="shared" si="148"/>
        <v/>
      </c>
    </row>
    <row r="9548" spans="1:7" s="172" customFormat="1" ht="15" customHeight="1" x14ac:dyDescent="0.25">
      <c r="A9548" s="803" t="s">
        <v>10159</v>
      </c>
      <c r="B9548" s="803" t="s">
        <v>9817</v>
      </c>
      <c r="C9548" s="803" t="s">
        <v>9817</v>
      </c>
      <c r="D9548" s="803" t="s">
        <v>10160</v>
      </c>
      <c r="E9548" s="803">
        <v>63</v>
      </c>
      <c r="F9548" s="803">
        <v>27</v>
      </c>
      <c r="G9548" s="202" t="str">
        <f t="shared" si="148"/>
        <v/>
      </c>
    </row>
    <row r="9549" spans="1:7" s="172" customFormat="1" ht="15" customHeight="1" x14ac:dyDescent="0.25">
      <c r="A9549" s="803" t="s">
        <v>10161</v>
      </c>
      <c r="B9549" s="803" t="s">
        <v>9817</v>
      </c>
      <c r="C9549" s="803" t="s">
        <v>9817</v>
      </c>
      <c r="D9549" s="803" t="s">
        <v>10162</v>
      </c>
      <c r="E9549" s="803">
        <v>60</v>
      </c>
      <c r="F9549" s="803">
        <v>0</v>
      </c>
      <c r="G9549" s="202" t="str">
        <f t="shared" si="148"/>
        <v/>
      </c>
    </row>
    <row r="9550" spans="1:7" s="172" customFormat="1" ht="15" customHeight="1" x14ac:dyDescent="0.25">
      <c r="A9550" s="803" t="s">
        <v>4864</v>
      </c>
      <c r="B9550" s="803" t="s">
        <v>9817</v>
      </c>
      <c r="C9550" s="803" t="s">
        <v>9817</v>
      </c>
      <c r="D9550" s="803" t="s">
        <v>10163</v>
      </c>
      <c r="E9550" s="803">
        <v>100</v>
      </c>
      <c r="F9550" s="803">
        <v>68</v>
      </c>
      <c r="G9550" s="202" t="str">
        <f t="shared" si="148"/>
        <v/>
      </c>
    </row>
    <row r="9551" spans="1:7" s="172" customFormat="1" ht="15" customHeight="1" x14ac:dyDescent="0.25">
      <c r="A9551" s="803" t="s">
        <v>4864</v>
      </c>
      <c r="B9551" s="803" t="s">
        <v>9817</v>
      </c>
      <c r="C9551" s="803" t="s">
        <v>9817</v>
      </c>
      <c r="D9551" s="803" t="s">
        <v>10164</v>
      </c>
      <c r="E9551" s="803">
        <v>63</v>
      </c>
      <c r="F9551" s="803">
        <v>20</v>
      </c>
      <c r="G9551" s="202" t="str">
        <f t="shared" si="148"/>
        <v/>
      </c>
    </row>
    <row r="9552" spans="1:7" s="172" customFormat="1" ht="15" customHeight="1" x14ac:dyDescent="0.25">
      <c r="A9552" s="803" t="s">
        <v>4864</v>
      </c>
      <c r="B9552" s="803" t="s">
        <v>9817</v>
      </c>
      <c r="C9552" s="803" t="s">
        <v>9817</v>
      </c>
      <c r="D9552" s="803" t="s">
        <v>16865</v>
      </c>
      <c r="E9552" s="803">
        <v>0</v>
      </c>
      <c r="F9552" s="803">
        <v>0</v>
      </c>
      <c r="G9552" s="202" t="str">
        <f t="shared" si="148"/>
        <v>не загружен</v>
      </c>
    </row>
    <row r="9553" spans="1:7" s="172" customFormat="1" ht="15" customHeight="1" x14ac:dyDescent="0.25">
      <c r="A9553" s="803" t="s">
        <v>6544</v>
      </c>
      <c r="B9553" s="803" t="s">
        <v>9817</v>
      </c>
      <c r="C9553" s="803" t="s">
        <v>9817</v>
      </c>
      <c r="D9553" s="803" t="s">
        <v>10165</v>
      </c>
      <c r="E9553" s="803" t="s">
        <v>18200</v>
      </c>
      <c r="F9553" s="803">
        <v>873</v>
      </c>
      <c r="G9553" s="202" t="str">
        <f t="shared" si="148"/>
        <v/>
      </c>
    </row>
    <row r="9554" spans="1:7" s="172" customFormat="1" ht="15" customHeight="1" x14ac:dyDescent="0.25">
      <c r="A9554" s="803" t="s">
        <v>6544</v>
      </c>
      <c r="B9554" s="803" t="s">
        <v>9817</v>
      </c>
      <c r="C9554" s="803" t="s">
        <v>9817</v>
      </c>
      <c r="D9554" s="803" t="s">
        <v>10166</v>
      </c>
      <c r="E9554" s="803">
        <v>160</v>
      </c>
      <c r="F9554" s="803">
        <v>90</v>
      </c>
      <c r="G9554" s="202" t="str">
        <f t="shared" si="148"/>
        <v/>
      </c>
    </row>
    <row r="9555" spans="1:7" s="172" customFormat="1" ht="15" customHeight="1" x14ac:dyDescent="0.25">
      <c r="A9555" s="803" t="s">
        <v>16866</v>
      </c>
      <c r="B9555" s="803" t="s">
        <v>9817</v>
      </c>
      <c r="C9555" s="803" t="s">
        <v>9817</v>
      </c>
      <c r="D9555" s="803" t="s">
        <v>10167</v>
      </c>
      <c r="E9555" s="803">
        <v>100</v>
      </c>
      <c r="F9555" s="803">
        <v>16</v>
      </c>
      <c r="G9555" s="202" t="str">
        <f t="shared" si="148"/>
        <v/>
      </c>
    </row>
    <row r="9556" spans="1:7" s="172" customFormat="1" ht="15" customHeight="1" x14ac:dyDescent="0.25">
      <c r="A9556" s="803" t="s">
        <v>15931</v>
      </c>
      <c r="B9556" s="803" t="s">
        <v>9817</v>
      </c>
      <c r="C9556" s="803" t="s">
        <v>9817</v>
      </c>
      <c r="D9556" s="803" t="s">
        <v>10168</v>
      </c>
      <c r="E9556" s="803">
        <v>30</v>
      </c>
      <c r="F9556" s="803">
        <v>22</v>
      </c>
      <c r="G9556" s="202" t="str">
        <f t="shared" si="148"/>
        <v/>
      </c>
    </row>
    <row r="9557" spans="1:7" s="172" customFormat="1" ht="15" customHeight="1" x14ac:dyDescent="0.25">
      <c r="A9557" s="803" t="s">
        <v>16867</v>
      </c>
      <c r="B9557" s="803" t="s">
        <v>9817</v>
      </c>
      <c r="C9557" s="803" t="s">
        <v>9817</v>
      </c>
      <c r="D9557" s="803" t="s">
        <v>10169</v>
      </c>
      <c r="E9557" s="803">
        <v>30</v>
      </c>
      <c r="F9557" s="803">
        <v>8</v>
      </c>
      <c r="G9557" s="202" t="str">
        <f t="shared" si="148"/>
        <v/>
      </c>
    </row>
    <row r="9558" spans="1:7" s="172" customFormat="1" ht="15" customHeight="1" x14ac:dyDescent="0.25">
      <c r="A9558" s="803" t="s">
        <v>10170</v>
      </c>
      <c r="B9558" s="803" t="s">
        <v>9817</v>
      </c>
      <c r="C9558" s="803" t="s">
        <v>9817</v>
      </c>
      <c r="D9558" s="803" t="s">
        <v>10171</v>
      </c>
      <c r="E9558" s="803">
        <v>30</v>
      </c>
      <c r="F9558" s="803">
        <v>24</v>
      </c>
      <c r="G9558" s="202" t="str">
        <f t="shared" si="148"/>
        <v/>
      </c>
    </row>
    <row r="9559" spans="1:7" s="172" customFormat="1" ht="15" customHeight="1" x14ac:dyDescent="0.25">
      <c r="A9559" s="803" t="s">
        <v>16868</v>
      </c>
      <c r="B9559" s="803" t="s">
        <v>9817</v>
      </c>
      <c r="C9559" s="803" t="s">
        <v>9817</v>
      </c>
      <c r="D9559" s="803" t="s">
        <v>10172</v>
      </c>
      <c r="E9559" s="803">
        <v>30</v>
      </c>
      <c r="F9559" s="803">
        <v>6</v>
      </c>
      <c r="G9559" s="202" t="str">
        <f t="shared" si="148"/>
        <v/>
      </c>
    </row>
    <row r="9560" spans="1:7" s="172" customFormat="1" ht="15" customHeight="1" x14ac:dyDescent="0.25">
      <c r="A9560" s="803" t="s">
        <v>16869</v>
      </c>
      <c r="B9560" s="803" t="s">
        <v>9817</v>
      </c>
      <c r="C9560" s="803" t="s">
        <v>9817</v>
      </c>
      <c r="D9560" s="803" t="s">
        <v>10173</v>
      </c>
      <c r="E9560" s="803">
        <v>60</v>
      </c>
      <c r="F9560" s="803">
        <v>19</v>
      </c>
      <c r="G9560" s="202" t="str">
        <f t="shared" si="148"/>
        <v/>
      </c>
    </row>
    <row r="9561" spans="1:7" s="172" customFormat="1" ht="15" customHeight="1" x14ac:dyDescent="0.25">
      <c r="A9561" s="803" t="s">
        <v>16870</v>
      </c>
      <c r="B9561" s="803" t="s">
        <v>9817</v>
      </c>
      <c r="C9561" s="803" t="s">
        <v>9817</v>
      </c>
      <c r="D9561" s="803" t="s">
        <v>10174</v>
      </c>
      <c r="E9561" s="803">
        <v>60</v>
      </c>
      <c r="F9561" s="803">
        <v>26</v>
      </c>
      <c r="G9561" s="202" t="str">
        <f t="shared" si="148"/>
        <v/>
      </c>
    </row>
    <row r="9562" spans="1:7" s="172" customFormat="1" ht="15" customHeight="1" x14ac:dyDescent="0.25">
      <c r="A9562" s="803" t="s">
        <v>16871</v>
      </c>
      <c r="B9562" s="803" t="s">
        <v>9817</v>
      </c>
      <c r="C9562" s="803" t="s">
        <v>9817</v>
      </c>
      <c r="D9562" s="803" t="s">
        <v>10175</v>
      </c>
      <c r="E9562" s="803">
        <v>30</v>
      </c>
      <c r="F9562" s="803">
        <v>24</v>
      </c>
      <c r="G9562" s="202" t="str">
        <f t="shared" si="148"/>
        <v/>
      </c>
    </row>
    <row r="9563" spans="1:7" s="172" customFormat="1" ht="15" customHeight="1" x14ac:dyDescent="0.25">
      <c r="A9563" s="803" t="s">
        <v>16872</v>
      </c>
      <c r="B9563" s="803" t="s">
        <v>9817</v>
      </c>
      <c r="C9563" s="803" t="s">
        <v>9817</v>
      </c>
      <c r="D9563" s="803" t="s">
        <v>10176</v>
      </c>
      <c r="E9563" s="803">
        <v>30</v>
      </c>
      <c r="F9563" s="803">
        <v>24</v>
      </c>
      <c r="G9563" s="202" t="str">
        <f t="shared" si="148"/>
        <v/>
      </c>
    </row>
    <row r="9564" spans="1:7" s="172" customFormat="1" ht="15" customHeight="1" x14ac:dyDescent="0.25">
      <c r="A9564" s="803" t="s">
        <v>16873</v>
      </c>
      <c r="B9564" s="803" t="s">
        <v>9817</v>
      </c>
      <c r="C9564" s="803" t="s">
        <v>9817</v>
      </c>
      <c r="D9564" s="803" t="s">
        <v>10177</v>
      </c>
      <c r="E9564" s="803">
        <v>30</v>
      </c>
      <c r="F9564" s="803">
        <v>24</v>
      </c>
      <c r="G9564" s="202" t="str">
        <f t="shared" ref="G9564:G9627" si="149">IF(E9564=F9564,"не загружен","")</f>
        <v/>
      </c>
    </row>
    <row r="9565" spans="1:7" s="172" customFormat="1" ht="15" customHeight="1" x14ac:dyDescent="0.25">
      <c r="A9565" s="803" t="s">
        <v>10178</v>
      </c>
      <c r="B9565" s="803" t="s">
        <v>9817</v>
      </c>
      <c r="C9565" s="803" t="s">
        <v>9817</v>
      </c>
      <c r="D9565" s="803" t="s">
        <v>10179</v>
      </c>
      <c r="E9565" s="803">
        <v>100</v>
      </c>
      <c r="F9565" s="803">
        <v>15</v>
      </c>
      <c r="G9565" s="202" t="str">
        <f t="shared" si="149"/>
        <v/>
      </c>
    </row>
    <row r="9566" spans="1:7" s="172" customFormat="1" ht="15" customHeight="1" x14ac:dyDescent="0.25">
      <c r="A9566" s="803" t="s">
        <v>16166</v>
      </c>
      <c r="B9566" s="803" t="s">
        <v>9817</v>
      </c>
      <c r="C9566" s="803" t="s">
        <v>9817</v>
      </c>
      <c r="D9566" s="803" t="s">
        <v>10180</v>
      </c>
      <c r="E9566" s="803">
        <v>63</v>
      </c>
      <c r="F9566" s="803">
        <v>20</v>
      </c>
      <c r="G9566" s="202" t="str">
        <f t="shared" si="149"/>
        <v/>
      </c>
    </row>
    <row r="9567" spans="1:7" s="172" customFormat="1" ht="15" customHeight="1" x14ac:dyDescent="0.25">
      <c r="A9567" s="803" t="s">
        <v>8467</v>
      </c>
      <c r="B9567" s="803" t="s">
        <v>9817</v>
      </c>
      <c r="C9567" s="803" t="s">
        <v>9817</v>
      </c>
      <c r="D9567" s="803" t="s">
        <v>10181</v>
      </c>
      <c r="E9567" s="803">
        <v>30</v>
      </c>
      <c r="F9567" s="803">
        <v>10</v>
      </c>
      <c r="G9567" s="202" t="str">
        <f t="shared" si="149"/>
        <v/>
      </c>
    </row>
    <row r="9568" spans="1:7" s="172" customFormat="1" ht="15" customHeight="1" x14ac:dyDescent="0.25">
      <c r="A9568" s="803" t="s">
        <v>10182</v>
      </c>
      <c r="B9568" s="803" t="s">
        <v>9817</v>
      </c>
      <c r="C9568" s="803" t="s">
        <v>9817</v>
      </c>
      <c r="D9568" s="803" t="s">
        <v>10183</v>
      </c>
      <c r="E9568" s="803">
        <v>250</v>
      </c>
      <c r="F9568" s="803">
        <v>200</v>
      </c>
      <c r="G9568" s="202" t="str">
        <f t="shared" si="149"/>
        <v/>
      </c>
    </row>
    <row r="9569" spans="1:7" s="172" customFormat="1" ht="15" customHeight="1" x14ac:dyDescent="0.25">
      <c r="A9569" s="803" t="s">
        <v>10182</v>
      </c>
      <c r="B9569" s="803" t="s">
        <v>9817</v>
      </c>
      <c r="C9569" s="803" t="s">
        <v>9817</v>
      </c>
      <c r="D9569" s="803" t="s">
        <v>10184</v>
      </c>
      <c r="E9569" s="803">
        <v>100</v>
      </c>
      <c r="F9569" s="803">
        <v>80</v>
      </c>
      <c r="G9569" s="202" t="str">
        <f t="shared" si="149"/>
        <v/>
      </c>
    </row>
    <row r="9570" spans="1:7" s="172" customFormat="1" ht="15" customHeight="1" x14ac:dyDescent="0.25">
      <c r="A9570" s="803" t="s">
        <v>10182</v>
      </c>
      <c r="B9570" s="803" t="s">
        <v>9817</v>
      </c>
      <c r="C9570" s="803" t="s">
        <v>9817</v>
      </c>
      <c r="D9570" s="803" t="s">
        <v>10185</v>
      </c>
      <c r="E9570" s="803">
        <v>500</v>
      </c>
      <c r="F9570" s="803">
        <v>359</v>
      </c>
      <c r="G9570" s="202" t="str">
        <f t="shared" si="149"/>
        <v/>
      </c>
    </row>
    <row r="9571" spans="1:7" s="172" customFormat="1" ht="15" customHeight="1" x14ac:dyDescent="0.25">
      <c r="A9571" s="803" t="s">
        <v>10182</v>
      </c>
      <c r="B9571" s="803" t="s">
        <v>9817</v>
      </c>
      <c r="C9571" s="803" t="s">
        <v>9817</v>
      </c>
      <c r="D9571" s="803" t="s">
        <v>10186</v>
      </c>
      <c r="E9571" s="803">
        <v>63</v>
      </c>
      <c r="F9571" s="803">
        <v>15</v>
      </c>
      <c r="G9571" s="202" t="str">
        <f t="shared" si="149"/>
        <v/>
      </c>
    </row>
    <row r="9572" spans="1:7" s="172" customFormat="1" ht="15" customHeight="1" x14ac:dyDescent="0.25">
      <c r="A9572" s="803" t="s">
        <v>16874</v>
      </c>
      <c r="B9572" s="803" t="s">
        <v>9817</v>
      </c>
      <c r="C9572" s="803" t="s">
        <v>9817</v>
      </c>
      <c r="D9572" s="803" t="s">
        <v>10187</v>
      </c>
      <c r="E9572" s="803">
        <v>180</v>
      </c>
      <c r="F9572" s="803">
        <v>20</v>
      </c>
      <c r="G9572" s="202" t="str">
        <f t="shared" si="149"/>
        <v/>
      </c>
    </row>
    <row r="9573" spans="1:7" s="172" customFormat="1" ht="15" customHeight="1" x14ac:dyDescent="0.25">
      <c r="A9573" s="803" t="s">
        <v>16874</v>
      </c>
      <c r="B9573" s="803" t="s">
        <v>9817</v>
      </c>
      <c r="C9573" s="803" t="s">
        <v>9817</v>
      </c>
      <c r="D9573" s="803" t="s">
        <v>10188</v>
      </c>
      <c r="E9573" s="803" t="s">
        <v>18197</v>
      </c>
      <c r="F9573" s="803">
        <v>312</v>
      </c>
      <c r="G9573" s="202" t="str">
        <f t="shared" si="149"/>
        <v/>
      </c>
    </row>
    <row r="9574" spans="1:7" s="172" customFormat="1" ht="15" customHeight="1" x14ac:dyDescent="0.25">
      <c r="A9574" s="803" t="s">
        <v>16874</v>
      </c>
      <c r="B9574" s="803" t="s">
        <v>9817</v>
      </c>
      <c r="C9574" s="803" t="s">
        <v>9817</v>
      </c>
      <c r="D9574" s="803" t="s">
        <v>10189</v>
      </c>
      <c r="E9574" s="803">
        <v>0</v>
      </c>
      <c r="F9574" s="803">
        <v>0</v>
      </c>
      <c r="G9574" s="202" t="str">
        <f t="shared" si="149"/>
        <v>не загружен</v>
      </c>
    </row>
    <row r="9575" spans="1:7" s="172" customFormat="1" ht="15" customHeight="1" x14ac:dyDescent="0.25">
      <c r="A9575" s="803" t="s">
        <v>16874</v>
      </c>
      <c r="B9575" s="803" t="s">
        <v>9817</v>
      </c>
      <c r="C9575" s="803" t="s">
        <v>9817</v>
      </c>
      <c r="D9575" s="803" t="s">
        <v>10190</v>
      </c>
      <c r="E9575" s="803">
        <v>63</v>
      </c>
      <c r="F9575" s="803">
        <v>16</v>
      </c>
      <c r="G9575" s="202" t="str">
        <f t="shared" si="149"/>
        <v/>
      </c>
    </row>
    <row r="9576" spans="1:7" s="172" customFormat="1" ht="15" customHeight="1" x14ac:dyDescent="0.25">
      <c r="A9576" s="803" t="s">
        <v>10191</v>
      </c>
      <c r="B9576" s="803" t="s">
        <v>9817</v>
      </c>
      <c r="C9576" s="803" t="s">
        <v>9817</v>
      </c>
      <c r="D9576" s="803" t="s">
        <v>10192</v>
      </c>
      <c r="E9576" s="803">
        <v>20</v>
      </c>
      <c r="F9576" s="803">
        <v>17</v>
      </c>
      <c r="G9576" s="202" t="str">
        <f t="shared" si="149"/>
        <v/>
      </c>
    </row>
    <row r="9577" spans="1:7" s="172" customFormat="1" ht="15" customHeight="1" x14ac:dyDescent="0.25">
      <c r="A9577" s="803" t="s">
        <v>16875</v>
      </c>
      <c r="B9577" s="803" t="s">
        <v>9817</v>
      </c>
      <c r="C9577" s="803" t="s">
        <v>9817</v>
      </c>
      <c r="D9577" s="803" t="s">
        <v>10193</v>
      </c>
      <c r="E9577" s="803">
        <v>25</v>
      </c>
      <c r="F9577" s="803">
        <v>3</v>
      </c>
      <c r="G9577" s="202" t="str">
        <f t="shared" si="149"/>
        <v/>
      </c>
    </row>
    <row r="9578" spans="1:7" s="172" customFormat="1" ht="15" customHeight="1" x14ac:dyDescent="0.25">
      <c r="A9578" s="803" t="s">
        <v>10194</v>
      </c>
      <c r="B9578" s="803" t="s">
        <v>9817</v>
      </c>
      <c r="C9578" s="803" t="s">
        <v>9817</v>
      </c>
      <c r="D9578" s="803" t="s">
        <v>10195</v>
      </c>
      <c r="E9578" s="803">
        <v>100</v>
      </c>
      <c r="F9578" s="803">
        <v>10</v>
      </c>
      <c r="G9578" s="202" t="str">
        <f t="shared" si="149"/>
        <v/>
      </c>
    </row>
    <row r="9579" spans="1:7" s="172" customFormat="1" ht="15" customHeight="1" x14ac:dyDescent="0.25">
      <c r="A9579" s="803" t="s">
        <v>16876</v>
      </c>
      <c r="B9579" s="803" t="s">
        <v>9817</v>
      </c>
      <c r="C9579" s="803" t="s">
        <v>9817</v>
      </c>
      <c r="D9579" s="803" t="s">
        <v>10196</v>
      </c>
      <c r="E9579" s="803">
        <v>160</v>
      </c>
      <c r="F9579" s="803">
        <v>21</v>
      </c>
      <c r="G9579" s="202" t="str">
        <f t="shared" si="149"/>
        <v/>
      </c>
    </row>
    <row r="9580" spans="1:7" s="172" customFormat="1" ht="15" customHeight="1" x14ac:dyDescent="0.25">
      <c r="A9580" s="803" t="s">
        <v>16877</v>
      </c>
      <c r="B9580" s="803" t="s">
        <v>9817</v>
      </c>
      <c r="C9580" s="803" t="s">
        <v>9817</v>
      </c>
      <c r="D9580" s="803" t="s">
        <v>10197</v>
      </c>
      <c r="E9580" s="803">
        <v>100</v>
      </c>
      <c r="F9580" s="803">
        <v>14</v>
      </c>
      <c r="G9580" s="202" t="str">
        <f t="shared" si="149"/>
        <v/>
      </c>
    </row>
    <row r="9581" spans="1:7" s="172" customFormat="1" ht="15" customHeight="1" x14ac:dyDescent="0.25">
      <c r="A9581" s="803" t="s">
        <v>16878</v>
      </c>
      <c r="B9581" s="803" t="s">
        <v>9817</v>
      </c>
      <c r="C9581" s="803" t="s">
        <v>9817</v>
      </c>
      <c r="D9581" s="803" t="s">
        <v>10198</v>
      </c>
      <c r="E9581" s="803">
        <v>30</v>
      </c>
      <c r="F9581" s="803">
        <v>5</v>
      </c>
      <c r="G9581" s="202" t="str">
        <f t="shared" si="149"/>
        <v/>
      </c>
    </row>
    <row r="9582" spans="1:7" s="172" customFormat="1" ht="15" customHeight="1" x14ac:dyDescent="0.25">
      <c r="A9582" s="803" t="s">
        <v>16879</v>
      </c>
      <c r="B9582" s="803" t="s">
        <v>9817</v>
      </c>
      <c r="C9582" s="803" t="s">
        <v>9817</v>
      </c>
      <c r="D9582" s="803" t="s">
        <v>10199</v>
      </c>
      <c r="E9582" s="803">
        <v>250</v>
      </c>
      <c r="F9582" s="803">
        <v>170</v>
      </c>
      <c r="G9582" s="202" t="str">
        <f t="shared" si="149"/>
        <v/>
      </c>
    </row>
    <row r="9583" spans="1:7" s="172" customFormat="1" ht="15" customHeight="1" x14ac:dyDescent="0.25">
      <c r="A9583" s="803" t="s">
        <v>16879</v>
      </c>
      <c r="B9583" s="803" t="s">
        <v>9817</v>
      </c>
      <c r="C9583" s="803" t="s">
        <v>9817</v>
      </c>
      <c r="D9583" s="803" t="s">
        <v>10200</v>
      </c>
      <c r="E9583" s="803">
        <v>630</v>
      </c>
      <c r="F9583" s="803">
        <v>410</v>
      </c>
      <c r="G9583" s="202" t="str">
        <f t="shared" si="149"/>
        <v/>
      </c>
    </row>
    <row r="9584" spans="1:7" s="172" customFormat="1" ht="15" customHeight="1" x14ac:dyDescent="0.25">
      <c r="A9584" s="803" t="s">
        <v>16879</v>
      </c>
      <c r="B9584" s="803" t="s">
        <v>9817</v>
      </c>
      <c r="C9584" s="803" t="s">
        <v>9817</v>
      </c>
      <c r="D9584" s="803" t="s">
        <v>10201</v>
      </c>
      <c r="E9584" s="803">
        <v>160</v>
      </c>
      <c r="F9584" s="803">
        <v>68</v>
      </c>
      <c r="G9584" s="202" t="str">
        <f t="shared" si="149"/>
        <v/>
      </c>
    </row>
    <row r="9585" spans="1:7" s="172" customFormat="1" ht="15" customHeight="1" x14ac:dyDescent="0.25">
      <c r="A9585" s="803" t="s">
        <v>16879</v>
      </c>
      <c r="B9585" s="803" t="s">
        <v>9817</v>
      </c>
      <c r="C9585" s="803" t="s">
        <v>9817</v>
      </c>
      <c r="D9585" s="803" t="s">
        <v>10202</v>
      </c>
      <c r="E9585" s="803" t="s">
        <v>18197</v>
      </c>
      <c r="F9585" s="803">
        <v>250</v>
      </c>
      <c r="G9585" s="202" t="str">
        <f t="shared" si="149"/>
        <v/>
      </c>
    </row>
    <row r="9586" spans="1:7" s="172" customFormat="1" ht="15" customHeight="1" x14ac:dyDescent="0.25">
      <c r="A9586" s="803" t="s">
        <v>16879</v>
      </c>
      <c r="B9586" s="803" t="s">
        <v>9817</v>
      </c>
      <c r="C9586" s="803" t="s">
        <v>9817</v>
      </c>
      <c r="D9586" s="803" t="s">
        <v>10203</v>
      </c>
      <c r="E9586" s="803">
        <v>160</v>
      </c>
      <c r="F9586" s="803">
        <v>82</v>
      </c>
      <c r="G9586" s="202" t="str">
        <f t="shared" si="149"/>
        <v/>
      </c>
    </row>
    <row r="9587" spans="1:7" s="172" customFormat="1" ht="15" customHeight="1" x14ac:dyDescent="0.25">
      <c r="A9587" s="803" t="s">
        <v>16880</v>
      </c>
      <c r="B9587" s="803" t="s">
        <v>9817</v>
      </c>
      <c r="C9587" s="803" t="s">
        <v>9817</v>
      </c>
      <c r="D9587" s="803" t="s">
        <v>10204</v>
      </c>
      <c r="E9587" s="803">
        <v>100</v>
      </c>
      <c r="F9587" s="803">
        <v>39</v>
      </c>
      <c r="G9587" s="202" t="str">
        <f t="shared" si="149"/>
        <v/>
      </c>
    </row>
    <row r="9588" spans="1:7" s="172" customFormat="1" ht="15" customHeight="1" x14ac:dyDescent="0.25">
      <c r="A9588" s="803" t="s">
        <v>15238</v>
      </c>
      <c r="B9588" s="803" t="s">
        <v>9817</v>
      </c>
      <c r="C9588" s="803" t="s">
        <v>9817</v>
      </c>
      <c r="D9588" s="803" t="s">
        <v>10205</v>
      </c>
      <c r="E9588" s="803">
        <v>30</v>
      </c>
      <c r="F9588" s="803">
        <v>15</v>
      </c>
      <c r="G9588" s="202" t="str">
        <f t="shared" si="149"/>
        <v/>
      </c>
    </row>
    <row r="9589" spans="1:7" s="172" customFormat="1" ht="15" customHeight="1" x14ac:dyDescent="0.25">
      <c r="A9589" s="803" t="s">
        <v>16881</v>
      </c>
      <c r="B9589" s="803" t="s">
        <v>9817</v>
      </c>
      <c r="C9589" s="803" t="s">
        <v>9817</v>
      </c>
      <c r="D9589" s="803" t="s">
        <v>10206</v>
      </c>
      <c r="E9589" s="803">
        <v>160</v>
      </c>
      <c r="F9589" s="803">
        <v>121</v>
      </c>
      <c r="G9589" s="202" t="str">
        <f t="shared" si="149"/>
        <v/>
      </c>
    </row>
    <row r="9590" spans="1:7" s="172" customFormat="1" ht="15" customHeight="1" x14ac:dyDescent="0.25">
      <c r="A9590" s="803" t="s">
        <v>16882</v>
      </c>
      <c r="B9590" s="803" t="s">
        <v>9817</v>
      </c>
      <c r="C9590" s="803" t="s">
        <v>9817</v>
      </c>
      <c r="D9590" s="803" t="s">
        <v>10207</v>
      </c>
      <c r="E9590" s="803">
        <v>63</v>
      </c>
      <c r="F9590" s="803">
        <v>75</v>
      </c>
      <c r="G9590" s="202" t="str">
        <f t="shared" si="149"/>
        <v/>
      </c>
    </row>
    <row r="9591" spans="1:7" s="172" customFormat="1" ht="15" customHeight="1" x14ac:dyDescent="0.25">
      <c r="A9591" s="803" t="s">
        <v>16882</v>
      </c>
      <c r="B9591" s="803" t="s">
        <v>9817</v>
      </c>
      <c r="C9591" s="803" t="s">
        <v>9817</v>
      </c>
      <c r="D9591" s="803" t="s">
        <v>10208</v>
      </c>
      <c r="E9591" s="803" t="s">
        <v>18200</v>
      </c>
      <c r="F9591" s="803">
        <v>347</v>
      </c>
      <c r="G9591" s="202" t="str">
        <f t="shared" si="149"/>
        <v/>
      </c>
    </row>
    <row r="9592" spans="1:7" s="172" customFormat="1" ht="15" customHeight="1" x14ac:dyDescent="0.25">
      <c r="A9592" s="803" t="s">
        <v>16882</v>
      </c>
      <c r="B9592" s="803" t="s">
        <v>9817</v>
      </c>
      <c r="C9592" s="803" t="s">
        <v>9817</v>
      </c>
      <c r="D9592" s="803" t="s">
        <v>10209</v>
      </c>
      <c r="E9592" s="803">
        <v>100</v>
      </c>
      <c r="F9592" s="803">
        <v>71</v>
      </c>
      <c r="G9592" s="202" t="str">
        <f t="shared" si="149"/>
        <v/>
      </c>
    </row>
    <row r="9593" spans="1:7" s="172" customFormat="1" ht="15" customHeight="1" x14ac:dyDescent="0.25">
      <c r="A9593" s="803" t="s">
        <v>16882</v>
      </c>
      <c r="B9593" s="803" t="s">
        <v>9817</v>
      </c>
      <c r="C9593" s="803" t="s">
        <v>9817</v>
      </c>
      <c r="D9593" s="803" t="s">
        <v>10210</v>
      </c>
      <c r="E9593" s="803">
        <v>100</v>
      </c>
      <c r="F9593" s="803">
        <v>15</v>
      </c>
      <c r="G9593" s="202" t="str">
        <f t="shared" si="149"/>
        <v/>
      </c>
    </row>
    <row r="9594" spans="1:7" s="172" customFormat="1" ht="15" customHeight="1" x14ac:dyDescent="0.25">
      <c r="A9594" s="803" t="s">
        <v>16882</v>
      </c>
      <c r="B9594" s="803" t="s">
        <v>9817</v>
      </c>
      <c r="C9594" s="803" t="s">
        <v>9817</v>
      </c>
      <c r="D9594" s="803" t="s">
        <v>10211</v>
      </c>
      <c r="E9594" s="803">
        <v>100</v>
      </c>
      <c r="F9594" s="803">
        <v>39</v>
      </c>
      <c r="G9594" s="202" t="str">
        <f t="shared" si="149"/>
        <v/>
      </c>
    </row>
    <row r="9595" spans="1:7" s="172" customFormat="1" ht="15" customHeight="1" x14ac:dyDescent="0.25">
      <c r="A9595" s="803" t="s">
        <v>16882</v>
      </c>
      <c r="B9595" s="803" t="s">
        <v>9817</v>
      </c>
      <c r="C9595" s="803" t="s">
        <v>9817</v>
      </c>
      <c r="D9595" s="803" t="s">
        <v>10212</v>
      </c>
      <c r="E9595" s="803">
        <v>40</v>
      </c>
      <c r="F9595" s="803">
        <v>10</v>
      </c>
      <c r="G9595" s="202" t="str">
        <f t="shared" si="149"/>
        <v/>
      </c>
    </row>
    <row r="9596" spans="1:7" s="172" customFormat="1" ht="15" customHeight="1" x14ac:dyDescent="0.25">
      <c r="A9596" s="803" t="s">
        <v>16882</v>
      </c>
      <c r="B9596" s="803" t="s">
        <v>9817</v>
      </c>
      <c r="C9596" s="803" t="s">
        <v>9817</v>
      </c>
      <c r="D9596" s="803" t="s">
        <v>10213</v>
      </c>
      <c r="E9596" s="803">
        <v>63</v>
      </c>
      <c r="F9596" s="803">
        <v>15</v>
      </c>
      <c r="G9596" s="202" t="str">
        <f t="shared" si="149"/>
        <v/>
      </c>
    </row>
    <row r="9597" spans="1:7" s="172" customFormat="1" ht="15" customHeight="1" x14ac:dyDescent="0.25">
      <c r="A9597" s="803" t="s">
        <v>9986</v>
      </c>
      <c r="B9597" s="803" t="s">
        <v>9817</v>
      </c>
      <c r="C9597" s="803" t="s">
        <v>9817</v>
      </c>
      <c r="D9597" s="803" t="s">
        <v>10214</v>
      </c>
      <c r="E9597" s="803">
        <v>63</v>
      </c>
      <c r="F9597" s="803">
        <v>32</v>
      </c>
      <c r="G9597" s="202" t="str">
        <f t="shared" si="149"/>
        <v/>
      </c>
    </row>
    <row r="9598" spans="1:7" s="172" customFormat="1" ht="15" customHeight="1" x14ac:dyDescent="0.25">
      <c r="A9598" s="803" t="s">
        <v>16883</v>
      </c>
      <c r="B9598" s="803" t="s">
        <v>9817</v>
      </c>
      <c r="C9598" s="803" t="s">
        <v>9817</v>
      </c>
      <c r="D9598" s="803" t="s">
        <v>10215</v>
      </c>
      <c r="E9598" s="803">
        <v>30</v>
      </c>
      <c r="F9598" s="803">
        <v>15</v>
      </c>
      <c r="G9598" s="202" t="str">
        <f t="shared" si="149"/>
        <v/>
      </c>
    </row>
    <row r="9599" spans="1:7" s="172" customFormat="1" ht="15" customHeight="1" x14ac:dyDescent="0.25">
      <c r="A9599" s="803" t="s">
        <v>2515</v>
      </c>
      <c r="B9599" s="803" t="s">
        <v>9817</v>
      </c>
      <c r="C9599" s="803" t="s">
        <v>9817</v>
      </c>
      <c r="D9599" s="803" t="s">
        <v>10216</v>
      </c>
      <c r="E9599" s="803">
        <v>50</v>
      </c>
      <c r="F9599" s="803">
        <v>4.5</v>
      </c>
      <c r="G9599" s="202" t="str">
        <f t="shared" si="149"/>
        <v/>
      </c>
    </row>
    <row r="9600" spans="1:7" s="172" customFormat="1" ht="15" customHeight="1" x14ac:dyDescent="0.25">
      <c r="A9600" s="803" t="s">
        <v>10217</v>
      </c>
      <c r="B9600" s="803" t="s">
        <v>9817</v>
      </c>
      <c r="C9600" s="803" t="s">
        <v>9817</v>
      </c>
      <c r="D9600" s="803" t="s">
        <v>10218</v>
      </c>
      <c r="E9600" s="803">
        <v>250</v>
      </c>
      <c r="F9600" s="803">
        <v>108</v>
      </c>
      <c r="G9600" s="202" t="str">
        <f t="shared" si="149"/>
        <v/>
      </c>
    </row>
    <row r="9601" spans="1:7" s="172" customFormat="1" ht="15" customHeight="1" x14ac:dyDescent="0.25">
      <c r="A9601" s="803" t="s">
        <v>6408</v>
      </c>
      <c r="B9601" s="803" t="s">
        <v>9817</v>
      </c>
      <c r="C9601" s="803" t="s">
        <v>9817</v>
      </c>
      <c r="D9601" s="803" t="s">
        <v>10219</v>
      </c>
      <c r="E9601" s="803">
        <v>250</v>
      </c>
      <c r="F9601" s="803">
        <v>98</v>
      </c>
      <c r="G9601" s="202" t="str">
        <f t="shared" si="149"/>
        <v/>
      </c>
    </row>
    <row r="9602" spans="1:7" s="172" customFormat="1" ht="15" customHeight="1" x14ac:dyDescent="0.25">
      <c r="A9602" s="803" t="s">
        <v>10220</v>
      </c>
      <c r="B9602" s="803" t="s">
        <v>9817</v>
      </c>
      <c r="C9602" s="803" t="s">
        <v>9817</v>
      </c>
      <c r="D9602" s="803" t="s">
        <v>10221</v>
      </c>
      <c r="E9602" s="803">
        <v>100</v>
      </c>
      <c r="F9602" s="803">
        <v>50</v>
      </c>
      <c r="G9602" s="202" t="str">
        <f t="shared" si="149"/>
        <v/>
      </c>
    </row>
    <row r="9603" spans="1:7" s="172" customFormat="1" ht="15" customHeight="1" x14ac:dyDescent="0.25">
      <c r="A9603" s="803" t="s">
        <v>16884</v>
      </c>
      <c r="B9603" s="803" t="s">
        <v>9817</v>
      </c>
      <c r="C9603" s="803" t="s">
        <v>9817</v>
      </c>
      <c r="D9603" s="803" t="s">
        <v>10222</v>
      </c>
      <c r="E9603" s="803">
        <v>60</v>
      </c>
      <c r="F9603" s="803">
        <v>15</v>
      </c>
      <c r="G9603" s="202" t="str">
        <f t="shared" si="149"/>
        <v/>
      </c>
    </row>
    <row r="9604" spans="1:7" s="172" customFormat="1" ht="15" customHeight="1" x14ac:dyDescent="0.25">
      <c r="A9604" s="803" t="s">
        <v>16885</v>
      </c>
      <c r="B9604" s="803" t="s">
        <v>9817</v>
      </c>
      <c r="C9604" s="803" t="s">
        <v>9817</v>
      </c>
      <c r="D9604" s="803" t="s">
        <v>16886</v>
      </c>
      <c r="E9604" s="803">
        <v>30</v>
      </c>
      <c r="F9604" s="803">
        <v>11</v>
      </c>
      <c r="G9604" s="202" t="str">
        <f t="shared" si="149"/>
        <v/>
      </c>
    </row>
    <row r="9605" spans="1:7" s="172" customFormat="1" ht="15" customHeight="1" x14ac:dyDescent="0.25">
      <c r="A9605" s="803" t="s">
        <v>16885</v>
      </c>
      <c r="B9605" s="803" t="s">
        <v>9817</v>
      </c>
      <c r="C9605" s="803" t="s">
        <v>9817</v>
      </c>
      <c r="D9605" s="803" t="s">
        <v>10223</v>
      </c>
      <c r="E9605" s="803">
        <v>40</v>
      </c>
      <c r="F9605" s="803">
        <v>3</v>
      </c>
      <c r="G9605" s="202" t="str">
        <f t="shared" si="149"/>
        <v/>
      </c>
    </row>
    <row r="9606" spans="1:7" s="172" customFormat="1" ht="15" customHeight="1" x14ac:dyDescent="0.25">
      <c r="A9606" s="803" t="s">
        <v>16887</v>
      </c>
      <c r="B9606" s="803" t="s">
        <v>9817</v>
      </c>
      <c r="C9606" s="803" t="s">
        <v>9817</v>
      </c>
      <c r="D9606" s="803" t="s">
        <v>10224</v>
      </c>
      <c r="E9606" s="803">
        <v>180</v>
      </c>
      <c r="F9606" s="803">
        <v>180</v>
      </c>
      <c r="G9606" s="202" t="str">
        <f t="shared" si="149"/>
        <v>не загружен</v>
      </c>
    </row>
    <row r="9607" spans="1:7" s="172" customFormat="1" ht="15" customHeight="1" x14ac:dyDescent="0.25">
      <c r="A9607" s="803" t="s">
        <v>16887</v>
      </c>
      <c r="B9607" s="803" t="s">
        <v>9817</v>
      </c>
      <c r="C9607" s="803" t="s">
        <v>9817</v>
      </c>
      <c r="D9607" s="803" t="s">
        <v>10225</v>
      </c>
      <c r="E9607" s="803" t="s">
        <v>18198</v>
      </c>
      <c r="F9607" s="803">
        <v>200</v>
      </c>
      <c r="G9607" s="202" t="str">
        <f t="shared" si="149"/>
        <v/>
      </c>
    </row>
    <row r="9608" spans="1:7" s="172" customFormat="1" ht="15" customHeight="1" x14ac:dyDescent="0.25">
      <c r="A9608" s="803" t="s">
        <v>16887</v>
      </c>
      <c r="B9608" s="803" t="s">
        <v>9817</v>
      </c>
      <c r="C9608" s="803" t="s">
        <v>9817</v>
      </c>
      <c r="D9608" s="803" t="s">
        <v>10226</v>
      </c>
      <c r="E9608" s="803">
        <v>160</v>
      </c>
      <c r="F9608" s="803">
        <v>74.849999999999994</v>
      </c>
      <c r="G9608" s="202" t="str">
        <f t="shared" si="149"/>
        <v/>
      </c>
    </row>
    <row r="9609" spans="1:7" s="172" customFormat="1" ht="15" customHeight="1" x14ac:dyDescent="0.25">
      <c r="A9609" s="803" t="s">
        <v>16887</v>
      </c>
      <c r="B9609" s="803" t="s">
        <v>9817</v>
      </c>
      <c r="C9609" s="803" t="s">
        <v>9817</v>
      </c>
      <c r="D9609" s="803" t="s">
        <v>10227</v>
      </c>
      <c r="E9609" s="803">
        <v>160</v>
      </c>
      <c r="F9609" s="803">
        <v>30</v>
      </c>
      <c r="G9609" s="202" t="str">
        <f t="shared" si="149"/>
        <v/>
      </c>
    </row>
    <row r="9610" spans="1:7" s="172" customFormat="1" ht="15" customHeight="1" x14ac:dyDescent="0.25">
      <c r="A9610" s="803" t="s">
        <v>16887</v>
      </c>
      <c r="B9610" s="803" t="s">
        <v>9817</v>
      </c>
      <c r="C9610" s="803" t="s">
        <v>9817</v>
      </c>
      <c r="D9610" s="803" t="s">
        <v>10228</v>
      </c>
      <c r="E9610" s="803">
        <v>250</v>
      </c>
      <c r="F9610" s="803">
        <v>180</v>
      </c>
      <c r="G9610" s="202" t="str">
        <f t="shared" si="149"/>
        <v/>
      </c>
    </row>
    <row r="9611" spans="1:7" s="172" customFormat="1" ht="15" customHeight="1" x14ac:dyDescent="0.25">
      <c r="A9611" s="803" t="s">
        <v>16887</v>
      </c>
      <c r="B9611" s="803" t="s">
        <v>9817</v>
      </c>
      <c r="C9611" s="803" t="s">
        <v>9817</v>
      </c>
      <c r="D9611" s="803" t="s">
        <v>10229</v>
      </c>
      <c r="E9611" s="803">
        <v>250</v>
      </c>
      <c r="F9611" s="803">
        <v>200</v>
      </c>
      <c r="G9611" s="202" t="str">
        <f t="shared" si="149"/>
        <v/>
      </c>
    </row>
    <row r="9612" spans="1:7" s="172" customFormat="1" ht="15" customHeight="1" x14ac:dyDescent="0.25">
      <c r="A9612" s="803" t="s">
        <v>10230</v>
      </c>
      <c r="B9612" s="803" t="s">
        <v>9817</v>
      </c>
      <c r="C9612" s="803" t="s">
        <v>9817</v>
      </c>
      <c r="D9612" s="803" t="s">
        <v>10231</v>
      </c>
      <c r="E9612" s="803">
        <v>30</v>
      </c>
      <c r="F9612" s="803">
        <v>15</v>
      </c>
      <c r="G9612" s="202" t="str">
        <f t="shared" si="149"/>
        <v/>
      </c>
    </row>
    <row r="9613" spans="1:7" s="172" customFormat="1" ht="15" customHeight="1" x14ac:dyDescent="0.25">
      <c r="A9613" s="803" t="s">
        <v>16888</v>
      </c>
      <c r="B9613" s="803" t="s">
        <v>9817</v>
      </c>
      <c r="C9613" s="803" t="s">
        <v>9817</v>
      </c>
      <c r="D9613" s="803" t="s">
        <v>10232</v>
      </c>
      <c r="E9613" s="803">
        <v>50</v>
      </c>
      <c r="F9613" s="803">
        <v>20</v>
      </c>
      <c r="G9613" s="202" t="str">
        <f t="shared" si="149"/>
        <v/>
      </c>
    </row>
    <row r="9614" spans="1:7" s="172" customFormat="1" ht="15" customHeight="1" x14ac:dyDescent="0.25">
      <c r="A9614" s="803" t="s">
        <v>16889</v>
      </c>
      <c r="B9614" s="803" t="s">
        <v>9817</v>
      </c>
      <c r="C9614" s="803" t="s">
        <v>9817</v>
      </c>
      <c r="D9614" s="803" t="s">
        <v>10233</v>
      </c>
      <c r="E9614" s="803">
        <v>30</v>
      </c>
      <c r="F9614" s="803">
        <v>25</v>
      </c>
      <c r="G9614" s="202" t="str">
        <f t="shared" si="149"/>
        <v/>
      </c>
    </row>
    <row r="9615" spans="1:7" s="172" customFormat="1" ht="15" customHeight="1" x14ac:dyDescent="0.25">
      <c r="A9615" s="803" t="s">
        <v>10234</v>
      </c>
      <c r="B9615" s="803" t="s">
        <v>9817</v>
      </c>
      <c r="C9615" s="803" t="s">
        <v>9817</v>
      </c>
      <c r="D9615" s="803" t="s">
        <v>10235</v>
      </c>
      <c r="E9615" s="803">
        <v>30</v>
      </c>
      <c r="F9615" s="803">
        <v>11</v>
      </c>
      <c r="G9615" s="202" t="str">
        <f t="shared" si="149"/>
        <v/>
      </c>
    </row>
    <row r="9616" spans="1:7" s="172" customFormat="1" ht="15" customHeight="1" x14ac:dyDescent="0.25">
      <c r="A9616" s="803" t="s">
        <v>4924</v>
      </c>
      <c r="B9616" s="803" t="s">
        <v>9817</v>
      </c>
      <c r="C9616" s="803" t="s">
        <v>9817</v>
      </c>
      <c r="D9616" s="803" t="s">
        <v>10236</v>
      </c>
      <c r="E9616" s="803">
        <v>50</v>
      </c>
      <c r="F9616" s="803">
        <v>20</v>
      </c>
      <c r="G9616" s="202" t="str">
        <f t="shared" si="149"/>
        <v/>
      </c>
    </row>
    <row r="9617" spans="1:7" s="172" customFormat="1" ht="15" customHeight="1" x14ac:dyDescent="0.25">
      <c r="A9617" s="803" t="s">
        <v>16890</v>
      </c>
      <c r="B9617" s="803" t="s">
        <v>9817</v>
      </c>
      <c r="C9617" s="803" t="s">
        <v>9817</v>
      </c>
      <c r="D9617" s="803" t="s">
        <v>10237</v>
      </c>
      <c r="E9617" s="803">
        <v>60</v>
      </c>
      <c r="F9617" s="803">
        <v>15</v>
      </c>
      <c r="G9617" s="202" t="str">
        <f t="shared" si="149"/>
        <v/>
      </c>
    </row>
    <row r="9618" spans="1:7" s="172" customFormat="1" ht="15" customHeight="1" x14ac:dyDescent="0.25">
      <c r="A9618" s="803" t="s">
        <v>10238</v>
      </c>
      <c r="B9618" s="803" t="s">
        <v>9817</v>
      </c>
      <c r="C9618" s="803" t="s">
        <v>9817</v>
      </c>
      <c r="D9618" s="803" t="s">
        <v>10239</v>
      </c>
      <c r="E9618" s="803">
        <v>250</v>
      </c>
      <c r="F9618" s="803">
        <v>200</v>
      </c>
      <c r="G9618" s="202" t="str">
        <f t="shared" si="149"/>
        <v/>
      </c>
    </row>
    <row r="9619" spans="1:7" s="172" customFormat="1" ht="15" customHeight="1" x14ac:dyDescent="0.25">
      <c r="A9619" s="803" t="s">
        <v>10238</v>
      </c>
      <c r="B9619" s="803" t="s">
        <v>9817</v>
      </c>
      <c r="C9619" s="803" t="s">
        <v>9817</v>
      </c>
      <c r="D9619" s="803" t="s">
        <v>10240</v>
      </c>
      <c r="E9619" s="803">
        <v>160</v>
      </c>
      <c r="F9619" s="803">
        <v>20</v>
      </c>
      <c r="G9619" s="202" t="str">
        <f t="shared" si="149"/>
        <v/>
      </c>
    </row>
    <row r="9620" spans="1:7" s="172" customFormat="1" ht="15" customHeight="1" x14ac:dyDescent="0.25">
      <c r="A9620" s="803" t="s">
        <v>10238</v>
      </c>
      <c r="B9620" s="803" t="s">
        <v>9817</v>
      </c>
      <c r="C9620" s="803" t="s">
        <v>9817</v>
      </c>
      <c r="D9620" s="803" t="s">
        <v>10241</v>
      </c>
      <c r="E9620" s="803">
        <v>180</v>
      </c>
      <c r="F9620" s="803">
        <v>50</v>
      </c>
      <c r="G9620" s="202" t="str">
        <f t="shared" si="149"/>
        <v/>
      </c>
    </row>
    <row r="9621" spans="1:7" s="172" customFormat="1" ht="15" customHeight="1" x14ac:dyDescent="0.25">
      <c r="A9621" s="803" t="s">
        <v>10238</v>
      </c>
      <c r="B9621" s="803" t="s">
        <v>9817</v>
      </c>
      <c r="C9621" s="803" t="s">
        <v>9817</v>
      </c>
      <c r="D9621" s="803" t="s">
        <v>10242</v>
      </c>
      <c r="E9621" s="803">
        <v>400</v>
      </c>
      <c r="F9621" s="803">
        <v>400</v>
      </c>
      <c r="G9621" s="202" t="str">
        <f t="shared" si="149"/>
        <v>не загружен</v>
      </c>
    </row>
    <row r="9622" spans="1:7" s="172" customFormat="1" ht="15" customHeight="1" x14ac:dyDescent="0.25">
      <c r="A9622" s="803" t="s">
        <v>10238</v>
      </c>
      <c r="B9622" s="803" t="s">
        <v>9817</v>
      </c>
      <c r="C9622" s="803" t="s">
        <v>9817</v>
      </c>
      <c r="D9622" s="803" t="s">
        <v>10243</v>
      </c>
      <c r="E9622" s="803">
        <v>50</v>
      </c>
      <c r="F9622" s="803">
        <v>10</v>
      </c>
      <c r="G9622" s="202" t="str">
        <f t="shared" si="149"/>
        <v/>
      </c>
    </row>
    <row r="9623" spans="1:7" s="172" customFormat="1" ht="15" customHeight="1" x14ac:dyDescent="0.25">
      <c r="A9623" s="803" t="s">
        <v>16891</v>
      </c>
      <c r="B9623" s="803" t="s">
        <v>9817</v>
      </c>
      <c r="C9623" s="803" t="s">
        <v>9817</v>
      </c>
      <c r="D9623" s="803" t="s">
        <v>10244</v>
      </c>
      <c r="E9623" s="803">
        <v>100</v>
      </c>
      <c r="F9623" s="803">
        <v>30</v>
      </c>
      <c r="G9623" s="202" t="str">
        <f t="shared" si="149"/>
        <v/>
      </c>
    </row>
    <row r="9624" spans="1:7" s="172" customFormat="1" ht="15" customHeight="1" x14ac:dyDescent="0.25">
      <c r="A9624" s="803" t="s">
        <v>16892</v>
      </c>
      <c r="B9624" s="803" t="s">
        <v>9817</v>
      </c>
      <c r="C9624" s="803" t="s">
        <v>9817</v>
      </c>
      <c r="D9624" s="803" t="s">
        <v>10245</v>
      </c>
      <c r="E9624" s="803">
        <v>60</v>
      </c>
      <c r="F9624" s="803">
        <v>45</v>
      </c>
      <c r="G9624" s="202" t="str">
        <f t="shared" si="149"/>
        <v/>
      </c>
    </row>
    <row r="9625" spans="1:7" s="172" customFormat="1" ht="15" customHeight="1" x14ac:dyDescent="0.25">
      <c r="A9625" s="803" t="s">
        <v>16893</v>
      </c>
      <c r="B9625" s="803" t="s">
        <v>9817</v>
      </c>
      <c r="C9625" s="803" t="s">
        <v>9817</v>
      </c>
      <c r="D9625" s="803" t="s">
        <v>10246</v>
      </c>
      <c r="E9625" s="803">
        <v>30</v>
      </c>
      <c r="F9625" s="803">
        <v>20</v>
      </c>
      <c r="G9625" s="202" t="str">
        <f t="shared" si="149"/>
        <v/>
      </c>
    </row>
    <row r="9626" spans="1:7" s="172" customFormat="1" ht="15" customHeight="1" x14ac:dyDescent="0.25">
      <c r="A9626" s="803" t="s">
        <v>16894</v>
      </c>
      <c r="B9626" s="803" t="s">
        <v>9817</v>
      </c>
      <c r="C9626" s="803" t="s">
        <v>9817</v>
      </c>
      <c r="D9626" s="803" t="s">
        <v>10247</v>
      </c>
      <c r="E9626" s="803">
        <v>20</v>
      </c>
      <c r="F9626" s="803">
        <v>3</v>
      </c>
      <c r="G9626" s="202" t="str">
        <f t="shared" si="149"/>
        <v/>
      </c>
    </row>
    <row r="9627" spans="1:7" s="172" customFormat="1" ht="15" customHeight="1" x14ac:dyDescent="0.25">
      <c r="A9627" s="803" t="s">
        <v>16895</v>
      </c>
      <c r="B9627" s="803" t="s">
        <v>9817</v>
      </c>
      <c r="C9627" s="803" t="s">
        <v>9817</v>
      </c>
      <c r="D9627" s="803" t="s">
        <v>10248</v>
      </c>
      <c r="E9627" s="803">
        <v>400</v>
      </c>
      <c r="F9627" s="803">
        <v>250</v>
      </c>
      <c r="G9627" s="202" t="str">
        <f t="shared" si="149"/>
        <v/>
      </c>
    </row>
    <row r="9628" spans="1:7" s="172" customFormat="1" ht="15" customHeight="1" x14ac:dyDescent="0.25">
      <c r="A9628" s="803" t="s">
        <v>16895</v>
      </c>
      <c r="B9628" s="803" t="s">
        <v>9817</v>
      </c>
      <c r="C9628" s="803" t="s">
        <v>9817</v>
      </c>
      <c r="D9628" s="803" t="s">
        <v>10249</v>
      </c>
      <c r="E9628" s="803">
        <v>160</v>
      </c>
      <c r="F9628" s="803">
        <v>76</v>
      </c>
      <c r="G9628" s="202" t="str">
        <f t="shared" ref="G9628:G9691" si="150">IF(E9628=F9628,"не загружен","")</f>
        <v/>
      </c>
    </row>
    <row r="9629" spans="1:7" s="172" customFormat="1" ht="15" customHeight="1" x14ac:dyDescent="0.25">
      <c r="A9629" s="803" t="s">
        <v>8795</v>
      </c>
      <c r="B9629" s="803" t="s">
        <v>9817</v>
      </c>
      <c r="C9629" s="803" t="s">
        <v>9817</v>
      </c>
      <c r="D9629" s="803" t="s">
        <v>10250</v>
      </c>
      <c r="E9629" s="803">
        <v>250</v>
      </c>
      <c r="F9629" s="803">
        <v>160</v>
      </c>
      <c r="G9629" s="202" t="str">
        <f t="shared" si="150"/>
        <v/>
      </c>
    </row>
    <row r="9630" spans="1:7" s="172" customFormat="1" ht="15" customHeight="1" x14ac:dyDescent="0.25">
      <c r="A9630" s="803" t="s">
        <v>8795</v>
      </c>
      <c r="B9630" s="803" t="s">
        <v>9817</v>
      </c>
      <c r="C9630" s="803" t="s">
        <v>9817</v>
      </c>
      <c r="D9630" s="803" t="s">
        <v>10251</v>
      </c>
      <c r="E9630" s="803" t="s">
        <v>18197</v>
      </c>
      <c r="F9630" s="803">
        <v>100</v>
      </c>
      <c r="G9630" s="202" t="str">
        <f t="shared" si="150"/>
        <v/>
      </c>
    </row>
    <row r="9631" spans="1:7" s="172" customFormat="1" ht="15" customHeight="1" x14ac:dyDescent="0.25">
      <c r="A9631" s="803" t="s">
        <v>8795</v>
      </c>
      <c r="B9631" s="803" t="s">
        <v>9817</v>
      </c>
      <c r="C9631" s="803" t="s">
        <v>9817</v>
      </c>
      <c r="D9631" s="803" t="s">
        <v>10252</v>
      </c>
      <c r="E9631" s="803">
        <v>400</v>
      </c>
      <c r="F9631" s="803">
        <v>250</v>
      </c>
      <c r="G9631" s="202" t="str">
        <f t="shared" si="150"/>
        <v/>
      </c>
    </row>
    <row r="9632" spans="1:7" s="172" customFormat="1" ht="15" customHeight="1" x14ac:dyDescent="0.25">
      <c r="A9632" s="803" t="s">
        <v>8795</v>
      </c>
      <c r="B9632" s="803" t="s">
        <v>9817</v>
      </c>
      <c r="C9632" s="803" t="s">
        <v>9817</v>
      </c>
      <c r="D9632" s="803" t="s">
        <v>10253</v>
      </c>
      <c r="E9632" s="803" t="s">
        <v>18196</v>
      </c>
      <c r="F9632" s="803">
        <v>700</v>
      </c>
      <c r="G9632" s="202" t="str">
        <f t="shared" si="150"/>
        <v/>
      </c>
    </row>
    <row r="9633" spans="1:7" s="172" customFormat="1" ht="15" customHeight="1" x14ac:dyDescent="0.25">
      <c r="A9633" s="803" t="s">
        <v>10254</v>
      </c>
      <c r="B9633" s="803" t="s">
        <v>9817</v>
      </c>
      <c r="C9633" s="803" t="s">
        <v>9817</v>
      </c>
      <c r="D9633" s="803" t="s">
        <v>10255</v>
      </c>
      <c r="E9633" s="803">
        <v>50</v>
      </c>
      <c r="F9633" s="803">
        <v>15</v>
      </c>
      <c r="G9633" s="202" t="str">
        <f t="shared" si="150"/>
        <v/>
      </c>
    </row>
    <row r="9634" spans="1:7" s="172" customFormat="1" ht="15" customHeight="1" x14ac:dyDescent="0.25">
      <c r="A9634" s="803" t="s">
        <v>16896</v>
      </c>
      <c r="B9634" s="803" t="s">
        <v>9817</v>
      </c>
      <c r="C9634" s="803" t="s">
        <v>9817</v>
      </c>
      <c r="D9634" s="803" t="s">
        <v>10256</v>
      </c>
      <c r="E9634" s="803">
        <v>63</v>
      </c>
      <c r="F9634" s="803">
        <v>30</v>
      </c>
      <c r="G9634" s="202" t="str">
        <f t="shared" si="150"/>
        <v/>
      </c>
    </row>
    <row r="9635" spans="1:7" s="172" customFormat="1" ht="15" customHeight="1" x14ac:dyDescent="0.25">
      <c r="A9635" s="803" t="s">
        <v>10257</v>
      </c>
      <c r="B9635" s="803" t="s">
        <v>9817</v>
      </c>
      <c r="C9635" s="803" t="s">
        <v>9817</v>
      </c>
      <c r="D9635" s="803" t="s">
        <v>10258</v>
      </c>
      <c r="E9635" s="803">
        <v>60</v>
      </c>
      <c r="F9635" s="803">
        <v>30</v>
      </c>
      <c r="G9635" s="202" t="str">
        <f t="shared" si="150"/>
        <v/>
      </c>
    </row>
    <row r="9636" spans="1:7" s="172" customFormat="1" ht="15" customHeight="1" x14ac:dyDescent="0.25">
      <c r="A9636" s="803" t="s">
        <v>16870</v>
      </c>
      <c r="B9636" s="803" t="s">
        <v>9817</v>
      </c>
      <c r="C9636" s="803" t="s">
        <v>9817</v>
      </c>
      <c r="D9636" s="803" t="s">
        <v>10259</v>
      </c>
      <c r="E9636" s="803">
        <v>30</v>
      </c>
      <c r="F9636" s="803">
        <v>0</v>
      </c>
      <c r="G9636" s="202" t="str">
        <f t="shared" si="150"/>
        <v/>
      </c>
    </row>
    <row r="9637" spans="1:7" s="172" customFormat="1" ht="15" customHeight="1" x14ac:dyDescent="0.25">
      <c r="A9637" s="803" t="s">
        <v>15288</v>
      </c>
      <c r="B9637" s="803" t="s">
        <v>9817</v>
      </c>
      <c r="C9637" s="803" t="s">
        <v>9817</v>
      </c>
      <c r="D9637" s="803" t="s">
        <v>10260</v>
      </c>
      <c r="E9637" s="803">
        <v>100</v>
      </c>
      <c r="F9637" s="803">
        <v>15</v>
      </c>
      <c r="G9637" s="202" t="str">
        <f t="shared" si="150"/>
        <v/>
      </c>
    </row>
    <row r="9638" spans="1:7" s="172" customFormat="1" ht="15" customHeight="1" x14ac:dyDescent="0.25">
      <c r="A9638" s="803" t="s">
        <v>16897</v>
      </c>
      <c r="B9638" s="803" t="s">
        <v>9817</v>
      </c>
      <c r="C9638" s="803" t="s">
        <v>9817</v>
      </c>
      <c r="D9638" s="803" t="s">
        <v>10261</v>
      </c>
      <c r="E9638" s="803">
        <v>100</v>
      </c>
      <c r="F9638" s="803">
        <v>25</v>
      </c>
      <c r="G9638" s="202" t="str">
        <f t="shared" si="150"/>
        <v/>
      </c>
    </row>
    <row r="9639" spans="1:7" s="172" customFormat="1" ht="15" customHeight="1" x14ac:dyDescent="0.25">
      <c r="A9639" s="803" t="s">
        <v>16898</v>
      </c>
      <c r="B9639" s="803" t="s">
        <v>9817</v>
      </c>
      <c r="C9639" s="803" t="s">
        <v>9817</v>
      </c>
      <c r="D9639" s="803" t="s">
        <v>10262</v>
      </c>
      <c r="E9639" s="803">
        <v>63</v>
      </c>
      <c r="F9639" s="803">
        <v>20</v>
      </c>
      <c r="G9639" s="202" t="str">
        <f t="shared" si="150"/>
        <v/>
      </c>
    </row>
    <row r="9640" spans="1:7" s="172" customFormat="1" ht="15" customHeight="1" x14ac:dyDescent="0.25">
      <c r="A9640" s="803" t="s">
        <v>16899</v>
      </c>
      <c r="B9640" s="803" t="s">
        <v>9817</v>
      </c>
      <c r="C9640" s="803" t="s">
        <v>9817</v>
      </c>
      <c r="D9640" s="803" t="s">
        <v>10263</v>
      </c>
      <c r="E9640" s="803">
        <v>50</v>
      </c>
      <c r="F9640" s="803">
        <v>5</v>
      </c>
      <c r="G9640" s="202" t="str">
        <f t="shared" si="150"/>
        <v/>
      </c>
    </row>
    <row r="9641" spans="1:7" s="172" customFormat="1" ht="15" customHeight="1" x14ac:dyDescent="0.25">
      <c r="A9641" s="803" t="s">
        <v>16900</v>
      </c>
      <c r="B9641" s="803" t="s">
        <v>9817</v>
      </c>
      <c r="C9641" s="803" t="s">
        <v>9817</v>
      </c>
      <c r="D9641" s="803" t="s">
        <v>10264</v>
      </c>
      <c r="E9641" s="803">
        <v>30</v>
      </c>
      <c r="F9641" s="803">
        <v>17</v>
      </c>
      <c r="G9641" s="202" t="str">
        <f t="shared" si="150"/>
        <v/>
      </c>
    </row>
    <row r="9642" spans="1:7" s="172" customFormat="1" ht="15" customHeight="1" x14ac:dyDescent="0.25">
      <c r="A9642" s="803" t="s">
        <v>16155</v>
      </c>
      <c r="B9642" s="803" t="s">
        <v>9817</v>
      </c>
      <c r="C9642" s="803" t="s">
        <v>9817</v>
      </c>
      <c r="D9642" s="803" t="s">
        <v>10265</v>
      </c>
      <c r="E9642" s="803">
        <v>30</v>
      </c>
      <c r="F9642" s="803">
        <v>15</v>
      </c>
      <c r="G9642" s="202" t="str">
        <f t="shared" si="150"/>
        <v/>
      </c>
    </row>
    <row r="9643" spans="1:7" s="172" customFormat="1" ht="15" customHeight="1" x14ac:dyDescent="0.25">
      <c r="A9643" s="803" t="s">
        <v>10266</v>
      </c>
      <c r="B9643" s="803" t="s">
        <v>9817</v>
      </c>
      <c r="C9643" s="803" t="s">
        <v>9817</v>
      </c>
      <c r="D9643" s="803" t="s">
        <v>10267</v>
      </c>
      <c r="E9643" s="803">
        <v>30</v>
      </c>
      <c r="F9643" s="803">
        <v>21</v>
      </c>
      <c r="G9643" s="202" t="str">
        <f t="shared" si="150"/>
        <v/>
      </c>
    </row>
    <row r="9644" spans="1:7" s="172" customFormat="1" ht="15" customHeight="1" x14ac:dyDescent="0.25">
      <c r="A9644" s="803" t="s">
        <v>10268</v>
      </c>
      <c r="B9644" s="803" t="s">
        <v>9817</v>
      </c>
      <c r="C9644" s="803" t="s">
        <v>9817</v>
      </c>
      <c r="D9644" s="803" t="s">
        <v>10269</v>
      </c>
      <c r="E9644" s="803">
        <v>50</v>
      </c>
      <c r="F9644" s="803">
        <v>30</v>
      </c>
      <c r="G9644" s="202" t="str">
        <f t="shared" si="150"/>
        <v/>
      </c>
    </row>
    <row r="9645" spans="1:7" s="172" customFormat="1" ht="15" customHeight="1" x14ac:dyDescent="0.25">
      <c r="A9645" s="803" t="s">
        <v>10270</v>
      </c>
      <c r="B9645" s="803" t="s">
        <v>9817</v>
      </c>
      <c r="C9645" s="803" t="s">
        <v>9817</v>
      </c>
      <c r="D9645" s="803" t="s">
        <v>10271</v>
      </c>
      <c r="E9645" s="803" t="s">
        <v>18197</v>
      </c>
      <c r="F9645" s="803">
        <v>400</v>
      </c>
      <c r="G9645" s="202" t="str">
        <f t="shared" si="150"/>
        <v/>
      </c>
    </row>
    <row r="9646" spans="1:7" s="172" customFormat="1" ht="15" customHeight="1" x14ac:dyDescent="0.25">
      <c r="A9646" s="803" t="s">
        <v>10270</v>
      </c>
      <c r="B9646" s="803" t="s">
        <v>9817</v>
      </c>
      <c r="C9646" s="803" t="s">
        <v>9817</v>
      </c>
      <c r="D9646" s="803" t="s">
        <v>10272</v>
      </c>
      <c r="E9646" s="803">
        <v>400</v>
      </c>
      <c r="F9646" s="803">
        <v>200</v>
      </c>
      <c r="G9646" s="202" t="str">
        <f t="shared" si="150"/>
        <v/>
      </c>
    </row>
    <row r="9647" spans="1:7" s="172" customFormat="1" ht="15" customHeight="1" x14ac:dyDescent="0.25">
      <c r="A9647" s="803" t="s">
        <v>16901</v>
      </c>
      <c r="B9647" s="803" t="s">
        <v>9817</v>
      </c>
      <c r="C9647" s="803" t="s">
        <v>9817</v>
      </c>
      <c r="D9647" s="803" t="s">
        <v>10273</v>
      </c>
      <c r="E9647" s="803">
        <v>60</v>
      </c>
      <c r="F9647" s="803">
        <v>30</v>
      </c>
      <c r="G9647" s="202" t="str">
        <f t="shared" si="150"/>
        <v/>
      </c>
    </row>
    <row r="9648" spans="1:7" s="172" customFormat="1" ht="15" customHeight="1" x14ac:dyDescent="0.25">
      <c r="A9648" s="803" t="s">
        <v>16902</v>
      </c>
      <c r="B9648" s="803" t="s">
        <v>9817</v>
      </c>
      <c r="C9648" s="803" t="s">
        <v>9817</v>
      </c>
      <c r="D9648" s="803" t="s">
        <v>10274</v>
      </c>
      <c r="E9648" s="803">
        <v>63</v>
      </c>
      <c r="F9648" s="803">
        <v>6</v>
      </c>
      <c r="G9648" s="202" t="str">
        <f t="shared" si="150"/>
        <v/>
      </c>
    </row>
    <row r="9649" spans="1:7" s="172" customFormat="1" ht="15" customHeight="1" x14ac:dyDescent="0.25">
      <c r="A9649" s="803" t="s">
        <v>4818</v>
      </c>
      <c r="B9649" s="803" t="s">
        <v>9817</v>
      </c>
      <c r="C9649" s="803" t="s">
        <v>9817</v>
      </c>
      <c r="D9649" s="803" t="s">
        <v>10275</v>
      </c>
      <c r="E9649" s="803">
        <v>50</v>
      </c>
      <c r="F9649" s="803">
        <v>24.7</v>
      </c>
      <c r="G9649" s="202" t="str">
        <f t="shared" si="150"/>
        <v/>
      </c>
    </row>
    <row r="9650" spans="1:7" s="172" customFormat="1" ht="15" customHeight="1" x14ac:dyDescent="0.25">
      <c r="A9650" s="803" t="s">
        <v>16903</v>
      </c>
      <c r="B9650" s="803" t="s">
        <v>9817</v>
      </c>
      <c r="C9650" s="803" t="s">
        <v>9817</v>
      </c>
      <c r="D9650" s="803" t="s">
        <v>10276</v>
      </c>
      <c r="E9650" s="803">
        <v>100</v>
      </c>
      <c r="F9650" s="803">
        <v>50</v>
      </c>
      <c r="G9650" s="202" t="str">
        <f t="shared" si="150"/>
        <v/>
      </c>
    </row>
    <row r="9651" spans="1:7" s="172" customFormat="1" ht="15" customHeight="1" x14ac:dyDescent="0.25">
      <c r="A9651" s="803" t="s">
        <v>16904</v>
      </c>
      <c r="B9651" s="803" t="s">
        <v>9817</v>
      </c>
      <c r="C9651" s="803" t="s">
        <v>9817</v>
      </c>
      <c r="D9651" s="803" t="s">
        <v>10277</v>
      </c>
      <c r="E9651" s="803">
        <v>30</v>
      </c>
      <c r="F9651" s="803">
        <v>5</v>
      </c>
      <c r="G9651" s="202" t="str">
        <f t="shared" si="150"/>
        <v/>
      </c>
    </row>
    <row r="9652" spans="1:7" s="172" customFormat="1" ht="15" customHeight="1" x14ac:dyDescent="0.25">
      <c r="A9652" s="803" t="s">
        <v>16905</v>
      </c>
      <c r="B9652" s="803" t="s">
        <v>9817</v>
      </c>
      <c r="C9652" s="803" t="s">
        <v>9817</v>
      </c>
      <c r="D9652" s="803" t="s">
        <v>10278</v>
      </c>
      <c r="E9652" s="803">
        <v>30</v>
      </c>
      <c r="F9652" s="803">
        <v>18</v>
      </c>
      <c r="G9652" s="202" t="str">
        <f t="shared" si="150"/>
        <v/>
      </c>
    </row>
    <row r="9653" spans="1:7" s="172" customFormat="1" ht="15" customHeight="1" x14ac:dyDescent="0.25">
      <c r="A9653" s="803" t="s">
        <v>10279</v>
      </c>
      <c r="B9653" s="803" t="s">
        <v>9817</v>
      </c>
      <c r="C9653" s="803" t="s">
        <v>9817</v>
      </c>
      <c r="D9653" s="803" t="s">
        <v>10280</v>
      </c>
      <c r="E9653" s="803" t="s">
        <v>18201</v>
      </c>
      <c r="F9653" s="803">
        <v>291</v>
      </c>
      <c r="G9653" s="202" t="str">
        <f t="shared" si="150"/>
        <v/>
      </c>
    </row>
    <row r="9654" spans="1:7" s="172" customFormat="1" ht="15" customHeight="1" x14ac:dyDescent="0.25">
      <c r="A9654" s="803" t="s">
        <v>10279</v>
      </c>
      <c r="B9654" s="803" t="s">
        <v>9817</v>
      </c>
      <c r="C9654" s="803" t="s">
        <v>9817</v>
      </c>
      <c r="D9654" s="803" t="s">
        <v>10281</v>
      </c>
      <c r="E9654" s="803">
        <v>400</v>
      </c>
      <c r="F9654" s="803">
        <v>300</v>
      </c>
      <c r="G9654" s="202" t="str">
        <f t="shared" si="150"/>
        <v/>
      </c>
    </row>
    <row r="9655" spans="1:7" s="172" customFormat="1" ht="15" customHeight="1" x14ac:dyDescent="0.25">
      <c r="A9655" s="803" t="s">
        <v>16906</v>
      </c>
      <c r="B9655" s="803" t="s">
        <v>9817</v>
      </c>
      <c r="C9655" s="803" t="s">
        <v>9817</v>
      </c>
      <c r="D9655" s="803" t="s">
        <v>10282</v>
      </c>
      <c r="E9655" s="803">
        <v>50</v>
      </c>
      <c r="F9655" s="803">
        <v>25</v>
      </c>
      <c r="G9655" s="202" t="str">
        <f t="shared" si="150"/>
        <v/>
      </c>
    </row>
    <row r="9656" spans="1:7" s="172" customFormat="1" ht="15" customHeight="1" x14ac:dyDescent="0.25">
      <c r="A9656" s="803" t="s">
        <v>5297</v>
      </c>
      <c r="B9656" s="803" t="s">
        <v>9817</v>
      </c>
      <c r="C9656" s="803" t="s">
        <v>9817</v>
      </c>
      <c r="D9656" s="803" t="s">
        <v>10283</v>
      </c>
      <c r="E9656" s="803">
        <v>30</v>
      </c>
      <c r="F9656" s="803">
        <v>10</v>
      </c>
      <c r="G9656" s="202" t="str">
        <f t="shared" si="150"/>
        <v/>
      </c>
    </row>
    <row r="9657" spans="1:7" s="172" customFormat="1" ht="15" customHeight="1" x14ac:dyDescent="0.25">
      <c r="A9657" s="803" t="s">
        <v>16907</v>
      </c>
      <c r="B9657" s="803" t="s">
        <v>9817</v>
      </c>
      <c r="C9657" s="803" t="s">
        <v>9817</v>
      </c>
      <c r="D9657" s="803" t="s">
        <v>10284</v>
      </c>
      <c r="E9657" s="803">
        <v>250</v>
      </c>
      <c r="F9657" s="803">
        <v>180</v>
      </c>
      <c r="G9657" s="202" t="str">
        <f t="shared" si="150"/>
        <v/>
      </c>
    </row>
    <row r="9658" spans="1:7" s="172" customFormat="1" ht="15" customHeight="1" x14ac:dyDescent="0.25">
      <c r="A9658" s="803" t="s">
        <v>10285</v>
      </c>
      <c r="B9658" s="803" t="s">
        <v>9817</v>
      </c>
      <c r="C9658" s="803" t="s">
        <v>9817</v>
      </c>
      <c r="D9658" s="803" t="s">
        <v>10286</v>
      </c>
      <c r="E9658" s="803">
        <v>100</v>
      </c>
      <c r="F9658" s="803">
        <v>5</v>
      </c>
      <c r="G9658" s="202" t="str">
        <f t="shared" si="150"/>
        <v/>
      </c>
    </row>
    <row r="9659" spans="1:7" s="172" customFormat="1" ht="15" customHeight="1" x14ac:dyDescent="0.25">
      <c r="A9659" s="803" t="s">
        <v>10287</v>
      </c>
      <c r="B9659" s="803" t="s">
        <v>9817</v>
      </c>
      <c r="C9659" s="803" t="s">
        <v>9817</v>
      </c>
      <c r="D9659" s="803" t="s">
        <v>10288</v>
      </c>
      <c r="E9659" s="803">
        <v>100</v>
      </c>
      <c r="F9659" s="803">
        <v>30</v>
      </c>
      <c r="G9659" s="202" t="str">
        <f t="shared" si="150"/>
        <v/>
      </c>
    </row>
    <row r="9660" spans="1:7" s="172" customFormat="1" ht="15" customHeight="1" x14ac:dyDescent="0.25">
      <c r="A9660" s="803" t="s">
        <v>16908</v>
      </c>
      <c r="B9660" s="803" t="s">
        <v>9817</v>
      </c>
      <c r="C9660" s="803" t="s">
        <v>9817</v>
      </c>
      <c r="D9660" s="803" t="s">
        <v>10289</v>
      </c>
      <c r="E9660" s="803">
        <v>20</v>
      </c>
      <c r="F9660" s="803">
        <v>5</v>
      </c>
      <c r="G9660" s="202" t="str">
        <f t="shared" si="150"/>
        <v/>
      </c>
    </row>
    <row r="9661" spans="1:7" s="172" customFormat="1" ht="15" customHeight="1" x14ac:dyDescent="0.25">
      <c r="A9661" s="803" t="s">
        <v>10290</v>
      </c>
      <c r="B9661" s="803" t="s">
        <v>9817</v>
      </c>
      <c r="C9661" s="803" t="s">
        <v>9817</v>
      </c>
      <c r="D9661" s="803" t="s">
        <v>10291</v>
      </c>
      <c r="E9661" s="803">
        <v>30</v>
      </c>
      <c r="F9661" s="803">
        <v>10</v>
      </c>
      <c r="G9661" s="202" t="str">
        <f t="shared" si="150"/>
        <v/>
      </c>
    </row>
    <row r="9662" spans="1:7" s="172" customFormat="1" ht="15" customHeight="1" x14ac:dyDescent="0.25">
      <c r="A9662" s="803" t="s">
        <v>16909</v>
      </c>
      <c r="B9662" s="803" t="s">
        <v>9817</v>
      </c>
      <c r="C9662" s="803" t="s">
        <v>9817</v>
      </c>
      <c r="D9662" s="803" t="s">
        <v>10292</v>
      </c>
      <c r="E9662" s="803">
        <v>63</v>
      </c>
      <c r="F9662" s="803">
        <v>15</v>
      </c>
      <c r="G9662" s="202" t="str">
        <f t="shared" si="150"/>
        <v/>
      </c>
    </row>
    <row r="9663" spans="1:7" s="172" customFormat="1" ht="15" customHeight="1" x14ac:dyDescent="0.25">
      <c r="A9663" s="803" t="s">
        <v>16910</v>
      </c>
      <c r="B9663" s="803" t="s">
        <v>9817</v>
      </c>
      <c r="C9663" s="803" t="s">
        <v>9817</v>
      </c>
      <c r="D9663" s="803" t="s">
        <v>10293</v>
      </c>
      <c r="E9663" s="803">
        <v>100</v>
      </c>
      <c r="F9663" s="803">
        <v>10</v>
      </c>
      <c r="G9663" s="202" t="str">
        <f t="shared" si="150"/>
        <v/>
      </c>
    </row>
    <row r="9664" spans="1:7" s="172" customFormat="1" ht="15" customHeight="1" x14ac:dyDescent="0.25">
      <c r="A9664" s="803" t="s">
        <v>16911</v>
      </c>
      <c r="B9664" s="803" t="s">
        <v>9817</v>
      </c>
      <c r="C9664" s="803" t="s">
        <v>9817</v>
      </c>
      <c r="D9664" s="803" t="s">
        <v>10294</v>
      </c>
      <c r="E9664" s="803">
        <v>30</v>
      </c>
      <c r="F9664" s="803">
        <v>3</v>
      </c>
      <c r="G9664" s="202" t="str">
        <f t="shared" si="150"/>
        <v/>
      </c>
    </row>
    <row r="9665" spans="1:7" s="172" customFormat="1" ht="15" customHeight="1" x14ac:dyDescent="0.25">
      <c r="A9665" s="803" t="s">
        <v>16912</v>
      </c>
      <c r="B9665" s="803" t="s">
        <v>9817</v>
      </c>
      <c r="C9665" s="803" t="s">
        <v>9817</v>
      </c>
      <c r="D9665" s="803" t="s">
        <v>10295</v>
      </c>
      <c r="E9665" s="803">
        <v>20</v>
      </c>
      <c r="F9665" s="803">
        <v>10</v>
      </c>
      <c r="G9665" s="202" t="str">
        <f t="shared" si="150"/>
        <v/>
      </c>
    </row>
    <row r="9666" spans="1:7" s="172" customFormat="1" ht="15" customHeight="1" x14ac:dyDescent="0.25">
      <c r="A9666" s="803" t="s">
        <v>16913</v>
      </c>
      <c r="B9666" s="803" t="s">
        <v>9817</v>
      </c>
      <c r="C9666" s="803" t="s">
        <v>9817</v>
      </c>
      <c r="D9666" s="803" t="s">
        <v>10296</v>
      </c>
      <c r="E9666" s="803">
        <v>100</v>
      </c>
      <c r="F9666" s="803">
        <v>6</v>
      </c>
      <c r="G9666" s="202" t="str">
        <f t="shared" si="150"/>
        <v/>
      </c>
    </row>
    <row r="9667" spans="1:7" s="172" customFormat="1" ht="15" customHeight="1" x14ac:dyDescent="0.25">
      <c r="A9667" s="803" t="s">
        <v>10297</v>
      </c>
      <c r="B9667" s="803" t="s">
        <v>9817</v>
      </c>
      <c r="C9667" s="803" t="s">
        <v>9817</v>
      </c>
      <c r="D9667" s="803" t="s">
        <v>10298</v>
      </c>
      <c r="E9667" s="803">
        <v>60</v>
      </c>
      <c r="F9667" s="803">
        <v>25</v>
      </c>
      <c r="G9667" s="202" t="str">
        <f t="shared" si="150"/>
        <v/>
      </c>
    </row>
    <row r="9668" spans="1:7" s="172" customFormat="1" ht="15" customHeight="1" x14ac:dyDescent="0.25">
      <c r="A9668" s="803" t="s">
        <v>8547</v>
      </c>
      <c r="B9668" s="803" t="s">
        <v>9817</v>
      </c>
      <c r="C9668" s="803" t="s">
        <v>9817</v>
      </c>
      <c r="D9668" s="803" t="s">
        <v>10299</v>
      </c>
      <c r="E9668" s="803">
        <v>30</v>
      </c>
      <c r="F9668" s="803">
        <v>15</v>
      </c>
      <c r="G9668" s="202" t="str">
        <f t="shared" si="150"/>
        <v/>
      </c>
    </row>
    <row r="9669" spans="1:7" s="172" customFormat="1" ht="15" customHeight="1" x14ac:dyDescent="0.25">
      <c r="A9669" s="803" t="s">
        <v>10300</v>
      </c>
      <c r="B9669" s="803" t="s">
        <v>9817</v>
      </c>
      <c r="C9669" s="803" t="s">
        <v>9817</v>
      </c>
      <c r="D9669" s="803" t="s">
        <v>10301</v>
      </c>
      <c r="E9669" s="803">
        <v>60</v>
      </c>
      <c r="F9669" s="803">
        <v>40</v>
      </c>
      <c r="G9669" s="202" t="str">
        <f t="shared" si="150"/>
        <v/>
      </c>
    </row>
    <row r="9670" spans="1:7" s="172" customFormat="1" ht="15" customHeight="1" x14ac:dyDescent="0.25">
      <c r="A9670" s="803" t="s">
        <v>16914</v>
      </c>
      <c r="B9670" s="803" t="s">
        <v>9817</v>
      </c>
      <c r="C9670" s="803" t="s">
        <v>9817</v>
      </c>
      <c r="D9670" s="803" t="s">
        <v>10302</v>
      </c>
      <c r="E9670" s="803">
        <v>30</v>
      </c>
      <c r="F9670" s="803">
        <v>10</v>
      </c>
      <c r="G9670" s="202" t="str">
        <f t="shared" si="150"/>
        <v/>
      </c>
    </row>
    <row r="9671" spans="1:7" s="172" customFormat="1" ht="15" customHeight="1" x14ac:dyDescent="0.25">
      <c r="A9671" s="803" t="s">
        <v>16915</v>
      </c>
      <c r="B9671" s="803" t="s">
        <v>9817</v>
      </c>
      <c r="C9671" s="803" t="s">
        <v>9817</v>
      </c>
      <c r="D9671" s="803" t="s">
        <v>10303</v>
      </c>
      <c r="E9671" s="803">
        <v>250</v>
      </c>
      <c r="F9671" s="803">
        <v>200</v>
      </c>
      <c r="G9671" s="202" t="str">
        <f t="shared" si="150"/>
        <v/>
      </c>
    </row>
    <row r="9672" spans="1:7" s="172" customFormat="1" ht="15" customHeight="1" x14ac:dyDescent="0.25">
      <c r="A9672" s="803" t="s">
        <v>16916</v>
      </c>
      <c r="B9672" s="803" t="s">
        <v>9817</v>
      </c>
      <c r="C9672" s="803" t="s">
        <v>9817</v>
      </c>
      <c r="D9672" s="803" t="s">
        <v>19177</v>
      </c>
      <c r="E9672" s="803">
        <v>50</v>
      </c>
      <c r="F9672" s="803">
        <v>30</v>
      </c>
      <c r="G9672" s="202" t="str">
        <f t="shared" si="150"/>
        <v/>
      </c>
    </row>
    <row r="9673" spans="1:7" s="172" customFormat="1" ht="15" customHeight="1" x14ac:dyDescent="0.25">
      <c r="A9673" s="803" t="s">
        <v>16917</v>
      </c>
      <c r="B9673" s="803" t="s">
        <v>9817</v>
      </c>
      <c r="C9673" s="803" t="s">
        <v>9817</v>
      </c>
      <c r="D9673" s="803" t="s">
        <v>10304</v>
      </c>
      <c r="E9673" s="803">
        <v>100</v>
      </c>
      <c r="F9673" s="803">
        <v>60</v>
      </c>
      <c r="G9673" s="202" t="str">
        <f t="shared" si="150"/>
        <v/>
      </c>
    </row>
    <row r="9674" spans="1:7" s="172" customFormat="1" ht="15" customHeight="1" x14ac:dyDescent="0.25">
      <c r="A9674" s="803" t="s">
        <v>16918</v>
      </c>
      <c r="B9674" s="803" t="s">
        <v>9817</v>
      </c>
      <c r="C9674" s="803" t="s">
        <v>9817</v>
      </c>
      <c r="D9674" s="803" t="s">
        <v>10305</v>
      </c>
      <c r="E9674" s="803">
        <v>10</v>
      </c>
      <c r="F9674" s="803">
        <v>0</v>
      </c>
      <c r="G9674" s="202" t="str">
        <f t="shared" si="150"/>
        <v/>
      </c>
    </row>
    <row r="9675" spans="1:7" s="172" customFormat="1" ht="15" customHeight="1" x14ac:dyDescent="0.25">
      <c r="A9675" s="803" t="s">
        <v>16919</v>
      </c>
      <c r="B9675" s="803" t="s">
        <v>9817</v>
      </c>
      <c r="C9675" s="803" t="s">
        <v>9817</v>
      </c>
      <c r="D9675" s="803" t="s">
        <v>10306</v>
      </c>
      <c r="E9675" s="803">
        <v>100</v>
      </c>
      <c r="F9675" s="803">
        <v>60</v>
      </c>
      <c r="G9675" s="202" t="str">
        <f t="shared" si="150"/>
        <v/>
      </c>
    </row>
    <row r="9676" spans="1:7" s="172" customFormat="1" ht="15" customHeight="1" x14ac:dyDescent="0.25">
      <c r="A9676" s="803" t="s">
        <v>8583</v>
      </c>
      <c r="B9676" s="803" t="s">
        <v>9817</v>
      </c>
      <c r="C9676" s="803" t="s">
        <v>9817</v>
      </c>
      <c r="D9676" s="803" t="s">
        <v>10307</v>
      </c>
      <c r="E9676" s="803">
        <v>63</v>
      </c>
      <c r="F9676" s="803">
        <v>35</v>
      </c>
      <c r="G9676" s="202" t="str">
        <f t="shared" si="150"/>
        <v/>
      </c>
    </row>
    <row r="9677" spans="1:7" s="172" customFormat="1" ht="15" customHeight="1" x14ac:dyDescent="0.25">
      <c r="A9677" s="803" t="s">
        <v>16915</v>
      </c>
      <c r="B9677" s="803" t="s">
        <v>9817</v>
      </c>
      <c r="C9677" s="803" t="s">
        <v>9817</v>
      </c>
      <c r="D9677" s="803" t="s">
        <v>10308</v>
      </c>
      <c r="E9677" s="803">
        <v>63</v>
      </c>
      <c r="F9677" s="803">
        <v>15</v>
      </c>
      <c r="G9677" s="202" t="str">
        <f t="shared" si="150"/>
        <v/>
      </c>
    </row>
    <row r="9678" spans="1:7" s="172" customFormat="1" ht="15" customHeight="1" x14ac:dyDescent="0.25">
      <c r="A9678" s="803" t="s">
        <v>16920</v>
      </c>
      <c r="B9678" s="803" t="s">
        <v>9817</v>
      </c>
      <c r="C9678" s="803" t="s">
        <v>9817</v>
      </c>
      <c r="D9678" s="803" t="s">
        <v>10309</v>
      </c>
      <c r="E9678" s="803">
        <v>400</v>
      </c>
      <c r="F9678" s="803">
        <v>300</v>
      </c>
      <c r="G9678" s="202" t="str">
        <f t="shared" si="150"/>
        <v/>
      </c>
    </row>
    <row r="9679" spans="1:7" s="172" customFormat="1" ht="15" customHeight="1" x14ac:dyDescent="0.25">
      <c r="A9679" s="803" t="s">
        <v>16920</v>
      </c>
      <c r="B9679" s="803" t="s">
        <v>9817</v>
      </c>
      <c r="C9679" s="803" t="s">
        <v>9817</v>
      </c>
      <c r="D9679" s="803" t="s">
        <v>10310</v>
      </c>
      <c r="E9679" s="803">
        <v>250</v>
      </c>
      <c r="F9679" s="803">
        <v>180</v>
      </c>
      <c r="G9679" s="202" t="str">
        <f t="shared" si="150"/>
        <v/>
      </c>
    </row>
    <row r="9680" spans="1:7" s="172" customFormat="1" ht="15" customHeight="1" x14ac:dyDescent="0.25">
      <c r="A9680" s="803" t="s">
        <v>10279</v>
      </c>
      <c r="B9680" s="803" t="s">
        <v>9817</v>
      </c>
      <c r="C9680" s="803" t="s">
        <v>9817</v>
      </c>
      <c r="D9680" s="803" t="s">
        <v>10311</v>
      </c>
      <c r="E9680" s="803" t="s">
        <v>18197</v>
      </c>
      <c r="F9680" s="803">
        <v>151</v>
      </c>
      <c r="G9680" s="202" t="str">
        <f t="shared" si="150"/>
        <v/>
      </c>
    </row>
    <row r="9681" spans="1:7" s="172" customFormat="1" ht="15" customHeight="1" x14ac:dyDescent="0.25">
      <c r="A9681" s="803" t="s">
        <v>15925</v>
      </c>
      <c r="B9681" s="803" t="s">
        <v>9817</v>
      </c>
      <c r="C9681" s="803" t="s">
        <v>9817</v>
      </c>
      <c r="D9681" s="803" t="s">
        <v>10312</v>
      </c>
      <c r="E9681" s="803">
        <v>40</v>
      </c>
      <c r="F9681" s="803">
        <v>21</v>
      </c>
      <c r="G9681" s="202" t="str">
        <f t="shared" si="150"/>
        <v/>
      </c>
    </row>
    <row r="9682" spans="1:7" s="172" customFormat="1" ht="15" customHeight="1" x14ac:dyDescent="0.25">
      <c r="A9682" s="803" t="s">
        <v>16921</v>
      </c>
      <c r="B9682" s="803" t="s">
        <v>9817</v>
      </c>
      <c r="C9682" s="803" t="s">
        <v>9817</v>
      </c>
      <c r="D9682" s="803" t="s">
        <v>10313</v>
      </c>
      <c r="E9682" s="803">
        <v>50</v>
      </c>
      <c r="F9682" s="803">
        <v>25</v>
      </c>
      <c r="G9682" s="202" t="str">
        <f t="shared" si="150"/>
        <v/>
      </c>
    </row>
    <row r="9683" spans="1:7" s="172" customFormat="1" ht="15" customHeight="1" x14ac:dyDescent="0.25">
      <c r="A9683" s="803" t="s">
        <v>5736</v>
      </c>
      <c r="B9683" s="803" t="s">
        <v>9817</v>
      </c>
      <c r="C9683" s="803" t="s">
        <v>9817</v>
      </c>
      <c r="D9683" s="803" t="s">
        <v>10314</v>
      </c>
      <c r="E9683" s="803">
        <v>40</v>
      </c>
      <c r="F9683" s="803">
        <v>11</v>
      </c>
      <c r="G9683" s="202" t="str">
        <f t="shared" si="150"/>
        <v/>
      </c>
    </row>
    <row r="9684" spans="1:7" s="172" customFormat="1" ht="15" customHeight="1" x14ac:dyDescent="0.25">
      <c r="A9684" s="803" t="s">
        <v>16922</v>
      </c>
      <c r="B9684" s="803" t="s">
        <v>9817</v>
      </c>
      <c r="C9684" s="803" t="s">
        <v>9817</v>
      </c>
      <c r="D9684" s="803" t="s">
        <v>10315</v>
      </c>
      <c r="E9684" s="803">
        <v>60</v>
      </c>
      <c r="F9684" s="803">
        <v>10</v>
      </c>
      <c r="G9684" s="202" t="str">
        <f t="shared" si="150"/>
        <v/>
      </c>
    </row>
    <row r="9685" spans="1:7" s="172" customFormat="1" ht="15" customHeight="1" x14ac:dyDescent="0.25">
      <c r="A9685" s="803" t="s">
        <v>16923</v>
      </c>
      <c r="B9685" s="803" t="s">
        <v>9817</v>
      </c>
      <c r="C9685" s="803" t="s">
        <v>9817</v>
      </c>
      <c r="D9685" s="803" t="s">
        <v>10316</v>
      </c>
      <c r="E9685" s="803">
        <v>250</v>
      </c>
      <c r="F9685" s="803">
        <v>211</v>
      </c>
      <c r="G9685" s="202" t="str">
        <f t="shared" si="150"/>
        <v/>
      </c>
    </row>
    <row r="9686" spans="1:7" s="172" customFormat="1" ht="15" customHeight="1" x14ac:dyDescent="0.25">
      <c r="A9686" s="803" t="s">
        <v>16097</v>
      </c>
      <c r="B9686" s="803" t="s">
        <v>9817</v>
      </c>
      <c r="C9686" s="803" t="s">
        <v>9817</v>
      </c>
      <c r="D9686" s="803" t="s">
        <v>10317</v>
      </c>
      <c r="E9686" s="803">
        <v>50</v>
      </c>
      <c r="F9686" s="803">
        <v>15</v>
      </c>
      <c r="G9686" s="202" t="str">
        <f t="shared" si="150"/>
        <v/>
      </c>
    </row>
    <row r="9687" spans="1:7" s="172" customFormat="1" ht="15" customHeight="1" x14ac:dyDescent="0.25">
      <c r="A9687" s="803" t="s">
        <v>10318</v>
      </c>
      <c r="B9687" s="803" t="s">
        <v>9817</v>
      </c>
      <c r="C9687" s="803" t="s">
        <v>9817</v>
      </c>
      <c r="D9687" s="803" t="s">
        <v>10319</v>
      </c>
      <c r="E9687" s="803">
        <v>30</v>
      </c>
      <c r="F9687" s="803">
        <v>20</v>
      </c>
      <c r="G9687" s="202" t="str">
        <f t="shared" si="150"/>
        <v/>
      </c>
    </row>
    <row r="9688" spans="1:7" s="172" customFormat="1" ht="15" customHeight="1" x14ac:dyDescent="0.25">
      <c r="A9688" s="803" t="s">
        <v>16924</v>
      </c>
      <c r="B9688" s="803" t="s">
        <v>9817</v>
      </c>
      <c r="C9688" s="803" t="s">
        <v>9817</v>
      </c>
      <c r="D9688" s="803" t="s">
        <v>10320</v>
      </c>
      <c r="E9688" s="803">
        <v>63</v>
      </c>
      <c r="F9688" s="803">
        <v>31</v>
      </c>
      <c r="G9688" s="202" t="str">
        <f t="shared" si="150"/>
        <v/>
      </c>
    </row>
    <row r="9689" spans="1:7" s="172" customFormat="1" ht="15" customHeight="1" x14ac:dyDescent="0.25">
      <c r="A9689" s="803" t="s">
        <v>16925</v>
      </c>
      <c r="B9689" s="803" t="s">
        <v>9817</v>
      </c>
      <c r="C9689" s="803" t="s">
        <v>9817</v>
      </c>
      <c r="D9689" s="803" t="s">
        <v>10321</v>
      </c>
      <c r="E9689" s="803">
        <v>50</v>
      </c>
      <c r="F9689" s="803">
        <v>12</v>
      </c>
      <c r="G9689" s="202" t="str">
        <f t="shared" si="150"/>
        <v/>
      </c>
    </row>
    <row r="9690" spans="1:7" s="172" customFormat="1" ht="15" customHeight="1" x14ac:dyDescent="0.25">
      <c r="A9690" s="803" t="s">
        <v>16926</v>
      </c>
      <c r="B9690" s="803" t="s">
        <v>9817</v>
      </c>
      <c r="C9690" s="803" t="s">
        <v>9817</v>
      </c>
      <c r="D9690" s="803" t="s">
        <v>10322</v>
      </c>
      <c r="E9690" s="803">
        <v>30</v>
      </c>
      <c r="F9690" s="803">
        <v>18</v>
      </c>
      <c r="G9690" s="202" t="str">
        <f t="shared" si="150"/>
        <v/>
      </c>
    </row>
    <row r="9691" spans="1:7" s="172" customFormat="1" ht="15" customHeight="1" x14ac:dyDescent="0.25">
      <c r="A9691" s="803" t="s">
        <v>16927</v>
      </c>
      <c r="B9691" s="803" t="s">
        <v>9817</v>
      </c>
      <c r="C9691" s="803" t="s">
        <v>9817</v>
      </c>
      <c r="D9691" s="803" t="s">
        <v>10323</v>
      </c>
      <c r="E9691" s="803">
        <v>63</v>
      </c>
      <c r="F9691" s="803">
        <v>38</v>
      </c>
      <c r="G9691" s="202" t="str">
        <f t="shared" si="150"/>
        <v/>
      </c>
    </row>
    <row r="9692" spans="1:7" s="172" customFormat="1" ht="15" customHeight="1" x14ac:dyDescent="0.25">
      <c r="A9692" s="803" t="s">
        <v>10324</v>
      </c>
      <c r="B9692" s="803" t="s">
        <v>9817</v>
      </c>
      <c r="C9692" s="803" t="s">
        <v>9817</v>
      </c>
      <c r="D9692" s="803" t="s">
        <v>10325</v>
      </c>
      <c r="E9692" s="803">
        <v>30</v>
      </c>
      <c r="F9692" s="803">
        <v>25</v>
      </c>
      <c r="G9692" s="202" t="str">
        <f t="shared" ref="G9692:G9755" si="151">IF(E9692=F9692,"не загружен","")</f>
        <v/>
      </c>
    </row>
    <row r="9693" spans="1:7" s="172" customFormat="1" ht="15" customHeight="1" x14ac:dyDescent="0.25">
      <c r="A9693" s="803" t="s">
        <v>16928</v>
      </c>
      <c r="B9693" s="803" t="s">
        <v>9817</v>
      </c>
      <c r="C9693" s="803" t="s">
        <v>9817</v>
      </c>
      <c r="D9693" s="803" t="s">
        <v>10326</v>
      </c>
      <c r="E9693" s="803">
        <v>40</v>
      </c>
      <c r="F9693" s="803">
        <v>24</v>
      </c>
      <c r="G9693" s="202" t="str">
        <f t="shared" si="151"/>
        <v/>
      </c>
    </row>
    <row r="9694" spans="1:7" s="172" customFormat="1" ht="15" customHeight="1" x14ac:dyDescent="0.25">
      <c r="A9694" s="803" t="s">
        <v>4903</v>
      </c>
      <c r="B9694" s="803" t="s">
        <v>9817</v>
      </c>
      <c r="C9694" s="803" t="s">
        <v>9817</v>
      </c>
      <c r="D9694" s="803" t="s">
        <v>10327</v>
      </c>
      <c r="E9694" s="803">
        <v>100</v>
      </c>
      <c r="F9694" s="803">
        <v>23</v>
      </c>
      <c r="G9694" s="202" t="str">
        <f t="shared" si="151"/>
        <v/>
      </c>
    </row>
    <row r="9695" spans="1:7" s="172" customFormat="1" ht="15" customHeight="1" x14ac:dyDescent="0.25">
      <c r="A9695" s="803" t="s">
        <v>15487</v>
      </c>
      <c r="B9695" s="803" t="s">
        <v>9817</v>
      </c>
      <c r="C9695" s="803" t="s">
        <v>9817</v>
      </c>
      <c r="D9695" s="803" t="s">
        <v>10328</v>
      </c>
      <c r="E9695" s="803">
        <v>100</v>
      </c>
      <c r="F9695" s="803">
        <v>50</v>
      </c>
      <c r="G9695" s="202" t="str">
        <f t="shared" si="151"/>
        <v/>
      </c>
    </row>
    <row r="9696" spans="1:7" s="172" customFormat="1" ht="15" customHeight="1" x14ac:dyDescent="0.25">
      <c r="A9696" s="803" t="s">
        <v>15487</v>
      </c>
      <c r="B9696" s="803" t="s">
        <v>9817</v>
      </c>
      <c r="C9696" s="803" t="s">
        <v>9817</v>
      </c>
      <c r="D9696" s="803" t="s">
        <v>10329</v>
      </c>
      <c r="E9696" s="803">
        <v>63</v>
      </c>
      <c r="F9696" s="803">
        <v>45</v>
      </c>
      <c r="G9696" s="202" t="str">
        <f t="shared" si="151"/>
        <v/>
      </c>
    </row>
    <row r="9697" spans="1:7" s="172" customFormat="1" ht="15" customHeight="1" x14ac:dyDescent="0.25">
      <c r="A9697" s="803" t="s">
        <v>16929</v>
      </c>
      <c r="B9697" s="803" t="s">
        <v>9817</v>
      </c>
      <c r="C9697" s="803" t="s">
        <v>9817</v>
      </c>
      <c r="D9697" s="803" t="s">
        <v>10330</v>
      </c>
      <c r="E9697" s="803">
        <v>60</v>
      </c>
      <c r="F9697" s="803">
        <v>10</v>
      </c>
      <c r="G9697" s="202" t="str">
        <f t="shared" si="151"/>
        <v/>
      </c>
    </row>
    <row r="9698" spans="1:7" s="172" customFormat="1" ht="15" customHeight="1" x14ac:dyDescent="0.25">
      <c r="A9698" s="803" t="s">
        <v>16930</v>
      </c>
      <c r="B9698" s="803" t="s">
        <v>9817</v>
      </c>
      <c r="C9698" s="803" t="s">
        <v>9817</v>
      </c>
      <c r="D9698" s="803" t="s">
        <v>10331</v>
      </c>
      <c r="E9698" s="803">
        <v>160</v>
      </c>
      <c r="F9698" s="803">
        <v>45</v>
      </c>
      <c r="G9698" s="202" t="str">
        <f t="shared" si="151"/>
        <v/>
      </c>
    </row>
    <row r="9699" spans="1:7" s="172" customFormat="1" ht="15" customHeight="1" x14ac:dyDescent="0.25">
      <c r="A9699" s="803" t="s">
        <v>6916</v>
      </c>
      <c r="B9699" s="803" t="s">
        <v>9817</v>
      </c>
      <c r="C9699" s="803" t="s">
        <v>9817</v>
      </c>
      <c r="D9699" s="803" t="s">
        <v>10332</v>
      </c>
      <c r="E9699" s="803">
        <v>400</v>
      </c>
      <c r="F9699" s="803">
        <v>380</v>
      </c>
      <c r="G9699" s="202" t="str">
        <f t="shared" si="151"/>
        <v/>
      </c>
    </row>
    <row r="9700" spans="1:7" s="172" customFormat="1" ht="15" customHeight="1" x14ac:dyDescent="0.25">
      <c r="A9700" s="803" t="s">
        <v>3139</v>
      </c>
      <c r="B9700" s="803" t="s">
        <v>9817</v>
      </c>
      <c r="C9700" s="803" t="s">
        <v>9817</v>
      </c>
      <c r="D9700" s="803" t="s">
        <v>10333</v>
      </c>
      <c r="E9700" s="803">
        <v>30</v>
      </c>
      <c r="F9700" s="803">
        <v>5</v>
      </c>
      <c r="G9700" s="202" t="str">
        <f t="shared" si="151"/>
        <v/>
      </c>
    </row>
    <row r="9701" spans="1:7" s="172" customFormat="1" ht="15" customHeight="1" x14ac:dyDescent="0.25">
      <c r="A9701" s="803" t="s">
        <v>4843</v>
      </c>
      <c r="B9701" s="803" t="s">
        <v>9817</v>
      </c>
      <c r="C9701" s="803" t="s">
        <v>9817</v>
      </c>
      <c r="D9701" s="803" t="s">
        <v>10334</v>
      </c>
      <c r="E9701" s="803">
        <v>60</v>
      </c>
      <c r="F9701" s="803">
        <v>48</v>
      </c>
      <c r="G9701" s="202" t="str">
        <f t="shared" si="151"/>
        <v/>
      </c>
    </row>
    <row r="9702" spans="1:7" s="172" customFormat="1" ht="15" customHeight="1" x14ac:dyDescent="0.25">
      <c r="A9702" s="803" t="s">
        <v>10335</v>
      </c>
      <c r="B9702" s="803" t="s">
        <v>9817</v>
      </c>
      <c r="C9702" s="803" t="s">
        <v>9817</v>
      </c>
      <c r="D9702" s="803" t="s">
        <v>10336</v>
      </c>
      <c r="E9702" s="803">
        <v>50</v>
      </c>
      <c r="F9702" s="803">
        <v>15</v>
      </c>
      <c r="G9702" s="202" t="str">
        <f t="shared" si="151"/>
        <v/>
      </c>
    </row>
    <row r="9703" spans="1:7" s="172" customFormat="1" ht="15" customHeight="1" x14ac:dyDescent="0.25">
      <c r="A9703" s="803" t="s">
        <v>10337</v>
      </c>
      <c r="B9703" s="803" t="s">
        <v>9817</v>
      </c>
      <c r="C9703" s="803" t="s">
        <v>9817</v>
      </c>
      <c r="D9703" s="803" t="s">
        <v>10338</v>
      </c>
      <c r="E9703" s="803">
        <v>50</v>
      </c>
      <c r="F9703" s="803">
        <v>22</v>
      </c>
      <c r="G9703" s="202" t="str">
        <f t="shared" si="151"/>
        <v/>
      </c>
    </row>
    <row r="9704" spans="1:7" s="172" customFormat="1" ht="15" customHeight="1" x14ac:dyDescent="0.25">
      <c r="A9704" s="803" t="s">
        <v>10339</v>
      </c>
      <c r="B9704" s="803" t="s">
        <v>9817</v>
      </c>
      <c r="C9704" s="803" t="s">
        <v>9817</v>
      </c>
      <c r="D9704" s="803" t="s">
        <v>10340</v>
      </c>
      <c r="E9704" s="803">
        <v>60</v>
      </c>
      <c r="F9704" s="803">
        <v>38</v>
      </c>
      <c r="G9704" s="202" t="str">
        <f t="shared" si="151"/>
        <v/>
      </c>
    </row>
    <row r="9705" spans="1:7" s="172" customFormat="1" ht="15" customHeight="1" x14ac:dyDescent="0.25">
      <c r="A9705" s="803" t="s">
        <v>7342</v>
      </c>
      <c r="B9705" s="803" t="s">
        <v>9817</v>
      </c>
      <c r="C9705" s="803" t="s">
        <v>9817</v>
      </c>
      <c r="D9705" s="803" t="s">
        <v>10341</v>
      </c>
      <c r="E9705" s="803">
        <v>60</v>
      </c>
      <c r="F9705" s="803">
        <v>35</v>
      </c>
      <c r="G9705" s="202" t="str">
        <f t="shared" si="151"/>
        <v/>
      </c>
    </row>
    <row r="9706" spans="1:7" s="172" customFormat="1" ht="15" customHeight="1" x14ac:dyDescent="0.25">
      <c r="A9706" s="803" t="s">
        <v>10342</v>
      </c>
      <c r="B9706" s="803" t="s">
        <v>9817</v>
      </c>
      <c r="C9706" s="803" t="s">
        <v>9817</v>
      </c>
      <c r="D9706" s="803" t="s">
        <v>10343</v>
      </c>
      <c r="E9706" s="803">
        <v>63</v>
      </c>
      <c r="F9706" s="803">
        <v>15</v>
      </c>
      <c r="G9706" s="202" t="str">
        <f t="shared" si="151"/>
        <v/>
      </c>
    </row>
    <row r="9707" spans="1:7" s="172" customFormat="1" ht="15" customHeight="1" x14ac:dyDescent="0.25">
      <c r="A9707" s="803" t="s">
        <v>10342</v>
      </c>
      <c r="B9707" s="803" t="s">
        <v>9817</v>
      </c>
      <c r="C9707" s="803" t="s">
        <v>9817</v>
      </c>
      <c r="D9707" s="803" t="s">
        <v>10344</v>
      </c>
      <c r="E9707" s="803">
        <v>250</v>
      </c>
      <c r="F9707" s="803">
        <v>122</v>
      </c>
      <c r="G9707" s="202" t="str">
        <f t="shared" si="151"/>
        <v/>
      </c>
    </row>
    <row r="9708" spans="1:7" s="172" customFormat="1" ht="15" customHeight="1" x14ac:dyDescent="0.25">
      <c r="A9708" s="803" t="s">
        <v>10342</v>
      </c>
      <c r="B9708" s="803" t="s">
        <v>9817</v>
      </c>
      <c r="C9708" s="803" t="s">
        <v>9817</v>
      </c>
      <c r="D9708" s="803" t="s">
        <v>10345</v>
      </c>
      <c r="E9708" s="803">
        <v>250</v>
      </c>
      <c r="F9708" s="803">
        <v>171</v>
      </c>
      <c r="G9708" s="202" t="str">
        <f t="shared" si="151"/>
        <v/>
      </c>
    </row>
    <row r="9709" spans="1:7" s="172" customFormat="1" ht="15" customHeight="1" x14ac:dyDescent="0.25">
      <c r="A9709" s="803" t="s">
        <v>3545</v>
      </c>
      <c r="B9709" s="803" t="s">
        <v>9817</v>
      </c>
      <c r="C9709" s="803" t="s">
        <v>9817</v>
      </c>
      <c r="D9709" s="803" t="s">
        <v>10346</v>
      </c>
      <c r="E9709" s="803">
        <v>30</v>
      </c>
      <c r="F9709" s="803">
        <v>19</v>
      </c>
      <c r="G9709" s="202" t="str">
        <f t="shared" si="151"/>
        <v/>
      </c>
    </row>
    <row r="9710" spans="1:7" s="172" customFormat="1" ht="15" customHeight="1" x14ac:dyDescent="0.25">
      <c r="A9710" s="803" t="s">
        <v>16931</v>
      </c>
      <c r="B9710" s="803" t="s">
        <v>9817</v>
      </c>
      <c r="C9710" s="803" t="s">
        <v>9817</v>
      </c>
      <c r="D9710" s="803" t="s">
        <v>10347</v>
      </c>
      <c r="E9710" s="803">
        <v>100</v>
      </c>
      <c r="F9710" s="803">
        <v>54</v>
      </c>
      <c r="G9710" s="202" t="str">
        <f t="shared" si="151"/>
        <v/>
      </c>
    </row>
    <row r="9711" spans="1:7" s="172" customFormat="1" ht="15" customHeight="1" x14ac:dyDescent="0.25">
      <c r="A9711" s="803" t="s">
        <v>2623</v>
      </c>
      <c r="B9711" s="803" t="s">
        <v>9817</v>
      </c>
      <c r="C9711" s="803" t="s">
        <v>9817</v>
      </c>
      <c r="D9711" s="803" t="s">
        <v>10348</v>
      </c>
      <c r="E9711" s="803">
        <v>63</v>
      </c>
      <c r="F9711" s="803">
        <v>28</v>
      </c>
      <c r="G9711" s="202" t="str">
        <f t="shared" si="151"/>
        <v/>
      </c>
    </row>
    <row r="9712" spans="1:7" s="172" customFormat="1" ht="15" customHeight="1" x14ac:dyDescent="0.25">
      <c r="A9712" s="803" t="s">
        <v>10349</v>
      </c>
      <c r="B9712" s="803" t="s">
        <v>9817</v>
      </c>
      <c r="C9712" s="803" t="s">
        <v>9817</v>
      </c>
      <c r="D9712" s="803" t="s">
        <v>10350</v>
      </c>
      <c r="E9712" s="803">
        <v>60</v>
      </c>
      <c r="F9712" s="803">
        <v>22</v>
      </c>
      <c r="G9712" s="202" t="str">
        <f t="shared" si="151"/>
        <v/>
      </c>
    </row>
    <row r="9713" spans="1:7" s="172" customFormat="1" ht="15" customHeight="1" x14ac:dyDescent="0.25">
      <c r="A9713" s="803" t="s">
        <v>10351</v>
      </c>
      <c r="B9713" s="803" t="s">
        <v>9817</v>
      </c>
      <c r="C9713" s="803" t="s">
        <v>9817</v>
      </c>
      <c r="D9713" s="803" t="s">
        <v>10352</v>
      </c>
      <c r="E9713" s="803">
        <v>160</v>
      </c>
      <c r="F9713" s="803">
        <v>68</v>
      </c>
      <c r="G9713" s="202" t="str">
        <f t="shared" si="151"/>
        <v/>
      </c>
    </row>
    <row r="9714" spans="1:7" s="172" customFormat="1" ht="15" customHeight="1" x14ac:dyDescent="0.25">
      <c r="A9714" s="803" t="s">
        <v>10353</v>
      </c>
      <c r="B9714" s="803" t="s">
        <v>9817</v>
      </c>
      <c r="C9714" s="803" t="s">
        <v>9817</v>
      </c>
      <c r="D9714" s="803" t="s">
        <v>10354</v>
      </c>
      <c r="E9714" s="803">
        <v>50</v>
      </c>
      <c r="F9714" s="803">
        <v>48</v>
      </c>
      <c r="G9714" s="202" t="str">
        <f t="shared" si="151"/>
        <v/>
      </c>
    </row>
    <row r="9715" spans="1:7" s="172" customFormat="1" ht="15" customHeight="1" x14ac:dyDescent="0.25">
      <c r="A9715" s="803" t="s">
        <v>16932</v>
      </c>
      <c r="B9715" s="803" t="s">
        <v>9817</v>
      </c>
      <c r="C9715" s="803" t="s">
        <v>9817</v>
      </c>
      <c r="D9715" s="803" t="s">
        <v>10355</v>
      </c>
      <c r="E9715" s="803">
        <v>30</v>
      </c>
      <c r="F9715" s="803">
        <v>25</v>
      </c>
      <c r="G9715" s="202" t="str">
        <f t="shared" si="151"/>
        <v/>
      </c>
    </row>
    <row r="9716" spans="1:7" s="172" customFormat="1" ht="15" customHeight="1" x14ac:dyDescent="0.25">
      <c r="A9716" s="803" t="s">
        <v>10356</v>
      </c>
      <c r="B9716" s="803" t="s">
        <v>9817</v>
      </c>
      <c r="C9716" s="803" t="s">
        <v>9817</v>
      </c>
      <c r="D9716" s="803" t="s">
        <v>10357</v>
      </c>
      <c r="E9716" s="803">
        <v>50</v>
      </c>
      <c r="F9716" s="803">
        <v>32</v>
      </c>
      <c r="G9716" s="202" t="str">
        <f t="shared" si="151"/>
        <v/>
      </c>
    </row>
    <row r="9717" spans="1:7" s="172" customFormat="1" ht="15" customHeight="1" x14ac:dyDescent="0.25">
      <c r="A9717" s="803" t="s">
        <v>10358</v>
      </c>
      <c r="B9717" s="803" t="s">
        <v>9817</v>
      </c>
      <c r="C9717" s="803" t="s">
        <v>9817</v>
      </c>
      <c r="D9717" s="803" t="s">
        <v>10359</v>
      </c>
      <c r="E9717" s="803">
        <v>60</v>
      </c>
      <c r="F9717" s="803">
        <v>42</v>
      </c>
      <c r="G9717" s="202" t="str">
        <f t="shared" si="151"/>
        <v/>
      </c>
    </row>
    <row r="9718" spans="1:7" s="172" customFormat="1" ht="15" customHeight="1" x14ac:dyDescent="0.25">
      <c r="A9718" s="803" t="s">
        <v>10351</v>
      </c>
      <c r="B9718" s="803" t="s">
        <v>9817</v>
      </c>
      <c r="C9718" s="803" t="s">
        <v>9817</v>
      </c>
      <c r="D9718" s="803" t="s">
        <v>10360</v>
      </c>
      <c r="E9718" s="803">
        <v>400</v>
      </c>
      <c r="F9718" s="803">
        <v>310</v>
      </c>
      <c r="G9718" s="202" t="str">
        <f t="shared" si="151"/>
        <v/>
      </c>
    </row>
    <row r="9719" spans="1:7" s="172" customFormat="1" ht="15" customHeight="1" x14ac:dyDescent="0.25">
      <c r="A9719" s="803" t="s">
        <v>16933</v>
      </c>
      <c r="B9719" s="803" t="s">
        <v>9817</v>
      </c>
      <c r="C9719" s="803" t="s">
        <v>9817</v>
      </c>
      <c r="D9719" s="803" t="s">
        <v>10361</v>
      </c>
      <c r="E9719" s="803">
        <v>63</v>
      </c>
      <c r="F9719" s="803">
        <v>11</v>
      </c>
      <c r="G9719" s="202" t="str">
        <f t="shared" si="151"/>
        <v/>
      </c>
    </row>
    <row r="9720" spans="1:7" s="172" customFormat="1" ht="15" customHeight="1" x14ac:dyDescent="0.25">
      <c r="A9720" s="803" t="s">
        <v>10362</v>
      </c>
      <c r="B9720" s="803" t="s">
        <v>9817</v>
      </c>
      <c r="C9720" s="803" t="s">
        <v>9817</v>
      </c>
      <c r="D9720" s="803" t="s">
        <v>10363</v>
      </c>
      <c r="E9720" s="803">
        <v>60</v>
      </c>
      <c r="F9720" s="803">
        <v>39</v>
      </c>
      <c r="G9720" s="202" t="str">
        <f t="shared" si="151"/>
        <v/>
      </c>
    </row>
    <row r="9721" spans="1:7" s="172" customFormat="1" ht="15" customHeight="1" x14ac:dyDescent="0.25">
      <c r="A9721" s="803" t="s">
        <v>16934</v>
      </c>
      <c r="B9721" s="803" t="s">
        <v>9817</v>
      </c>
      <c r="C9721" s="803" t="s">
        <v>9817</v>
      </c>
      <c r="D9721" s="803" t="s">
        <v>10364</v>
      </c>
      <c r="E9721" s="803">
        <v>100</v>
      </c>
      <c r="F9721" s="803">
        <v>45</v>
      </c>
      <c r="G9721" s="202" t="str">
        <f t="shared" si="151"/>
        <v/>
      </c>
    </row>
    <row r="9722" spans="1:7" s="172" customFormat="1" ht="15" customHeight="1" x14ac:dyDescent="0.25">
      <c r="A9722" s="803" t="s">
        <v>16934</v>
      </c>
      <c r="B9722" s="803" t="s">
        <v>9817</v>
      </c>
      <c r="C9722" s="803" t="s">
        <v>9817</v>
      </c>
      <c r="D9722" s="803" t="s">
        <v>10365</v>
      </c>
      <c r="E9722" s="803">
        <v>100</v>
      </c>
      <c r="F9722" s="803">
        <v>54</v>
      </c>
      <c r="G9722" s="202" t="str">
        <f t="shared" si="151"/>
        <v/>
      </c>
    </row>
    <row r="9723" spans="1:7" s="172" customFormat="1" ht="15" customHeight="1" x14ac:dyDescent="0.25">
      <c r="A9723" s="803" t="s">
        <v>10366</v>
      </c>
      <c r="B9723" s="803" t="s">
        <v>9817</v>
      </c>
      <c r="C9723" s="803" t="s">
        <v>9817</v>
      </c>
      <c r="D9723" s="803" t="s">
        <v>10367</v>
      </c>
      <c r="E9723" s="803">
        <v>60</v>
      </c>
      <c r="F9723" s="803">
        <v>10</v>
      </c>
      <c r="G9723" s="202" t="str">
        <f t="shared" si="151"/>
        <v/>
      </c>
    </row>
    <row r="9724" spans="1:7" s="172" customFormat="1" ht="15" customHeight="1" x14ac:dyDescent="0.25">
      <c r="A9724" s="803" t="s">
        <v>16935</v>
      </c>
      <c r="B9724" s="803" t="s">
        <v>9817</v>
      </c>
      <c r="C9724" s="803" t="s">
        <v>9817</v>
      </c>
      <c r="D9724" s="803" t="s">
        <v>10368</v>
      </c>
      <c r="E9724" s="803">
        <v>60</v>
      </c>
      <c r="F9724" s="803">
        <v>42</v>
      </c>
      <c r="G9724" s="202" t="str">
        <f t="shared" si="151"/>
        <v/>
      </c>
    </row>
    <row r="9725" spans="1:7" s="172" customFormat="1" ht="15" customHeight="1" x14ac:dyDescent="0.25">
      <c r="A9725" s="803" t="s">
        <v>16936</v>
      </c>
      <c r="B9725" s="803" t="s">
        <v>9817</v>
      </c>
      <c r="C9725" s="803" t="s">
        <v>9817</v>
      </c>
      <c r="D9725" s="803" t="s">
        <v>10369</v>
      </c>
      <c r="E9725" s="803">
        <v>100</v>
      </c>
      <c r="F9725" s="803">
        <v>81</v>
      </c>
      <c r="G9725" s="202" t="str">
        <f t="shared" si="151"/>
        <v/>
      </c>
    </row>
    <row r="9726" spans="1:7" s="172" customFormat="1" ht="15" customHeight="1" x14ac:dyDescent="0.25">
      <c r="A9726" s="803" t="s">
        <v>6071</v>
      </c>
      <c r="B9726" s="803" t="s">
        <v>9817</v>
      </c>
      <c r="C9726" s="803" t="s">
        <v>9817</v>
      </c>
      <c r="D9726" s="803" t="s">
        <v>10370</v>
      </c>
      <c r="E9726" s="803">
        <v>100</v>
      </c>
      <c r="F9726" s="803">
        <v>57</v>
      </c>
      <c r="G9726" s="202" t="str">
        <f t="shared" si="151"/>
        <v/>
      </c>
    </row>
    <row r="9727" spans="1:7" s="172" customFormat="1" ht="15" customHeight="1" x14ac:dyDescent="0.25">
      <c r="A9727" s="803" t="s">
        <v>16937</v>
      </c>
      <c r="B9727" s="803" t="s">
        <v>9817</v>
      </c>
      <c r="C9727" s="803" t="s">
        <v>9817</v>
      </c>
      <c r="D9727" s="803" t="s">
        <v>10371</v>
      </c>
      <c r="E9727" s="803">
        <v>100</v>
      </c>
      <c r="F9727" s="803">
        <v>35</v>
      </c>
      <c r="G9727" s="202" t="str">
        <f t="shared" si="151"/>
        <v/>
      </c>
    </row>
    <row r="9728" spans="1:7" s="172" customFormat="1" ht="15" customHeight="1" x14ac:dyDescent="0.25">
      <c r="A9728" s="803" t="s">
        <v>16937</v>
      </c>
      <c r="B9728" s="803" t="s">
        <v>9817</v>
      </c>
      <c r="C9728" s="803" t="s">
        <v>9817</v>
      </c>
      <c r="D9728" s="803" t="s">
        <v>10372</v>
      </c>
      <c r="E9728" s="803">
        <v>100</v>
      </c>
      <c r="F9728" s="803">
        <v>81</v>
      </c>
      <c r="G9728" s="202" t="str">
        <f t="shared" si="151"/>
        <v/>
      </c>
    </row>
    <row r="9729" spans="1:7" s="172" customFormat="1" ht="15" customHeight="1" x14ac:dyDescent="0.25">
      <c r="A9729" s="803" t="s">
        <v>16938</v>
      </c>
      <c r="B9729" s="803" t="s">
        <v>9817</v>
      </c>
      <c r="C9729" s="803" t="s">
        <v>9817</v>
      </c>
      <c r="D9729" s="803" t="s">
        <v>10373</v>
      </c>
      <c r="E9729" s="803">
        <v>60</v>
      </c>
      <c r="F9729" s="803">
        <v>42</v>
      </c>
      <c r="G9729" s="202" t="str">
        <f t="shared" si="151"/>
        <v/>
      </c>
    </row>
    <row r="9730" spans="1:7" s="172" customFormat="1" ht="15" customHeight="1" x14ac:dyDescent="0.25">
      <c r="A9730" s="803" t="s">
        <v>16939</v>
      </c>
      <c r="B9730" s="803" t="s">
        <v>9817</v>
      </c>
      <c r="C9730" s="803" t="s">
        <v>9817</v>
      </c>
      <c r="D9730" s="803" t="s">
        <v>10374</v>
      </c>
      <c r="E9730" s="803">
        <v>100</v>
      </c>
      <c r="F9730" s="803">
        <v>41</v>
      </c>
      <c r="G9730" s="202" t="str">
        <f t="shared" si="151"/>
        <v/>
      </c>
    </row>
    <row r="9731" spans="1:7" s="172" customFormat="1" ht="15" customHeight="1" x14ac:dyDescent="0.25">
      <c r="A9731" s="803" t="s">
        <v>6326</v>
      </c>
      <c r="B9731" s="803" t="s">
        <v>9817</v>
      </c>
      <c r="C9731" s="803" t="s">
        <v>9817</v>
      </c>
      <c r="D9731" s="803" t="s">
        <v>10375</v>
      </c>
      <c r="E9731" s="803">
        <v>160</v>
      </c>
      <c r="F9731" s="803">
        <v>112</v>
      </c>
      <c r="G9731" s="202" t="str">
        <f t="shared" si="151"/>
        <v/>
      </c>
    </row>
    <row r="9732" spans="1:7" s="172" customFormat="1" ht="15" customHeight="1" x14ac:dyDescent="0.25">
      <c r="A9732" s="803" t="s">
        <v>16940</v>
      </c>
      <c r="B9732" s="803" t="s">
        <v>9817</v>
      </c>
      <c r="C9732" s="803" t="s">
        <v>9817</v>
      </c>
      <c r="D9732" s="803" t="s">
        <v>10376</v>
      </c>
      <c r="E9732" s="803">
        <v>30</v>
      </c>
      <c r="F9732" s="803">
        <v>10</v>
      </c>
      <c r="G9732" s="202" t="str">
        <f t="shared" si="151"/>
        <v/>
      </c>
    </row>
    <row r="9733" spans="1:7" s="172" customFormat="1" ht="15" customHeight="1" x14ac:dyDescent="0.25">
      <c r="A9733" s="803" t="s">
        <v>10377</v>
      </c>
      <c r="B9733" s="803" t="s">
        <v>9817</v>
      </c>
      <c r="C9733" s="803" t="s">
        <v>9817</v>
      </c>
      <c r="D9733" s="803" t="s">
        <v>10378</v>
      </c>
      <c r="E9733" s="803">
        <v>50</v>
      </c>
      <c r="F9733" s="803">
        <v>38</v>
      </c>
      <c r="G9733" s="202" t="str">
        <f t="shared" si="151"/>
        <v/>
      </c>
    </row>
    <row r="9734" spans="1:7" s="172" customFormat="1" ht="15" customHeight="1" x14ac:dyDescent="0.25">
      <c r="A9734" s="803" t="s">
        <v>10379</v>
      </c>
      <c r="B9734" s="803" t="s">
        <v>9817</v>
      </c>
      <c r="C9734" s="803" t="s">
        <v>9817</v>
      </c>
      <c r="D9734" s="803" t="s">
        <v>10380</v>
      </c>
      <c r="E9734" s="803">
        <v>100</v>
      </c>
      <c r="F9734" s="803">
        <v>52</v>
      </c>
      <c r="G9734" s="202" t="str">
        <f t="shared" si="151"/>
        <v/>
      </c>
    </row>
    <row r="9735" spans="1:7" s="172" customFormat="1" ht="15" customHeight="1" x14ac:dyDescent="0.25">
      <c r="A9735" s="803" t="s">
        <v>10379</v>
      </c>
      <c r="B9735" s="803" t="s">
        <v>9817</v>
      </c>
      <c r="C9735" s="803" t="s">
        <v>9817</v>
      </c>
      <c r="D9735" s="803" t="s">
        <v>10381</v>
      </c>
      <c r="E9735" s="803">
        <v>160</v>
      </c>
      <c r="F9735" s="803">
        <v>130</v>
      </c>
      <c r="G9735" s="202" t="str">
        <f t="shared" si="151"/>
        <v/>
      </c>
    </row>
    <row r="9736" spans="1:7" s="172" customFormat="1" ht="15" customHeight="1" x14ac:dyDescent="0.25">
      <c r="A9736" s="803" t="s">
        <v>10382</v>
      </c>
      <c r="B9736" s="803" t="s">
        <v>9817</v>
      </c>
      <c r="C9736" s="803" t="s">
        <v>9817</v>
      </c>
      <c r="D9736" s="803" t="s">
        <v>10383</v>
      </c>
      <c r="E9736" s="803">
        <v>100</v>
      </c>
      <c r="F9736" s="803">
        <v>30</v>
      </c>
      <c r="G9736" s="202" t="str">
        <f t="shared" si="151"/>
        <v/>
      </c>
    </row>
    <row r="9737" spans="1:7" s="172" customFormat="1" ht="15" customHeight="1" x14ac:dyDescent="0.25">
      <c r="A9737" s="803" t="s">
        <v>16941</v>
      </c>
      <c r="B9737" s="803" t="s">
        <v>9817</v>
      </c>
      <c r="C9737" s="803" t="s">
        <v>9817</v>
      </c>
      <c r="D9737" s="803" t="s">
        <v>10384</v>
      </c>
      <c r="E9737" s="803">
        <v>100</v>
      </c>
      <c r="F9737" s="803">
        <v>60</v>
      </c>
      <c r="G9737" s="202" t="str">
        <f t="shared" si="151"/>
        <v/>
      </c>
    </row>
    <row r="9738" spans="1:7" s="172" customFormat="1" ht="15" customHeight="1" x14ac:dyDescent="0.25">
      <c r="A9738" s="803" t="s">
        <v>16942</v>
      </c>
      <c r="B9738" s="803" t="s">
        <v>9817</v>
      </c>
      <c r="C9738" s="803" t="s">
        <v>9817</v>
      </c>
      <c r="D9738" s="803" t="s">
        <v>10385</v>
      </c>
      <c r="E9738" s="803">
        <v>20</v>
      </c>
      <c r="F9738" s="803">
        <v>9</v>
      </c>
      <c r="G9738" s="202" t="str">
        <f t="shared" si="151"/>
        <v/>
      </c>
    </row>
    <row r="9739" spans="1:7" s="172" customFormat="1" ht="15" customHeight="1" x14ac:dyDescent="0.25">
      <c r="A9739" s="803" t="s">
        <v>10386</v>
      </c>
      <c r="B9739" s="803" t="s">
        <v>9817</v>
      </c>
      <c r="C9739" s="803" t="s">
        <v>9817</v>
      </c>
      <c r="D9739" s="803" t="s">
        <v>10387</v>
      </c>
      <c r="E9739" s="803">
        <v>30</v>
      </c>
      <c r="F9739" s="803">
        <v>21</v>
      </c>
      <c r="G9739" s="202" t="str">
        <f t="shared" si="151"/>
        <v/>
      </c>
    </row>
    <row r="9740" spans="1:7" s="172" customFormat="1" ht="15" customHeight="1" x14ac:dyDescent="0.25">
      <c r="A9740" s="803" t="s">
        <v>16848</v>
      </c>
      <c r="B9740" s="803" t="s">
        <v>9817</v>
      </c>
      <c r="C9740" s="803" t="s">
        <v>9817</v>
      </c>
      <c r="D9740" s="803" t="s">
        <v>10388</v>
      </c>
      <c r="E9740" s="803">
        <v>100</v>
      </c>
      <c r="F9740" s="803">
        <v>83</v>
      </c>
      <c r="G9740" s="202" t="str">
        <f t="shared" si="151"/>
        <v/>
      </c>
    </row>
    <row r="9741" spans="1:7" s="172" customFormat="1" ht="15" customHeight="1" x14ac:dyDescent="0.25">
      <c r="A9741" s="803" t="s">
        <v>10389</v>
      </c>
      <c r="B9741" s="803" t="s">
        <v>9817</v>
      </c>
      <c r="C9741" s="803" t="s">
        <v>9817</v>
      </c>
      <c r="D9741" s="803" t="s">
        <v>10390</v>
      </c>
      <c r="E9741" s="803">
        <v>60</v>
      </c>
      <c r="F9741" s="803">
        <v>30</v>
      </c>
      <c r="G9741" s="202" t="str">
        <f t="shared" si="151"/>
        <v/>
      </c>
    </row>
    <row r="9742" spans="1:7" s="172" customFormat="1" ht="15" customHeight="1" x14ac:dyDescent="0.25">
      <c r="A9742" s="803" t="s">
        <v>10391</v>
      </c>
      <c r="B9742" s="803" t="s">
        <v>9817</v>
      </c>
      <c r="C9742" s="803" t="s">
        <v>9817</v>
      </c>
      <c r="D9742" s="803" t="s">
        <v>10392</v>
      </c>
      <c r="E9742" s="803">
        <v>100</v>
      </c>
      <c r="F9742" s="803">
        <v>30</v>
      </c>
      <c r="G9742" s="202" t="str">
        <f t="shared" si="151"/>
        <v/>
      </c>
    </row>
    <row r="9743" spans="1:7" s="172" customFormat="1" ht="15" customHeight="1" x14ac:dyDescent="0.25">
      <c r="A9743" s="803" t="s">
        <v>8910</v>
      </c>
      <c r="B9743" s="803" t="s">
        <v>9817</v>
      </c>
      <c r="C9743" s="803" t="s">
        <v>9817</v>
      </c>
      <c r="D9743" s="803" t="s">
        <v>10393</v>
      </c>
      <c r="E9743" s="803">
        <v>63</v>
      </c>
      <c r="F9743" s="803">
        <v>12</v>
      </c>
      <c r="G9743" s="202" t="str">
        <f t="shared" si="151"/>
        <v/>
      </c>
    </row>
    <row r="9744" spans="1:7" s="172" customFormat="1" ht="15" customHeight="1" x14ac:dyDescent="0.25">
      <c r="A9744" s="803" t="s">
        <v>10394</v>
      </c>
      <c r="B9744" s="803" t="s">
        <v>9817</v>
      </c>
      <c r="C9744" s="803" t="s">
        <v>9817</v>
      </c>
      <c r="D9744" s="803" t="s">
        <v>10395</v>
      </c>
      <c r="E9744" s="803">
        <v>100</v>
      </c>
      <c r="F9744" s="803">
        <v>78</v>
      </c>
      <c r="G9744" s="202" t="str">
        <f t="shared" si="151"/>
        <v/>
      </c>
    </row>
    <row r="9745" spans="1:7" s="172" customFormat="1" ht="15" customHeight="1" x14ac:dyDescent="0.25">
      <c r="A9745" s="803" t="s">
        <v>10178</v>
      </c>
      <c r="B9745" s="803" t="s">
        <v>9817</v>
      </c>
      <c r="C9745" s="803" t="s">
        <v>9817</v>
      </c>
      <c r="D9745" s="803" t="s">
        <v>10396</v>
      </c>
      <c r="E9745" s="803" t="s">
        <v>18197</v>
      </c>
      <c r="F9745" s="803">
        <v>390</v>
      </c>
      <c r="G9745" s="202" t="str">
        <f t="shared" si="151"/>
        <v/>
      </c>
    </row>
    <row r="9746" spans="1:7" s="172" customFormat="1" ht="15" customHeight="1" x14ac:dyDescent="0.25">
      <c r="A9746" s="803" t="s">
        <v>10178</v>
      </c>
      <c r="B9746" s="803" t="s">
        <v>9817</v>
      </c>
      <c r="C9746" s="803" t="s">
        <v>9817</v>
      </c>
      <c r="D9746" s="803" t="s">
        <v>10397</v>
      </c>
      <c r="E9746" s="803">
        <v>100</v>
      </c>
      <c r="F9746" s="803">
        <v>55</v>
      </c>
      <c r="G9746" s="202" t="str">
        <f t="shared" si="151"/>
        <v/>
      </c>
    </row>
    <row r="9747" spans="1:7" s="172" customFormat="1" ht="15" customHeight="1" x14ac:dyDescent="0.25">
      <c r="A9747" s="803" t="s">
        <v>10398</v>
      </c>
      <c r="B9747" s="803" t="s">
        <v>9817</v>
      </c>
      <c r="C9747" s="803" t="s">
        <v>9817</v>
      </c>
      <c r="D9747" s="803" t="s">
        <v>10399</v>
      </c>
      <c r="E9747" s="803">
        <v>30</v>
      </c>
      <c r="F9747" s="803">
        <v>18</v>
      </c>
      <c r="G9747" s="202" t="str">
        <f t="shared" si="151"/>
        <v/>
      </c>
    </row>
    <row r="9748" spans="1:7" s="172" customFormat="1" ht="15" customHeight="1" x14ac:dyDescent="0.25">
      <c r="A9748" s="803" t="s">
        <v>10400</v>
      </c>
      <c r="B9748" s="803" t="s">
        <v>9817</v>
      </c>
      <c r="C9748" s="803" t="s">
        <v>9817</v>
      </c>
      <c r="D9748" s="803" t="s">
        <v>10401</v>
      </c>
      <c r="E9748" s="803">
        <v>30</v>
      </c>
      <c r="F9748" s="803">
        <v>16</v>
      </c>
      <c r="G9748" s="202" t="str">
        <f t="shared" si="151"/>
        <v/>
      </c>
    </row>
    <row r="9749" spans="1:7" s="172" customFormat="1" ht="15" customHeight="1" x14ac:dyDescent="0.25">
      <c r="A9749" s="803" t="s">
        <v>9044</v>
      </c>
      <c r="B9749" s="803" t="s">
        <v>9817</v>
      </c>
      <c r="C9749" s="803" t="s">
        <v>9817</v>
      </c>
      <c r="D9749" s="803" t="s">
        <v>10402</v>
      </c>
      <c r="E9749" s="803">
        <v>30</v>
      </c>
      <c r="F9749" s="803">
        <v>26</v>
      </c>
      <c r="G9749" s="202" t="str">
        <f t="shared" si="151"/>
        <v/>
      </c>
    </row>
    <row r="9750" spans="1:7" s="172" customFormat="1" ht="15" customHeight="1" x14ac:dyDescent="0.25">
      <c r="A9750" s="803" t="s">
        <v>10403</v>
      </c>
      <c r="B9750" s="803" t="s">
        <v>9817</v>
      </c>
      <c r="C9750" s="803" t="s">
        <v>9817</v>
      </c>
      <c r="D9750" s="803" t="s">
        <v>10404</v>
      </c>
      <c r="E9750" s="803">
        <v>30</v>
      </c>
      <c r="F9750" s="803">
        <v>7</v>
      </c>
      <c r="G9750" s="202" t="str">
        <f t="shared" si="151"/>
        <v/>
      </c>
    </row>
    <row r="9751" spans="1:7" s="172" customFormat="1" ht="15" customHeight="1" x14ac:dyDescent="0.25">
      <c r="A9751" s="803" t="s">
        <v>10405</v>
      </c>
      <c r="B9751" s="803" t="s">
        <v>9817</v>
      </c>
      <c r="C9751" s="803" t="s">
        <v>9817</v>
      </c>
      <c r="D9751" s="803" t="s">
        <v>10406</v>
      </c>
      <c r="E9751" s="803">
        <v>30</v>
      </c>
      <c r="F9751" s="803">
        <v>15</v>
      </c>
      <c r="G9751" s="202" t="str">
        <f t="shared" si="151"/>
        <v/>
      </c>
    </row>
    <row r="9752" spans="1:7" s="172" customFormat="1" ht="15" customHeight="1" x14ac:dyDescent="0.25">
      <c r="A9752" s="803" t="s">
        <v>10407</v>
      </c>
      <c r="B9752" s="803" t="s">
        <v>9817</v>
      </c>
      <c r="C9752" s="803" t="s">
        <v>9817</v>
      </c>
      <c r="D9752" s="803" t="s">
        <v>10408</v>
      </c>
      <c r="E9752" s="803">
        <v>100</v>
      </c>
      <c r="F9752" s="803">
        <v>70</v>
      </c>
      <c r="G9752" s="202" t="str">
        <f t="shared" si="151"/>
        <v/>
      </c>
    </row>
    <row r="9753" spans="1:7" s="172" customFormat="1" ht="15" customHeight="1" x14ac:dyDescent="0.25">
      <c r="A9753" s="803" t="s">
        <v>10409</v>
      </c>
      <c r="B9753" s="803" t="s">
        <v>9817</v>
      </c>
      <c r="C9753" s="803" t="s">
        <v>9817</v>
      </c>
      <c r="D9753" s="803" t="s">
        <v>10410</v>
      </c>
      <c r="E9753" s="803">
        <v>30</v>
      </c>
      <c r="F9753" s="803">
        <v>14</v>
      </c>
      <c r="G9753" s="202" t="str">
        <f t="shared" si="151"/>
        <v/>
      </c>
    </row>
    <row r="9754" spans="1:7" s="172" customFormat="1" ht="15" customHeight="1" x14ac:dyDescent="0.25">
      <c r="A9754" s="803" t="s">
        <v>16944</v>
      </c>
      <c r="B9754" s="803" t="s">
        <v>9817</v>
      </c>
      <c r="C9754" s="803" t="s">
        <v>9817</v>
      </c>
      <c r="D9754" s="803" t="s">
        <v>10411</v>
      </c>
      <c r="E9754" s="803">
        <v>100</v>
      </c>
      <c r="F9754" s="803">
        <v>45</v>
      </c>
      <c r="G9754" s="202" t="str">
        <f t="shared" si="151"/>
        <v/>
      </c>
    </row>
    <row r="9755" spans="1:7" s="172" customFormat="1" ht="15" customHeight="1" x14ac:dyDescent="0.25">
      <c r="A9755" s="803" t="s">
        <v>6442</v>
      </c>
      <c r="B9755" s="803" t="s">
        <v>9817</v>
      </c>
      <c r="C9755" s="803" t="s">
        <v>9817</v>
      </c>
      <c r="D9755" s="803" t="s">
        <v>10412</v>
      </c>
      <c r="E9755" s="803">
        <v>0</v>
      </c>
      <c r="F9755" s="803">
        <v>0</v>
      </c>
      <c r="G9755" s="202" t="str">
        <f t="shared" si="151"/>
        <v>не загружен</v>
      </c>
    </row>
    <row r="9756" spans="1:7" s="172" customFormat="1" ht="15" customHeight="1" x14ac:dyDescent="0.25">
      <c r="A9756" s="803" t="s">
        <v>5030</v>
      </c>
      <c r="B9756" s="803" t="s">
        <v>9817</v>
      </c>
      <c r="C9756" s="803" t="s">
        <v>9817</v>
      </c>
      <c r="D9756" s="803" t="s">
        <v>10413</v>
      </c>
      <c r="E9756" s="803">
        <v>60</v>
      </c>
      <c r="F9756" s="803">
        <v>42</v>
      </c>
      <c r="G9756" s="202" t="str">
        <f t="shared" ref="G9756:G9820" si="152">IF(E9756=F9756,"не загружен","")</f>
        <v/>
      </c>
    </row>
    <row r="9757" spans="1:7" s="172" customFormat="1" ht="15" customHeight="1" x14ac:dyDescent="0.25">
      <c r="A9757" s="803" t="s">
        <v>5030</v>
      </c>
      <c r="B9757" s="803" t="s">
        <v>9817</v>
      </c>
      <c r="C9757" s="803" t="s">
        <v>9817</v>
      </c>
      <c r="D9757" s="803" t="s">
        <v>10414</v>
      </c>
      <c r="E9757" s="803">
        <v>160</v>
      </c>
      <c r="F9757" s="803">
        <v>110</v>
      </c>
      <c r="G9757" s="202" t="str">
        <f t="shared" si="152"/>
        <v/>
      </c>
    </row>
    <row r="9758" spans="1:7" s="172" customFormat="1" ht="15" customHeight="1" x14ac:dyDescent="0.25">
      <c r="A9758" s="803" t="s">
        <v>16180</v>
      </c>
      <c r="B9758" s="803" t="s">
        <v>9817</v>
      </c>
      <c r="C9758" s="803" t="s">
        <v>9817</v>
      </c>
      <c r="D9758" s="803" t="s">
        <v>10415</v>
      </c>
      <c r="E9758" s="803">
        <v>100</v>
      </c>
      <c r="F9758" s="803">
        <v>80</v>
      </c>
      <c r="G9758" s="202" t="str">
        <f t="shared" si="152"/>
        <v/>
      </c>
    </row>
    <row r="9759" spans="1:7" s="172" customFormat="1" ht="15" customHeight="1" x14ac:dyDescent="0.25">
      <c r="A9759" s="803" t="s">
        <v>10416</v>
      </c>
      <c r="B9759" s="803" t="s">
        <v>9817</v>
      </c>
      <c r="C9759" s="803" t="s">
        <v>9817</v>
      </c>
      <c r="D9759" s="803" t="s">
        <v>10417</v>
      </c>
      <c r="E9759" s="803">
        <v>30</v>
      </c>
      <c r="F9759" s="803">
        <v>10</v>
      </c>
      <c r="G9759" s="202" t="str">
        <f t="shared" si="152"/>
        <v/>
      </c>
    </row>
    <row r="9760" spans="1:7" s="172" customFormat="1" ht="15" customHeight="1" x14ac:dyDescent="0.25">
      <c r="A9760" s="803" t="s">
        <v>10418</v>
      </c>
      <c r="B9760" s="803" t="s">
        <v>9817</v>
      </c>
      <c r="C9760" s="803" t="s">
        <v>9817</v>
      </c>
      <c r="D9760" s="803" t="s">
        <v>10419</v>
      </c>
      <c r="E9760" s="803">
        <v>100</v>
      </c>
      <c r="F9760" s="803">
        <v>72</v>
      </c>
      <c r="G9760" s="202" t="str">
        <f t="shared" si="152"/>
        <v/>
      </c>
    </row>
    <row r="9761" spans="1:7" s="172" customFormat="1" ht="15" customHeight="1" x14ac:dyDescent="0.25">
      <c r="A9761" s="803" t="s">
        <v>16945</v>
      </c>
      <c r="B9761" s="803" t="s">
        <v>9817</v>
      </c>
      <c r="C9761" s="803" t="s">
        <v>9817</v>
      </c>
      <c r="D9761" s="803" t="s">
        <v>10420</v>
      </c>
      <c r="E9761" s="803">
        <v>63</v>
      </c>
      <c r="F9761" s="803">
        <v>15</v>
      </c>
      <c r="G9761" s="202" t="str">
        <f t="shared" si="152"/>
        <v/>
      </c>
    </row>
    <row r="9762" spans="1:7" s="172" customFormat="1" ht="15" customHeight="1" x14ac:dyDescent="0.25">
      <c r="A9762" s="803" t="s">
        <v>16946</v>
      </c>
      <c r="B9762" s="803" t="s">
        <v>9817</v>
      </c>
      <c r="C9762" s="803" t="s">
        <v>9817</v>
      </c>
      <c r="D9762" s="803" t="s">
        <v>10421</v>
      </c>
      <c r="E9762" s="803">
        <v>30</v>
      </c>
      <c r="F9762" s="803">
        <v>6</v>
      </c>
      <c r="G9762" s="202" t="str">
        <f t="shared" si="152"/>
        <v/>
      </c>
    </row>
    <row r="9763" spans="1:7" s="172" customFormat="1" ht="15" customHeight="1" x14ac:dyDescent="0.25">
      <c r="A9763" s="803" t="s">
        <v>16947</v>
      </c>
      <c r="B9763" s="803" t="s">
        <v>9817</v>
      </c>
      <c r="C9763" s="803" t="s">
        <v>9817</v>
      </c>
      <c r="D9763" s="803" t="s">
        <v>10422</v>
      </c>
      <c r="E9763" s="803">
        <v>60</v>
      </c>
      <c r="F9763" s="803">
        <v>44</v>
      </c>
      <c r="G9763" s="202" t="str">
        <f t="shared" si="152"/>
        <v/>
      </c>
    </row>
    <row r="9764" spans="1:7" s="172" customFormat="1" ht="15" customHeight="1" x14ac:dyDescent="0.25">
      <c r="A9764" s="803" t="s">
        <v>16944</v>
      </c>
      <c r="B9764" s="803" t="s">
        <v>9817</v>
      </c>
      <c r="C9764" s="803" t="s">
        <v>9817</v>
      </c>
      <c r="D9764" s="803" t="s">
        <v>10423</v>
      </c>
      <c r="E9764" s="803">
        <v>250</v>
      </c>
      <c r="F9764" s="803">
        <v>200</v>
      </c>
      <c r="G9764" s="202" t="str">
        <f t="shared" si="152"/>
        <v/>
      </c>
    </row>
    <row r="9765" spans="1:7" s="172" customFormat="1" ht="15" customHeight="1" x14ac:dyDescent="0.25">
      <c r="A9765" s="803" t="s">
        <v>16948</v>
      </c>
      <c r="B9765" s="803" t="s">
        <v>9817</v>
      </c>
      <c r="C9765" s="803" t="s">
        <v>9817</v>
      </c>
      <c r="D9765" s="803" t="s">
        <v>10424</v>
      </c>
      <c r="E9765" s="803">
        <v>100</v>
      </c>
      <c r="F9765" s="803">
        <v>60</v>
      </c>
      <c r="G9765" s="202" t="str">
        <f t="shared" si="152"/>
        <v/>
      </c>
    </row>
    <row r="9766" spans="1:7" s="172" customFormat="1" ht="15" customHeight="1" x14ac:dyDescent="0.25">
      <c r="A9766" s="803" t="s">
        <v>16948</v>
      </c>
      <c r="B9766" s="803" t="s">
        <v>9817</v>
      </c>
      <c r="C9766" s="803" t="s">
        <v>9817</v>
      </c>
      <c r="D9766" s="803" t="s">
        <v>10425</v>
      </c>
      <c r="E9766" s="803">
        <v>100</v>
      </c>
      <c r="F9766" s="803">
        <v>74</v>
      </c>
      <c r="G9766" s="202" t="str">
        <f t="shared" si="152"/>
        <v/>
      </c>
    </row>
    <row r="9767" spans="1:7" s="172" customFormat="1" ht="15" customHeight="1" x14ac:dyDescent="0.25">
      <c r="A9767" s="803" t="s">
        <v>10426</v>
      </c>
      <c r="B9767" s="803" t="s">
        <v>9817</v>
      </c>
      <c r="C9767" s="803" t="s">
        <v>9817</v>
      </c>
      <c r="D9767" s="803" t="s">
        <v>10427</v>
      </c>
      <c r="E9767" s="803">
        <v>100</v>
      </c>
      <c r="F9767" s="803">
        <v>82</v>
      </c>
      <c r="G9767" s="202" t="str">
        <f t="shared" si="152"/>
        <v/>
      </c>
    </row>
    <row r="9768" spans="1:7" s="172" customFormat="1" ht="15" customHeight="1" x14ac:dyDescent="0.25">
      <c r="A9768" s="803" t="s">
        <v>10033</v>
      </c>
      <c r="B9768" s="803" t="s">
        <v>9817</v>
      </c>
      <c r="C9768" s="803" t="s">
        <v>9817</v>
      </c>
      <c r="D9768" s="803" t="s">
        <v>10428</v>
      </c>
      <c r="E9768" s="803">
        <v>250</v>
      </c>
      <c r="F9768" s="803">
        <v>120</v>
      </c>
      <c r="G9768" s="202" t="str">
        <f t="shared" si="152"/>
        <v/>
      </c>
    </row>
    <row r="9769" spans="1:7" s="172" customFormat="1" ht="15" customHeight="1" x14ac:dyDescent="0.25">
      <c r="A9769" s="803" t="s">
        <v>10429</v>
      </c>
      <c r="B9769" s="803" t="s">
        <v>9817</v>
      </c>
      <c r="C9769" s="803" t="s">
        <v>9817</v>
      </c>
      <c r="D9769" s="803" t="s">
        <v>10430</v>
      </c>
      <c r="E9769" s="803">
        <v>30</v>
      </c>
      <c r="F9769" s="803">
        <v>22</v>
      </c>
      <c r="G9769" s="202" t="str">
        <f t="shared" si="152"/>
        <v/>
      </c>
    </row>
    <row r="9770" spans="1:7" s="172" customFormat="1" ht="15" customHeight="1" x14ac:dyDescent="0.25">
      <c r="A9770" s="803" t="s">
        <v>16949</v>
      </c>
      <c r="B9770" s="803" t="s">
        <v>9817</v>
      </c>
      <c r="C9770" s="803" t="s">
        <v>9817</v>
      </c>
      <c r="D9770" s="803" t="s">
        <v>10431</v>
      </c>
      <c r="E9770" s="803">
        <v>100</v>
      </c>
      <c r="F9770" s="803">
        <v>75.2</v>
      </c>
      <c r="G9770" s="202" t="str">
        <f t="shared" si="152"/>
        <v/>
      </c>
    </row>
    <row r="9771" spans="1:7" s="172" customFormat="1" ht="15" customHeight="1" x14ac:dyDescent="0.25">
      <c r="A9771" s="803" t="s">
        <v>10432</v>
      </c>
      <c r="B9771" s="803" t="s">
        <v>9817</v>
      </c>
      <c r="C9771" s="803" t="s">
        <v>9817</v>
      </c>
      <c r="D9771" s="803" t="s">
        <v>10433</v>
      </c>
      <c r="E9771" s="803">
        <v>100</v>
      </c>
      <c r="F9771" s="803">
        <v>65</v>
      </c>
      <c r="G9771" s="202" t="str">
        <f t="shared" si="152"/>
        <v/>
      </c>
    </row>
    <row r="9772" spans="1:7" s="172" customFormat="1" ht="15" customHeight="1" x14ac:dyDescent="0.25">
      <c r="A9772" s="803" t="s">
        <v>10432</v>
      </c>
      <c r="B9772" s="803" t="s">
        <v>9817</v>
      </c>
      <c r="C9772" s="803" t="s">
        <v>9817</v>
      </c>
      <c r="D9772" s="803" t="s">
        <v>10434</v>
      </c>
      <c r="E9772" s="803">
        <v>63</v>
      </c>
      <c r="F9772" s="803">
        <v>25</v>
      </c>
      <c r="G9772" s="202" t="str">
        <f t="shared" si="152"/>
        <v/>
      </c>
    </row>
    <row r="9773" spans="1:7" s="172" customFormat="1" ht="15" customHeight="1" x14ac:dyDescent="0.25">
      <c r="A9773" s="803" t="s">
        <v>10432</v>
      </c>
      <c r="B9773" s="803" t="s">
        <v>9817</v>
      </c>
      <c r="C9773" s="803" t="s">
        <v>9817</v>
      </c>
      <c r="D9773" s="803" t="s">
        <v>10435</v>
      </c>
      <c r="E9773" s="803">
        <v>100</v>
      </c>
      <c r="F9773" s="803">
        <v>65</v>
      </c>
      <c r="G9773" s="202" t="str">
        <f t="shared" si="152"/>
        <v/>
      </c>
    </row>
    <row r="9774" spans="1:7" s="172" customFormat="1" ht="15" customHeight="1" x14ac:dyDescent="0.25">
      <c r="A9774" s="803" t="s">
        <v>10436</v>
      </c>
      <c r="B9774" s="803" t="s">
        <v>9817</v>
      </c>
      <c r="C9774" s="803" t="s">
        <v>9817</v>
      </c>
      <c r="D9774" s="803" t="s">
        <v>10437</v>
      </c>
      <c r="E9774" s="803">
        <v>30</v>
      </c>
      <c r="F9774" s="803">
        <v>15</v>
      </c>
      <c r="G9774" s="202" t="str">
        <f t="shared" si="152"/>
        <v/>
      </c>
    </row>
    <row r="9775" spans="1:7" s="172" customFormat="1" ht="15" customHeight="1" x14ac:dyDescent="0.25">
      <c r="A9775" s="803" t="s">
        <v>2829</v>
      </c>
      <c r="B9775" s="803" t="s">
        <v>9817</v>
      </c>
      <c r="C9775" s="803" t="s">
        <v>9817</v>
      </c>
      <c r="D9775" s="803" t="s">
        <v>10438</v>
      </c>
      <c r="E9775" s="803">
        <v>63</v>
      </c>
      <c r="F9775" s="803">
        <v>55</v>
      </c>
      <c r="G9775" s="202" t="str">
        <f t="shared" si="152"/>
        <v/>
      </c>
    </row>
    <row r="9776" spans="1:7" s="172" customFormat="1" ht="15" customHeight="1" x14ac:dyDescent="0.25">
      <c r="A9776" s="803" t="s">
        <v>10439</v>
      </c>
      <c r="B9776" s="803" t="s">
        <v>9817</v>
      </c>
      <c r="C9776" s="803" t="s">
        <v>9817</v>
      </c>
      <c r="D9776" s="803" t="s">
        <v>10440</v>
      </c>
      <c r="E9776" s="803">
        <v>25</v>
      </c>
      <c r="F9776" s="803">
        <v>20</v>
      </c>
      <c r="G9776" s="202" t="str">
        <f t="shared" si="152"/>
        <v/>
      </c>
    </row>
    <row r="9777" spans="1:7" s="172" customFormat="1" ht="15" customHeight="1" x14ac:dyDescent="0.25">
      <c r="A9777" s="803" t="s">
        <v>3545</v>
      </c>
      <c r="B9777" s="803" t="s">
        <v>9817</v>
      </c>
      <c r="C9777" s="803" t="s">
        <v>9817</v>
      </c>
      <c r="D9777" s="803" t="s">
        <v>10441</v>
      </c>
      <c r="E9777" s="803">
        <v>100</v>
      </c>
      <c r="F9777" s="803">
        <v>25</v>
      </c>
      <c r="G9777" s="202" t="str">
        <f t="shared" si="152"/>
        <v/>
      </c>
    </row>
    <row r="9778" spans="1:7" s="172" customFormat="1" ht="15" customHeight="1" x14ac:dyDescent="0.25">
      <c r="A9778" s="803" t="s">
        <v>10442</v>
      </c>
      <c r="B9778" s="803" t="s">
        <v>9817</v>
      </c>
      <c r="C9778" s="803" t="s">
        <v>9817</v>
      </c>
      <c r="D9778" s="803" t="s">
        <v>10443</v>
      </c>
      <c r="E9778" s="803">
        <v>100</v>
      </c>
      <c r="F9778" s="803">
        <v>68</v>
      </c>
      <c r="G9778" s="202" t="str">
        <f t="shared" si="152"/>
        <v/>
      </c>
    </row>
    <row r="9779" spans="1:7" s="172" customFormat="1" ht="15" customHeight="1" x14ac:dyDescent="0.25">
      <c r="A9779" s="803" t="s">
        <v>10442</v>
      </c>
      <c r="B9779" s="803" t="s">
        <v>9817</v>
      </c>
      <c r="C9779" s="803" t="s">
        <v>9817</v>
      </c>
      <c r="D9779" s="803" t="s">
        <v>10444</v>
      </c>
      <c r="E9779" s="803">
        <v>50</v>
      </c>
      <c r="F9779" s="803">
        <v>30</v>
      </c>
      <c r="G9779" s="202" t="str">
        <f t="shared" si="152"/>
        <v/>
      </c>
    </row>
    <row r="9780" spans="1:7" s="172" customFormat="1" ht="15" customHeight="1" x14ac:dyDescent="0.25">
      <c r="A9780" s="803" t="s">
        <v>10445</v>
      </c>
      <c r="B9780" s="803" t="s">
        <v>9817</v>
      </c>
      <c r="C9780" s="803" t="s">
        <v>9817</v>
      </c>
      <c r="D9780" s="803" t="s">
        <v>10446</v>
      </c>
      <c r="E9780" s="803">
        <v>160</v>
      </c>
      <c r="F9780" s="803">
        <v>30</v>
      </c>
      <c r="G9780" s="202" t="str">
        <f t="shared" si="152"/>
        <v/>
      </c>
    </row>
    <row r="9781" spans="1:7" s="172" customFormat="1" ht="15" customHeight="1" x14ac:dyDescent="0.25">
      <c r="A9781" s="803" t="s">
        <v>10447</v>
      </c>
      <c r="B9781" s="803" t="s">
        <v>9817</v>
      </c>
      <c r="C9781" s="803" t="s">
        <v>9817</v>
      </c>
      <c r="D9781" s="803" t="s">
        <v>10448</v>
      </c>
      <c r="E9781" s="803">
        <v>30</v>
      </c>
      <c r="F9781" s="803">
        <v>22</v>
      </c>
      <c r="G9781" s="202" t="str">
        <f t="shared" si="152"/>
        <v/>
      </c>
    </row>
    <row r="9782" spans="1:7" s="172" customFormat="1" ht="15" customHeight="1" x14ac:dyDescent="0.25">
      <c r="A9782" s="803" t="s">
        <v>10449</v>
      </c>
      <c r="B9782" s="803" t="s">
        <v>9817</v>
      </c>
      <c r="C9782" s="803" t="s">
        <v>9817</v>
      </c>
      <c r="D9782" s="803" t="s">
        <v>10450</v>
      </c>
      <c r="E9782" s="803">
        <v>160</v>
      </c>
      <c r="F9782" s="803">
        <v>80</v>
      </c>
      <c r="G9782" s="202" t="str">
        <f t="shared" si="152"/>
        <v/>
      </c>
    </row>
    <row r="9783" spans="1:7" s="172" customFormat="1" ht="15" customHeight="1" x14ac:dyDescent="0.25">
      <c r="A9783" s="803" t="s">
        <v>10449</v>
      </c>
      <c r="B9783" s="803" t="s">
        <v>9817</v>
      </c>
      <c r="C9783" s="803" t="s">
        <v>9817</v>
      </c>
      <c r="D9783" s="803" t="s">
        <v>10451</v>
      </c>
      <c r="E9783" s="803">
        <v>100</v>
      </c>
      <c r="F9783" s="803">
        <v>45</v>
      </c>
      <c r="G9783" s="202" t="str">
        <f t="shared" si="152"/>
        <v/>
      </c>
    </row>
    <row r="9784" spans="1:7" s="172" customFormat="1" ht="15" customHeight="1" x14ac:dyDescent="0.25">
      <c r="A9784" s="803" t="s">
        <v>10449</v>
      </c>
      <c r="B9784" s="803" t="s">
        <v>9817</v>
      </c>
      <c r="C9784" s="803" t="s">
        <v>9817</v>
      </c>
      <c r="D9784" s="803" t="s">
        <v>10452</v>
      </c>
      <c r="E9784" s="803" t="s">
        <v>18202</v>
      </c>
      <c r="F9784" s="803">
        <v>1065</v>
      </c>
      <c r="G9784" s="202" t="str">
        <f t="shared" si="152"/>
        <v/>
      </c>
    </row>
    <row r="9785" spans="1:7" s="172" customFormat="1" ht="15" customHeight="1" x14ac:dyDescent="0.25">
      <c r="A9785" s="803" t="s">
        <v>10449</v>
      </c>
      <c r="B9785" s="803" t="s">
        <v>9817</v>
      </c>
      <c r="C9785" s="803" t="s">
        <v>9817</v>
      </c>
      <c r="D9785" s="803" t="s">
        <v>10453</v>
      </c>
      <c r="E9785" s="803">
        <v>400</v>
      </c>
      <c r="F9785" s="803">
        <v>330</v>
      </c>
      <c r="G9785" s="202" t="str">
        <f t="shared" si="152"/>
        <v/>
      </c>
    </row>
    <row r="9786" spans="1:7" s="172" customFormat="1" ht="15" customHeight="1" x14ac:dyDescent="0.25">
      <c r="A9786" s="803" t="s">
        <v>10449</v>
      </c>
      <c r="B9786" s="803" t="s">
        <v>9817</v>
      </c>
      <c r="C9786" s="803" t="s">
        <v>9817</v>
      </c>
      <c r="D9786" s="803" t="s">
        <v>10454</v>
      </c>
      <c r="E9786" s="803">
        <v>160</v>
      </c>
      <c r="F9786" s="803">
        <v>140</v>
      </c>
      <c r="G9786" s="202" t="str">
        <f t="shared" si="152"/>
        <v/>
      </c>
    </row>
    <row r="9787" spans="1:7" s="172" customFormat="1" ht="15" customHeight="1" x14ac:dyDescent="0.25">
      <c r="A9787" s="803" t="s">
        <v>15758</v>
      </c>
      <c r="B9787" s="803" t="s">
        <v>9817</v>
      </c>
      <c r="C9787" s="803" t="s">
        <v>9817</v>
      </c>
      <c r="D9787" s="803" t="s">
        <v>10455</v>
      </c>
      <c r="E9787" s="803">
        <v>20</v>
      </c>
      <c r="F9787" s="803">
        <v>15</v>
      </c>
      <c r="G9787" s="202" t="str">
        <f t="shared" si="152"/>
        <v/>
      </c>
    </row>
    <row r="9788" spans="1:7" s="172" customFormat="1" ht="15" customHeight="1" x14ac:dyDescent="0.25">
      <c r="A9788" s="803" t="s">
        <v>16950</v>
      </c>
      <c r="B9788" s="803" t="s">
        <v>9817</v>
      </c>
      <c r="C9788" s="803" t="s">
        <v>9817</v>
      </c>
      <c r="D9788" s="803" t="s">
        <v>10456</v>
      </c>
      <c r="E9788" s="803">
        <v>250</v>
      </c>
      <c r="F9788" s="803">
        <v>30</v>
      </c>
      <c r="G9788" s="202" t="str">
        <f t="shared" si="152"/>
        <v/>
      </c>
    </row>
    <row r="9789" spans="1:7" s="172" customFormat="1" ht="15" customHeight="1" x14ac:dyDescent="0.25">
      <c r="A9789" s="803" t="s">
        <v>16951</v>
      </c>
      <c r="B9789" s="803" t="s">
        <v>9817</v>
      </c>
      <c r="C9789" s="803" t="s">
        <v>9817</v>
      </c>
      <c r="D9789" s="803" t="s">
        <v>10457</v>
      </c>
      <c r="E9789" s="803">
        <v>100</v>
      </c>
      <c r="F9789" s="803">
        <v>40</v>
      </c>
      <c r="G9789" s="202" t="str">
        <f t="shared" si="152"/>
        <v/>
      </c>
    </row>
    <row r="9790" spans="1:7" s="172" customFormat="1" ht="15" customHeight="1" x14ac:dyDescent="0.25">
      <c r="A9790" s="803" t="s">
        <v>16952</v>
      </c>
      <c r="B9790" s="803" t="s">
        <v>9817</v>
      </c>
      <c r="C9790" s="803" t="s">
        <v>9817</v>
      </c>
      <c r="D9790" s="803" t="s">
        <v>10458</v>
      </c>
      <c r="E9790" s="803">
        <v>30</v>
      </c>
      <c r="F9790" s="803">
        <v>16</v>
      </c>
      <c r="G9790" s="202" t="str">
        <f t="shared" si="152"/>
        <v/>
      </c>
    </row>
    <row r="9791" spans="1:7" s="172" customFormat="1" ht="15" customHeight="1" x14ac:dyDescent="0.25">
      <c r="A9791" s="803" t="s">
        <v>16953</v>
      </c>
      <c r="B9791" s="803" t="s">
        <v>9817</v>
      </c>
      <c r="C9791" s="803" t="s">
        <v>9817</v>
      </c>
      <c r="D9791" s="803" t="s">
        <v>10459</v>
      </c>
      <c r="E9791" s="803">
        <v>100</v>
      </c>
      <c r="F9791" s="803">
        <v>80</v>
      </c>
      <c r="G9791" s="202" t="str">
        <f t="shared" si="152"/>
        <v/>
      </c>
    </row>
    <row r="9792" spans="1:7" s="172" customFormat="1" ht="15" customHeight="1" x14ac:dyDescent="0.25">
      <c r="A9792" s="803" t="s">
        <v>16954</v>
      </c>
      <c r="B9792" s="803" t="s">
        <v>9817</v>
      </c>
      <c r="C9792" s="803" t="s">
        <v>9817</v>
      </c>
      <c r="D9792" s="803" t="s">
        <v>10460</v>
      </c>
      <c r="E9792" s="803">
        <v>160</v>
      </c>
      <c r="F9792" s="803">
        <v>80</v>
      </c>
      <c r="G9792" s="202" t="str">
        <f t="shared" si="152"/>
        <v/>
      </c>
    </row>
    <row r="9793" spans="1:7" s="172" customFormat="1" ht="15" customHeight="1" x14ac:dyDescent="0.25">
      <c r="A9793" s="803" t="s">
        <v>16954</v>
      </c>
      <c r="B9793" s="803" t="s">
        <v>9817</v>
      </c>
      <c r="C9793" s="803" t="s">
        <v>9817</v>
      </c>
      <c r="D9793" s="803" t="s">
        <v>10461</v>
      </c>
      <c r="E9793" s="803">
        <v>63</v>
      </c>
      <c r="F9793" s="803">
        <v>42</v>
      </c>
      <c r="G9793" s="202" t="str">
        <f t="shared" si="152"/>
        <v/>
      </c>
    </row>
    <row r="9794" spans="1:7" s="172" customFormat="1" ht="15" customHeight="1" x14ac:dyDescent="0.25">
      <c r="A9794" s="803" t="s">
        <v>16954</v>
      </c>
      <c r="B9794" s="803" t="s">
        <v>9817</v>
      </c>
      <c r="C9794" s="803" t="s">
        <v>9817</v>
      </c>
      <c r="D9794" s="803" t="s">
        <v>10462</v>
      </c>
      <c r="E9794" s="803">
        <v>100</v>
      </c>
      <c r="F9794" s="803">
        <v>20</v>
      </c>
      <c r="G9794" s="202" t="str">
        <f t="shared" si="152"/>
        <v/>
      </c>
    </row>
    <row r="9795" spans="1:7" s="172" customFormat="1" ht="15" customHeight="1" x14ac:dyDescent="0.25">
      <c r="A9795" s="803" t="s">
        <v>16954</v>
      </c>
      <c r="B9795" s="803" t="s">
        <v>9817</v>
      </c>
      <c r="C9795" s="803" t="s">
        <v>9817</v>
      </c>
      <c r="D9795" s="803" t="s">
        <v>10463</v>
      </c>
      <c r="E9795" s="803">
        <v>250</v>
      </c>
      <c r="F9795" s="803">
        <v>6</v>
      </c>
      <c r="G9795" s="202" t="str">
        <f t="shared" si="152"/>
        <v/>
      </c>
    </row>
    <row r="9796" spans="1:7" s="172" customFormat="1" ht="15" customHeight="1" x14ac:dyDescent="0.25">
      <c r="A9796" s="803" t="s">
        <v>16954</v>
      </c>
      <c r="B9796" s="803" t="s">
        <v>9817</v>
      </c>
      <c r="C9796" s="803" t="s">
        <v>9817</v>
      </c>
      <c r="D9796" s="803" t="s">
        <v>10464</v>
      </c>
      <c r="E9796" s="803">
        <v>250</v>
      </c>
      <c r="F9796" s="803">
        <v>160</v>
      </c>
      <c r="G9796" s="202" t="str">
        <f t="shared" si="152"/>
        <v/>
      </c>
    </row>
    <row r="9797" spans="1:7" s="172" customFormat="1" ht="15" customHeight="1" x14ac:dyDescent="0.25">
      <c r="A9797" s="803" t="s">
        <v>16954</v>
      </c>
      <c r="B9797" s="803" t="s">
        <v>9817</v>
      </c>
      <c r="C9797" s="803" t="s">
        <v>9817</v>
      </c>
      <c r="D9797" s="803" t="s">
        <v>10465</v>
      </c>
      <c r="E9797" s="803">
        <v>100</v>
      </c>
      <c r="F9797" s="803">
        <v>77</v>
      </c>
      <c r="G9797" s="202" t="str">
        <f t="shared" si="152"/>
        <v/>
      </c>
    </row>
    <row r="9798" spans="1:7" s="172" customFormat="1" ht="15" customHeight="1" x14ac:dyDescent="0.25">
      <c r="A9798" s="803" t="s">
        <v>16954</v>
      </c>
      <c r="B9798" s="803" t="s">
        <v>9817</v>
      </c>
      <c r="C9798" s="803" t="s">
        <v>9817</v>
      </c>
      <c r="D9798" s="803" t="s">
        <v>10466</v>
      </c>
      <c r="E9798" s="803" t="s">
        <v>18203</v>
      </c>
      <c r="F9798" s="803">
        <v>310</v>
      </c>
      <c r="G9798" s="202" t="str">
        <f t="shared" si="152"/>
        <v/>
      </c>
    </row>
    <row r="9799" spans="1:7" s="172" customFormat="1" ht="15" customHeight="1" x14ac:dyDescent="0.25">
      <c r="A9799" s="803" t="s">
        <v>16954</v>
      </c>
      <c r="B9799" s="803" t="s">
        <v>9817</v>
      </c>
      <c r="C9799" s="803" t="s">
        <v>9817</v>
      </c>
      <c r="D9799" s="803" t="s">
        <v>10467</v>
      </c>
      <c r="E9799" s="803">
        <v>400</v>
      </c>
      <c r="F9799" s="803">
        <v>220</v>
      </c>
      <c r="G9799" s="202" t="str">
        <f t="shared" si="152"/>
        <v/>
      </c>
    </row>
    <row r="9800" spans="1:7" s="172" customFormat="1" ht="15" customHeight="1" x14ac:dyDescent="0.25">
      <c r="A9800" s="803" t="s">
        <v>7056</v>
      </c>
      <c r="B9800" s="803" t="s">
        <v>9817</v>
      </c>
      <c r="C9800" s="803" t="s">
        <v>9817</v>
      </c>
      <c r="D9800" s="803" t="s">
        <v>10468</v>
      </c>
      <c r="E9800" s="803">
        <v>50</v>
      </c>
      <c r="F9800" s="803">
        <v>30</v>
      </c>
      <c r="G9800" s="202" t="str">
        <f t="shared" si="152"/>
        <v/>
      </c>
    </row>
    <row r="9801" spans="1:7" s="172" customFormat="1" ht="15" customHeight="1" x14ac:dyDescent="0.25">
      <c r="A9801" s="803" t="s">
        <v>16955</v>
      </c>
      <c r="B9801" s="803" t="s">
        <v>9817</v>
      </c>
      <c r="C9801" s="803" t="s">
        <v>9817</v>
      </c>
      <c r="D9801" s="803" t="s">
        <v>10469</v>
      </c>
      <c r="E9801" s="803">
        <v>50</v>
      </c>
      <c r="F9801" s="803">
        <v>35</v>
      </c>
      <c r="G9801" s="202" t="str">
        <f t="shared" si="152"/>
        <v/>
      </c>
    </row>
    <row r="9802" spans="1:7" s="172" customFormat="1" ht="15" customHeight="1" x14ac:dyDescent="0.25">
      <c r="A9802" s="803" t="s">
        <v>10470</v>
      </c>
      <c r="B9802" s="803" t="s">
        <v>9817</v>
      </c>
      <c r="C9802" s="803" t="s">
        <v>9817</v>
      </c>
      <c r="D9802" s="803" t="s">
        <v>10471</v>
      </c>
      <c r="E9802" s="803">
        <v>100</v>
      </c>
      <c r="F9802" s="803">
        <v>60</v>
      </c>
      <c r="G9802" s="202" t="str">
        <f t="shared" si="152"/>
        <v/>
      </c>
    </row>
    <row r="9803" spans="1:7" s="172" customFormat="1" ht="15" customHeight="1" x14ac:dyDescent="0.25">
      <c r="A9803" s="803" t="s">
        <v>15848</v>
      </c>
      <c r="B9803" s="803" t="s">
        <v>9817</v>
      </c>
      <c r="C9803" s="803" t="s">
        <v>9817</v>
      </c>
      <c r="D9803" s="803" t="s">
        <v>10472</v>
      </c>
      <c r="E9803" s="803" t="s">
        <v>18196</v>
      </c>
      <c r="F9803" s="803">
        <v>660</v>
      </c>
      <c r="G9803" s="202" t="str">
        <f t="shared" si="152"/>
        <v/>
      </c>
    </row>
    <row r="9804" spans="1:7" s="172" customFormat="1" ht="15" customHeight="1" x14ac:dyDescent="0.25">
      <c r="A9804" s="803" t="s">
        <v>8494</v>
      </c>
      <c r="B9804" s="803" t="s">
        <v>9817</v>
      </c>
      <c r="C9804" s="803" t="s">
        <v>9817</v>
      </c>
      <c r="D9804" s="803" t="s">
        <v>10473</v>
      </c>
      <c r="E9804" s="803">
        <v>40</v>
      </c>
      <c r="F9804" s="803">
        <v>24</v>
      </c>
      <c r="G9804" s="202" t="str">
        <f t="shared" si="152"/>
        <v/>
      </c>
    </row>
    <row r="9805" spans="1:7" s="172" customFormat="1" ht="15" customHeight="1" x14ac:dyDescent="0.25">
      <c r="A9805" s="803" t="s">
        <v>16956</v>
      </c>
      <c r="B9805" s="803" t="s">
        <v>9817</v>
      </c>
      <c r="C9805" s="803" t="s">
        <v>9817</v>
      </c>
      <c r="D9805" s="803" t="s">
        <v>10474</v>
      </c>
      <c r="E9805" s="803">
        <v>400</v>
      </c>
      <c r="F9805" s="803">
        <v>300</v>
      </c>
      <c r="G9805" s="202" t="str">
        <f t="shared" si="152"/>
        <v/>
      </c>
    </row>
    <row r="9806" spans="1:7" s="172" customFormat="1" ht="15" customHeight="1" x14ac:dyDescent="0.25">
      <c r="A9806" s="803" t="s">
        <v>16956</v>
      </c>
      <c r="B9806" s="803" t="s">
        <v>9817</v>
      </c>
      <c r="C9806" s="803" t="s">
        <v>9817</v>
      </c>
      <c r="D9806" s="803" t="s">
        <v>10475</v>
      </c>
      <c r="E9806" s="803">
        <v>160</v>
      </c>
      <c r="F9806" s="803">
        <v>25</v>
      </c>
      <c r="G9806" s="202" t="str">
        <f t="shared" si="152"/>
        <v/>
      </c>
    </row>
    <row r="9807" spans="1:7" s="172" customFormat="1" ht="15" customHeight="1" x14ac:dyDescent="0.25">
      <c r="A9807" s="803" t="s">
        <v>16956</v>
      </c>
      <c r="B9807" s="803" t="s">
        <v>9817</v>
      </c>
      <c r="C9807" s="803" t="s">
        <v>9817</v>
      </c>
      <c r="D9807" s="803" t="s">
        <v>10476</v>
      </c>
      <c r="E9807" s="803">
        <v>250</v>
      </c>
      <c r="F9807" s="803">
        <v>120</v>
      </c>
      <c r="G9807" s="202" t="str">
        <f t="shared" si="152"/>
        <v/>
      </c>
    </row>
    <row r="9808" spans="1:7" s="172" customFormat="1" ht="15" customHeight="1" x14ac:dyDescent="0.25">
      <c r="A9808" s="803" t="s">
        <v>16956</v>
      </c>
      <c r="B9808" s="803" t="s">
        <v>9817</v>
      </c>
      <c r="C9808" s="803" t="s">
        <v>9817</v>
      </c>
      <c r="D9808" s="803" t="s">
        <v>10477</v>
      </c>
      <c r="E9808" s="803">
        <v>250</v>
      </c>
      <c r="F9808" s="803">
        <v>130</v>
      </c>
      <c r="G9808" s="202" t="str">
        <f t="shared" si="152"/>
        <v/>
      </c>
    </row>
    <row r="9809" spans="1:7" s="172" customFormat="1" ht="15" customHeight="1" x14ac:dyDescent="0.25">
      <c r="A9809" s="803" t="s">
        <v>16957</v>
      </c>
      <c r="B9809" s="803" t="s">
        <v>9817</v>
      </c>
      <c r="C9809" s="803" t="s">
        <v>9817</v>
      </c>
      <c r="D9809" s="803" t="s">
        <v>10478</v>
      </c>
      <c r="E9809" s="803">
        <v>100</v>
      </c>
      <c r="F9809" s="803">
        <v>20</v>
      </c>
      <c r="G9809" s="202" t="str">
        <f t="shared" si="152"/>
        <v/>
      </c>
    </row>
    <row r="9810" spans="1:7" s="172" customFormat="1" ht="15" customHeight="1" x14ac:dyDescent="0.25">
      <c r="A9810" s="803" t="s">
        <v>16958</v>
      </c>
      <c r="B9810" s="803" t="s">
        <v>9817</v>
      </c>
      <c r="C9810" s="803" t="s">
        <v>9817</v>
      </c>
      <c r="D9810" s="803" t="s">
        <v>10479</v>
      </c>
      <c r="E9810" s="803">
        <v>40</v>
      </c>
      <c r="F9810" s="803">
        <v>14</v>
      </c>
      <c r="G9810" s="202" t="str">
        <f t="shared" si="152"/>
        <v/>
      </c>
    </row>
    <row r="9811" spans="1:7" s="172" customFormat="1" ht="15" customHeight="1" x14ac:dyDescent="0.25">
      <c r="A9811" s="803" t="s">
        <v>10480</v>
      </c>
      <c r="B9811" s="803" t="s">
        <v>9817</v>
      </c>
      <c r="C9811" s="803" t="s">
        <v>9817</v>
      </c>
      <c r="D9811" s="803" t="s">
        <v>10481</v>
      </c>
      <c r="E9811" s="803" t="s">
        <v>18204</v>
      </c>
      <c r="F9811" s="803">
        <v>450</v>
      </c>
      <c r="G9811" s="202" t="str">
        <f t="shared" si="152"/>
        <v/>
      </c>
    </row>
    <row r="9812" spans="1:7" s="172" customFormat="1" ht="15" customHeight="1" x14ac:dyDescent="0.25">
      <c r="A9812" s="803" t="s">
        <v>10482</v>
      </c>
      <c r="B9812" s="803" t="s">
        <v>9817</v>
      </c>
      <c r="C9812" s="803" t="s">
        <v>9817</v>
      </c>
      <c r="D9812" s="803" t="s">
        <v>10483</v>
      </c>
      <c r="E9812" s="803">
        <v>60</v>
      </c>
      <c r="F9812" s="803">
        <v>44</v>
      </c>
      <c r="G9812" s="202" t="str">
        <f t="shared" si="152"/>
        <v/>
      </c>
    </row>
    <row r="9813" spans="1:7" s="172" customFormat="1" ht="15" customHeight="1" x14ac:dyDescent="0.25">
      <c r="A9813" s="803" t="s">
        <v>10484</v>
      </c>
      <c r="B9813" s="803" t="s">
        <v>9817</v>
      </c>
      <c r="C9813" s="803" t="s">
        <v>9817</v>
      </c>
      <c r="D9813" s="803" t="s">
        <v>10485</v>
      </c>
      <c r="E9813" s="803">
        <v>60</v>
      </c>
      <c r="F9813" s="803">
        <v>48</v>
      </c>
      <c r="G9813" s="202" t="str">
        <f t="shared" si="152"/>
        <v/>
      </c>
    </row>
    <row r="9814" spans="1:7" s="172" customFormat="1" ht="15" customHeight="1" x14ac:dyDescent="0.25">
      <c r="A9814" s="803" t="s">
        <v>16959</v>
      </c>
      <c r="B9814" s="803" t="s">
        <v>9817</v>
      </c>
      <c r="C9814" s="803" t="s">
        <v>9817</v>
      </c>
      <c r="D9814" s="803" t="s">
        <v>10486</v>
      </c>
      <c r="E9814" s="803">
        <v>30</v>
      </c>
      <c r="F9814" s="803">
        <v>20</v>
      </c>
      <c r="G9814" s="202" t="str">
        <f t="shared" si="152"/>
        <v/>
      </c>
    </row>
    <row r="9815" spans="1:7" s="172" customFormat="1" ht="15" customHeight="1" x14ac:dyDescent="0.25">
      <c r="A9815" s="803" t="s">
        <v>10487</v>
      </c>
      <c r="B9815" s="803" t="s">
        <v>9817</v>
      </c>
      <c r="C9815" s="803" t="s">
        <v>9817</v>
      </c>
      <c r="D9815" s="803" t="s">
        <v>10488</v>
      </c>
      <c r="E9815" s="803">
        <v>100</v>
      </c>
      <c r="F9815" s="803">
        <v>0</v>
      </c>
      <c r="G9815" s="202" t="str">
        <f t="shared" si="152"/>
        <v/>
      </c>
    </row>
    <row r="9816" spans="1:7" s="172" customFormat="1" ht="15" customHeight="1" x14ac:dyDescent="0.25">
      <c r="A9816" s="803" t="s">
        <v>10487</v>
      </c>
      <c r="B9816" s="803" t="s">
        <v>9817</v>
      </c>
      <c r="C9816" s="803" t="s">
        <v>9817</v>
      </c>
      <c r="D9816" s="803" t="s">
        <v>10489</v>
      </c>
      <c r="E9816" s="803">
        <v>100</v>
      </c>
      <c r="F9816" s="803">
        <v>19</v>
      </c>
      <c r="G9816" s="202" t="str">
        <f t="shared" si="152"/>
        <v/>
      </c>
    </row>
    <row r="9817" spans="1:7" s="172" customFormat="1" ht="15" customHeight="1" x14ac:dyDescent="0.25">
      <c r="A9817" s="803" t="s">
        <v>10487</v>
      </c>
      <c r="B9817" s="803" t="s">
        <v>9817</v>
      </c>
      <c r="C9817" s="803" t="s">
        <v>9817</v>
      </c>
      <c r="D9817" s="803" t="s">
        <v>10490</v>
      </c>
      <c r="E9817" s="803">
        <v>100</v>
      </c>
      <c r="F9817" s="803">
        <v>60</v>
      </c>
      <c r="G9817" s="202" t="str">
        <f t="shared" si="152"/>
        <v/>
      </c>
    </row>
    <row r="9818" spans="1:7" s="172" customFormat="1" ht="15" customHeight="1" x14ac:dyDescent="0.25">
      <c r="A9818" s="803" t="s">
        <v>16960</v>
      </c>
      <c r="B9818" s="803" t="s">
        <v>9817</v>
      </c>
      <c r="C9818" s="803" t="s">
        <v>9817</v>
      </c>
      <c r="D9818" s="803" t="s">
        <v>10491</v>
      </c>
      <c r="E9818" s="803">
        <v>100</v>
      </c>
      <c r="F9818" s="803">
        <v>75</v>
      </c>
      <c r="G9818" s="202" t="str">
        <f t="shared" si="152"/>
        <v/>
      </c>
    </row>
    <row r="9819" spans="1:7" s="172" customFormat="1" ht="15" customHeight="1" x14ac:dyDescent="0.25">
      <c r="A9819" s="803" t="s">
        <v>16961</v>
      </c>
      <c r="B9819" s="803" t="s">
        <v>9817</v>
      </c>
      <c r="C9819" s="803" t="s">
        <v>9817</v>
      </c>
      <c r="D9819" s="803" t="s">
        <v>10492</v>
      </c>
      <c r="E9819" s="803">
        <v>100</v>
      </c>
      <c r="F9819" s="803">
        <v>60</v>
      </c>
      <c r="G9819" s="202" t="str">
        <f t="shared" si="152"/>
        <v/>
      </c>
    </row>
    <row r="9820" spans="1:7" s="172" customFormat="1" ht="15" customHeight="1" x14ac:dyDescent="0.25">
      <c r="A9820" s="803" t="s">
        <v>10493</v>
      </c>
      <c r="B9820" s="803" t="s">
        <v>9817</v>
      </c>
      <c r="C9820" s="803" t="s">
        <v>9817</v>
      </c>
      <c r="D9820" s="803" t="s">
        <v>10494</v>
      </c>
      <c r="E9820" s="803">
        <v>30</v>
      </c>
      <c r="F9820" s="803">
        <v>22</v>
      </c>
      <c r="G9820" s="202" t="str">
        <f t="shared" si="152"/>
        <v/>
      </c>
    </row>
    <row r="9821" spans="1:7" s="172" customFormat="1" ht="15" customHeight="1" x14ac:dyDescent="0.25">
      <c r="A9821" s="803" t="s">
        <v>16962</v>
      </c>
      <c r="B9821" s="803" t="s">
        <v>9817</v>
      </c>
      <c r="C9821" s="803" t="s">
        <v>9817</v>
      </c>
      <c r="D9821" s="803" t="s">
        <v>10495</v>
      </c>
      <c r="E9821" s="803">
        <v>30</v>
      </c>
      <c r="F9821" s="803">
        <v>20</v>
      </c>
      <c r="G9821" s="202" t="str">
        <f t="shared" ref="G9821:G9884" si="153">IF(E9821=F9821,"не загружен","")</f>
        <v/>
      </c>
    </row>
    <row r="9822" spans="1:7" s="172" customFormat="1" ht="15" customHeight="1" x14ac:dyDescent="0.25">
      <c r="A9822" s="803" t="s">
        <v>16963</v>
      </c>
      <c r="B9822" s="803" t="s">
        <v>9817</v>
      </c>
      <c r="C9822" s="803" t="s">
        <v>9817</v>
      </c>
      <c r="D9822" s="803" t="s">
        <v>10496</v>
      </c>
      <c r="E9822" s="803">
        <v>30</v>
      </c>
      <c r="F9822" s="803">
        <v>21</v>
      </c>
      <c r="G9822" s="202" t="str">
        <f t="shared" si="153"/>
        <v/>
      </c>
    </row>
    <row r="9823" spans="1:7" s="172" customFormat="1" ht="15" customHeight="1" x14ac:dyDescent="0.25">
      <c r="A9823" s="803" t="s">
        <v>16964</v>
      </c>
      <c r="B9823" s="803" t="s">
        <v>9817</v>
      </c>
      <c r="C9823" s="803" t="s">
        <v>9817</v>
      </c>
      <c r="D9823" s="803" t="s">
        <v>10497</v>
      </c>
      <c r="E9823" s="803">
        <v>400</v>
      </c>
      <c r="F9823" s="803">
        <v>310</v>
      </c>
      <c r="G9823" s="202" t="str">
        <f t="shared" si="153"/>
        <v/>
      </c>
    </row>
    <row r="9824" spans="1:7" s="172" customFormat="1" ht="15" customHeight="1" x14ac:dyDescent="0.25">
      <c r="A9824" s="803" t="s">
        <v>20169</v>
      </c>
      <c r="B9824" s="803" t="s">
        <v>9817</v>
      </c>
      <c r="C9824" s="803" t="s">
        <v>9817</v>
      </c>
      <c r="D9824" s="803" t="s">
        <v>20170</v>
      </c>
      <c r="E9824" s="803">
        <v>160</v>
      </c>
      <c r="F9824" s="803">
        <v>20</v>
      </c>
      <c r="G9824" s="202" t="str">
        <f t="shared" si="153"/>
        <v/>
      </c>
    </row>
    <row r="9825" spans="1:7" s="172" customFormat="1" ht="15" customHeight="1" x14ac:dyDescent="0.25">
      <c r="A9825" s="803" t="s">
        <v>20169</v>
      </c>
      <c r="B9825" s="803" t="s">
        <v>9817</v>
      </c>
      <c r="C9825" s="803" t="s">
        <v>9817</v>
      </c>
      <c r="D9825" s="803" t="s">
        <v>20171</v>
      </c>
      <c r="E9825" s="803">
        <v>160</v>
      </c>
      <c r="F9825" s="803">
        <v>18</v>
      </c>
      <c r="G9825" s="202" t="str">
        <f t="shared" si="153"/>
        <v/>
      </c>
    </row>
    <row r="9826" spans="1:7" s="172" customFormat="1" ht="15" customHeight="1" x14ac:dyDescent="0.25">
      <c r="A9826" s="803" t="s">
        <v>3677</v>
      </c>
      <c r="B9826" s="803" t="s">
        <v>9817</v>
      </c>
      <c r="C9826" s="803" t="s">
        <v>9817</v>
      </c>
      <c r="D9826" s="803" t="s">
        <v>20172</v>
      </c>
      <c r="E9826" s="803">
        <v>63</v>
      </c>
      <c r="F9826" s="803">
        <v>24</v>
      </c>
      <c r="G9826" s="202" t="str">
        <f t="shared" si="153"/>
        <v/>
      </c>
    </row>
    <row r="9827" spans="1:7" s="172" customFormat="1" ht="15" customHeight="1" x14ac:dyDescent="0.25">
      <c r="A9827" s="803" t="s">
        <v>4834</v>
      </c>
      <c r="B9827" s="803" t="s">
        <v>9817</v>
      </c>
      <c r="C9827" s="803" t="s">
        <v>9817</v>
      </c>
      <c r="D9827" s="803" t="s">
        <v>16965</v>
      </c>
      <c r="E9827" s="803">
        <v>400</v>
      </c>
      <c r="F9827" s="803">
        <v>18</v>
      </c>
      <c r="G9827" s="202" t="str">
        <f t="shared" si="153"/>
        <v/>
      </c>
    </row>
    <row r="9828" spans="1:7" s="172" customFormat="1" ht="15" customHeight="1" x14ac:dyDescent="0.25">
      <c r="A9828" s="803" t="s">
        <v>16844</v>
      </c>
      <c r="B9828" s="803" t="s">
        <v>9817</v>
      </c>
      <c r="C9828" s="803" t="s">
        <v>9817</v>
      </c>
      <c r="D9828" s="803" t="s">
        <v>18948</v>
      </c>
      <c r="E9828" s="803">
        <v>250</v>
      </c>
      <c r="F9828" s="803">
        <v>50</v>
      </c>
      <c r="G9828" s="202" t="str">
        <f t="shared" si="153"/>
        <v/>
      </c>
    </row>
    <row r="9829" spans="1:7" s="172" customFormat="1" ht="15" customHeight="1" x14ac:dyDescent="0.25">
      <c r="A9829" s="803" t="s">
        <v>16844</v>
      </c>
      <c r="B9829" s="803" t="s">
        <v>9817</v>
      </c>
      <c r="C9829" s="803" t="s">
        <v>9817</v>
      </c>
      <c r="D9829" s="803" t="s">
        <v>20173</v>
      </c>
      <c r="E9829" s="803">
        <v>250</v>
      </c>
      <c r="F9829" s="803">
        <v>45</v>
      </c>
      <c r="G9829" s="202" t="str">
        <f t="shared" si="153"/>
        <v/>
      </c>
    </row>
    <row r="9830" spans="1:7" s="172" customFormat="1" ht="15" customHeight="1" x14ac:dyDescent="0.25">
      <c r="A9830" s="803" t="s">
        <v>20174</v>
      </c>
      <c r="B9830" s="803" t="s">
        <v>9817</v>
      </c>
      <c r="C9830" s="803" t="s">
        <v>9817</v>
      </c>
      <c r="D9830" s="803" t="s">
        <v>20175</v>
      </c>
      <c r="E9830" s="803">
        <v>400</v>
      </c>
      <c r="F9830" s="803">
        <v>320</v>
      </c>
      <c r="G9830" s="202" t="str">
        <f t="shared" si="153"/>
        <v/>
      </c>
    </row>
    <row r="9831" spans="1:7" s="172" customFormat="1" ht="15" customHeight="1" x14ac:dyDescent="0.25">
      <c r="A9831" s="803" t="s">
        <v>9821</v>
      </c>
      <c r="B9831" s="803" t="s">
        <v>9817</v>
      </c>
      <c r="C9831" s="803" t="s">
        <v>9817</v>
      </c>
      <c r="D9831" s="803" t="s">
        <v>20176</v>
      </c>
      <c r="E9831" s="803">
        <v>160</v>
      </c>
      <c r="F9831" s="803">
        <v>24</v>
      </c>
      <c r="G9831" s="202" t="str">
        <f t="shared" si="153"/>
        <v/>
      </c>
    </row>
    <row r="9832" spans="1:7" s="172" customFormat="1" ht="15" customHeight="1" x14ac:dyDescent="0.25">
      <c r="A9832" s="803" t="s">
        <v>4834</v>
      </c>
      <c r="B9832" s="803" t="s">
        <v>9817</v>
      </c>
      <c r="C9832" s="803" t="s">
        <v>9817</v>
      </c>
      <c r="D9832" s="803" t="s">
        <v>18207</v>
      </c>
      <c r="E9832" s="803">
        <v>100</v>
      </c>
      <c r="F9832" s="803">
        <v>60</v>
      </c>
      <c r="G9832" s="202" t="str">
        <f t="shared" si="153"/>
        <v/>
      </c>
    </row>
    <row r="9833" spans="1:7" s="172" customFormat="1" ht="15" customHeight="1" x14ac:dyDescent="0.25">
      <c r="A9833" s="803" t="s">
        <v>20177</v>
      </c>
      <c r="B9833" s="803" t="s">
        <v>9817</v>
      </c>
      <c r="C9833" s="803" t="s">
        <v>9817</v>
      </c>
      <c r="D9833" s="803" t="s">
        <v>20178</v>
      </c>
      <c r="E9833" s="803">
        <v>160</v>
      </c>
      <c r="F9833" s="803">
        <v>42</v>
      </c>
      <c r="G9833" s="202" t="str">
        <f t="shared" si="153"/>
        <v/>
      </c>
    </row>
    <row r="9834" spans="1:7" s="172" customFormat="1" ht="15" customHeight="1" x14ac:dyDescent="0.25">
      <c r="A9834" s="803" t="s">
        <v>3120</v>
      </c>
      <c r="B9834" s="803" t="s">
        <v>9817</v>
      </c>
      <c r="C9834" s="803" t="s">
        <v>9817</v>
      </c>
      <c r="D9834" s="803" t="s">
        <v>18205</v>
      </c>
      <c r="E9834" s="803">
        <v>100</v>
      </c>
      <c r="F9834" s="803">
        <v>25</v>
      </c>
      <c r="G9834" s="202" t="str">
        <f t="shared" si="153"/>
        <v/>
      </c>
    </row>
    <row r="9835" spans="1:7" s="172" customFormat="1" ht="15" customHeight="1" x14ac:dyDescent="0.25">
      <c r="A9835" s="803" t="s">
        <v>3120</v>
      </c>
      <c r="B9835" s="803" t="s">
        <v>9817</v>
      </c>
      <c r="C9835" s="803" t="s">
        <v>9817</v>
      </c>
      <c r="D9835" s="803" t="s">
        <v>18206</v>
      </c>
      <c r="E9835" s="803">
        <v>100</v>
      </c>
      <c r="F9835" s="803">
        <v>40</v>
      </c>
      <c r="G9835" s="202" t="str">
        <f t="shared" si="153"/>
        <v/>
      </c>
    </row>
    <row r="9836" spans="1:7" s="172" customFormat="1" ht="15" customHeight="1" x14ac:dyDescent="0.25">
      <c r="A9836" s="803" t="s">
        <v>3545</v>
      </c>
      <c r="B9836" s="803" t="s">
        <v>9817</v>
      </c>
      <c r="C9836" s="803" t="s">
        <v>9817</v>
      </c>
      <c r="D9836" s="803" t="s">
        <v>20179</v>
      </c>
      <c r="E9836" s="803">
        <v>100</v>
      </c>
      <c r="F9836" s="803">
        <v>29</v>
      </c>
      <c r="G9836" s="202" t="str">
        <f t="shared" si="153"/>
        <v/>
      </c>
    </row>
    <row r="9837" spans="1:7" s="172" customFormat="1" ht="15" customHeight="1" x14ac:dyDescent="0.25">
      <c r="A9837" s="803" t="s">
        <v>18208</v>
      </c>
      <c r="B9837" s="803" t="s">
        <v>9817</v>
      </c>
      <c r="C9837" s="803" t="s">
        <v>9817</v>
      </c>
      <c r="D9837" s="803" t="s">
        <v>18209</v>
      </c>
      <c r="E9837" s="803">
        <v>160</v>
      </c>
      <c r="F9837" s="803">
        <v>40</v>
      </c>
      <c r="G9837" s="202" t="str">
        <f t="shared" si="153"/>
        <v/>
      </c>
    </row>
    <row r="9838" spans="1:7" s="172" customFormat="1" ht="15" customHeight="1" x14ac:dyDescent="0.25">
      <c r="A9838" s="803" t="s">
        <v>16943</v>
      </c>
      <c r="B9838" s="803" t="s">
        <v>9817</v>
      </c>
      <c r="C9838" s="803" t="s">
        <v>9817</v>
      </c>
      <c r="D9838" s="803" t="s">
        <v>20180</v>
      </c>
      <c r="E9838" s="803">
        <v>63</v>
      </c>
      <c r="F9838" s="803">
        <v>30</v>
      </c>
      <c r="G9838" s="202" t="str">
        <f t="shared" si="153"/>
        <v/>
      </c>
    </row>
    <row r="9839" spans="1:7" s="172" customFormat="1" ht="15" customHeight="1" x14ac:dyDescent="0.25">
      <c r="A9839" s="803" t="s">
        <v>19178</v>
      </c>
      <c r="B9839" s="803" t="s">
        <v>9817</v>
      </c>
      <c r="C9839" s="803" t="s">
        <v>9817</v>
      </c>
      <c r="D9839" s="803" t="s">
        <v>20181</v>
      </c>
      <c r="E9839" s="803">
        <v>160</v>
      </c>
      <c r="F9839" s="803">
        <v>50</v>
      </c>
      <c r="G9839" s="202" t="str">
        <f t="shared" si="153"/>
        <v/>
      </c>
    </row>
    <row r="9840" spans="1:7" s="172" customFormat="1" ht="15" customHeight="1" x14ac:dyDescent="0.25">
      <c r="A9840" s="803" t="s">
        <v>20182</v>
      </c>
      <c r="B9840" s="803" t="s">
        <v>9817</v>
      </c>
      <c r="C9840" s="803" t="s">
        <v>9817</v>
      </c>
      <c r="D9840" s="803" t="s">
        <v>20183</v>
      </c>
      <c r="E9840" s="803">
        <v>160</v>
      </c>
      <c r="F9840" s="803">
        <v>90</v>
      </c>
      <c r="G9840" s="202" t="str">
        <f t="shared" si="153"/>
        <v/>
      </c>
    </row>
    <row r="9841" spans="1:7" s="172" customFormat="1" ht="15" customHeight="1" x14ac:dyDescent="0.25">
      <c r="A9841" s="803" t="s">
        <v>20184</v>
      </c>
      <c r="B9841" s="803" t="s">
        <v>9817</v>
      </c>
      <c r="C9841" s="803" t="s">
        <v>9817</v>
      </c>
      <c r="D9841" s="803" t="s">
        <v>20185</v>
      </c>
      <c r="E9841" s="803">
        <v>63</v>
      </c>
      <c r="F9841" s="803">
        <v>23</v>
      </c>
      <c r="G9841" s="202" t="str">
        <f t="shared" si="153"/>
        <v/>
      </c>
    </row>
    <row r="9842" spans="1:7" s="172" customFormat="1" ht="15" customHeight="1" x14ac:dyDescent="0.25">
      <c r="A9842" s="803" t="s">
        <v>5028</v>
      </c>
      <c r="B9842" s="803" t="s">
        <v>9817</v>
      </c>
      <c r="C9842" s="803" t="s">
        <v>9817</v>
      </c>
      <c r="D9842" s="803" t="s">
        <v>20186</v>
      </c>
      <c r="E9842" s="803">
        <v>63</v>
      </c>
      <c r="F9842" s="803">
        <v>31</v>
      </c>
      <c r="G9842" s="202" t="str">
        <f t="shared" si="153"/>
        <v/>
      </c>
    </row>
    <row r="9843" spans="1:7" s="172" customFormat="1" ht="15" customHeight="1" x14ac:dyDescent="0.25">
      <c r="A9843" s="803" t="s">
        <v>2557</v>
      </c>
      <c r="B9843" s="803" t="s">
        <v>7913</v>
      </c>
      <c r="C9843" s="803" t="s">
        <v>7913</v>
      </c>
      <c r="D9843" s="803" t="s">
        <v>7479</v>
      </c>
      <c r="E9843" s="803">
        <v>160</v>
      </c>
      <c r="F9843" s="803">
        <v>100</v>
      </c>
      <c r="G9843" s="202" t="str">
        <f t="shared" si="153"/>
        <v/>
      </c>
    </row>
    <row r="9844" spans="1:7" s="172" customFormat="1" ht="15" customHeight="1" x14ac:dyDescent="0.25">
      <c r="A9844" s="803" t="s">
        <v>7480</v>
      </c>
      <c r="B9844" s="803" t="s">
        <v>7913</v>
      </c>
      <c r="C9844" s="803" t="s">
        <v>7913</v>
      </c>
      <c r="D9844" s="803" t="s">
        <v>7481</v>
      </c>
      <c r="E9844" s="803">
        <v>60</v>
      </c>
      <c r="F9844" s="803">
        <v>2</v>
      </c>
      <c r="G9844" s="202" t="str">
        <f t="shared" si="153"/>
        <v/>
      </c>
    </row>
    <row r="9845" spans="1:7" s="172" customFormat="1" ht="15" customHeight="1" x14ac:dyDescent="0.25">
      <c r="A9845" s="803" t="s">
        <v>7480</v>
      </c>
      <c r="B9845" s="803" t="s">
        <v>7913</v>
      </c>
      <c r="C9845" s="803" t="s">
        <v>7913</v>
      </c>
      <c r="D9845" s="803" t="s">
        <v>7482</v>
      </c>
      <c r="E9845" s="803">
        <v>100</v>
      </c>
      <c r="F9845" s="803">
        <v>10</v>
      </c>
      <c r="G9845" s="202" t="str">
        <f t="shared" si="153"/>
        <v/>
      </c>
    </row>
    <row r="9846" spans="1:7" s="172" customFormat="1" ht="15" customHeight="1" x14ac:dyDescent="0.25">
      <c r="A9846" s="803" t="s">
        <v>7483</v>
      </c>
      <c r="B9846" s="803" t="s">
        <v>7913</v>
      </c>
      <c r="C9846" s="803" t="s">
        <v>7913</v>
      </c>
      <c r="D9846" s="803" t="s">
        <v>7484</v>
      </c>
      <c r="E9846" s="803">
        <v>100</v>
      </c>
      <c r="F9846" s="803">
        <v>10</v>
      </c>
      <c r="G9846" s="202" t="str">
        <f t="shared" si="153"/>
        <v/>
      </c>
    </row>
    <row r="9847" spans="1:7" s="172" customFormat="1" ht="15" customHeight="1" x14ac:dyDescent="0.25">
      <c r="A9847" s="803" t="s">
        <v>7485</v>
      </c>
      <c r="B9847" s="803" t="s">
        <v>7913</v>
      </c>
      <c r="C9847" s="803" t="s">
        <v>7913</v>
      </c>
      <c r="D9847" s="803" t="s">
        <v>7486</v>
      </c>
      <c r="E9847" s="803">
        <v>100</v>
      </c>
      <c r="F9847" s="803">
        <v>30</v>
      </c>
      <c r="G9847" s="202" t="str">
        <f t="shared" si="153"/>
        <v/>
      </c>
    </row>
    <row r="9848" spans="1:7" s="172" customFormat="1" ht="15" customHeight="1" x14ac:dyDescent="0.25">
      <c r="A9848" s="803" t="s">
        <v>7487</v>
      </c>
      <c r="B9848" s="803" t="s">
        <v>7913</v>
      </c>
      <c r="C9848" s="803" t="s">
        <v>7913</v>
      </c>
      <c r="D9848" s="803" t="s">
        <v>7488</v>
      </c>
      <c r="E9848" s="803">
        <v>100</v>
      </c>
      <c r="F9848" s="803">
        <v>2</v>
      </c>
      <c r="G9848" s="202" t="str">
        <f t="shared" si="153"/>
        <v/>
      </c>
    </row>
    <row r="9849" spans="1:7" s="172" customFormat="1" ht="15" customHeight="1" x14ac:dyDescent="0.25">
      <c r="A9849" s="803" t="s">
        <v>7489</v>
      </c>
      <c r="B9849" s="803" t="s">
        <v>7913</v>
      </c>
      <c r="C9849" s="803" t="s">
        <v>7913</v>
      </c>
      <c r="D9849" s="803" t="s">
        <v>7490</v>
      </c>
      <c r="E9849" s="803">
        <v>100</v>
      </c>
      <c r="F9849" s="803">
        <v>2</v>
      </c>
      <c r="G9849" s="202" t="str">
        <f t="shared" si="153"/>
        <v/>
      </c>
    </row>
    <row r="9850" spans="1:7" s="172" customFormat="1" ht="15" customHeight="1" x14ac:dyDescent="0.25">
      <c r="A9850" s="803" t="s">
        <v>7489</v>
      </c>
      <c r="B9850" s="803" t="s">
        <v>7913</v>
      </c>
      <c r="C9850" s="803" t="s">
        <v>7913</v>
      </c>
      <c r="D9850" s="803" t="s">
        <v>7491</v>
      </c>
      <c r="E9850" s="803">
        <v>160</v>
      </c>
      <c r="F9850" s="803">
        <v>5</v>
      </c>
      <c r="G9850" s="202" t="str">
        <f t="shared" si="153"/>
        <v/>
      </c>
    </row>
    <row r="9851" spans="1:7" s="172" customFormat="1" ht="15" customHeight="1" x14ac:dyDescent="0.25">
      <c r="A9851" s="803" t="s">
        <v>7489</v>
      </c>
      <c r="B9851" s="803" t="s">
        <v>7913</v>
      </c>
      <c r="C9851" s="803" t="s">
        <v>7913</v>
      </c>
      <c r="D9851" s="803" t="s">
        <v>7492</v>
      </c>
      <c r="E9851" s="803">
        <v>250</v>
      </c>
      <c r="F9851" s="803">
        <v>150</v>
      </c>
      <c r="G9851" s="202" t="str">
        <f t="shared" si="153"/>
        <v/>
      </c>
    </row>
    <row r="9852" spans="1:7" s="172" customFormat="1" ht="15" customHeight="1" x14ac:dyDescent="0.25">
      <c r="A9852" s="803" t="s">
        <v>7493</v>
      </c>
      <c r="B9852" s="803" t="s">
        <v>7913</v>
      </c>
      <c r="C9852" s="803" t="s">
        <v>7913</v>
      </c>
      <c r="D9852" s="803" t="s">
        <v>7494</v>
      </c>
      <c r="E9852" s="803">
        <v>100</v>
      </c>
      <c r="F9852" s="803">
        <v>40</v>
      </c>
      <c r="G9852" s="202" t="str">
        <f t="shared" si="153"/>
        <v/>
      </c>
    </row>
    <row r="9853" spans="1:7" s="172" customFormat="1" ht="15" customHeight="1" x14ac:dyDescent="0.25">
      <c r="A9853" s="803" t="s">
        <v>7493</v>
      </c>
      <c r="B9853" s="803" t="s">
        <v>7913</v>
      </c>
      <c r="C9853" s="803" t="s">
        <v>7913</v>
      </c>
      <c r="D9853" s="803" t="s">
        <v>7495</v>
      </c>
      <c r="E9853" s="803">
        <v>100</v>
      </c>
      <c r="F9853" s="803">
        <v>60</v>
      </c>
      <c r="G9853" s="202" t="str">
        <f t="shared" si="153"/>
        <v/>
      </c>
    </row>
    <row r="9854" spans="1:7" s="172" customFormat="1" ht="15" customHeight="1" x14ac:dyDescent="0.25">
      <c r="A9854" s="803" t="s">
        <v>7496</v>
      </c>
      <c r="B9854" s="803" t="s">
        <v>7913</v>
      </c>
      <c r="C9854" s="803" t="s">
        <v>7913</v>
      </c>
      <c r="D9854" s="803" t="s">
        <v>7497</v>
      </c>
      <c r="E9854" s="803">
        <v>63</v>
      </c>
      <c r="F9854" s="803">
        <v>1</v>
      </c>
      <c r="G9854" s="202" t="str">
        <f t="shared" si="153"/>
        <v/>
      </c>
    </row>
    <row r="9855" spans="1:7" s="172" customFormat="1" ht="15" customHeight="1" x14ac:dyDescent="0.25">
      <c r="A9855" s="803" t="s">
        <v>7496</v>
      </c>
      <c r="B9855" s="803" t="s">
        <v>7913</v>
      </c>
      <c r="C9855" s="803" t="s">
        <v>7913</v>
      </c>
      <c r="D9855" s="803" t="s">
        <v>7498</v>
      </c>
      <c r="E9855" s="803">
        <v>160</v>
      </c>
      <c r="F9855" s="803">
        <v>150</v>
      </c>
      <c r="G9855" s="202" t="str">
        <f t="shared" si="153"/>
        <v/>
      </c>
    </row>
    <row r="9856" spans="1:7" s="172" customFormat="1" ht="15" customHeight="1" x14ac:dyDescent="0.25">
      <c r="A9856" s="803" t="s">
        <v>7499</v>
      </c>
      <c r="B9856" s="803" t="s">
        <v>7913</v>
      </c>
      <c r="C9856" s="803" t="s">
        <v>7913</v>
      </c>
      <c r="D9856" s="803" t="s">
        <v>7500</v>
      </c>
      <c r="E9856" s="803">
        <v>100</v>
      </c>
      <c r="F9856" s="803">
        <v>60</v>
      </c>
      <c r="G9856" s="202" t="str">
        <f t="shared" si="153"/>
        <v/>
      </c>
    </row>
    <row r="9857" spans="1:7" s="172" customFormat="1" ht="15" customHeight="1" x14ac:dyDescent="0.25">
      <c r="A9857" s="803" t="s">
        <v>7460</v>
      </c>
      <c r="B9857" s="803" t="s">
        <v>7913</v>
      </c>
      <c r="C9857" s="803" t="s">
        <v>7913</v>
      </c>
      <c r="D9857" s="803" t="s">
        <v>7501</v>
      </c>
      <c r="E9857" s="803">
        <v>63</v>
      </c>
      <c r="F9857" s="803">
        <v>10</v>
      </c>
      <c r="G9857" s="202" t="str">
        <f t="shared" si="153"/>
        <v/>
      </c>
    </row>
    <row r="9858" spans="1:7" s="172" customFormat="1" ht="15" customHeight="1" x14ac:dyDescent="0.25">
      <c r="A9858" s="803" t="s">
        <v>7502</v>
      </c>
      <c r="B9858" s="803" t="s">
        <v>7913</v>
      </c>
      <c r="C9858" s="803" t="s">
        <v>7913</v>
      </c>
      <c r="D9858" s="803" t="s">
        <v>7503</v>
      </c>
      <c r="E9858" s="803">
        <v>30</v>
      </c>
      <c r="F9858" s="803">
        <v>1</v>
      </c>
      <c r="G9858" s="202" t="str">
        <f t="shared" si="153"/>
        <v/>
      </c>
    </row>
    <row r="9859" spans="1:7" s="172" customFormat="1" ht="15" customHeight="1" x14ac:dyDescent="0.25">
      <c r="A9859" s="803" t="s">
        <v>7504</v>
      </c>
      <c r="B9859" s="803" t="s">
        <v>7913</v>
      </c>
      <c r="C9859" s="803" t="s">
        <v>7913</v>
      </c>
      <c r="D9859" s="803" t="s">
        <v>7505</v>
      </c>
      <c r="E9859" s="803">
        <v>100</v>
      </c>
      <c r="F9859" s="803">
        <v>20</v>
      </c>
      <c r="G9859" s="202" t="str">
        <f t="shared" si="153"/>
        <v/>
      </c>
    </row>
    <row r="9860" spans="1:7" s="172" customFormat="1" ht="15" customHeight="1" x14ac:dyDescent="0.25">
      <c r="A9860" s="803" t="s">
        <v>7506</v>
      </c>
      <c r="B9860" s="803" t="s">
        <v>7913</v>
      </c>
      <c r="C9860" s="803" t="s">
        <v>7913</v>
      </c>
      <c r="D9860" s="803" t="s">
        <v>7507</v>
      </c>
      <c r="E9860" s="803">
        <v>60</v>
      </c>
      <c r="F9860" s="803">
        <v>30</v>
      </c>
      <c r="G9860" s="202" t="str">
        <f t="shared" si="153"/>
        <v/>
      </c>
    </row>
    <row r="9861" spans="1:7" s="172" customFormat="1" ht="15" customHeight="1" x14ac:dyDescent="0.25">
      <c r="A9861" s="803" t="s">
        <v>7508</v>
      </c>
      <c r="B9861" s="803" t="s">
        <v>7913</v>
      </c>
      <c r="C9861" s="803" t="s">
        <v>7913</v>
      </c>
      <c r="D9861" s="803" t="s">
        <v>7509</v>
      </c>
      <c r="E9861" s="803">
        <v>160</v>
      </c>
      <c r="F9861" s="803">
        <v>130</v>
      </c>
      <c r="G9861" s="202" t="str">
        <f t="shared" si="153"/>
        <v/>
      </c>
    </row>
    <row r="9862" spans="1:7" s="172" customFormat="1" ht="15" customHeight="1" x14ac:dyDescent="0.25">
      <c r="A9862" s="803" t="s">
        <v>7508</v>
      </c>
      <c r="B9862" s="803" t="s">
        <v>7913</v>
      </c>
      <c r="C9862" s="803" t="s">
        <v>7913</v>
      </c>
      <c r="D9862" s="803" t="s">
        <v>7510</v>
      </c>
      <c r="E9862" s="803">
        <v>100</v>
      </c>
      <c r="F9862" s="803">
        <v>40</v>
      </c>
      <c r="G9862" s="202" t="str">
        <f t="shared" si="153"/>
        <v/>
      </c>
    </row>
    <row r="9863" spans="1:7" s="172" customFormat="1" ht="15" customHeight="1" x14ac:dyDescent="0.25">
      <c r="A9863" s="803" t="s">
        <v>8547</v>
      </c>
      <c r="B9863" s="803" t="s">
        <v>7913</v>
      </c>
      <c r="C9863" s="803" t="s">
        <v>7913</v>
      </c>
      <c r="D9863" s="803" t="s">
        <v>7511</v>
      </c>
      <c r="E9863" s="803">
        <v>40</v>
      </c>
      <c r="F9863" s="803">
        <v>10</v>
      </c>
      <c r="G9863" s="202" t="str">
        <f t="shared" si="153"/>
        <v/>
      </c>
    </row>
    <row r="9864" spans="1:7" s="172" customFormat="1" ht="15" customHeight="1" x14ac:dyDescent="0.25">
      <c r="A9864" s="803" t="s">
        <v>6523</v>
      </c>
      <c r="B9864" s="803" t="s">
        <v>7913</v>
      </c>
      <c r="C9864" s="803" t="s">
        <v>7913</v>
      </c>
      <c r="D9864" s="803" t="s">
        <v>7512</v>
      </c>
      <c r="E9864" s="803">
        <v>10</v>
      </c>
      <c r="F9864" s="803">
        <v>1</v>
      </c>
      <c r="G9864" s="202" t="str">
        <f t="shared" si="153"/>
        <v/>
      </c>
    </row>
    <row r="9865" spans="1:7" s="172" customFormat="1" ht="15" customHeight="1" x14ac:dyDescent="0.25">
      <c r="A9865" s="803" t="s">
        <v>6533</v>
      </c>
      <c r="B9865" s="803" t="s">
        <v>7913</v>
      </c>
      <c r="C9865" s="803" t="s">
        <v>7913</v>
      </c>
      <c r="D9865" s="803" t="s">
        <v>6534</v>
      </c>
      <c r="E9865" s="803">
        <v>160</v>
      </c>
      <c r="F9865" s="803">
        <v>80</v>
      </c>
      <c r="G9865" s="202" t="str">
        <f t="shared" si="153"/>
        <v/>
      </c>
    </row>
    <row r="9866" spans="1:7" s="172" customFormat="1" ht="15" customHeight="1" x14ac:dyDescent="0.25">
      <c r="A9866" s="803" t="s">
        <v>7493</v>
      </c>
      <c r="B9866" s="803" t="s">
        <v>7913</v>
      </c>
      <c r="C9866" s="803" t="s">
        <v>7913</v>
      </c>
      <c r="D9866" s="803" t="s">
        <v>7513</v>
      </c>
      <c r="E9866" s="803">
        <v>100</v>
      </c>
      <c r="F9866" s="803">
        <v>60</v>
      </c>
      <c r="G9866" s="202" t="str">
        <f t="shared" si="153"/>
        <v/>
      </c>
    </row>
    <row r="9867" spans="1:7" s="172" customFormat="1" ht="15" customHeight="1" x14ac:dyDescent="0.25">
      <c r="A9867" s="803" t="s">
        <v>7493</v>
      </c>
      <c r="B9867" s="803" t="s">
        <v>7913</v>
      </c>
      <c r="C9867" s="803" t="s">
        <v>7913</v>
      </c>
      <c r="D9867" s="803" t="s">
        <v>7514</v>
      </c>
      <c r="E9867" s="803">
        <v>100</v>
      </c>
      <c r="F9867" s="803">
        <v>3</v>
      </c>
      <c r="G9867" s="202" t="str">
        <f t="shared" si="153"/>
        <v/>
      </c>
    </row>
    <row r="9868" spans="1:7" s="172" customFormat="1" ht="15" customHeight="1" x14ac:dyDescent="0.25">
      <c r="A9868" s="803" t="s">
        <v>7515</v>
      </c>
      <c r="B9868" s="803" t="s">
        <v>7913</v>
      </c>
      <c r="C9868" s="803" t="s">
        <v>7913</v>
      </c>
      <c r="D9868" s="803" t="s">
        <v>7516</v>
      </c>
      <c r="E9868" s="803">
        <v>60</v>
      </c>
      <c r="F9868" s="803">
        <v>1</v>
      </c>
      <c r="G9868" s="202" t="str">
        <f t="shared" si="153"/>
        <v/>
      </c>
    </row>
    <row r="9869" spans="1:7" s="172" customFormat="1" ht="15" customHeight="1" x14ac:dyDescent="0.25">
      <c r="A9869" s="803" t="s">
        <v>7517</v>
      </c>
      <c r="B9869" s="803" t="s">
        <v>7913</v>
      </c>
      <c r="C9869" s="803" t="s">
        <v>7913</v>
      </c>
      <c r="D9869" s="803" t="s">
        <v>7518</v>
      </c>
      <c r="E9869" s="803">
        <v>250</v>
      </c>
      <c r="F9869" s="803">
        <v>60</v>
      </c>
      <c r="G9869" s="202" t="str">
        <f t="shared" si="153"/>
        <v/>
      </c>
    </row>
    <row r="9870" spans="1:7" s="172" customFormat="1" ht="15" customHeight="1" x14ac:dyDescent="0.25">
      <c r="A9870" s="803" t="s">
        <v>7517</v>
      </c>
      <c r="B9870" s="803" t="s">
        <v>7913</v>
      </c>
      <c r="C9870" s="803" t="s">
        <v>7913</v>
      </c>
      <c r="D9870" s="803" t="s">
        <v>7519</v>
      </c>
      <c r="E9870" s="803">
        <v>160</v>
      </c>
      <c r="F9870" s="803">
        <v>120</v>
      </c>
      <c r="G9870" s="202" t="str">
        <f t="shared" si="153"/>
        <v/>
      </c>
    </row>
    <row r="9871" spans="1:7" s="172" customFormat="1" ht="15" customHeight="1" x14ac:dyDescent="0.25">
      <c r="A9871" s="803" t="s">
        <v>7517</v>
      </c>
      <c r="B9871" s="803" t="s">
        <v>7913</v>
      </c>
      <c r="C9871" s="803" t="s">
        <v>7913</v>
      </c>
      <c r="D9871" s="803" t="s">
        <v>7520</v>
      </c>
      <c r="E9871" s="803">
        <v>400</v>
      </c>
      <c r="F9871" s="803">
        <v>300</v>
      </c>
      <c r="G9871" s="202" t="str">
        <f t="shared" si="153"/>
        <v/>
      </c>
    </row>
    <row r="9872" spans="1:7" s="172" customFormat="1" ht="15" customHeight="1" x14ac:dyDescent="0.25">
      <c r="A9872" s="803" t="s">
        <v>7517</v>
      </c>
      <c r="B9872" s="803" t="s">
        <v>7913</v>
      </c>
      <c r="C9872" s="803" t="s">
        <v>7913</v>
      </c>
      <c r="D9872" s="803" t="s">
        <v>7521</v>
      </c>
      <c r="E9872" s="803">
        <v>160</v>
      </c>
      <c r="F9872" s="803">
        <v>20</v>
      </c>
      <c r="G9872" s="202" t="str">
        <f t="shared" si="153"/>
        <v/>
      </c>
    </row>
    <row r="9873" spans="1:7" s="172" customFormat="1" ht="15" customHeight="1" x14ac:dyDescent="0.25">
      <c r="A9873" s="803" t="s">
        <v>7517</v>
      </c>
      <c r="B9873" s="803" t="s">
        <v>7913</v>
      </c>
      <c r="C9873" s="803" t="s">
        <v>7913</v>
      </c>
      <c r="D9873" s="803" t="s">
        <v>7522</v>
      </c>
      <c r="E9873" s="803">
        <v>160</v>
      </c>
      <c r="F9873" s="803">
        <v>40</v>
      </c>
      <c r="G9873" s="202" t="str">
        <f t="shared" si="153"/>
        <v/>
      </c>
    </row>
    <row r="9874" spans="1:7" s="172" customFormat="1" ht="15" customHeight="1" x14ac:dyDescent="0.25">
      <c r="A9874" s="803" t="s">
        <v>7517</v>
      </c>
      <c r="B9874" s="803" t="s">
        <v>7913</v>
      </c>
      <c r="C9874" s="803" t="s">
        <v>7913</v>
      </c>
      <c r="D9874" s="803" t="s">
        <v>7523</v>
      </c>
      <c r="E9874" s="803">
        <v>100</v>
      </c>
      <c r="F9874" s="803">
        <v>30</v>
      </c>
      <c r="G9874" s="202" t="str">
        <f t="shared" si="153"/>
        <v/>
      </c>
    </row>
    <row r="9875" spans="1:7" s="172" customFormat="1" ht="15" customHeight="1" x14ac:dyDescent="0.25">
      <c r="A9875" s="803" t="s">
        <v>7517</v>
      </c>
      <c r="B9875" s="803" t="s">
        <v>7913</v>
      </c>
      <c r="C9875" s="803" t="s">
        <v>7913</v>
      </c>
      <c r="D9875" s="803" t="s">
        <v>7524</v>
      </c>
      <c r="E9875" s="803">
        <v>60</v>
      </c>
      <c r="F9875" s="803">
        <v>3</v>
      </c>
      <c r="G9875" s="202" t="str">
        <f t="shared" si="153"/>
        <v/>
      </c>
    </row>
    <row r="9876" spans="1:7" s="172" customFormat="1" ht="15" customHeight="1" x14ac:dyDescent="0.25">
      <c r="A9876" s="803" t="s">
        <v>7517</v>
      </c>
      <c r="B9876" s="803" t="s">
        <v>7913</v>
      </c>
      <c r="C9876" s="803" t="s">
        <v>7913</v>
      </c>
      <c r="D9876" s="803" t="s">
        <v>7525</v>
      </c>
      <c r="E9876" s="803">
        <v>100</v>
      </c>
      <c r="F9876" s="803">
        <v>50</v>
      </c>
      <c r="G9876" s="202" t="str">
        <f t="shared" si="153"/>
        <v/>
      </c>
    </row>
    <row r="9877" spans="1:7" s="172" customFormat="1" ht="15" customHeight="1" x14ac:dyDescent="0.25">
      <c r="A9877" s="803" t="s">
        <v>7526</v>
      </c>
      <c r="B9877" s="803" t="s">
        <v>7913</v>
      </c>
      <c r="C9877" s="803" t="s">
        <v>7913</v>
      </c>
      <c r="D9877" s="803" t="s">
        <v>7527</v>
      </c>
      <c r="E9877" s="803">
        <v>160</v>
      </c>
      <c r="F9877" s="803">
        <v>40</v>
      </c>
      <c r="G9877" s="202" t="str">
        <f t="shared" si="153"/>
        <v/>
      </c>
    </row>
    <row r="9878" spans="1:7" s="172" customFormat="1" ht="15" customHeight="1" x14ac:dyDescent="0.25">
      <c r="A9878" s="803" t="s">
        <v>12596</v>
      </c>
      <c r="B9878" s="803" t="s">
        <v>7913</v>
      </c>
      <c r="C9878" s="803" t="s">
        <v>7913</v>
      </c>
      <c r="D9878" s="803" t="s">
        <v>7528</v>
      </c>
      <c r="E9878" s="803">
        <v>100</v>
      </c>
      <c r="F9878" s="803">
        <v>40</v>
      </c>
      <c r="G9878" s="202" t="str">
        <f t="shared" si="153"/>
        <v/>
      </c>
    </row>
    <row r="9879" spans="1:7" s="172" customFormat="1" ht="15" customHeight="1" x14ac:dyDescent="0.25">
      <c r="A9879" s="803" t="s">
        <v>7529</v>
      </c>
      <c r="B9879" s="803" t="s">
        <v>7913</v>
      </c>
      <c r="C9879" s="803" t="s">
        <v>7913</v>
      </c>
      <c r="D9879" s="803" t="s">
        <v>7530</v>
      </c>
      <c r="E9879" s="803">
        <v>30</v>
      </c>
      <c r="F9879" s="803">
        <v>1</v>
      </c>
      <c r="G9879" s="202" t="str">
        <f t="shared" si="153"/>
        <v/>
      </c>
    </row>
    <row r="9880" spans="1:7" s="172" customFormat="1" ht="15" customHeight="1" x14ac:dyDescent="0.25">
      <c r="A9880" s="803" t="s">
        <v>4822</v>
      </c>
      <c r="B9880" s="803" t="s">
        <v>7913</v>
      </c>
      <c r="C9880" s="803" t="s">
        <v>7913</v>
      </c>
      <c r="D9880" s="803" t="s">
        <v>7531</v>
      </c>
      <c r="E9880" s="803">
        <v>60</v>
      </c>
      <c r="F9880" s="803">
        <v>1</v>
      </c>
      <c r="G9880" s="202" t="str">
        <f t="shared" si="153"/>
        <v/>
      </c>
    </row>
    <row r="9881" spans="1:7" s="172" customFormat="1" ht="15" customHeight="1" x14ac:dyDescent="0.25">
      <c r="A9881" s="803" t="s">
        <v>7532</v>
      </c>
      <c r="B9881" s="803" t="s">
        <v>7913</v>
      </c>
      <c r="C9881" s="803" t="s">
        <v>7913</v>
      </c>
      <c r="D9881" s="803" t="s">
        <v>7533</v>
      </c>
      <c r="E9881" s="803">
        <v>180</v>
      </c>
      <c r="F9881" s="803">
        <v>50</v>
      </c>
      <c r="G9881" s="202" t="str">
        <f t="shared" si="153"/>
        <v/>
      </c>
    </row>
    <row r="9882" spans="1:7" s="172" customFormat="1" ht="15" customHeight="1" x14ac:dyDescent="0.25">
      <c r="A9882" s="803" t="s">
        <v>7532</v>
      </c>
      <c r="B9882" s="803" t="s">
        <v>7913</v>
      </c>
      <c r="C9882" s="803" t="s">
        <v>7913</v>
      </c>
      <c r="D9882" s="803" t="s">
        <v>7534</v>
      </c>
      <c r="E9882" s="803">
        <v>100</v>
      </c>
      <c r="F9882" s="803">
        <v>30</v>
      </c>
      <c r="G9882" s="202" t="str">
        <f t="shared" si="153"/>
        <v/>
      </c>
    </row>
    <row r="9883" spans="1:7" s="172" customFormat="1" ht="15" customHeight="1" x14ac:dyDescent="0.25">
      <c r="A9883" s="803" t="s">
        <v>7532</v>
      </c>
      <c r="B9883" s="803" t="s">
        <v>7913</v>
      </c>
      <c r="C9883" s="803" t="s">
        <v>7913</v>
      </c>
      <c r="D9883" s="803" t="s">
        <v>7535</v>
      </c>
      <c r="E9883" s="803">
        <v>250</v>
      </c>
      <c r="F9883" s="803">
        <v>100</v>
      </c>
      <c r="G9883" s="202" t="str">
        <f t="shared" si="153"/>
        <v/>
      </c>
    </row>
    <row r="9884" spans="1:7" s="172" customFormat="1" ht="15" customHeight="1" x14ac:dyDescent="0.25">
      <c r="A9884" s="803" t="s">
        <v>7532</v>
      </c>
      <c r="B9884" s="803" t="s">
        <v>7913</v>
      </c>
      <c r="C9884" s="803" t="s">
        <v>7913</v>
      </c>
      <c r="D9884" s="803" t="s">
        <v>7536</v>
      </c>
      <c r="E9884" s="803">
        <v>250</v>
      </c>
      <c r="F9884" s="803">
        <v>120</v>
      </c>
      <c r="G9884" s="202" t="str">
        <f t="shared" si="153"/>
        <v/>
      </c>
    </row>
    <row r="9885" spans="1:7" s="172" customFormat="1" ht="15" customHeight="1" x14ac:dyDescent="0.25">
      <c r="A9885" s="803" t="s">
        <v>7532</v>
      </c>
      <c r="B9885" s="803" t="s">
        <v>7913</v>
      </c>
      <c r="C9885" s="803" t="s">
        <v>7913</v>
      </c>
      <c r="D9885" s="803" t="s">
        <v>7537</v>
      </c>
      <c r="E9885" s="803">
        <v>250</v>
      </c>
      <c r="F9885" s="803">
        <v>210</v>
      </c>
      <c r="G9885" s="202" t="str">
        <f t="shared" ref="G9885:G9948" si="154">IF(E9885=F9885,"не загружен","")</f>
        <v/>
      </c>
    </row>
    <row r="9886" spans="1:7" s="172" customFormat="1" ht="15" customHeight="1" x14ac:dyDescent="0.25">
      <c r="A9886" s="803" t="s">
        <v>7532</v>
      </c>
      <c r="B9886" s="803" t="s">
        <v>7913</v>
      </c>
      <c r="C9886" s="803" t="s">
        <v>7913</v>
      </c>
      <c r="D9886" s="803" t="s">
        <v>7538</v>
      </c>
      <c r="E9886" s="803">
        <v>160</v>
      </c>
      <c r="F9886" s="803">
        <v>50</v>
      </c>
      <c r="G9886" s="202" t="str">
        <f t="shared" si="154"/>
        <v/>
      </c>
    </row>
    <row r="9887" spans="1:7" s="172" customFormat="1" ht="15" customHeight="1" x14ac:dyDescent="0.25">
      <c r="A9887" s="803" t="s">
        <v>7532</v>
      </c>
      <c r="B9887" s="803" t="s">
        <v>7913</v>
      </c>
      <c r="C9887" s="803" t="s">
        <v>7913</v>
      </c>
      <c r="D9887" s="803" t="s">
        <v>7539</v>
      </c>
      <c r="E9887" s="803">
        <v>30</v>
      </c>
      <c r="F9887" s="803">
        <v>15</v>
      </c>
      <c r="G9887" s="202" t="str">
        <f t="shared" si="154"/>
        <v/>
      </c>
    </row>
    <row r="9888" spans="1:7" s="172" customFormat="1" ht="15" customHeight="1" x14ac:dyDescent="0.25">
      <c r="A9888" s="803" t="s">
        <v>3943</v>
      </c>
      <c r="B9888" s="803" t="s">
        <v>7913</v>
      </c>
      <c r="C9888" s="803" t="s">
        <v>7913</v>
      </c>
      <c r="D9888" s="803" t="s">
        <v>7540</v>
      </c>
      <c r="E9888" s="803">
        <v>250</v>
      </c>
      <c r="F9888" s="803">
        <v>230</v>
      </c>
      <c r="G9888" s="202" t="str">
        <f t="shared" si="154"/>
        <v/>
      </c>
    </row>
    <row r="9889" spans="1:7" s="172" customFormat="1" ht="15" customHeight="1" x14ac:dyDescent="0.25">
      <c r="A9889" s="803" t="s">
        <v>7541</v>
      </c>
      <c r="B9889" s="803" t="s">
        <v>7913</v>
      </c>
      <c r="C9889" s="803" t="s">
        <v>7913</v>
      </c>
      <c r="D9889" s="803" t="s">
        <v>7542</v>
      </c>
      <c r="E9889" s="803">
        <v>60</v>
      </c>
      <c r="F9889" s="803">
        <v>20</v>
      </c>
      <c r="G9889" s="202" t="str">
        <f t="shared" si="154"/>
        <v/>
      </c>
    </row>
    <row r="9890" spans="1:7" s="172" customFormat="1" ht="15" customHeight="1" x14ac:dyDescent="0.25">
      <c r="A9890" s="803" t="s">
        <v>4880</v>
      </c>
      <c r="B9890" s="803" t="s">
        <v>7913</v>
      </c>
      <c r="C9890" s="803" t="s">
        <v>7913</v>
      </c>
      <c r="D9890" s="803" t="s">
        <v>7543</v>
      </c>
      <c r="E9890" s="803">
        <v>160</v>
      </c>
      <c r="F9890" s="803">
        <v>1</v>
      </c>
      <c r="G9890" s="202" t="str">
        <f t="shared" si="154"/>
        <v/>
      </c>
    </row>
    <row r="9891" spans="1:7" s="172" customFormat="1" ht="15" customHeight="1" x14ac:dyDescent="0.25">
      <c r="A9891" s="803" t="s">
        <v>7768</v>
      </c>
      <c r="B9891" s="803" t="s">
        <v>7913</v>
      </c>
      <c r="C9891" s="803" t="s">
        <v>7913</v>
      </c>
      <c r="D9891" s="803" t="s">
        <v>7544</v>
      </c>
      <c r="E9891" s="803">
        <v>250</v>
      </c>
      <c r="F9891" s="803">
        <v>1</v>
      </c>
      <c r="G9891" s="202" t="str">
        <f t="shared" si="154"/>
        <v/>
      </c>
    </row>
    <row r="9892" spans="1:7" s="172" customFormat="1" ht="15" customHeight="1" x14ac:dyDescent="0.25">
      <c r="A9892" s="803" t="s">
        <v>7768</v>
      </c>
      <c r="B9892" s="803" t="s">
        <v>7913</v>
      </c>
      <c r="C9892" s="803" t="s">
        <v>7913</v>
      </c>
      <c r="D9892" s="803" t="s">
        <v>7545</v>
      </c>
      <c r="E9892" s="803">
        <v>250</v>
      </c>
      <c r="F9892" s="803">
        <v>100</v>
      </c>
      <c r="G9892" s="202" t="str">
        <f t="shared" si="154"/>
        <v/>
      </c>
    </row>
    <row r="9893" spans="1:7" s="172" customFormat="1" ht="15" customHeight="1" x14ac:dyDescent="0.25">
      <c r="A9893" s="803" t="s">
        <v>7546</v>
      </c>
      <c r="B9893" s="803" t="s">
        <v>7913</v>
      </c>
      <c r="C9893" s="803" t="s">
        <v>7913</v>
      </c>
      <c r="D9893" s="803" t="s">
        <v>7547</v>
      </c>
      <c r="E9893" s="803">
        <v>20</v>
      </c>
      <c r="F9893" s="803">
        <v>2</v>
      </c>
      <c r="G9893" s="202" t="str">
        <f t="shared" si="154"/>
        <v/>
      </c>
    </row>
    <row r="9894" spans="1:7" s="172" customFormat="1" ht="15" customHeight="1" x14ac:dyDescent="0.25">
      <c r="A9894" s="803" t="s">
        <v>7548</v>
      </c>
      <c r="B9894" s="803" t="s">
        <v>7913</v>
      </c>
      <c r="C9894" s="803" t="s">
        <v>7913</v>
      </c>
      <c r="D9894" s="803" t="s">
        <v>7549</v>
      </c>
      <c r="E9894" s="803">
        <v>100</v>
      </c>
      <c r="F9894" s="803">
        <v>5</v>
      </c>
      <c r="G9894" s="202" t="str">
        <f t="shared" si="154"/>
        <v/>
      </c>
    </row>
    <row r="9895" spans="1:7" s="172" customFormat="1" ht="15" customHeight="1" x14ac:dyDescent="0.25">
      <c r="A9895" s="803" t="s">
        <v>7550</v>
      </c>
      <c r="B9895" s="803" t="s">
        <v>7913</v>
      </c>
      <c r="C9895" s="803" t="s">
        <v>7913</v>
      </c>
      <c r="D9895" s="803" t="s">
        <v>7551</v>
      </c>
      <c r="E9895" s="803">
        <v>30</v>
      </c>
      <c r="F9895" s="803">
        <v>25</v>
      </c>
      <c r="G9895" s="202" t="str">
        <f t="shared" si="154"/>
        <v/>
      </c>
    </row>
    <row r="9896" spans="1:7" s="172" customFormat="1" ht="15" customHeight="1" x14ac:dyDescent="0.25">
      <c r="A9896" s="803" t="s">
        <v>7552</v>
      </c>
      <c r="B9896" s="803" t="s">
        <v>7913</v>
      </c>
      <c r="C9896" s="803" t="s">
        <v>7913</v>
      </c>
      <c r="D9896" s="803" t="s">
        <v>7553</v>
      </c>
      <c r="E9896" s="803">
        <v>250</v>
      </c>
      <c r="F9896" s="803">
        <v>60</v>
      </c>
      <c r="G9896" s="202" t="str">
        <f t="shared" si="154"/>
        <v/>
      </c>
    </row>
    <row r="9897" spans="1:7" s="172" customFormat="1" ht="15" customHeight="1" x14ac:dyDescent="0.25">
      <c r="A9897" s="803" t="s">
        <v>7554</v>
      </c>
      <c r="B9897" s="803" t="s">
        <v>7913</v>
      </c>
      <c r="C9897" s="803" t="s">
        <v>7913</v>
      </c>
      <c r="D9897" s="803" t="s">
        <v>7555</v>
      </c>
      <c r="E9897" s="803">
        <v>630</v>
      </c>
      <c r="F9897" s="803">
        <v>590</v>
      </c>
      <c r="G9897" s="202" t="str">
        <f t="shared" si="154"/>
        <v/>
      </c>
    </row>
    <row r="9898" spans="1:7" s="172" customFormat="1" ht="15" customHeight="1" x14ac:dyDescent="0.25">
      <c r="A9898" s="803" t="s">
        <v>7556</v>
      </c>
      <c r="B9898" s="803" t="s">
        <v>7913</v>
      </c>
      <c r="C9898" s="803" t="s">
        <v>7913</v>
      </c>
      <c r="D9898" s="803" t="s">
        <v>7557</v>
      </c>
      <c r="E9898" s="803">
        <v>63</v>
      </c>
      <c r="F9898" s="803">
        <v>33</v>
      </c>
      <c r="G9898" s="202" t="str">
        <f t="shared" si="154"/>
        <v/>
      </c>
    </row>
    <row r="9899" spans="1:7" s="172" customFormat="1" ht="15" customHeight="1" x14ac:dyDescent="0.25">
      <c r="A9899" s="803" t="s">
        <v>3570</v>
      </c>
      <c r="B9899" s="803" t="s">
        <v>7913</v>
      </c>
      <c r="C9899" s="803" t="s">
        <v>7913</v>
      </c>
      <c r="D9899" s="803" t="s">
        <v>7558</v>
      </c>
      <c r="E9899" s="803">
        <v>40</v>
      </c>
      <c r="F9899" s="803">
        <v>10</v>
      </c>
      <c r="G9899" s="202" t="str">
        <f t="shared" si="154"/>
        <v/>
      </c>
    </row>
    <row r="9900" spans="1:7" s="172" customFormat="1" ht="15" customHeight="1" x14ac:dyDescent="0.25">
      <c r="A9900" s="803" t="s">
        <v>7559</v>
      </c>
      <c r="B9900" s="803" t="s">
        <v>7913</v>
      </c>
      <c r="C9900" s="803" t="s">
        <v>7913</v>
      </c>
      <c r="D9900" s="803" t="s">
        <v>7560</v>
      </c>
      <c r="E9900" s="803">
        <v>40</v>
      </c>
      <c r="F9900" s="803">
        <v>15</v>
      </c>
      <c r="G9900" s="202" t="str">
        <f t="shared" si="154"/>
        <v/>
      </c>
    </row>
    <row r="9901" spans="1:7" s="172" customFormat="1" ht="15" customHeight="1" x14ac:dyDescent="0.25">
      <c r="A9901" s="803" t="s">
        <v>7561</v>
      </c>
      <c r="B9901" s="803" t="s">
        <v>7913</v>
      </c>
      <c r="C9901" s="803" t="s">
        <v>7913</v>
      </c>
      <c r="D9901" s="803" t="s">
        <v>7562</v>
      </c>
      <c r="E9901" s="803">
        <v>63</v>
      </c>
      <c r="F9901" s="803">
        <v>40</v>
      </c>
      <c r="G9901" s="202" t="str">
        <f t="shared" si="154"/>
        <v/>
      </c>
    </row>
    <row r="9902" spans="1:7" s="172" customFormat="1" ht="15" customHeight="1" x14ac:dyDescent="0.25">
      <c r="A9902" s="803" t="s">
        <v>7563</v>
      </c>
      <c r="B9902" s="803" t="s">
        <v>7913</v>
      </c>
      <c r="C9902" s="803" t="s">
        <v>7913</v>
      </c>
      <c r="D9902" s="803" t="s">
        <v>7564</v>
      </c>
      <c r="E9902" s="803">
        <v>25</v>
      </c>
      <c r="F9902" s="803">
        <v>15</v>
      </c>
      <c r="G9902" s="202" t="str">
        <f t="shared" si="154"/>
        <v/>
      </c>
    </row>
    <row r="9903" spans="1:7" s="172" customFormat="1" ht="15" customHeight="1" x14ac:dyDescent="0.25">
      <c r="A9903" s="803" t="s">
        <v>6241</v>
      </c>
      <c r="B9903" s="803" t="s">
        <v>7913</v>
      </c>
      <c r="C9903" s="803" t="s">
        <v>7913</v>
      </c>
      <c r="D9903" s="803" t="s">
        <v>7565</v>
      </c>
      <c r="E9903" s="803">
        <v>25</v>
      </c>
      <c r="F9903" s="803">
        <v>20</v>
      </c>
      <c r="G9903" s="202" t="str">
        <f t="shared" si="154"/>
        <v/>
      </c>
    </row>
    <row r="9904" spans="1:7" s="172" customFormat="1" ht="15" customHeight="1" x14ac:dyDescent="0.25">
      <c r="A9904" s="803" t="s">
        <v>7566</v>
      </c>
      <c r="B9904" s="803" t="s">
        <v>7913</v>
      </c>
      <c r="C9904" s="803" t="s">
        <v>7913</v>
      </c>
      <c r="D9904" s="803" t="s">
        <v>7567</v>
      </c>
      <c r="E9904" s="803">
        <v>100</v>
      </c>
      <c r="F9904" s="803">
        <v>80</v>
      </c>
      <c r="G9904" s="202" t="str">
        <f t="shared" si="154"/>
        <v/>
      </c>
    </row>
    <row r="9905" spans="1:7" s="172" customFormat="1" ht="15" customHeight="1" x14ac:dyDescent="0.25">
      <c r="A9905" s="803" t="s">
        <v>7566</v>
      </c>
      <c r="B9905" s="803" t="s">
        <v>7913</v>
      </c>
      <c r="C9905" s="803" t="s">
        <v>7913</v>
      </c>
      <c r="D9905" s="803" t="s">
        <v>7568</v>
      </c>
      <c r="E9905" s="803">
        <v>63</v>
      </c>
      <c r="F9905" s="803">
        <v>43</v>
      </c>
      <c r="G9905" s="202" t="str">
        <f t="shared" si="154"/>
        <v/>
      </c>
    </row>
    <row r="9906" spans="1:7" s="172" customFormat="1" ht="15" customHeight="1" x14ac:dyDescent="0.25">
      <c r="A9906" s="803" t="s">
        <v>7566</v>
      </c>
      <c r="B9906" s="803" t="s">
        <v>7913</v>
      </c>
      <c r="C9906" s="803" t="s">
        <v>7913</v>
      </c>
      <c r="D9906" s="803" t="s">
        <v>7569</v>
      </c>
      <c r="E9906" s="803">
        <v>63</v>
      </c>
      <c r="F9906" s="803">
        <v>43</v>
      </c>
      <c r="G9906" s="202" t="str">
        <f t="shared" si="154"/>
        <v/>
      </c>
    </row>
    <row r="9907" spans="1:7" s="172" customFormat="1" ht="15" customHeight="1" x14ac:dyDescent="0.25">
      <c r="A9907" s="803" t="s">
        <v>7566</v>
      </c>
      <c r="B9907" s="803" t="s">
        <v>7913</v>
      </c>
      <c r="C9907" s="803" t="s">
        <v>7913</v>
      </c>
      <c r="D9907" s="803" t="s">
        <v>7570</v>
      </c>
      <c r="E9907" s="803">
        <v>400</v>
      </c>
      <c r="F9907" s="803">
        <v>370</v>
      </c>
      <c r="G9907" s="202" t="str">
        <f t="shared" si="154"/>
        <v/>
      </c>
    </row>
    <row r="9908" spans="1:7" s="172" customFormat="1" ht="15" customHeight="1" x14ac:dyDescent="0.25">
      <c r="A9908" s="803" t="s">
        <v>7571</v>
      </c>
      <c r="B9908" s="803" t="s">
        <v>7913</v>
      </c>
      <c r="C9908" s="803" t="s">
        <v>7913</v>
      </c>
      <c r="D9908" s="803" t="s">
        <v>7572</v>
      </c>
      <c r="E9908" s="803">
        <v>100</v>
      </c>
      <c r="F9908" s="803">
        <v>70</v>
      </c>
      <c r="G9908" s="202" t="str">
        <f t="shared" si="154"/>
        <v/>
      </c>
    </row>
    <row r="9909" spans="1:7" s="172" customFormat="1" ht="15" customHeight="1" x14ac:dyDescent="0.25">
      <c r="A9909" s="803" t="s">
        <v>7554</v>
      </c>
      <c r="B9909" s="803" t="s">
        <v>7913</v>
      </c>
      <c r="C9909" s="803" t="s">
        <v>7913</v>
      </c>
      <c r="D9909" s="803" t="s">
        <v>7573</v>
      </c>
      <c r="E9909" s="803">
        <v>160</v>
      </c>
      <c r="F9909" s="803">
        <v>100</v>
      </c>
      <c r="G9909" s="202" t="str">
        <f t="shared" si="154"/>
        <v/>
      </c>
    </row>
    <row r="9910" spans="1:7" s="172" customFormat="1" ht="15" customHeight="1" x14ac:dyDescent="0.25">
      <c r="A9910" s="803" t="s">
        <v>7574</v>
      </c>
      <c r="B9910" s="803" t="s">
        <v>7913</v>
      </c>
      <c r="C9910" s="803" t="s">
        <v>7913</v>
      </c>
      <c r="D9910" s="803" t="s">
        <v>7575</v>
      </c>
      <c r="E9910" s="803">
        <v>25</v>
      </c>
      <c r="F9910" s="803">
        <v>10</v>
      </c>
      <c r="G9910" s="202" t="str">
        <f t="shared" si="154"/>
        <v/>
      </c>
    </row>
    <row r="9911" spans="1:7" s="172" customFormat="1" ht="15" customHeight="1" x14ac:dyDescent="0.25">
      <c r="A9911" s="803" t="s">
        <v>7554</v>
      </c>
      <c r="B9911" s="803" t="s">
        <v>7913</v>
      </c>
      <c r="C9911" s="803" t="s">
        <v>7913</v>
      </c>
      <c r="D9911" s="803" t="s">
        <v>7576</v>
      </c>
      <c r="E9911" s="803">
        <v>40</v>
      </c>
      <c r="F9911" s="803">
        <v>20</v>
      </c>
      <c r="G9911" s="202" t="str">
        <f t="shared" si="154"/>
        <v/>
      </c>
    </row>
    <row r="9912" spans="1:7" s="172" customFormat="1" ht="15" customHeight="1" x14ac:dyDescent="0.25">
      <c r="A9912" s="803" t="s">
        <v>7577</v>
      </c>
      <c r="B9912" s="803" t="s">
        <v>7913</v>
      </c>
      <c r="C9912" s="803" t="s">
        <v>7913</v>
      </c>
      <c r="D9912" s="803" t="s">
        <v>7578</v>
      </c>
      <c r="E9912" s="803">
        <v>40</v>
      </c>
      <c r="F9912" s="803">
        <v>30</v>
      </c>
      <c r="G9912" s="202" t="str">
        <f t="shared" si="154"/>
        <v/>
      </c>
    </row>
    <row r="9913" spans="1:7" s="172" customFormat="1" ht="15" customHeight="1" x14ac:dyDescent="0.25">
      <c r="A9913" s="803" t="s">
        <v>7579</v>
      </c>
      <c r="B9913" s="803" t="s">
        <v>7913</v>
      </c>
      <c r="C9913" s="803" t="s">
        <v>7913</v>
      </c>
      <c r="D9913" s="803" t="s">
        <v>7580</v>
      </c>
      <c r="E9913" s="803">
        <v>100</v>
      </c>
      <c r="F9913" s="803">
        <v>85</v>
      </c>
      <c r="G9913" s="202" t="str">
        <f t="shared" si="154"/>
        <v/>
      </c>
    </row>
    <row r="9914" spans="1:7" s="172" customFormat="1" ht="15" customHeight="1" x14ac:dyDescent="0.25">
      <c r="A9914" s="803" t="s">
        <v>2557</v>
      </c>
      <c r="B9914" s="803" t="s">
        <v>7913</v>
      </c>
      <c r="C9914" s="803" t="s">
        <v>7913</v>
      </c>
      <c r="D9914" s="803" t="s">
        <v>7479</v>
      </c>
      <c r="E9914" s="803">
        <v>60</v>
      </c>
      <c r="F9914" s="803">
        <v>50</v>
      </c>
      <c r="G9914" s="202" t="str">
        <f t="shared" si="154"/>
        <v/>
      </c>
    </row>
    <row r="9915" spans="1:7" s="172" customFormat="1" ht="15" customHeight="1" x14ac:dyDescent="0.25">
      <c r="A9915" s="803" t="s">
        <v>7581</v>
      </c>
      <c r="B9915" s="803" t="s">
        <v>7913</v>
      </c>
      <c r="C9915" s="803" t="s">
        <v>7913</v>
      </c>
      <c r="D9915" s="803" t="s">
        <v>7582</v>
      </c>
      <c r="E9915" s="803">
        <v>63</v>
      </c>
      <c r="F9915" s="803">
        <v>33</v>
      </c>
      <c r="G9915" s="202" t="str">
        <f t="shared" si="154"/>
        <v/>
      </c>
    </row>
    <row r="9916" spans="1:7" s="172" customFormat="1" ht="15" customHeight="1" x14ac:dyDescent="0.25">
      <c r="A9916" s="803" t="s">
        <v>7583</v>
      </c>
      <c r="B9916" s="803" t="s">
        <v>7913</v>
      </c>
      <c r="C9916" s="803" t="s">
        <v>7913</v>
      </c>
      <c r="D9916" s="803" t="s">
        <v>7584</v>
      </c>
      <c r="E9916" s="803">
        <v>60</v>
      </c>
      <c r="F9916" s="803">
        <v>30</v>
      </c>
      <c r="G9916" s="202" t="str">
        <f t="shared" si="154"/>
        <v/>
      </c>
    </row>
    <row r="9917" spans="1:7" s="172" customFormat="1" ht="15" customHeight="1" x14ac:dyDescent="0.25">
      <c r="A9917" s="803" t="s">
        <v>7583</v>
      </c>
      <c r="B9917" s="803" t="s">
        <v>7913</v>
      </c>
      <c r="C9917" s="803" t="s">
        <v>7913</v>
      </c>
      <c r="D9917" s="803" t="s">
        <v>7585</v>
      </c>
      <c r="E9917" s="803">
        <v>100</v>
      </c>
      <c r="F9917" s="803">
        <v>40</v>
      </c>
      <c r="G9917" s="202" t="str">
        <f t="shared" si="154"/>
        <v/>
      </c>
    </row>
    <row r="9918" spans="1:7" s="172" customFormat="1" ht="15" customHeight="1" x14ac:dyDescent="0.25">
      <c r="A9918" s="803" t="s">
        <v>7586</v>
      </c>
      <c r="B9918" s="803" t="s">
        <v>7913</v>
      </c>
      <c r="C9918" s="803" t="s">
        <v>7913</v>
      </c>
      <c r="D9918" s="803" t="s">
        <v>7587</v>
      </c>
      <c r="E9918" s="803">
        <v>100</v>
      </c>
      <c r="F9918" s="803">
        <v>70</v>
      </c>
      <c r="G9918" s="202" t="str">
        <f t="shared" si="154"/>
        <v/>
      </c>
    </row>
    <row r="9919" spans="1:7" s="172" customFormat="1" ht="15" customHeight="1" x14ac:dyDescent="0.25">
      <c r="A9919" s="803" t="s">
        <v>2961</v>
      </c>
      <c r="B9919" s="803" t="s">
        <v>7913</v>
      </c>
      <c r="C9919" s="803" t="s">
        <v>7913</v>
      </c>
      <c r="D9919" s="803" t="s">
        <v>7588</v>
      </c>
      <c r="E9919" s="803">
        <v>30</v>
      </c>
      <c r="F9919" s="803">
        <v>1</v>
      </c>
      <c r="G9919" s="202" t="str">
        <f t="shared" si="154"/>
        <v/>
      </c>
    </row>
    <row r="9920" spans="1:7" s="172" customFormat="1" ht="15" customHeight="1" x14ac:dyDescent="0.25">
      <c r="A9920" s="803" t="s">
        <v>7056</v>
      </c>
      <c r="B9920" s="803" t="s">
        <v>7913</v>
      </c>
      <c r="C9920" s="803" t="s">
        <v>7913</v>
      </c>
      <c r="D9920" s="803" t="s">
        <v>18566</v>
      </c>
      <c r="E9920" s="803">
        <v>20</v>
      </c>
      <c r="F9920" s="803">
        <v>15</v>
      </c>
      <c r="G9920" s="202" t="str">
        <f t="shared" si="154"/>
        <v/>
      </c>
    </row>
    <row r="9921" spans="1:7" s="172" customFormat="1" ht="15" customHeight="1" x14ac:dyDescent="0.25">
      <c r="A9921" s="803" t="s">
        <v>7590</v>
      </c>
      <c r="B9921" s="803" t="s">
        <v>7913</v>
      </c>
      <c r="C9921" s="803" t="s">
        <v>7913</v>
      </c>
      <c r="D9921" s="803" t="s">
        <v>7591</v>
      </c>
      <c r="E9921" s="803">
        <v>60</v>
      </c>
      <c r="F9921" s="803">
        <v>40</v>
      </c>
      <c r="G9921" s="202" t="str">
        <f t="shared" si="154"/>
        <v/>
      </c>
    </row>
    <row r="9922" spans="1:7" s="172" customFormat="1" ht="15" customHeight="1" x14ac:dyDescent="0.25">
      <c r="A9922" s="803" t="s">
        <v>7590</v>
      </c>
      <c r="B9922" s="803" t="s">
        <v>7913</v>
      </c>
      <c r="C9922" s="803" t="s">
        <v>7913</v>
      </c>
      <c r="D9922" s="803" t="s">
        <v>7592</v>
      </c>
      <c r="E9922" s="803">
        <v>100</v>
      </c>
      <c r="F9922" s="803">
        <v>80</v>
      </c>
      <c r="G9922" s="202" t="str">
        <f t="shared" si="154"/>
        <v/>
      </c>
    </row>
    <row r="9923" spans="1:7" s="172" customFormat="1" ht="15" customHeight="1" x14ac:dyDescent="0.25">
      <c r="A9923" s="803" t="s">
        <v>7593</v>
      </c>
      <c r="B9923" s="803" t="s">
        <v>7913</v>
      </c>
      <c r="C9923" s="803" t="s">
        <v>7913</v>
      </c>
      <c r="D9923" s="803" t="s">
        <v>7594</v>
      </c>
      <c r="E9923" s="803">
        <v>60</v>
      </c>
      <c r="F9923" s="803">
        <v>45</v>
      </c>
      <c r="G9923" s="202" t="str">
        <f t="shared" si="154"/>
        <v/>
      </c>
    </row>
    <row r="9924" spans="1:7" s="172" customFormat="1" ht="15" customHeight="1" x14ac:dyDescent="0.25">
      <c r="A9924" s="803" t="s">
        <v>7683</v>
      </c>
      <c r="B9924" s="803" t="s">
        <v>7913</v>
      </c>
      <c r="C9924" s="803" t="s">
        <v>7913</v>
      </c>
      <c r="D9924" s="803" t="s">
        <v>7595</v>
      </c>
      <c r="E9924" s="803">
        <v>160</v>
      </c>
      <c r="F9924" s="803">
        <v>120</v>
      </c>
      <c r="G9924" s="202" t="str">
        <f t="shared" si="154"/>
        <v/>
      </c>
    </row>
    <row r="9925" spans="1:7" s="172" customFormat="1" ht="15" customHeight="1" x14ac:dyDescent="0.25">
      <c r="A9925" s="803" t="s">
        <v>7683</v>
      </c>
      <c r="B9925" s="803" t="s">
        <v>7913</v>
      </c>
      <c r="C9925" s="803" t="s">
        <v>7913</v>
      </c>
      <c r="D9925" s="803" t="s">
        <v>7596</v>
      </c>
      <c r="E9925" s="803">
        <v>250</v>
      </c>
      <c r="F9925" s="803">
        <v>50</v>
      </c>
      <c r="G9925" s="202" t="str">
        <f t="shared" si="154"/>
        <v/>
      </c>
    </row>
    <row r="9926" spans="1:7" s="172" customFormat="1" ht="15" customHeight="1" x14ac:dyDescent="0.25">
      <c r="A9926" s="803" t="s">
        <v>7597</v>
      </c>
      <c r="B9926" s="803" t="s">
        <v>7913</v>
      </c>
      <c r="C9926" s="803" t="s">
        <v>7913</v>
      </c>
      <c r="D9926" s="803" t="s">
        <v>7598</v>
      </c>
      <c r="E9926" s="803">
        <v>100</v>
      </c>
      <c r="F9926" s="803">
        <v>70</v>
      </c>
      <c r="G9926" s="202" t="str">
        <f t="shared" si="154"/>
        <v/>
      </c>
    </row>
    <row r="9927" spans="1:7" s="172" customFormat="1" ht="15" customHeight="1" x14ac:dyDescent="0.25">
      <c r="A9927" s="803" t="s">
        <v>7683</v>
      </c>
      <c r="B9927" s="803" t="s">
        <v>7913</v>
      </c>
      <c r="C9927" s="803" t="s">
        <v>7913</v>
      </c>
      <c r="D9927" s="803" t="s">
        <v>7599</v>
      </c>
      <c r="E9927" s="803">
        <v>63</v>
      </c>
      <c r="F9927" s="803">
        <v>1</v>
      </c>
      <c r="G9927" s="202" t="str">
        <f t="shared" si="154"/>
        <v/>
      </c>
    </row>
    <row r="9928" spans="1:7" s="172" customFormat="1" ht="15" customHeight="1" x14ac:dyDescent="0.25">
      <c r="A9928" s="803" t="s">
        <v>7600</v>
      </c>
      <c r="B9928" s="803" t="s">
        <v>7913</v>
      </c>
      <c r="C9928" s="803" t="s">
        <v>7913</v>
      </c>
      <c r="D9928" s="803" t="s">
        <v>7601</v>
      </c>
      <c r="E9928" s="803">
        <v>1060</v>
      </c>
      <c r="F9928" s="803">
        <v>460</v>
      </c>
      <c r="G9928" s="202" t="str">
        <f t="shared" si="154"/>
        <v/>
      </c>
    </row>
    <row r="9929" spans="1:7" s="172" customFormat="1" ht="15" customHeight="1" x14ac:dyDescent="0.25">
      <c r="A9929" s="803" t="s">
        <v>7600</v>
      </c>
      <c r="B9929" s="803" t="s">
        <v>7913</v>
      </c>
      <c r="C9929" s="803" t="s">
        <v>7913</v>
      </c>
      <c r="D9929" s="803" t="s">
        <v>7602</v>
      </c>
      <c r="E9929" s="803">
        <v>250</v>
      </c>
      <c r="F9929" s="803">
        <v>10</v>
      </c>
      <c r="G9929" s="202" t="str">
        <f t="shared" si="154"/>
        <v/>
      </c>
    </row>
    <row r="9930" spans="1:7" s="172" customFormat="1" ht="15" customHeight="1" x14ac:dyDescent="0.25">
      <c r="A9930" s="803" t="s">
        <v>7600</v>
      </c>
      <c r="B9930" s="803" t="s">
        <v>7913</v>
      </c>
      <c r="C9930" s="803" t="s">
        <v>7913</v>
      </c>
      <c r="D9930" s="803" t="s">
        <v>7603</v>
      </c>
      <c r="E9930" s="803">
        <v>250</v>
      </c>
      <c r="F9930" s="803">
        <v>10</v>
      </c>
      <c r="G9930" s="202" t="str">
        <f t="shared" si="154"/>
        <v/>
      </c>
    </row>
    <row r="9931" spans="1:7" s="172" customFormat="1" ht="15" customHeight="1" x14ac:dyDescent="0.25">
      <c r="A9931" s="803" t="s">
        <v>7600</v>
      </c>
      <c r="B9931" s="803" t="s">
        <v>7913</v>
      </c>
      <c r="C9931" s="803" t="s">
        <v>7913</v>
      </c>
      <c r="D9931" s="803" t="s">
        <v>7604</v>
      </c>
      <c r="E9931" s="803">
        <v>160</v>
      </c>
      <c r="F9931" s="803">
        <v>10</v>
      </c>
      <c r="G9931" s="202" t="str">
        <f t="shared" si="154"/>
        <v/>
      </c>
    </row>
    <row r="9932" spans="1:7" s="172" customFormat="1" ht="15" customHeight="1" x14ac:dyDescent="0.25">
      <c r="A9932" s="803" t="s">
        <v>7600</v>
      </c>
      <c r="B9932" s="803" t="s">
        <v>7913</v>
      </c>
      <c r="C9932" s="803" t="s">
        <v>7913</v>
      </c>
      <c r="D9932" s="803" t="s">
        <v>7605</v>
      </c>
      <c r="E9932" s="803">
        <v>160</v>
      </c>
      <c r="F9932" s="803">
        <v>120</v>
      </c>
      <c r="G9932" s="202" t="str">
        <f t="shared" si="154"/>
        <v/>
      </c>
    </row>
    <row r="9933" spans="1:7" s="172" customFormat="1" ht="15" customHeight="1" x14ac:dyDescent="0.25">
      <c r="A9933" s="803" t="s">
        <v>7606</v>
      </c>
      <c r="B9933" s="803" t="s">
        <v>7913</v>
      </c>
      <c r="C9933" s="803" t="s">
        <v>7913</v>
      </c>
      <c r="D9933" s="803" t="s">
        <v>7607</v>
      </c>
      <c r="E9933" s="803">
        <v>60</v>
      </c>
      <c r="F9933" s="803">
        <v>30</v>
      </c>
      <c r="G9933" s="202" t="str">
        <f t="shared" si="154"/>
        <v/>
      </c>
    </row>
    <row r="9934" spans="1:7" s="172" customFormat="1" ht="15" customHeight="1" x14ac:dyDescent="0.25">
      <c r="A9934" s="803" t="s">
        <v>3823</v>
      </c>
      <c r="B9934" s="803" t="s">
        <v>7913</v>
      </c>
      <c r="C9934" s="803" t="s">
        <v>7913</v>
      </c>
      <c r="D9934" s="803" t="s">
        <v>7608</v>
      </c>
      <c r="E9934" s="803">
        <v>100</v>
      </c>
      <c r="F9934" s="803">
        <v>70</v>
      </c>
      <c r="G9934" s="202" t="str">
        <f t="shared" si="154"/>
        <v/>
      </c>
    </row>
    <row r="9935" spans="1:7" s="172" customFormat="1" ht="15" customHeight="1" x14ac:dyDescent="0.25">
      <c r="A9935" s="803" t="s">
        <v>7609</v>
      </c>
      <c r="B9935" s="803" t="s">
        <v>7913</v>
      </c>
      <c r="C9935" s="803" t="s">
        <v>7913</v>
      </c>
      <c r="D9935" s="803" t="s">
        <v>7610</v>
      </c>
      <c r="E9935" s="803">
        <v>100</v>
      </c>
      <c r="F9935" s="803">
        <v>80</v>
      </c>
      <c r="G9935" s="202" t="str">
        <f t="shared" si="154"/>
        <v/>
      </c>
    </row>
    <row r="9936" spans="1:7" s="172" customFormat="1" ht="15" customHeight="1" x14ac:dyDescent="0.25">
      <c r="A9936" s="803" t="s">
        <v>7611</v>
      </c>
      <c r="B9936" s="803" t="s">
        <v>7913</v>
      </c>
      <c r="C9936" s="803" t="s">
        <v>7913</v>
      </c>
      <c r="D9936" s="803" t="s">
        <v>7612</v>
      </c>
      <c r="E9936" s="803">
        <v>160</v>
      </c>
      <c r="F9936" s="803">
        <v>80</v>
      </c>
      <c r="G9936" s="202" t="str">
        <f t="shared" si="154"/>
        <v/>
      </c>
    </row>
    <row r="9937" spans="1:7" s="172" customFormat="1" ht="15" customHeight="1" x14ac:dyDescent="0.25">
      <c r="A9937" s="803" t="s">
        <v>7611</v>
      </c>
      <c r="B9937" s="803" t="s">
        <v>7913</v>
      </c>
      <c r="C9937" s="803" t="s">
        <v>7913</v>
      </c>
      <c r="D9937" s="803" t="s">
        <v>7613</v>
      </c>
      <c r="E9937" s="803">
        <v>100</v>
      </c>
      <c r="F9937" s="803">
        <v>60</v>
      </c>
      <c r="G9937" s="202" t="str">
        <f t="shared" si="154"/>
        <v/>
      </c>
    </row>
    <row r="9938" spans="1:7" s="172" customFormat="1" ht="15" customHeight="1" x14ac:dyDescent="0.25">
      <c r="A9938" s="803" t="s">
        <v>7614</v>
      </c>
      <c r="B9938" s="803" t="s">
        <v>7913</v>
      </c>
      <c r="C9938" s="803" t="s">
        <v>7913</v>
      </c>
      <c r="D9938" s="803" t="s">
        <v>7615</v>
      </c>
      <c r="E9938" s="803">
        <v>10</v>
      </c>
      <c r="F9938" s="803">
        <v>5</v>
      </c>
      <c r="G9938" s="202" t="str">
        <f t="shared" si="154"/>
        <v/>
      </c>
    </row>
    <row r="9939" spans="1:7" s="172" customFormat="1" ht="15" customHeight="1" x14ac:dyDescent="0.25">
      <c r="A9939" s="803" t="s">
        <v>7616</v>
      </c>
      <c r="B9939" s="803" t="s">
        <v>7913</v>
      </c>
      <c r="C9939" s="803" t="s">
        <v>7913</v>
      </c>
      <c r="D9939" s="803" t="s">
        <v>7617</v>
      </c>
      <c r="E9939" s="803">
        <v>60</v>
      </c>
      <c r="F9939" s="803">
        <v>10</v>
      </c>
      <c r="G9939" s="202" t="str">
        <f t="shared" si="154"/>
        <v/>
      </c>
    </row>
    <row r="9940" spans="1:7" s="172" customFormat="1" ht="15" customHeight="1" x14ac:dyDescent="0.25">
      <c r="A9940" s="803" t="s">
        <v>7616</v>
      </c>
      <c r="B9940" s="803" t="s">
        <v>7913</v>
      </c>
      <c r="C9940" s="803" t="s">
        <v>7913</v>
      </c>
      <c r="D9940" s="803" t="s">
        <v>7618</v>
      </c>
      <c r="E9940" s="803">
        <v>400</v>
      </c>
      <c r="F9940" s="803">
        <v>200</v>
      </c>
      <c r="G9940" s="202" t="str">
        <f t="shared" si="154"/>
        <v/>
      </c>
    </row>
    <row r="9941" spans="1:7" s="172" customFormat="1" ht="15" customHeight="1" x14ac:dyDescent="0.25">
      <c r="A9941" s="803" t="s">
        <v>7619</v>
      </c>
      <c r="B9941" s="803" t="s">
        <v>7913</v>
      </c>
      <c r="C9941" s="803" t="s">
        <v>7913</v>
      </c>
      <c r="D9941" s="803" t="s">
        <v>7620</v>
      </c>
      <c r="E9941" s="803">
        <v>10</v>
      </c>
      <c r="F9941" s="803">
        <v>5</v>
      </c>
      <c r="G9941" s="202" t="str">
        <f t="shared" si="154"/>
        <v/>
      </c>
    </row>
    <row r="9942" spans="1:7" s="172" customFormat="1" ht="15" customHeight="1" x14ac:dyDescent="0.25">
      <c r="A9942" s="803" t="s">
        <v>7621</v>
      </c>
      <c r="B9942" s="803" t="s">
        <v>7913</v>
      </c>
      <c r="C9942" s="803" t="s">
        <v>7913</v>
      </c>
      <c r="D9942" s="803" t="s">
        <v>7622</v>
      </c>
      <c r="E9942" s="803">
        <v>100</v>
      </c>
      <c r="F9942" s="803">
        <v>90</v>
      </c>
      <c r="G9942" s="202" t="str">
        <f t="shared" si="154"/>
        <v/>
      </c>
    </row>
    <row r="9943" spans="1:7" s="172" customFormat="1" ht="15" customHeight="1" x14ac:dyDescent="0.25">
      <c r="A9943" s="803" t="s">
        <v>7623</v>
      </c>
      <c r="B9943" s="803" t="s">
        <v>7913</v>
      </c>
      <c r="C9943" s="803" t="s">
        <v>7913</v>
      </c>
      <c r="D9943" s="803" t="s">
        <v>7624</v>
      </c>
      <c r="E9943" s="803">
        <v>160</v>
      </c>
      <c r="F9943" s="803">
        <v>150</v>
      </c>
      <c r="G9943" s="202" t="str">
        <f t="shared" si="154"/>
        <v/>
      </c>
    </row>
    <row r="9944" spans="1:7" s="172" customFormat="1" ht="15" customHeight="1" x14ac:dyDescent="0.25">
      <c r="A9944" s="803" t="s">
        <v>7625</v>
      </c>
      <c r="B9944" s="803" t="s">
        <v>7913</v>
      </c>
      <c r="C9944" s="803" t="s">
        <v>7913</v>
      </c>
      <c r="D9944" s="803" t="s">
        <v>7626</v>
      </c>
      <c r="E9944" s="803">
        <v>100</v>
      </c>
      <c r="F9944" s="803">
        <v>80</v>
      </c>
      <c r="G9944" s="202" t="str">
        <f t="shared" si="154"/>
        <v/>
      </c>
    </row>
    <row r="9945" spans="1:7" s="172" customFormat="1" ht="15" customHeight="1" x14ac:dyDescent="0.25">
      <c r="A9945" s="803" t="s">
        <v>7627</v>
      </c>
      <c r="B9945" s="803" t="s">
        <v>7913</v>
      </c>
      <c r="C9945" s="803" t="s">
        <v>7913</v>
      </c>
      <c r="D9945" s="803" t="s">
        <v>7628</v>
      </c>
      <c r="E9945" s="803">
        <v>25</v>
      </c>
      <c r="F9945" s="803">
        <v>15</v>
      </c>
      <c r="G9945" s="202" t="str">
        <f t="shared" si="154"/>
        <v/>
      </c>
    </row>
    <row r="9946" spans="1:7" s="172" customFormat="1" ht="15" customHeight="1" x14ac:dyDescent="0.25">
      <c r="A9946" s="803" t="s">
        <v>7629</v>
      </c>
      <c r="B9946" s="803" t="s">
        <v>7913</v>
      </c>
      <c r="C9946" s="803" t="s">
        <v>7913</v>
      </c>
      <c r="D9946" s="803" t="s">
        <v>7630</v>
      </c>
      <c r="E9946" s="803">
        <v>20</v>
      </c>
      <c r="F9946" s="803">
        <v>1</v>
      </c>
      <c r="G9946" s="202" t="str">
        <f t="shared" si="154"/>
        <v/>
      </c>
    </row>
    <row r="9947" spans="1:7" s="172" customFormat="1" ht="15" customHeight="1" x14ac:dyDescent="0.25">
      <c r="A9947" s="803" t="s">
        <v>7631</v>
      </c>
      <c r="B9947" s="803" t="s">
        <v>7913</v>
      </c>
      <c r="C9947" s="803" t="s">
        <v>7913</v>
      </c>
      <c r="D9947" s="803" t="s">
        <v>7632</v>
      </c>
      <c r="E9947" s="803">
        <v>63</v>
      </c>
      <c r="F9947" s="803">
        <v>48</v>
      </c>
      <c r="G9947" s="202" t="str">
        <f t="shared" si="154"/>
        <v/>
      </c>
    </row>
    <row r="9948" spans="1:7" s="172" customFormat="1" ht="15" customHeight="1" x14ac:dyDescent="0.25">
      <c r="A9948" s="803" t="s">
        <v>7633</v>
      </c>
      <c r="B9948" s="803" t="s">
        <v>7913</v>
      </c>
      <c r="C9948" s="803" t="s">
        <v>7913</v>
      </c>
      <c r="D9948" s="803" t="s">
        <v>7634</v>
      </c>
      <c r="E9948" s="803">
        <v>25</v>
      </c>
      <c r="F9948" s="803">
        <v>15</v>
      </c>
      <c r="G9948" s="202" t="str">
        <f t="shared" si="154"/>
        <v/>
      </c>
    </row>
    <row r="9949" spans="1:7" s="172" customFormat="1" ht="15" customHeight="1" x14ac:dyDescent="0.25">
      <c r="A9949" s="803" t="s">
        <v>7635</v>
      </c>
      <c r="B9949" s="803" t="s">
        <v>7913</v>
      </c>
      <c r="C9949" s="803" t="s">
        <v>7913</v>
      </c>
      <c r="D9949" s="803" t="s">
        <v>7636</v>
      </c>
      <c r="E9949" s="803">
        <v>25</v>
      </c>
      <c r="F9949" s="803">
        <v>20</v>
      </c>
      <c r="G9949" s="202" t="str">
        <f t="shared" ref="G9949:G10013" si="155">IF(E9949=F9949,"не загружен","")</f>
        <v/>
      </c>
    </row>
    <row r="9950" spans="1:7" s="172" customFormat="1" ht="15" customHeight="1" x14ac:dyDescent="0.25">
      <c r="A9950" s="803" t="s">
        <v>12597</v>
      </c>
      <c r="B9950" s="803" t="s">
        <v>7913</v>
      </c>
      <c r="C9950" s="803" t="s">
        <v>7913</v>
      </c>
      <c r="D9950" s="803" t="s">
        <v>7637</v>
      </c>
      <c r="E9950" s="803">
        <v>30</v>
      </c>
      <c r="F9950" s="803">
        <v>25</v>
      </c>
      <c r="G9950" s="202" t="str">
        <f t="shared" si="155"/>
        <v/>
      </c>
    </row>
    <row r="9951" spans="1:7" s="172" customFormat="1" ht="15" customHeight="1" x14ac:dyDescent="0.25">
      <c r="A9951" s="803" t="s">
        <v>7638</v>
      </c>
      <c r="B9951" s="803" t="s">
        <v>7913</v>
      </c>
      <c r="C9951" s="803" t="s">
        <v>7913</v>
      </c>
      <c r="D9951" s="803" t="s">
        <v>7639</v>
      </c>
      <c r="E9951" s="803">
        <v>400</v>
      </c>
      <c r="F9951" s="803">
        <v>370</v>
      </c>
      <c r="G9951" s="202" t="str">
        <f t="shared" si="155"/>
        <v/>
      </c>
    </row>
    <row r="9952" spans="1:7" s="172" customFormat="1" ht="15" customHeight="1" x14ac:dyDescent="0.25">
      <c r="A9952" s="803" t="s">
        <v>7638</v>
      </c>
      <c r="B9952" s="803" t="s">
        <v>7913</v>
      </c>
      <c r="C9952" s="803" t="s">
        <v>7913</v>
      </c>
      <c r="D9952" s="803" t="s">
        <v>7640</v>
      </c>
      <c r="E9952" s="803">
        <v>160</v>
      </c>
      <c r="F9952" s="803">
        <v>130</v>
      </c>
      <c r="G9952" s="202" t="str">
        <f t="shared" si="155"/>
        <v/>
      </c>
    </row>
    <row r="9953" spans="1:7" s="172" customFormat="1" ht="15" customHeight="1" x14ac:dyDescent="0.25">
      <c r="A9953" s="803" t="s">
        <v>7638</v>
      </c>
      <c r="B9953" s="803" t="s">
        <v>7913</v>
      </c>
      <c r="C9953" s="803" t="s">
        <v>7913</v>
      </c>
      <c r="D9953" s="803" t="s">
        <v>7641</v>
      </c>
      <c r="E9953" s="803">
        <v>160</v>
      </c>
      <c r="F9953" s="803">
        <v>140</v>
      </c>
      <c r="G9953" s="202" t="str">
        <f t="shared" si="155"/>
        <v/>
      </c>
    </row>
    <row r="9954" spans="1:7" s="172" customFormat="1" ht="15" customHeight="1" x14ac:dyDescent="0.25">
      <c r="A9954" s="803" t="s">
        <v>7056</v>
      </c>
      <c r="B9954" s="803" t="s">
        <v>7913</v>
      </c>
      <c r="C9954" s="803" t="s">
        <v>7913</v>
      </c>
      <c r="D9954" s="803" t="s">
        <v>7589</v>
      </c>
      <c r="E9954" s="803">
        <v>30</v>
      </c>
      <c r="F9954" s="803">
        <v>20</v>
      </c>
      <c r="G9954" s="202" t="str">
        <f t="shared" si="155"/>
        <v/>
      </c>
    </row>
    <row r="9955" spans="1:7" s="172" customFormat="1" ht="15" customHeight="1" x14ac:dyDescent="0.25">
      <c r="A9955" s="803" t="s">
        <v>12598</v>
      </c>
      <c r="B9955" s="803" t="s">
        <v>7913</v>
      </c>
      <c r="C9955" s="803" t="s">
        <v>7913</v>
      </c>
      <c r="D9955" s="803" t="s">
        <v>7642</v>
      </c>
      <c r="E9955" s="803">
        <v>30</v>
      </c>
      <c r="F9955" s="803">
        <v>20</v>
      </c>
      <c r="G9955" s="202" t="str">
        <f t="shared" si="155"/>
        <v/>
      </c>
    </row>
    <row r="9956" spans="1:7" s="172" customFormat="1" ht="15" customHeight="1" x14ac:dyDescent="0.25">
      <c r="A9956" s="803" t="s">
        <v>7643</v>
      </c>
      <c r="B9956" s="803" t="s">
        <v>7913</v>
      </c>
      <c r="C9956" s="803" t="s">
        <v>7913</v>
      </c>
      <c r="D9956" s="803" t="s">
        <v>7644</v>
      </c>
      <c r="E9956" s="803">
        <v>25</v>
      </c>
      <c r="F9956" s="803">
        <v>20</v>
      </c>
      <c r="G9956" s="202" t="str">
        <f t="shared" si="155"/>
        <v/>
      </c>
    </row>
    <row r="9957" spans="1:7" s="172" customFormat="1" ht="15" customHeight="1" x14ac:dyDescent="0.25">
      <c r="A9957" s="803" t="s">
        <v>7645</v>
      </c>
      <c r="B9957" s="803" t="s">
        <v>7913</v>
      </c>
      <c r="C9957" s="803" t="s">
        <v>7913</v>
      </c>
      <c r="D9957" s="803" t="s">
        <v>7646</v>
      </c>
      <c r="E9957" s="803">
        <v>100</v>
      </c>
      <c r="F9957" s="803">
        <v>80</v>
      </c>
      <c r="G9957" s="202" t="str">
        <f t="shared" si="155"/>
        <v/>
      </c>
    </row>
    <row r="9958" spans="1:7" s="172" customFormat="1" ht="15" customHeight="1" x14ac:dyDescent="0.25">
      <c r="A9958" s="803" t="s">
        <v>7647</v>
      </c>
      <c r="B9958" s="803" t="s">
        <v>7913</v>
      </c>
      <c r="C9958" s="803" t="s">
        <v>7913</v>
      </c>
      <c r="D9958" s="803" t="s">
        <v>7648</v>
      </c>
      <c r="E9958" s="803">
        <v>100</v>
      </c>
      <c r="F9958" s="803">
        <v>50</v>
      </c>
      <c r="G9958" s="202" t="str">
        <f t="shared" si="155"/>
        <v/>
      </c>
    </row>
    <row r="9959" spans="1:7" s="172" customFormat="1" ht="15" customHeight="1" x14ac:dyDescent="0.25">
      <c r="A9959" s="803" t="s">
        <v>7649</v>
      </c>
      <c r="B9959" s="803" t="s">
        <v>7913</v>
      </c>
      <c r="C9959" s="803" t="s">
        <v>7913</v>
      </c>
      <c r="D9959" s="803" t="s">
        <v>7650</v>
      </c>
      <c r="E9959" s="803">
        <v>10</v>
      </c>
      <c r="F9959" s="803">
        <v>5</v>
      </c>
      <c r="G9959" s="202" t="str">
        <f t="shared" si="155"/>
        <v/>
      </c>
    </row>
    <row r="9960" spans="1:7" s="172" customFormat="1" ht="15" customHeight="1" x14ac:dyDescent="0.25">
      <c r="A9960" s="803" t="s">
        <v>7651</v>
      </c>
      <c r="B9960" s="803" t="s">
        <v>7913</v>
      </c>
      <c r="C9960" s="803" t="s">
        <v>7913</v>
      </c>
      <c r="D9960" s="803" t="s">
        <v>7652</v>
      </c>
      <c r="E9960" s="803">
        <v>40</v>
      </c>
      <c r="F9960" s="803">
        <v>30</v>
      </c>
      <c r="G9960" s="202" t="str">
        <f t="shared" si="155"/>
        <v/>
      </c>
    </row>
    <row r="9961" spans="1:7" s="172" customFormat="1" ht="15" customHeight="1" x14ac:dyDescent="0.25">
      <c r="A9961" s="803" t="s">
        <v>4840</v>
      </c>
      <c r="B9961" s="803" t="s">
        <v>7913</v>
      </c>
      <c r="C9961" s="803" t="s">
        <v>7913</v>
      </c>
      <c r="D9961" s="803" t="s">
        <v>7653</v>
      </c>
      <c r="E9961" s="803">
        <v>60</v>
      </c>
      <c r="F9961" s="803">
        <v>50</v>
      </c>
      <c r="G9961" s="202" t="str">
        <f t="shared" si="155"/>
        <v/>
      </c>
    </row>
    <row r="9962" spans="1:7" s="172" customFormat="1" ht="15" customHeight="1" x14ac:dyDescent="0.25">
      <c r="A9962" s="803" t="s">
        <v>4840</v>
      </c>
      <c r="B9962" s="803" t="s">
        <v>7913</v>
      </c>
      <c r="C9962" s="803" t="s">
        <v>7913</v>
      </c>
      <c r="D9962" s="803" t="s">
        <v>7654</v>
      </c>
      <c r="E9962" s="803">
        <v>63</v>
      </c>
      <c r="F9962" s="803">
        <v>53</v>
      </c>
      <c r="G9962" s="202" t="str">
        <f t="shared" si="155"/>
        <v/>
      </c>
    </row>
    <row r="9963" spans="1:7" s="172" customFormat="1" ht="15" customHeight="1" x14ac:dyDescent="0.25">
      <c r="A9963" s="803" t="s">
        <v>7655</v>
      </c>
      <c r="B9963" s="803" t="s">
        <v>7913</v>
      </c>
      <c r="C9963" s="803" t="s">
        <v>7913</v>
      </c>
      <c r="D9963" s="803" t="s">
        <v>7656</v>
      </c>
      <c r="E9963" s="803">
        <v>30</v>
      </c>
      <c r="F9963" s="803">
        <v>20</v>
      </c>
      <c r="G9963" s="202" t="str">
        <f t="shared" si="155"/>
        <v/>
      </c>
    </row>
    <row r="9964" spans="1:7" s="172" customFormat="1" ht="15" customHeight="1" x14ac:dyDescent="0.25">
      <c r="A9964" s="803" t="s">
        <v>7657</v>
      </c>
      <c r="B9964" s="803" t="s">
        <v>7913</v>
      </c>
      <c r="C9964" s="803" t="s">
        <v>7913</v>
      </c>
      <c r="D9964" s="803" t="s">
        <v>7658</v>
      </c>
      <c r="E9964" s="803">
        <v>160</v>
      </c>
      <c r="F9964" s="803">
        <v>150</v>
      </c>
      <c r="G9964" s="202" t="str">
        <f t="shared" si="155"/>
        <v/>
      </c>
    </row>
    <row r="9965" spans="1:7" s="172" customFormat="1" ht="15" customHeight="1" x14ac:dyDescent="0.25">
      <c r="A9965" s="803" t="s">
        <v>7659</v>
      </c>
      <c r="B9965" s="803" t="s">
        <v>7913</v>
      </c>
      <c r="C9965" s="803" t="s">
        <v>7913</v>
      </c>
      <c r="D9965" s="803" t="s">
        <v>7660</v>
      </c>
      <c r="E9965" s="803">
        <v>30</v>
      </c>
      <c r="F9965" s="803">
        <v>25</v>
      </c>
      <c r="G9965" s="202" t="str">
        <f t="shared" si="155"/>
        <v/>
      </c>
    </row>
    <row r="9966" spans="1:7" s="172" customFormat="1" ht="15" customHeight="1" x14ac:dyDescent="0.25">
      <c r="A9966" s="803" t="s">
        <v>7661</v>
      </c>
      <c r="B9966" s="803" t="s">
        <v>7913</v>
      </c>
      <c r="C9966" s="803" t="s">
        <v>7913</v>
      </c>
      <c r="D9966" s="803" t="s">
        <v>7662</v>
      </c>
      <c r="E9966" s="803">
        <v>160</v>
      </c>
      <c r="F9966" s="803">
        <v>150</v>
      </c>
      <c r="G9966" s="202" t="str">
        <f t="shared" si="155"/>
        <v/>
      </c>
    </row>
    <row r="9967" spans="1:7" s="172" customFormat="1" ht="15" customHeight="1" x14ac:dyDescent="0.25">
      <c r="A9967" s="803" t="s">
        <v>7661</v>
      </c>
      <c r="B9967" s="803" t="s">
        <v>7913</v>
      </c>
      <c r="C9967" s="803" t="s">
        <v>7913</v>
      </c>
      <c r="D9967" s="803" t="s">
        <v>7663</v>
      </c>
      <c r="E9967" s="803">
        <v>100</v>
      </c>
      <c r="F9967" s="803">
        <v>80</v>
      </c>
      <c r="G9967" s="202" t="str">
        <f t="shared" si="155"/>
        <v/>
      </c>
    </row>
    <row r="9968" spans="1:7" s="172" customFormat="1" ht="15" customHeight="1" x14ac:dyDescent="0.25">
      <c r="A9968" s="803" t="s">
        <v>7664</v>
      </c>
      <c r="B9968" s="803" t="s">
        <v>7913</v>
      </c>
      <c r="C9968" s="803" t="s">
        <v>7913</v>
      </c>
      <c r="D9968" s="803" t="s">
        <v>7665</v>
      </c>
      <c r="E9968" s="803">
        <v>100</v>
      </c>
      <c r="F9968" s="803">
        <v>70</v>
      </c>
      <c r="G9968" s="202" t="str">
        <f t="shared" si="155"/>
        <v/>
      </c>
    </row>
    <row r="9969" spans="1:7" s="172" customFormat="1" ht="15" customHeight="1" x14ac:dyDescent="0.25">
      <c r="A9969" s="803" t="s">
        <v>4825</v>
      </c>
      <c r="B9969" s="803" t="s">
        <v>7913</v>
      </c>
      <c r="C9969" s="803" t="s">
        <v>7913</v>
      </c>
      <c r="D9969" s="803" t="s">
        <v>7666</v>
      </c>
      <c r="E9969" s="803">
        <v>30</v>
      </c>
      <c r="F9969" s="803">
        <v>25</v>
      </c>
      <c r="G9969" s="202" t="str">
        <f t="shared" si="155"/>
        <v/>
      </c>
    </row>
    <row r="9970" spans="1:7" s="172" customFormat="1" ht="15" customHeight="1" x14ac:dyDescent="0.25">
      <c r="A9970" s="803" t="s">
        <v>7667</v>
      </c>
      <c r="B9970" s="803" t="s">
        <v>7913</v>
      </c>
      <c r="C9970" s="803" t="s">
        <v>7913</v>
      </c>
      <c r="D9970" s="803" t="s">
        <v>7668</v>
      </c>
      <c r="E9970" s="803">
        <v>60</v>
      </c>
      <c r="F9970" s="803">
        <v>45</v>
      </c>
      <c r="G9970" s="202" t="str">
        <f t="shared" si="155"/>
        <v/>
      </c>
    </row>
    <row r="9971" spans="1:7" s="172" customFormat="1" ht="15" customHeight="1" x14ac:dyDescent="0.25">
      <c r="A9971" s="803" t="s">
        <v>7667</v>
      </c>
      <c r="B9971" s="803" t="s">
        <v>7913</v>
      </c>
      <c r="C9971" s="803" t="s">
        <v>7913</v>
      </c>
      <c r="D9971" s="803" t="s">
        <v>7669</v>
      </c>
      <c r="E9971" s="803">
        <v>100</v>
      </c>
      <c r="F9971" s="803">
        <v>85</v>
      </c>
      <c r="G9971" s="202" t="str">
        <f t="shared" si="155"/>
        <v/>
      </c>
    </row>
    <row r="9972" spans="1:7" s="172" customFormat="1" ht="15" customHeight="1" x14ac:dyDescent="0.25">
      <c r="A9972" s="803" t="s">
        <v>7667</v>
      </c>
      <c r="B9972" s="803" t="s">
        <v>7913</v>
      </c>
      <c r="C9972" s="803" t="s">
        <v>7913</v>
      </c>
      <c r="D9972" s="803" t="s">
        <v>7670</v>
      </c>
      <c r="E9972" s="803">
        <v>160</v>
      </c>
      <c r="F9972" s="803">
        <v>140</v>
      </c>
      <c r="G9972" s="202" t="str">
        <f t="shared" si="155"/>
        <v/>
      </c>
    </row>
    <row r="9973" spans="1:7" s="172" customFormat="1" ht="15" customHeight="1" x14ac:dyDescent="0.25">
      <c r="A9973" s="803" t="s">
        <v>7667</v>
      </c>
      <c r="B9973" s="803" t="s">
        <v>7913</v>
      </c>
      <c r="C9973" s="803" t="s">
        <v>7913</v>
      </c>
      <c r="D9973" s="803" t="s">
        <v>7671</v>
      </c>
      <c r="E9973" s="803">
        <v>100</v>
      </c>
      <c r="F9973" s="803">
        <v>80</v>
      </c>
      <c r="G9973" s="202" t="str">
        <f t="shared" si="155"/>
        <v/>
      </c>
    </row>
    <row r="9974" spans="1:7" s="172" customFormat="1" ht="15" customHeight="1" x14ac:dyDescent="0.25">
      <c r="A9974" s="803" t="s">
        <v>7667</v>
      </c>
      <c r="B9974" s="803" t="s">
        <v>7913</v>
      </c>
      <c r="C9974" s="803" t="s">
        <v>7913</v>
      </c>
      <c r="D9974" s="803" t="s">
        <v>7672</v>
      </c>
      <c r="E9974" s="803">
        <v>100</v>
      </c>
      <c r="F9974" s="803">
        <v>80</v>
      </c>
      <c r="G9974" s="202" t="str">
        <f t="shared" si="155"/>
        <v/>
      </c>
    </row>
    <row r="9975" spans="1:7" s="172" customFormat="1" ht="15" customHeight="1" x14ac:dyDescent="0.25">
      <c r="A9975" s="803" t="s">
        <v>7667</v>
      </c>
      <c r="B9975" s="803" t="s">
        <v>7913</v>
      </c>
      <c r="C9975" s="803" t="s">
        <v>7913</v>
      </c>
      <c r="D9975" s="803" t="s">
        <v>7673</v>
      </c>
      <c r="E9975" s="803">
        <v>250</v>
      </c>
      <c r="F9975" s="803">
        <v>245</v>
      </c>
      <c r="G9975" s="202" t="str">
        <f t="shared" si="155"/>
        <v/>
      </c>
    </row>
    <row r="9976" spans="1:7" s="172" customFormat="1" ht="15" customHeight="1" x14ac:dyDescent="0.25">
      <c r="A9976" s="803" t="s">
        <v>2689</v>
      </c>
      <c r="B9976" s="803" t="s">
        <v>7913</v>
      </c>
      <c r="C9976" s="803" t="s">
        <v>7913</v>
      </c>
      <c r="D9976" s="803" t="s">
        <v>7674</v>
      </c>
      <c r="E9976" s="803">
        <v>30</v>
      </c>
      <c r="F9976" s="803">
        <v>25</v>
      </c>
      <c r="G9976" s="202" t="str">
        <f t="shared" si="155"/>
        <v/>
      </c>
    </row>
    <row r="9977" spans="1:7" s="172" customFormat="1" ht="15" customHeight="1" x14ac:dyDescent="0.25">
      <c r="A9977" s="803" t="s">
        <v>7675</v>
      </c>
      <c r="B9977" s="803" t="s">
        <v>7913</v>
      </c>
      <c r="C9977" s="803" t="s">
        <v>7913</v>
      </c>
      <c r="D9977" s="803" t="s">
        <v>7676</v>
      </c>
      <c r="E9977" s="803">
        <v>250</v>
      </c>
      <c r="F9977" s="803">
        <v>200</v>
      </c>
      <c r="G9977" s="202" t="str">
        <f t="shared" si="155"/>
        <v/>
      </c>
    </row>
    <row r="9978" spans="1:7" s="172" customFormat="1" ht="15" customHeight="1" x14ac:dyDescent="0.25">
      <c r="A9978" s="803" t="s">
        <v>2515</v>
      </c>
      <c r="B9978" s="803" t="s">
        <v>7913</v>
      </c>
      <c r="C9978" s="803" t="s">
        <v>7913</v>
      </c>
      <c r="D9978" s="803" t="s">
        <v>7677</v>
      </c>
      <c r="E9978" s="803">
        <v>63</v>
      </c>
      <c r="F9978" s="803">
        <v>53</v>
      </c>
      <c r="G9978" s="202" t="str">
        <f t="shared" si="155"/>
        <v/>
      </c>
    </row>
    <row r="9979" spans="1:7" s="172" customFormat="1" ht="15" customHeight="1" x14ac:dyDescent="0.25">
      <c r="A9979" s="803" t="s">
        <v>7678</v>
      </c>
      <c r="B9979" s="803" t="s">
        <v>7913</v>
      </c>
      <c r="C9979" s="803" t="s">
        <v>7913</v>
      </c>
      <c r="D9979" s="803" t="s">
        <v>7679</v>
      </c>
      <c r="E9979" s="803">
        <v>20</v>
      </c>
      <c r="F9979" s="803">
        <v>15</v>
      </c>
      <c r="G9979" s="202" t="str">
        <f t="shared" si="155"/>
        <v/>
      </c>
    </row>
    <row r="9980" spans="1:7" s="172" customFormat="1" ht="15" customHeight="1" x14ac:dyDescent="0.25">
      <c r="A9980" s="803" t="s">
        <v>7680</v>
      </c>
      <c r="B9980" s="803" t="s">
        <v>7913</v>
      </c>
      <c r="C9980" s="803" t="s">
        <v>7913</v>
      </c>
      <c r="D9980" s="803" t="s">
        <v>7681</v>
      </c>
      <c r="E9980" s="803">
        <v>30</v>
      </c>
      <c r="F9980" s="803">
        <v>25</v>
      </c>
      <c r="G9980" s="202" t="str">
        <f t="shared" si="155"/>
        <v/>
      </c>
    </row>
    <row r="9981" spans="1:7" s="172" customFormat="1" ht="15" customHeight="1" x14ac:dyDescent="0.25">
      <c r="A9981" s="803" t="s">
        <v>5915</v>
      </c>
      <c r="B9981" s="803" t="s">
        <v>7913</v>
      </c>
      <c r="C9981" s="803" t="s">
        <v>7913</v>
      </c>
      <c r="D9981" s="803" t="s">
        <v>7682</v>
      </c>
      <c r="E9981" s="803">
        <v>40</v>
      </c>
      <c r="F9981" s="803">
        <v>30</v>
      </c>
      <c r="G9981" s="202" t="str">
        <f t="shared" si="155"/>
        <v/>
      </c>
    </row>
    <row r="9982" spans="1:7" s="172" customFormat="1" ht="15" customHeight="1" x14ac:dyDescent="0.25">
      <c r="A9982" s="803" t="s">
        <v>7683</v>
      </c>
      <c r="B9982" s="803" t="s">
        <v>7913</v>
      </c>
      <c r="C9982" s="803" t="s">
        <v>7913</v>
      </c>
      <c r="D9982" s="803" t="s">
        <v>7595</v>
      </c>
      <c r="E9982" s="803">
        <v>60</v>
      </c>
      <c r="F9982" s="803">
        <v>50</v>
      </c>
      <c r="G9982" s="202" t="str">
        <f t="shared" si="155"/>
        <v/>
      </c>
    </row>
    <row r="9983" spans="1:7" s="172" customFormat="1" ht="15" customHeight="1" x14ac:dyDescent="0.25">
      <c r="A9983" s="803" t="s">
        <v>7684</v>
      </c>
      <c r="B9983" s="803" t="s">
        <v>7913</v>
      </c>
      <c r="C9983" s="803" t="s">
        <v>7913</v>
      </c>
      <c r="D9983" s="803" t="s">
        <v>7685</v>
      </c>
      <c r="E9983" s="803">
        <v>30</v>
      </c>
      <c r="F9983" s="803">
        <v>15</v>
      </c>
      <c r="G9983" s="202" t="str">
        <f t="shared" si="155"/>
        <v/>
      </c>
    </row>
    <row r="9984" spans="1:7" s="172" customFormat="1" ht="15" customHeight="1" x14ac:dyDescent="0.25">
      <c r="A9984" s="803" t="s">
        <v>7686</v>
      </c>
      <c r="B9984" s="803" t="s">
        <v>7913</v>
      </c>
      <c r="C9984" s="803" t="s">
        <v>7913</v>
      </c>
      <c r="D9984" s="803" t="s">
        <v>7687</v>
      </c>
      <c r="E9984" s="803">
        <v>10</v>
      </c>
      <c r="F9984" s="803">
        <v>5</v>
      </c>
      <c r="G9984" s="202" t="str">
        <f t="shared" si="155"/>
        <v/>
      </c>
    </row>
    <row r="9985" spans="1:7" s="172" customFormat="1" ht="15" customHeight="1" x14ac:dyDescent="0.25">
      <c r="A9985" s="803" t="s">
        <v>7688</v>
      </c>
      <c r="B9985" s="803" t="s">
        <v>7913</v>
      </c>
      <c r="C9985" s="803" t="s">
        <v>7913</v>
      </c>
      <c r="D9985" s="803" t="s">
        <v>7689</v>
      </c>
      <c r="E9985" s="803">
        <v>20</v>
      </c>
      <c r="F9985" s="803">
        <v>15</v>
      </c>
      <c r="G9985" s="202"/>
    </row>
    <row r="9986" spans="1:7" s="172" customFormat="1" ht="15" customHeight="1" x14ac:dyDescent="0.25">
      <c r="A9986" s="803" t="s">
        <v>7690</v>
      </c>
      <c r="B9986" s="803" t="s">
        <v>7913</v>
      </c>
      <c r="C9986" s="803" t="s">
        <v>7913</v>
      </c>
      <c r="D9986" s="803" t="s">
        <v>7691</v>
      </c>
      <c r="E9986" s="803">
        <v>30</v>
      </c>
      <c r="F9986" s="803">
        <v>20</v>
      </c>
      <c r="G9986" s="202" t="str">
        <f t="shared" si="155"/>
        <v/>
      </c>
    </row>
    <row r="9987" spans="1:7" s="172" customFormat="1" ht="15" customHeight="1" x14ac:dyDescent="0.25">
      <c r="A9987" s="803" t="s">
        <v>7692</v>
      </c>
      <c r="B9987" s="803" t="s">
        <v>7913</v>
      </c>
      <c r="C9987" s="803" t="s">
        <v>7913</v>
      </c>
      <c r="D9987" s="803" t="s">
        <v>7693</v>
      </c>
      <c r="E9987" s="803">
        <v>100</v>
      </c>
      <c r="F9987" s="803">
        <v>80</v>
      </c>
      <c r="G9987" s="202" t="str">
        <f t="shared" si="155"/>
        <v/>
      </c>
    </row>
    <row r="9988" spans="1:7" s="172" customFormat="1" ht="15" customHeight="1" x14ac:dyDescent="0.25">
      <c r="A9988" s="803" t="s">
        <v>7692</v>
      </c>
      <c r="B9988" s="803" t="s">
        <v>7913</v>
      </c>
      <c r="C9988" s="803" t="s">
        <v>7913</v>
      </c>
      <c r="D9988" s="803" t="s">
        <v>7694</v>
      </c>
      <c r="E9988" s="803">
        <v>63</v>
      </c>
      <c r="F9988" s="803">
        <v>48</v>
      </c>
      <c r="G9988" s="202" t="str">
        <f t="shared" si="155"/>
        <v/>
      </c>
    </row>
    <row r="9989" spans="1:7" s="172" customFormat="1" ht="15" customHeight="1" x14ac:dyDescent="0.25">
      <c r="A9989" s="803" t="s">
        <v>7695</v>
      </c>
      <c r="B9989" s="803" t="s">
        <v>7913</v>
      </c>
      <c r="C9989" s="803" t="s">
        <v>7913</v>
      </c>
      <c r="D9989" s="803" t="s">
        <v>7696</v>
      </c>
      <c r="E9989" s="803">
        <v>25</v>
      </c>
      <c r="F9989" s="803">
        <v>15</v>
      </c>
      <c r="G9989" s="202" t="str">
        <f t="shared" si="155"/>
        <v/>
      </c>
    </row>
    <row r="9990" spans="1:7" s="172" customFormat="1" ht="15" customHeight="1" x14ac:dyDescent="0.25">
      <c r="A9990" s="803" t="s">
        <v>7697</v>
      </c>
      <c r="B9990" s="803" t="s">
        <v>7913</v>
      </c>
      <c r="C9990" s="803" t="s">
        <v>7913</v>
      </c>
      <c r="D9990" s="803" t="s">
        <v>7698</v>
      </c>
      <c r="E9990" s="803">
        <v>60</v>
      </c>
      <c r="F9990" s="803">
        <v>55</v>
      </c>
      <c r="G9990" s="202" t="str">
        <f t="shared" si="155"/>
        <v/>
      </c>
    </row>
    <row r="9991" spans="1:7" s="172" customFormat="1" ht="15" customHeight="1" x14ac:dyDescent="0.25">
      <c r="A9991" s="803" t="s">
        <v>7667</v>
      </c>
      <c r="B9991" s="803" t="s">
        <v>7913</v>
      </c>
      <c r="C9991" s="803" t="s">
        <v>7913</v>
      </c>
      <c r="D9991" s="803" t="s">
        <v>7699</v>
      </c>
      <c r="E9991" s="803">
        <v>250</v>
      </c>
      <c r="F9991" s="803">
        <v>220</v>
      </c>
      <c r="G9991" s="202" t="str">
        <f t="shared" si="155"/>
        <v/>
      </c>
    </row>
    <row r="9992" spans="1:7" s="172" customFormat="1" ht="15" customHeight="1" x14ac:dyDescent="0.25">
      <c r="A9992" s="803" t="s">
        <v>7700</v>
      </c>
      <c r="B9992" s="803" t="s">
        <v>7913</v>
      </c>
      <c r="C9992" s="803" t="s">
        <v>7913</v>
      </c>
      <c r="D9992" s="803" t="s">
        <v>7701</v>
      </c>
      <c r="E9992" s="803">
        <v>100</v>
      </c>
      <c r="F9992" s="803">
        <v>90</v>
      </c>
      <c r="G9992" s="202" t="str">
        <f t="shared" si="155"/>
        <v/>
      </c>
    </row>
    <row r="9993" spans="1:7" s="172" customFormat="1" ht="15" customHeight="1" x14ac:dyDescent="0.25">
      <c r="A9993" s="803" t="s">
        <v>7700</v>
      </c>
      <c r="B9993" s="803" t="s">
        <v>7913</v>
      </c>
      <c r="C9993" s="803" t="s">
        <v>7913</v>
      </c>
      <c r="D9993" s="803" t="s">
        <v>7702</v>
      </c>
      <c r="E9993" s="803">
        <v>160</v>
      </c>
      <c r="F9993" s="803">
        <v>140</v>
      </c>
      <c r="G9993" s="202" t="str">
        <f t="shared" si="155"/>
        <v/>
      </c>
    </row>
    <row r="9994" spans="1:7" s="172" customFormat="1" ht="15" customHeight="1" x14ac:dyDescent="0.25">
      <c r="A9994" s="803" t="s">
        <v>7703</v>
      </c>
      <c r="B9994" s="803" t="s">
        <v>7913</v>
      </c>
      <c r="C9994" s="803" t="s">
        <v>7913</v>
      </c>
      <c r="D9994" s="803" t="s">
        <v>7704</v>
      </c>
      <c r="E9994" s="803">
        <v>160</v>
      </c>
      <c r="F9994" s="803">
        <v>150</v>
      </c>
      <c r="G9994" s="202" t="str">
        <f t="shared" si="155"/>
        <v/>
      </c>
    </row>
    <row r="9995" spans="1:7" s="172" customFormat="1" ht="15" customHeight="1" x14ac:dyDescent="0.25">
      <c r="A9995" s="803" t="s">
        <v>7703</v>
      </c>
      <c r="B9995" s="803" t="s">
        <v>7913</v>
      </c>
      <c r="C9995" s="803" t="s">
        <v>7913</v>
      </c>
      <c r="D9995" s="803" t="s">
        <v>7705</v>
      </c>
      <c r="E9995" s="803">
        <v>250</v>
      </c>
      <c r="F9995" s="803">
        <v>220</v>
      </c>
      <c r="G9995" s="202" t="str">
        <f t="shared" si="155"/>
        <v/>
      </c>
    </row>
    <row r="9996" spans="1:7" s="172" customFormat="1" ht="15" customHeight="1" x14ac:dyDescent="0.25">
      <c r="A9996" s="803" t="s">
        <v>2709</v>
      </c>
      <c r="B9996" s="803" t="s">
        <v>7913</v>
      </c>
      <c r="C9996" s="803" t="s">
        <v>7913</v>
      </c>
      <c r="D9996" s="803" t="s">
        <v>7706</v>
      </c>
      <c r="E9996" s="803">
        <v>30</v>
      </c>
      <c r="F9996" s="803">
        <v>20</v>
      </c>
      <c r="G9996" s="202" t="str">
        <f t="shared" si="155"/>
        <v/>
      </c>
    </row>
    <row r="9997" spans="1:7" s="172" customFormat="1" ht="15" customHeight="1" x14ac:dyDescent="0.25">
      <c r="A9997" s="803" t="s">
        <v>7707</v>
      </c>
      <c r="B9997" s="803" t="s">
        <v>7913</v>
      </c>
      <c r="C9997" s="803" t="s">
        <v>7913</v>
      </c>
      <c r="D9997" s="803" t="s">
        <v>7708</v>
      </c>
      <c r="E9997" s="803">
        <v>100</v>
      </c>
      <c r="F9997" s="803">
        <v>85</v>
      </c>
      <c r="G9997" s="202" t="str">
        <f t="shared" si="155"/>
        <v/>
      </c>
    </row>
    <row r="9998" spans="1:7" s="172" customFormat="1" ht="15" customHeight="1" x14ac:dyDescent="0.25">
      <c r="A9998" s="803" t="s">
        <v>7707</v>
      </c>
      <c r="B9998" s="803" t="s">
        <v>7913</v>
      </c>
      <c r="C9998" s="803" t="s">
        <v>7913</v>
      </c>
      <c r="D9998" s="803" t="s">
        <v>7709</v>
      </c>
      <c r="E9998" s="803">
        <v>160</v>
      </c>
      <c r="F9998" s="803">
        <v>140</v>
      </c>
      <c r="G9998" s="202" t="str">
        <f t="shared" si="155"/>
        <v/>
      </c>
    </row>
    <row r="9999" spans="1:7" s="172" customFormat="1" ht="15" customHeight="1" x14ac:dyDescent="0.25">
      <c r="A9999" s="803" t="s">
        <v>7707</v>
      </c>
      <c r="B9999" s="803" t="s">
        <v>7913</v>
      </c>
      <c r="C9999" s="803" t="s">
        <v>7913</v>
      </c>
      <c r="D9999" s="803" t="s">
        <v>7710</v>
      </c>
      <c r="E9999" s="803">
        <v>100</v>
      </c>
      <c r="F9999" s="803">
        <v>70</v>
      </c>
      <c r="G9999" s="202" t="str">
        <f t="shared" si="155"/>
        <v/>
      </c>
    </row>
    <row r="10000" spans="1:7" s="172" customFormat="1" ht="15" customHeight="1" x14ac:dyDescent="0.25">
      <c r="A10000" s="803" t="s">
        <v>7707</v>
      </c>
      <c r="B10000" s="803" t="s">
        <v>7913</v>
      </c>
      <c r="C10000" s="803" t="s">
        <v>7913</v>
      </c>
      <c r="D10000" s="803" t="s">
        <v>7711</v>
      </c>
      <c r="E10000" s="803">
        <v>100</v>
      </c>
      <c r="F10000" s="803">
        <v>80</v>
      </c>
      <c r="G10000" s="202" t="str">
        <f t="shared" si="155"/>
        <v/>
      </c>
    </row>
    <row r="10001" spans="1:7" s="172" customFormat="1" ht="15" customHeight="1" x14ac:dyDescent="0.25">
      <c r="A10001" s="803" t="s">
        <v>7712</v>
      </c>
      <c r="B10001" s="803" t="s">
        <v>7913</v>
      </c>
      <c r="C10001" s="803" t="s">
        <v>7913</v>
      </c>
      <c r="D10001" s="803" t="s">
        <v>7713</v>
      </c>
      <c r="E10001" s="803">
        <v>40</v>
      </c>
      <c r="F10001" s="803">
        <v>25</v>
      </c>
      <c r="G10001" s="202" t="str">
        <f t="shared" si="155"/>
        <v/>
      </c>
    </row>
    <row r="10002" spans="1:7" s="172" customFormat="1" ht="15" customHeight="1" x14ac:dyDescent="0.25">
      <c r="A10002" s="803" t="s">
        <v>7714</v>
      </c>
      <c r="B10002" s="803" t="s">
        <v>7913</v>
      </c>
      <c r="C10002" s="803" t="s">
        <v>7913</v>
      </c>
      <c r="D10002" s="803" t="s">
        <v>7715</v>
      </c>
      <c r="E10002" s="803">
        <v>100</v>
      </c>
      <c r="F10002" s="803">
        <v>60</v>
      </c>
      <c r="G10002" s="202" t="str">
        <f t="shared" si="155"/>
        <v/>
      </c>
    </row>
    <row r="10003" spans="1:7" s="172" customFormat="1" ht="15" customHeight="1" x14ac:dyDescent="0.25">
      <c r="A10003" s="803" t="s">
        <v>2515</v>
      </c>
      <c r="B10003" s="803" t="s">
        <v>7913</v>
      </c>
      <c r="C10003" s="803" t="s">
        <v>7913</v>
      </c>
      <c r="D10003" s="803" t="s">
        <v>7716</v>
      </c>
      <c r="E10003" s="803">
        <v>60</v>
      </c>
      <c r="F10003" s="803">
        <v>50</v>
      </c>
      <c r="G10003" s="202" t="str">
        <f t="shared" si="155"/>
        <v/>
      </c>
    </row>
    <row r="10004" spans="1:7" s="172" customFormat="1" ht="15" customHeight="1" x14ac:dyDescent="0.25">
      <c r="A10004" s="803" t="s">
        <v>7717</v>
      </c>
      <c r="B10004" s="803" t="s">
        <v>7913</v>
      </c>
      <c r="C10004" s="803" t="s">
        <v>7913</v>
      </c>
      <c r="D10004" s="803" t="s">
        <v>7718</v>
      </c>
      <c r="E10004" s="803">
        <v>20</v>
      </c>
      <c r="F10004" s="803">
        <v>5</v>
      </c>
      <c r="G10004" s="202" t="str">
        <f t="shared" si="155"/>
        <v/>
      </c>
    </row>
    <row r="10005" spans="1:7" s="172" customFormat="1" ht="15" customHeight="1" x14ac:dyDescent="0.25">
      <c r="A10005" s="803" t="s">
        <v>7719</v>
      </c>
      <c r="B10005" s="803" t="s">
        <v>7913</v>
      </c>
      <c r="C10005" s="803" t="s">
        <v>7913</v>
      </c>
      <c r="D10005" s="803" t="s">
        <v>7720</v>
      </c>
      <c r="E10005" s="803">
        <v>100</v>
      </c>
      <c r="F10005" s="803">
        <v>85</v>
      </c>
      <c r="G10005" s="202" t="str">
        <f t="shared" si="155"/>
        <v/>
      </c>
    </row>
    <row r="10006" spans="1:7" s="172" customFormat="1" ht="15" customHeight="1" x14ac:dyDescent="0.25">
      <c r="A10006" s="803" t="s">
        <v>7675</v>
      </c>
      <c r="B10006" s="803" t="s">
        <v>7913</v>
      </c>
      <c r="C10006" s="803" t="s">
        <v>7913</v>
      </c>
      <c r="D10006" s="803" t="s">
        <v>7721</v>
      </c>
      <c r="E10006" s="803">
        <v>160</v>
      </c>
      <c r="F10006" s="803">
        <v>90</v>
      </c>
      <c r="G10006" s="202" t="str">
        <f t="shared" si="155"/>
        <v/>
      </c>
    </row>
    <row r="10007" spans="1:7" s="172" customFormat="1" ht="15" customHeight="1" x14ac:dyDescent="0.25">
      <c r="A10007" s="803" t="s">
        <v>7675</v>
      </c>
      <c r="B10007" s="803" t="s">
        <v>7913</v>
      </c>
      <c r="C10007" s="803" t="s">
        <v>7913</v>
      </c>
      <c r="D10007" s="803" t="s">
        <v>7722</v>
      </c>
      <c r="E10007" s="803">
        <v>100</v>
      </c>
      <c r="F10007" s="803">
        <v>60</v>
      </c>
      <c r="G10007" s="202" t="str">
        <f t="shared" si="155"/>
        <v/>
      </c>
    </row>
    <row r="10008" spans="1:7" s="172" customFormat="1" ht="15" customHeight="1" x14ac:dyDescent="0.25">
      <c r="A10008" s="803" t="s">
        <v>7675</v>
      </c>
      <c r="B10008" s="803" t="s">
        <v>7913</v>
      </c>
      <c r="C10008" s="803" t="s">
        <v>7913</v>
      </c>
      <c r="D10008" s="803" t="s">
        <v>7723</v>
      </c>
      <c r="E10008" s="803">
        <v>250</v>
      </c>
      <c r="F10008" s="803">
        <v>200</v>
      </c>
      <c r="G10008" s="202" t="str">
        <f t="shared" si="155"/>
        <v/>
      </c>
    </row>
    <row r="10009" spans="1:7" s="172" customFormat="1" ht="15" customHeight="1" x14ac:dyDescent="0.25">
      <c r="A10009" s="803" t="s">
        <v>7675</v>
      </c>
      <c r="B10009" s="803" t="s">
        <v>7913</v>
      </c>
      <c r="C10009" s="803" t="s">
        <v>7913</v>
      </c>
      <c r="D10009" s="803" t="s">
        <v>7724</v>
      </c>
      <c r="E10009" s="803">
        <v>250</v>
      </c>
      <c r="F10009" s="803">
        <v>190</v>
      </c>
      <c r="G10009" s="202" t="str">
        <f t="shared" si="155"/>
        <v/>
      </c>
    </row>
    <row r="10010" spans="1:7" s="172" customFormat="1" ht="15" customHeight="1" x14ac:dyDescent="0.25">
      <c r="A10010" s="803" t="s">
        <v>7675</v>
      </c>
      <c r="B10010" s="803" t="s">
        <v>7913</v>
      </c>
      <c r="C10010" s="803" t="s">
        <v>7913</v>
      </c>
      <c r="D10010" s="803" t="s">
        <v>7725</v>
      </c>
      <c r="E10010" s="803">
        <v>400</v>
      </c>
      <c r="F10010" s="803">
        <v>350</v>
      </c>
      <c r="G10010" s="202" t="str">
        <f t="shared" si="155"/>
        <v/>
      </c>
    </row>
    <row r="10011" spans="1:7" s="172" customFormat="1" ht="15" customHeight="1" x14ac:dyDescent="0.25">
      <c r="A10011" s="803" t="s">
        <v>7675</v>
      </c>
      <c r="B10011" s="803" t="s">
        <v>7913</v>
      </c>
      <c r="C10011" s="803" t="s">
        <v>7913</v>
      </c>
      <c r="D10011" s="803" t="s">
        <v>7726</v>
      </c>
      <c r="E10011" s="803">
        <v>100</v>
      </c>
      <c r="F10011" s="803">
        <v>50</v>
      </c>
      <c r="G10011" s="202" t="str">
        <f t="shared" si="155"/>
        <v/>
      </c>
    </row>
    <row r="10012" spans="1:7" s="172" customFormat="1" ht="15" customHeight="1" x14ac:dyDescent="0.25">
      <c r="A10012" s="803" t="s">
        <v>7727</v>
      </c>
      <c r="B10012" s="803" t="s">
        <v>7913</v>
      </c>
      <c r="C10012" s="803" t="s">
        <v>7913</v>
      </c>
      <c r="D10012" s="803" t="s">
        <v>7728</v>
      </c>
      <c r="E10012" s="803">
        <v>250</v>
      </c>
      <c r="F10012" s="803">
        <v>210</v>
      </c>
      <c r="G10012" s="202" t="str">
        <f t="shared" si="155"/>
        <v/>
      </c>
    </row>
    <row r="10013" spans="1:7" s="172" customFormat="1" ht="15" customHeight="1" x14ac:dyDescent="0.25">
      <c r="A10013" s="803" t="s">
        <v>7727</v>
      </c>
      <c r="B10013" s="803" t="s">
        <v>7913</v>
      </c>
      <c r="C10013" s="803" t="s">
        <v>7913</v>
      </c>
      <c r="D10013" s="803" t="s">
        <v>7729</v>
      </c>
      <c r="E10013" s="803">
        <v>400</v>
      </c>
      <c r="F10013" s="803">
        <v>385</v>
      </c>
      <c r="G10013" s="202" t="str">
        <f t="shared" si="155"/>
        <v/>
      </c>
    </row>
    <row r="10014" spans="1:7" s="172" customFormat="1" ht="15" customHeight="1" x14ac:dyDescent="0.25">
      <c r="A10014" s="803" t="s">
        <v>7730</v>
      </c>
      <c r="B10014" s="803" t="s">
        <v>7913</v>
      </c>
      <c r="C10014" s="803" t="s">
        <v>7913</v>
      </c>
      <c r="D10014" s="803" t="s">
        <v>7731</v>
      </c>
      <c r="E10014" s="803">
        <v>10</v>
      </c>
      <c r="F10014" s="803">
        <v>5</v>
      </c>
      <c r="G10014" s="202" t="str">
        <f t="shared" ref="G10014:G10077" si="156">IF(E10014=F10014,"не загружен","")</f>
        <v/>
      </c>
    </row>
    <row r="10015" spans="1:7" s="172" customFormat="1" ht="15" customHeight="1" x14ac:dyDescent="0.25">
      <c r="A10015" s="803" t="s">
        <v>7732</v>
      </c>
      <c r="B10015" s="803" t="s">
        <v>7913</v>
      </c>
      <c r="C10015" s="803" t="s">
        <v>7913</v>
      </c>
      <c r="D10015" s="803" t="s">
        <v>7733</v>
      </c>
      <c r="E10015" s="803">
        <v>40</v>
      </c>
      <c r="F10015" s="803">
        <v>35</v>
      </c>
      <c r="G10015" s="202" t="str">
        <f t="shared" si="156"/>
        <v/>
      </c>
    </row>
    <row r="10016" spans="1:7" s="172" customFormat="1" ht="15" customHeight="1" x14ac:dyDescent="0.25">
      <c r="A10016" s="803" t="s">
        <v>7734</v>
      </c>
      <c r="B10016" s="803" t="s">
        <v>7913</v>
      </c>
      <c r="C10016" s="803" t="s">
        <v>7913</v>
      </c>
      <c r="D10016" s="803" t="s">
        <v>7735</v>
      </c>
      <c r="E10016" s="803">
        <v>20</v>
      </c>
      <c r="F10016" s="803">
        <v>3</v>
      </c>
      <c r="G10016" s="202" t="str">
        <f t="shared" si="156"/>
        <v/>
      </c>
    </row>
    <row r="10017" spans="1:7" s="172" customFormat="1" ht="15" customHeight="1" x14ac:dyDescent="0.25">
      <c r="A10017" s="803" t="s">
        <v>7736</v>
      </c>
      <c r="B10017" s="803" t="s">
        <v>7913</v>
      </c>
      <c r="C10017" s="803" t="s">
        <v>7913</v>
      </c>
      <c r="D10017" s="803" t="s">
        <v>7737</v>
      </c>
      <c r="E10017" s="803">
        <v>60</v>
      </c>
      <c r="F10017" s="803">
        <v>55</v>
      </c>
      <c r="G10017" s="202" t="str">
        <f t="shared" si="156"/>
        <v/>
      </c>
    </row>
    <row r="10018" spans="1:7" s="172" customFormat="1" ht="15" customHeight="1" x14ac:dyDescent="0.25">
      <c r="A10018" s="803" t="s">
        <v>7738</v>
      </c>
      <c r="B10018" s="803" t="s">
        <v>7913</v>
      </c>
      <c r="C10018" s="803" t="s">
        <v>7913</v>
      </c>
      <c r="D10018" s="803" t="s">
        <v>7739</v>
      </c>
      <c r="E10018" s="803">
        <v>160</v>
      </c>
      <c r="F10018" s="803">
        <v>130</v>
      </c>
      <c r="G10018" s="202" t="str">
        <f t="shared" si="156"/>
        <v/>
      </c>
    </row>
    <row r="10019" spans="1:7" s="172" customFormat="1" ht="15" customHeight="1" x14ac:dyDescent="0.25">
      <c r="A10019" s="803" t="s">
        <v>6285</v>
      </c>
      <c r="B10019" s="803" t="s">
        <v>7913</v>
      </c>
      <c r="C10019" s="803" t="s">
        <v>7913</v>
      </c>
      <c r="D10019" s="803" t="s">
        <v>7740</v>
      </c>
      <c r="E10019" s="803">
        <v>160</v>
      </c>
      <c r="F10019" s="803">
        <v>140</v>
      </c>
      <c r="G10019" s="202" t="str">
        <f t="shared" si="156"/>
        <v/>
      </c>
    </row>
    <row r="10020" spans="1:7" s="172" customFormat="1" ht="15" customHeight="1" x14ac:dyDescent="0.25">
      <c r="A10020" s="803" t="s">
        <v>6285</v>
      </c>
      <c r="B10020" s="803" t="s">
        <v>7913</v>
      </c>
      <c r="C10020" s="803" t="s">
        <v>7913</v>
      </c>
      <c r="D10020" s="803" t="s">
        <v>7741</v>
      </c>
      <c r="E10020" s="803">
        <v>60</v>
      </c>
      <c r="F10020" s="803">
        <v>50</v>
      </c>
      <c r="G10020" s="202" t="str">
        <f t="shared" si="156"/>
        <v/>
      </c>
    </row>
    <row r="10021" spans="1:7" s="172" customFormat="1" ht="15" customHeight="1" x14ac:dyDescent="0.25">
      <c r="A10021" s="803" t="s">
        <v>7742</v>
      </c>
      <c r="B10021" s="803" t="s">
        <v>7913</v>
      </c>
      <c r="C10021" s="803" t="s">
        <v>7913</v>
      </c>
      <c r="D10021" s="803" t="s">
        <v>7743</v>
      </c>
      <c r="E10021" s="803">
        <v>40</v>
      </c>
      <c r="F10021" s="803">
        <v>30</v>
      </c>
      <c r="G10021" s="202" t="str">
        <f t="shared" si="156"/>
        <v/>
      </c>
    </row>
    <row r="10022" spans="1:7" s="172" customFormat="1" ht="15" customHeight="1" x14ac:dyDescent="0.25">
      <c r="A10022" s="803" t="s">
        <v>7744</v>
      </c>
      <c r="B10022" s="803" t="s">
        <v>7913</v>
      </c>
      <c r="C10022" s="803" t="s">
        <v>7913</v>
      </c>
      <c r="D10022" s="803" t="s">
        <v>7745</v>
      </c>
      <c r="E10022" s="803">
        <v>25</v>
      </c>
      <c r="F10022" s="803">
        <v>20</v>
      </c>
      <c r="G10022" s="202" t="str">
        <f t="shared" si="156"/>
        <v/>
      </c>
    </row>
    <row r="10023" spans="1:7" s="172" customFormat="1" ht="15" customHeight="1" x14ac:dyDescent="0.25">
      <c r="A10023" s="803" t="s">
        <v>7746</v>
      </c>
      <c r="B10023" s="803" t="s">
        <v>7913</v>
      </c>
      <c r="C10023" s="803" t="s">
        <v>7913</v>
      </c>
      <c r="D10023" s="803" t="s">
        <v>7747</v>
      </c>
      <c r="E10023" s="803">
        <v>60</v>
      </c>
      <c r="F10023" s="803">
        <v>55</v>
      </c>
      <c r="G10023" s="202" t="str">
        <f t="shared" si="156"/>
        <v/>
      </c>
    </row>
    <row r="10024" spans="1:7" s="172" customFormat="1" ht="15" customHeight="1" x14ac:dyDescent="0.25">
      <c r="A10024" s="803" t="s">
        <v>7748</v>
      </c>
      <c r="B10024" s="803" t="s">
        <v>7913</v>
      </c>
      <c r="C10024" s="803" t="s">
        <v>7913</v>
      </c>
      <c r="D10024" s="803" t="s">
        <v>7749</v>
      </c>
      <c r="E10024" s="803">
        <v>100</v>
      </c>
      <c r="F10024" s="803">
        <v>90</v>
      </c>
      <c r="G10024" s="202" t="str">
        <f t="shared" si="156"/>
        <v/>
      </c>
    </row>
    <row r="10025" spans="1:7" s="172" customFormat="1" ht="15" customHeight="1" x14ac:dyDescent="0.25">
      <c r="A10025" s="803" t="s">
        <v>7750</v>
      </c>
      <c r="B10025" s="803" t="s">
        <v>7913</v>
      </c>
      <c r="C10025" s="803" t="s">
        <v>7913</v>
      </c>
      <c r="D10025" s="803" t="s">
        <v>7751</v>
      </c>
      <c r="E10025" s="803">
        <v>30</v>
      </c>
      <c r="F10025" s="803">
        <v>25</v>
      </c>
      <c r="G10025" s="202" t="str">
        <f t="shared" si="156"/>
        <v/>
      </c>
    </row>
    <row r="10026" spans="1:7" s="172" customFormat="1" ht="15" customHeight="1" x14ac:dyDescent="0.25">
      <c r="A10026" s="803" t="s">
        <v>7752</v>
      </c>
      <c r="B10026" s="803" t="s">
        <v>7913</v>
      </c>
      <c r="C10026" s="803" t="s">
        <v>7913</v>
      </c>
      <c r="D10026" s="803" t="s">
        <v>7753</v>
      </c>
      <c r="E10026" s="803">
        <v>30</v>
      </c>
      <c r="F10026" s="803">
        <v>5</v>
      </c>
      <c r="G10026" s="202" t="str">
        <f t="shared" si="156"/>
        <v/>
      </c>
    </row>
    <row r="10027" spans="1:7" s="172" customFormat="1" ht="15" customHeight="1" x14ac:dyDescent="0.25">
      <c r="A10027" s="803" t="s">
        <v>7754</v>
      </c>
      <c r="B10027" s="803" t="s">
        <v>7913</v>
      </c>
      <c r="C10027" s="803" t="s">
        <v>7913</v>
      </c>
      <c r="D10027" s="803" t="s">
        <v>7755</v>
      </c>
      <c r="E10027" s="803">
        <v>160</v>
      </c>
      <c r="F10027" s="803">
        <v>140</v>
      </c>
      <c r="G10027" s="202" t="str">
        <f t="shared" si="156"/>
        <v/>
      </c>
    </row>
    <row r="10028" spans="1:7" s="172" customFormat="1" ht="15" customHeight="1" x14ac:dyDescent="0.25">
      <c r="A10028" s="803" t="s">
        <v>12599</v>
      </c>
      <c r="B10028" s="803" t="s">
        <v>7913</v>
      </c>
      <c r="C10028" s="803" t="s">
        <v>7913</v>
      </c>
      <c r="D10028" s="803" t="s">
        <v>7756</v>
      </c>
      <c r="E10028" s="803">
        <v>60</v>
      </c>
      <c r="F10028" s="803">
        <v>50</v>
      </c>
      <c r="G10028" s="202" t="str">
        <f t="shared" si="156"/>
        <v/>
      </c>
    </row>
    <row r="10029" spans="1:7" s="172" customFormat="1" ht="15" customHeight="1" x14ac:dyDescent="0.25">
      <c r="A10029" s="803" t="s">
        <v>3284</v>
      </c>
      <c r="B10029" s="803" t="s">
        <v>7913</v>
      </c>
      <c r="C10029" s="803" t="s">
        <v>7913</v>
      </c>
      <c r="D10029" s="803" t="s">
        <v>7757</v>
      </c>
      <c r="E10029" s="803">
        <v>63</v>
      </c>
      <c r="F10029" s="803">
        <v>58</v>
      </c>
      <c r="G10029" s="202" t="str">
        <f t="shared" si="156"/>
        <v/>
      </c>
    </row>
    <row r="10030" spans="1:7" s="172" customFormat="1" ht="15" customHeight="1" x14ac:dyDescent="0.25">
      <c r="A10030" s="803" t="s">
        <v>12600</v>
      </c>
      <c r="B10030" s="803" t="s">
        <v>7913</v>
      </c>
      <c r="C10030" s="803" t="s">
        <v>7913</v>
      </c>
      <c r="D10030" s="803" t="s">
        <v>7758</v>
      </c>
      <c r="E10030" s="803">
        <v>40</v>
      </c>
      <c r="F10030" s="803">
        <v>30</v>
      </c>
      <c r="G10030" s="202" t="str">
        <f t="shared" si="156"/>
        <v/>
      </c>
    </row>
    <row r="10031" spans="1:7" s="172" customFormat="1" ht="15" customHeight="1" x14ac:dyDescent="0.25">
      <c r="A10031" s="803" t="s">
        <v>7759</v>
      </c>
      <c r="B10031" s="803" t="s">
        <v>7913</v>
      </c>
      <c r="C10031" s="803" t="s">
        <v>7913</v>
      </c>
      <c r="D10031" s="803" t="s">
        <v>7760</v>
      </c>
      <c r="E10031" s="803">
        <v>30</v>
      </c>
      <c r="F10031" s="803">
        <v>15</v>
      </c>
      <c r="G10031" s="202" t="str">
        <f t="shared" si="156"/>
        <v/>
      </c>
    </row>
    <row r="10032" spans="1:7" s="172" customFormat="1" ht="15" customHeight="1" x14ac:dyDescent="0.25">
      <c r="A10032" s="803" t="s">
        <v>4862</v>
      </c>
      <c r="B10032" s="803" t="s">
        <v>7913</v>
      </c>
      <c r="C10032" s="803" t="s">
        <v>7913</v>
      </c>
      <c r="D10032" s="803" t="s">
        <v>7761</v>
      </c>
      <c r="E10032" s="803">
        <v>30</v>
      </c>
      <c r="F10032" s="803">
        <v>20</v>
      </c>
      <c r="G10032" s="202" t="str">
        <f t="shared" si="156"/>
        <v/>
      </c>
    </row>
    <row r="10033" spans="1:7" s="172" customFormat="1" ht="15" customHeight="1" x14ac:dyDescent="0.25">
      <c r="A10033" s="803" t="s">
        <v>7762</v>
      </c>
      <c r="B10033" s="803" t="s">
        <v>7913</v>
      </c>
      <c r="C10033" s="803" t="s">
        <v>7913</v>
      </c>
      <c r="D10033" s="803" t="s">
        <v>7763</v>
      </c>
      <c r="E10033" s="803">
        <v>30</v>
      </c>
      <c r="F10033" s="803">
        <v>15</v>
      </c>
      <c r="G10033" s="202" t="str">
        <f t="shared" si="156"/>
        <v/>
      </c>
    </row>
    <row r="10034" spans="1:7" s="172" customFormat="1" ht="15" customHeight="1" x14ac:dyDescent="0.25">
      <c r="A10034" s="803" t="s">
        <v>7764</v>
      </c>
      <c r="B10034" s="803" t="s">
        <v>7913</v>
      </c>
      <c r="C10034" s="803" t="s">
        <v>7913</v>
      </c>
      <c r="D10034" s="803" t="s">
        <v>7765</v>
      </c>
      <c r="E10034" s="803">
        <v>100</v>
      </c>
      <c r="F10034" s="803">
        <v>80</v>
      </c>
      <c r="G10034" s="202" t="str">
        <f t="shared" si="156"/>
        <v/>
      </c>
    </row>
    <row r="10035" spans="1:7" s="172" customFormat="1" ht="15" customHeight="1" x14ac:dyDescent="0.25">
      <c r="A10035" s="803" t="s">
        <v>7764</v>
      </c>
      <c r="B10035" s="803" t="s">
        <v>7913</v>
      </c>
      <c r="C10035" s="803" t="s">
        <v>7913</v>
      </c>
      <c r="D10035" s="803" t="s">
        <v>7766</v>
      </c>
      <c r="E10035" s="803">
        <v>60</v>
      </c>
      <c r="F10035" s="803">
        <v>55</v>
      </c>
      <c r="G10035" s="202" t="str">
        <f t="shared" si="156"/>
        <v/>
      </c>
    </row>
    <row r="10036" spans="1:7" s="172" customFormat="1" ht="15" customHeight="1" x14ac:dyDescent="0.25">
      <c r="A10036" s="803" t="s">
        <v>5687</v>
      </c>
      <c r="B10036" s="803" t="s">
        <v>7913</v>
      </c>
      <c r="C10036" s="803" t="s">
        <v>7913</v>
      </c>
      <c r="D10036" s="803" t="s">
        <v>7767</v>
      </c>
      <c r="E10036" s="803">
        <v>30</v>
      </c>
      <c r="F10036" s="803">
        <v>20</v>
      </c>
      <c r="G10036" s="202" t="str">
        <f t="shared" si="156"/>
        <v/>
      </c>
    </row>
    <row r="10037" spans="1:7" s="172" customFormat="1" ht="15" customHeight="1" x14ac:dyDescent="0.25">
      <c r="A10037" s="803" t="s">
        <v>7768</v>
      </c>
      <c r="B10037" s="803" t="s">
        <v>7913</v>
      </c>
      <c r="C10037" s="803" t="s">
        <v>7913</v>
      </c>
      <c r="D10037" s="803" t="s">
        <v>7544</v>
      </c>
      <c r="E10037" s="803">
        <v>250</v>
      </c>
      <c r="F10037" s="803">
        <v>190</v>
      </c>
      <c r="G10037" s="202" t="str">
        <f t="shared" si="156"/>
        <v/>
      </c>
    </row>
    <row r="10038" spans="1:7" s="172" customFormat="1" ht="15" customHeight="1" x14ac:dyDescent="0.25">
      <c r="A10038" s="803" t="s">
        <v>7768</v>
      </c>
      <c r="B10038" s="803" t="s">
        <v>7913</v>
      </c>
      <c r="C10038" s="803" t="s">
        <v>7913</v>
      </c>
      <c r="D10038" s="803" t="s">
        <v>7769</v>
      </c>
      <c r="E10038" s="803">
        <v>400</v>
      </c>
      <c r="F10038" s="803">
        <v>340</v>
      </c>
      <c r="G10038" s="202" t="str">
        <f t="shared" si="156"/>
        <v/>
      </c>
    </row>
    <row r="10039" spans="1:7" s="172" customFormat="1" ht="15" customHeight="1" x14ac:dyDescent="0.25">
      <c r="A10039" s="803" t="s">
        <v>7770</v>
      </c>
      <c r="B10039" s="803" t="s">
        <v>7913</v>
      </c>
      <c r="C10039" s="803" t="s">
        <v>7913</v>
      </c>
      <c r="D10039" s="803" t="s">
        <v>7771</v>
      </c>
      <c r="E10039" s="803">
        <v>60</v>
      </c>
      <c r="F10039" s="803">
        <v>50</v>
      </c>
      <c r="G10039" s="202" t="str">
        <f t="shared" si="156"/>
        <v/>
      </c>
    </row>
    <row r="10040" spans="1:7" s="172" customFormat="1" ht="15" customHeight="1" x14ac:dyDescent="0.25">
      <c r="A10040" s="803" t="s">
        <v>7772</v>
      </c>
      <c r="B10040" s="803" t="s">
        <v>7913</v>
      </c>
      <c r="C10040" s="803" t="s">
        <v>7913</v>
      </c>
      <c r="D10040" s="803" t="s">
        <v>7773</v>
      </c>
      <c r="E10040" s="803">
        <v>60</v>
      </c>
      <c r="F10040" s="803">
        <v>40</v>
      </c>
      <c r="G10040" s="202" t="str">
        <f t="shared" si="156"/>
        <v/>
      </c>
    </row>
    <row r="10041" spans="1:7" s="172" customFormat="1" ht="15" customHeight="1" x14ac:dyDescent="0.25">
      <c r="A10041" s="803" t="s">
        <v>7774</v>
      </c>
      <c r="B10041" s="803" t="s">
        <v>7913</v>
      </c>
      <c r="C10041" s="803" t="s">
        <v>7913</v>
      </c>
      <c r="D10041" s="803" t="s">
        <v>7775</v>
      </c>
      <c r="E10041" s="803">
        <v>100</v>
      </c>
      <c r="F10041" s="803">
        <v>70</v>
      </c>
      <c r="G10041" s="202" t="str">
        <f t="shared" si="156"/>
        <v/>
      </c>
    </row>
    <row r="10042" spans="1:7" s="172" customFormat="1" ht="15" customHeight="1" x14ac:dyDescent="0.25">
      <c r="A10042" s="803" t="s">
        <v>7774</v>
      </c>
      <c r="B10042" s="803" t="s">
        <v>7913</v>
      </c>
      <c r="C10042" s="803" t="s">
        <v>7913</v>
      </c>
      <c r="D10042" s="803" t="s">
        <v>7776</v>
      </c>
      <c r="E10042" s="803">
        <v>100</v>
      </c>
      <c r="F10042" s="803">
        <v>60</v>
      </c>
      <c r="G10042" s="202" t="str">
        <f t="shared" si="156"/>
        <v/>
      </c>
    </row>
    <row r="10043" spans="1:7" s="172" customFormat="1" ht="15" customHeight="1" x14ac:dyDescent="0.25">
      <c r="A10043" s="803" t="s">
        <v>7774</v>
      </c>
      <c r="B10043" s="803" t="s">
        <v>7913</v>
      </c>
      <c r="C10043" s="803" t="s">
        <v>7913</v>
      </c>
      <c r="D10043" s="803" t="s">
        <v>7777</v>
      </c>
      <c r="E10043" s="803">
        <v>160</v>
      </c>
      <c r="F10043" s="803">
        <v>130</v>
      </c>
      <c r="G10043" s="202" t="str">
        <f t="shared" si="156"/>
        <v/>
      </c>
    </row>
    <row r="10044" spans="1:7" s="172" customFormat="1" ht="15" customHeight="1" x14ac:dyDescent="0.25">
      <c r="A10044" s="803" t="s">
        <v>7774</v>
      </c>
      <c r="B10044" s="803" t="s">
        <v>7913</v>
      </c>
      <c r="C10044" s="803" t="s">
        <v>7913</v>
      </c>
      <c r="D10044" s="803" t="s">
        <v>7778</v>
      </c>
      <c r="E10044" s="803">
        <v>160</v>
      </c>
      <c r="F10044" s="803">
        <v>120</v>
      </c>
      <c r="G10044" s="202" t="str">
        <f t="shared" si="156"/>
        <v/>
      </c>
    </row>
    <row r="10045" spans="1:7" s="172" customFormat="1" ht="15" customHeight="1" x14ac:dyDescent="0.25">
      <c r="A10045" s="803" t="s">
        <v>7774</v>
      </c>
      <c r="B10045" s="803" t="s">
        <v>7913</v>
      </c>
      <c r="C10045" s="803" t="s">
        <v>7913</v>
      </c>
      <c r="D10045" s="803" t="s">
        <v>7779</v>
      </c>
      <c r="E10045" s="803">
        <v>100</v>
      </c>
      <c r="F10045" s="803">
        <v>55</v>
      </c>
      <c r="G10045" s="202" t="str">
        <f t="shared" si="156"/>
        <v/>
      </c>
    </row>
    <row r="10046" spans="1:7" s="172" customFormat="1" ht="15" customHeight="1" x14ac:dyDescent="0.25">
      <c r="A10046" s="803" t="s">
        <v>7774</v>
      </c>
      <c r="B10046" s="803" t="s">
        <v>7913</v>
      </c>
      <c r="C10046" s="803" t="s">
        <v>7913</v>
      </c>
      <c r="D10046" s="803" t="s">
        <v>7780</v>
      </c>
      <c r="E10046" s="803">
        <v>400</v>
      </c>
      <c r="F10046" s="803">
        <v>360</v>
      </c>
      <c r="G10046" s="202" t="str">
        <f t="shared" si="156"/>
        <v/>
      </c>
    </row>
    <row r="10047" spans="1:7" s="172" customFormat="1" ht="15" customHeight="1" x14ac:dyDescent="0.25">
      <c r="A10047" s="803" t="s">
        <v>7774</v>
      </c>
      <c r="B10047" s="803" t="s">
        <v>7913</v>
      </c>
      <c r="C10047" s="803" t="s">
        <v>7913</v>
      </c>
      <c r="D10047" s="803" t="s">
        <v>7781</v>
      </c>
      <c r="E10047" s="803">
        <v>160</v>
      </c>
      <c r="F10047" s="803">
        <v>110</v>
      </c>
      <c r="G10047" s="202" t="str">
        <f t="shared" si="156"/>
        <v/>
      </c>
    </row>
    <row r="10048" spans="1:7" s="172" customFormat="1" ht="15" customHeight="1" x14ac:dyDescent="0.25">
      <c r="A10048" s="803" t="s">
        <v>7734</v>
      </c>
      <c r="B10048" s="803" t="s">
        <v>7913</v>
      </c>
      <c r="C10048" s="803" t="s">
        <v>7913</v>
      </c>
      <c r="D10048" s="803" t="s">
        <v>7735</v>
      </c>
      <c r="E10048" s="803">
        <v>25</v>
      </c>
      <c r="F10048" s="803">
        <v>20</v>
      </c>
      <c r="G10048" s="202" t="str">
        <f t="shared" si="156"/>
        <v/>
      </c>
    </row>
    <row r="10049" spans="1:7" s="172" customFormat="1" ht="15" customHeight="1" x14ac:dyDescent="0.25">
      <c r="A10049" s="803" t="s">
        <v>7782</v>
      </c>
      <c r="B10049" s="803" t="s">
        <v>7913</v>
      </c>
      <c r="C10049" s="803" t="s">
        <v>7913</v>
      </c>
      <c r="D10049" s="803" t="s">
        <v>7783</v>
      </c>
      <c r="E10049" s="803">
        <v>30</v>
      </c>
      <c r="F10049" s="803">
        <v>25</v>
      </c>
      <c r="G10049" s="202" t="str">
        <f t="shared" si="156"/>
        <v/>
      </c>
    </row>
    <row r="10050" spans="1:7" s="172" customFormat="1" ht="15" customHeight="1" x14ac:dyDescent="0.25">
      <c r="A10050" s="803" t="s">
        <v>7784</v>
      </c>
      <c r="B10050" s="803" t="s">
        <v>7913</v>
      </c>
      <c r="C10050" s="803" t="s">
        <v>7913</v>
      </c>
      <c r="D10050" s="803" t="s">
        <v>7785</v>
      </c>
      <c r="E10050" s="803">
        <v>63</v>
      </c>
      <c r="F10050" s="803">
        <v>30</v>
      </c>
      <c r="G10050" s="202" t="str">
        <f t="shared" si="156"/>
        <v/>
      </c>
    </row>
    <row r="10051" spans="1:7" s="172" customFormat="1" ht="15" customHeight="1" x14ac:dyDescent="0.25">
      <c r="A10051" s="803" t="s">
        <v>7786</v>
      </c>
      <c r="B10051" s="803" t="s">
        <v>7913</v>
      </c>
      <c r="C10051" s="803" t="s">
        <v>7913</v>
      </c>
      <c r="D10051" s="803" t="s">
        <v>7787</v>
      </c>
      <c r="E10051" s="803">
        <v>160</v>
      </c>
      <c r="F10051" s="803">
        <v>145</v>
      </c>
      <c r="G10051" s="202" t="str">
        <f t="shared" si="156"/>
        <v/>
      </c>
    </row>
    <row r="10052" spans="1:7" s="172" customFormat="1" ht="15" customHeight="1" x14ac:dyDescent="0.25">
      <c r="A10052" s="803" t="s">
        <v>7788</v>
      </c>
      <c r="B10052" s="803" t="s">
        <v>7913</v>
      </c>
      <c r="C10052" s="803" t="s">
        <v>7913</v>
      </c>
      <c r="D10052" s="803" t="s">
        <v>7789</v>
      </c>
      <c r="E10052" s="803">
        <v>10</v>
      </c>
      <c r="F10052" s="803">
        <v>5</v>
      </c>
      <c r="G10052" s="202" t="str">
        <f t="shared" si="156"/>
        <v/>
      </c>
    </row>
    <row r="10053" spans="1:7" s="172" customFormat="1" ht="15" customHeight="1" x14ac:dyDescent="0.25">
      <c r="A10053" s="803" t="s">
        <v>7790</v>
      </c>
      <c r="B10053" s="803" t="s">
        <v>7913</v>
      </c>
      <c r="C10053" s="803" t="s">
        <v>7913</v>
      </c>
      <c r="D10053" s="803" t="s">
        <v>7791</v>
      </c>
      <c r="E10053" s="803">
        <v>30</v>
      </c>
      <c r="F10053" s="803">
        <v>1</v>
      </c>
      <c r="G10053" s="202" t="str">
        <f t="shared" si="156"/>
        <v/>
      </c>
    </row>
    <row r="10054" spans="1:7" s="172" customFormat="1" ht="15" customHeight="1" x14ac:dyDescent="0.25">
      <c r="A10054" s="803" t="s">
        <v>7792</v>
      </c>
      <c r="B10054" s="803" t="s">
        <v>7913</v>
      </c>
      <c r="C10054" s="803" t="s">
        <v>7913</v>
      </c>
      <c r="D10054" s="803" t="s">
        <v>7793</v>
      </c>
      <c r="E10054" s="803">
        <v>30</v>
      </c>
      <c r="F10054" s="803">
        <v>2</v>
      </c>
      <c r="G10054" s="202" t="str">
        <f t="shared" si="156"/>
        <v/>
      </c>
    </row>
    <row r="10055" spans="1:7" s="172" customFormat="1" ht="15" customHeight="1" x14ac:dyDescent="0.25">
      <c r="A10055" s="803" t="s">
        <v>7794</v>
      </c>
      <c r="B10055" s="803" t="s">
        <v>7913</v>
      </c>
      <c r="C10055" s="803" t="s">
        <v>7913</v>
      </c>
      <c r="D10055" s="803" t="s">
        <v>7795</v>
      </c>
      <c r="E10055" s="803">
        <v>100</v>
      </c>
      <c r="F10055" s="803">
        <v>20</v>
      </c>
      <c r="G10055" s="202" t="str">
        <f t="shared" si="156"/>
        <v/>
      </c>
    </row>
    <row r="10056" spans="1:7" s="172" customFormat="1" ht="15" customHeight="1" x14ac:dyDescent="0.25">
      <c r="A10056" s="803" t="s">
        <v>7796</v>
      </c>
      <c r="B10056" s="803" t="s">
        <v>7913</v>
      </c>
      <c r="C10056" s="803" t="s">
        <v>7913</v>
      </c>
      <c r="D10056" s="803" t="s">
        <v>7797</v>
      </c>
      <c r="E10056" s="803">
        <v>100</v>
      </c>
      <c r="F10056" s="803">
        <v>70</v>
      </c>
      <c r="G10056" s="202" t="str">
        <f t="shared" si="156"/>
        <v/>
      </c>
    </row>
    <row r="10057" spans="1:7" s="172" customFormat="1" ht="15" customHeight="1" x14ac:dyDescent="0.25">
      <c r="A10057" s="803" t="s">
        <v>7796</v>
      </c>
      <c r="B10057" s="803" t="s">
        <v>7913</v>
      </c>
      <c r="C10057" s="803" t="s">
        <v>7913</v>
      </c>
      <c r="D10057" s="803" t="s">
        <v>7798</v>
      </c>
      <c r="E10057" s="803">
        <v>250</v>
      </c>
      <c r="F10057" s="803">
        <v>1</v>
      </c>
      <c r="G10057" s="202" t="str">
        <f t="shared" si="156"/>
        <v/>
      </c>
    </row>
    <row r="10058" spans="1:7" s="172" customFormat="1" ht="15" customHeight="1" x14ac:dyDescent="0.25">
      <c r="A10058" s="803" t="s">
        <v>7799</v>
      </c>
      <c r="B10058" s="803" t="s">
        <v>7913</v>
      </c>
      <c r="C10058" s="803" t="s">
        <v>7913</v>
      </c>
      <c r="D10058" s="803" t="s">
        <v>7800</v>
      </c>
      <c r="E10058" s="803">
        <v>30</v>
      </c>
      <c r="F10058" s="803">
        <v>1</v>
      </c>
      <c r="G10058" s="202" t="str">
        <f t="shared" si="156"/>
        <v/>
      </c>
    </row>
    <row r="10059" spans="1:7" s="172" customFormat="1" ht="15" customHeight="1" x14ac:dyDescent="0.25">
      <c r="A10059" s="803" t="s">
        <v>7801</v>
      </c>
      <c r="B10059" s="803" t="s">
        <v>7913</v>
      </c>
      <c r="C10059" s="803" t="s">
        <v>7913</v>
      </c>
      <c r="D10059" s="803" t="s">
        <v>7802</v>
      </c>
      <c r="E10059" s="803">
        <v>160</v>
      </c>
      <c r="F10059" s="803">
        <v>140</v>
      </c>
      <c r="G10059" s="202" t="str">
        <f t="shared" si="156"/>
        <v/>
      </c>
    </row>
    <row r="10060" spans="1:7" s="172" customFormat="1" ht="15" customHeight="1" x14ac:dyDescent="0.25">
      <c r="A10060" s="803" t="s">
        <v>7803</v>
      </c>
      <c r="B10060" s="803" t="s">
        <v>7913</v>
      </c>
      <c r="C10060" s="803" t="s">
        <v>7913</v>
      </c>
      <c r="D10060" s="803" t="s">
        <v>7804</v>
      </c>
      <c r="E10060" s="803">
        <v>160</v>
      </c>
      <c r="F10060" s="803">
        <v>135</v>
      </c>
      <c r="G10060" s="202" t="str">
        <f t="shared" si="156"/>
        <v/>
      </c>
    </row>
    <row r="10061" spans="1:7" s="172" customFormat="1" ht="15" customHeight="1" x14ac:dyDescent="0.25">
      <c r="A10061" s="803" t="s">
        <v>3122</v>
      </c>
      <c r="B10061" s="803" t="s">
        <v>7913</v>
      </c>
      <c r="C10061" s="803" t="s">
        <v>7913</v>
      </c>
      <c r="D10061" s="803" t="s">
        <v>7805</v>
      </c>
      <c r="E10061" s="803">
        <v>25</v>
      </c>
      <c r="F10061" s="803">
        <v>10</v>
      </c>
      <c r="G10061" s="202" t="str">
        <f t="shared" si="156"/>
        <v/>
      </c>
    </row>
    <row r="10062" spans="1:7" s="172" customFormat="1" ht="15" customHeight="1" x14ac:dyDescent="0.25">
      <c r="A10062" s="803" t="s">
        <v>7806</v>
      </c>
      <c r="B10062" s="803" t="s">
        <v>7913</v>
      </c>
      <c r="C10062" s="803" t="s">
        <v>7913</v>
      </c>
      <c r="D10062" s="803" t="s">
        <v>7807</v>
      </c>
      <c r="E10062" s="803">
        <v>250</v>
      </c>
      <c r="F10062" s="803">
        <v>230</v>
      </c>
      <c r="G10062" s="202" t="str">
        <f t="shared" si="156"/>
        <v/>
      </c>
    </row>
    <row r="10063" spans="1:7" s="172" customFormat="1" ht="15" customHeight="1" x14ac:dyDescent="0.25">
      <c r="A10063" s="803" t="s">
        <v>7806</v>
      </c>
      <c r="B10063" s="803" t="s">
        <v>7913</v>
      </c>
      <c r="C10063" s="803" t="s">
        <v>7913</v>
      </c>
      <c r="D10063" s="803" t="s">
        <v>7808</v>
      </c>
      <c r="E10063" s="803">
        <v>60</v>
      </c>
      <c r="F10063" s="803">
        <v>10</v>
      </c>
      <c r="G10063" s="202" t="str">
        <f t="shared" si="156"/>
        <v/>
      </c>
    </row>
    <row r="10064" spans="1:7" s="172" customFormat="1" ht="15" customHeight="1" x14ac:dyDescent="0.25">
      <c r="A10064" s="803" t="s">
        <v>6270</v>
      </c>
      <c r="B10064" s="803" t="s">
        <v>7913</v>
      </c>
      <c r="C10064" s="803" t="s">
        <v>7913</v>
      </c>
      <c r="D10064" s="803" t="s">
        <v>7809</v>
      </c>
      <c r="E10064" s="803">
        <v>30</v>
      </c>
      <c r="F10064" s="803">
        <v>10</v>
      </c>
      <c r="G10064" s="202" t="str">
        <f t="shared" si="156"/>
        <v/>
      </c>
    </row>
    <row r="10065" spans="1:7" s="172" customFormat="1" ht="15" customHeight="1" x14ac:dyDescent="0.25">
      <c r="A10065" s="803" t="s">
        <v>7810</v>
      </c>
      <c r="B10065" s="803" t="s">
        <v>7913</v>
      </c>
      <c r="C10065" s="803" t="s">
        <v>7913</v>
      </c>
      <c r="D10065" s="803" t="s">
        <v>7811</v>
      </c>
      <c r="E10065" s="803">
        <v>10</v>
      </c>
      <c r="F10065" s="803">
        <v>1</v>
      </c>
      <c r="G10065" s="202" t="str">
        <f t="shared" si="156"/>
        <v/>
      </c>
    </row>
    <row r="10066" spans="1:7" s="172" customFormat="1" ht="15" customHeight="1" x14ac:dyDescent="0.25">
      <c r="A10066" s="803" t="s">
        <v>12601</v>
      </c>
      <c r="B10066" s="803" t="s">
        <v>7913</v>
      </c>
      <c r="C10066" s="803" t="s">
        <v>7913</v>
      </c>
      <c r="D10066" s="803" t="s">
        <v>7812</v>
      </c>
      <c r="E10066" s="803">
        <v>4</v>
      </c>
      <c r="F10066" s="803">
        <v>1</v>
      </c>
      <c r="G10066" s="202" t="str">
        <f t="shared" si="156"/>
        <v/>
      </c>
    </row>
    <row r="10067" spans="1:7" s="172" customFormat="1" ht="15" customHeight="1" x14ac:dyDescent="0.25">
      <c r="A10067" s="803" t="s">
        <v>7734</v>
      </c>
      <c r="B10067" s="803" t="s">
        <v>7913</v>
      </c>
      <c r="C10067" s="803" t="s">
        <v>7913</v>
      </c>
      <c r="D10067" s="803" t="s">
        <v>7735</v>
      </c>
      <c r="E10067" s="803">
        <v>63</v>
      </c>
      <c r="F10067" s="803">
        <v>58</v>
      </c>
      <c r="G10067" s="202" t="str">
        <f t="shared" si="156"/>
        <v/>
      </c>
    </row>
    <row r="10068" spans="1:7" s="172" customFormat="1" ht="15" customHeight="1" x14ac:dyDescent="0.25">
      <c r="A10068" s="803" t="s">
        <v>7813</v>
      </c>
      <c r="B10068" s="803" t="s">
        <v>7913</v>
      </c>
      <c r="C10068" s="803" t="s">
        <v>7913</v>
      </c>
      <c r="D10068" s="803" t="s">
        <v>7814</v>
      </c>
      <c r="E10068" s="803">
        <v>400</v>
      </c>
      <c r="F10068" s="803">
        <v>370</v>
      </c>
      <c r="G10068" s="202" t="str">
        <f t="shared" si="156"/>
        <v/>
      </c>
    </row>
    <row r="10069" spans="1:7" s="172" customFormat="1" ht="15" customHeight="1" x14ac:dyDescent="0.25">
      <c r="A10069" s="803" t="s">
        <v>7815</v>
      </c>
      <c r="B10069" s="803" t="s">
        <v>7913</v>
      </c>
      <c r="C10069" s="803" t="s">
        <v>7913</v>
      </c>
      <c r="D10069" s="803" t="s">
        <v>7816</v>
      </c>
      <c r="E10069" s="803">
        <v>250</v>
      </c>
      <c r="F10069" s="803">
        <v>220</v>
      </c>
      <c r="G10069" s="202" t="str">
        <f t="shared" si="156"/>
        <v/>
      </c>
    </row>
    <row r="10070" spans="1:7" s="172" customFormat="1" ht="15" customHeight="1" x14ac:dyDescent="0.25">
      <c r="A10070" s="803" t="s">
        <v>7817</v>
      </c>
      <c r="B10070" s="803" t="s">
        <v>7913</v>
      </c>
      <c r="C10070" s="803" t="s">
        <v>7913</v>
      </c>
      <c r="D10070" s="803" t="s">
        <v>7818</v>
      </c>
      <c r="E10070" s="803">
        <v>60</v>
      </c>
      <c r="F10070" s="803">
        <v>55</v>
      </c>
      <c r="G10070" s="202" t="str">
        <f t="shared" si="156"/>
        <v/>
      </c>
    </row>
    <row r="10071" spans="1:7" s="172" customFormat="1" ht="15" customHeight="1" x14ac:dyDescent="0.25">
      <c r="A10071" s="803" t="s">
        <v>2735</v>
      </c>
      <c r="B10071" s="803" t="s">
        <v>7913</v>
      </c>
      <c r="C10071" s="803" t="s">
        <v>7913</v>
      </c>
      <c r="D10071" s="803" t="s">
        <v>7819</v>
      </c>
      <c r="E10071" s="803">
        <v>100</v>
      </c>
      <c r="F10071" s="803">
        <v>60</v>
      </c>
      <c r="G10071" s="202" t="str">
        <f t="shared" si="156"/>
        <v/>
      </c>
    </row>
    <row r="10072" spans="1:7" s="172" customFormat="1" ht="15" customHeight="1" x14ac:dyDescent="0.25">
      <c r="A10072" s="803" t="s">
        <v>7820</v>
      </c>
      <c r="B10072" s="803" t="s">
        <v>7913</v>
      </c>
      <c r="C10072" s="803" t="s">
        <v>7913</v>
      </c>
      <c r="D10072" s="803" t="s">
        <v>7821</v>
      </c>
      <c r="E10072" s="803">
        <v>250</v>
      </c>
      <c r="F10072" s="803">
        <v>230</v>
      </c>
      <c r="G10072" s="202" t="str">
        <f t="shared" si="156"/>
        <v/>
      </c>
    </row>
    <row r="10073" spans="1:7" s="172" customFormat="1" ht="15" customHeight="1" x14ac:dyDescent="0.25">
      <c r="A10073" s="803" t="s">
        <v>4812</v>
      </c>
      <c r="B10073" s="803" t="s">
        <v>7913</v>
      </c>
      <c r="C10073" s="803" t="s">
        <v>7913</v>
      </c>
      <c r="D10073" s="803" t="s">
        <v>7822</v>
      </c>
      <c r="E10073" s="803">
        <v>160</v>
      </c>
      <c r="F10073" s="803">
        <v>140</v>
      </c>
      <c r="G10073" s="202" t="str">
        <f t="shared" si="156"/>
        <v/>
      </c>
    </row>
    <row r="10074" spans="1:7" s="172" customFormat="1" ht="15" customHeight="1" x14ac:dyDescent="0.25">
      <c r="A10074" s="803" t="s">
        <v>4812</v>
      </c>
      <c r="B10074" s="803" t="s">
        <v>7913</v>
      </c>
      <c r="C10074" s="803" t="s">
        <v>7913</v>
      </c>
      <c r="D10074" s="803" t="s">
        <v>7823</v>
      </c>
      <c r="E10074" s="803">
        <v>63</v>
      </c>
      <c r="F10074" s="803">
        <v>53</v>
      </c>
      <c r="G10074" s="202" t="str">
        <f t="shared" si="156"/>
        <v/>
      </c>
    </row>
    <row r="10075" spans="1:7" s="172" customFormat="1" ht="15" customHeight="1" x14ac:dyDescent="0.25">
      <c r="A10075" s="803" t="s">
        <v>7824</v>
      </c>
      <c r="B10075" s="803" t="s">
        <v>7913</v>
      </c>
      <c r="C10075" s="803" t="s">
        <v>7913</v>
      </c>
      <c r="D10075" s="803" t="s">
        <v>7825</v>
      </c>
      <c r="E10075" s="803">
        <v>60</v>
      </c>
      <c r="F10075" s="803">
        <v>40</v>
      </c>
      <c r="G10075" s="202" t="str">
        <f t="shared" si="156"/>
        <v/>
      </c>
    </row>
    <row r="10076" spans="1:7" s="172" customFormat="1" ht="15" customHeight="1" x14ac:dyDescent="0.25">
      <c r="A10076" s="803" t="s">
        <v>7826</v>
      </c>
      <c r="B10076" s="803" t="s">
        <v>7913</v>
      </c>
      <c r="C10076" s="803" t="s">
        <v>7913</v>
      </c>
      <c r="D10076" s="803" t="s">
        <v>7827</v>
      </c>
      <c r="E10076" s="803">
        <v>160</v>
      </c>
      <c r="F10076" s="803">
        <v>140</v>
      </c>
      <c r="G10076" s="202" t="str">
        <f t="shared" si="156"/>
        <v/>
      </c>
    </row>
    <row r="10077" spans="1:7" s="172" customFormat="1" ht="15" customHeight="1" x14ac:dyDescent="0.25">
      <c r="A10077" s="803" t="s">
        <v>7828</v>
      </c>
      <c r="B10077" s="803" t="s">
        <v>7913</v>
      </c>
      <c r="C10077" s="803" t="s">
        <v>7913</v>
      </c>
      <c r="D10077" s="803" t="s">
        <v>7829</v>
      </c>
      <c r="E10077" s="803">
        <v>100</v>
      </c>
      <c r="F10077" s="803">
        <v>70</v>
      </c>
      <c r="G10077" s="202" t="str">
        <f t="shared" si="156"/>
        <v/>
      </c>
    </row>
    <row r="10078" spans="1:7" s="172" customFormat="1" ht="15" customHeight="1" x14ac:dyDescent="0.25">
      <c r="A10078" s="803" t="s">
        <v>5645</v>
      </c>
      <c r="B10078" s="803" t="s">
        <v>7913</v>
      </c>
      <c r="C10078" s="803" t="s">
        <v>7913</v>
      </c>
      <c r="D10078" s="803" t="s">
        <v>7830</v>
      </c>
      <c r="E10078" s="803">
        <v>63</v>
      </c>
      <c r="F10078" s="803">
        <v>48</v>
      </c>
      <c r="G10078" s="202" t="str">
        <f t="shared" ref="G10078:G10141" si="157">IF(E10078=F10078,"не загружен","")</f>
        <v/>
      </c>
    </row>
    <row r="10079" spans="1:7" s="172" customFormat="1" ht="15" customHeight="1" x14ac:dyDescent="0.25">
      <c r="A10079" s="803" t="s">
        <v>7418</v>
      </c>
      <c r="B10079" s="803" t="s">
        <v>7913</v>
      </c>
      <c r="C10079" s="803" t="s">
        <v>7913</v>
      </c>
      <c r="D10079" s="803" t="s">
        <v>7831</v>
      </c>
      <c r="E10079" s="803">
        <v>40</v>
      </c>
      <c r="F10079" s="803">
        <v>25</v>
      </c>
      <c r="G10079" s="202" t="str">
        <f t="shared" si="157"/>
        <v/>
      </c>
    </row>
    <row r="10080" spans="1:7" s="172" customFormat="1" ht="15" customHeight="1" x14ac:dyDescent="0.25">
      <c r="A10080" s="803" t="s">
        <v>12602</v>
      </c>
      <c r="B10080" s="803" t="s">
        <v>7913</v>
      </c>
      <c r="C10080" s="803" t="s">
        <v>7913</v>
      </c>
      <c r="D10080" s="803" t="s">
        <v>7832</v>
      </c>
      <c r="E10080" s="803">
        <v>50</v>
      </c>
      <c r="F10080" s="803">
        <v>20</v>
      </c>
      <c r="G10080" s="202" t="str">
        <f t="shared" si="157"/>
        <v/>
      </c>
    </row>
    <row r="10081" spans="1:7" s="172" customFormat="1" ht="15" customHeight="1" x14ac:dyDescent="0.25">
      <c r="A10081" s="803" t="s">
        <v>12602</v>
      </c>
      <c r="B10081" s="803" t="s">
        <v>7913</v>
      </c>
      <c r="C10081" s="803" t="s">
        <v>7913</v>
      </c>
      <c r="D10081" s="803" t="s">
        <v>7833</v>
      </c>
      <c r="E10081" s="803">
        <v>50</v>
      </c>
      <c r="F10081" s="803">
        <v>10</v>
      </c>
      <c r="G10081" s="202" t="str">
        <f t="shared" si="157"/>
        <v/>
      </c>
    </row>
    <row r="10082" spans="1:7" s="172" customFormat="1" ht="15" customHeight="1" x14ac:dyDescent="0.25">
      <c r="A10082" s="803" t="s">
        <v>12602</v>
      </c>
      <c r="B10082" s="803" t="s">
        <v>7913</v>
      </c>
      <c r="C10082" s="803" t="s">
        <v>7913</v>
      </c>
      <c r="D10082" s="803" t="s">
        <v>7834</v>
      </c>
      <c r="E10082" s="803">
        <v>63</v>
      </c>
      <c r="F10082" s="803">
        <v>23</v>
      </c>
      <c r="G10082" s="202" t="str">
        <f t="shared" si="157"/>
        <v/>
      </c>
    </row>
    <row r="10083" spans="1:7" s="172" customFormat="1" ht="15" customHeight="1" x14ac:dyDescent="0.25">
      <c r="A10083" s="803" t="s">
        <v>12602</v>
      </c>
      <c r="B10083" s="803" t="s">
        <v>7913</v>
      </c>
      <c r="C10083" s="803" t="s">
        <v>7913</v>
      </c>
      <c r="D10083" s="803" t="s">
        <v>7835</v>
      </c>
      <c r="E10083" s="803">
        <v>250</v>
      </c>
      <c r="F10083" s="803">
        <v>200</v>
      </c>
      <c r="G10083" s="202" t="str">
        <f t="shared" si="157"/>
        <v/>
      </c>
    </row>
    <row r="10084" spans="1:7" s="172" customFormat="1" ht="15" customHeight="1" x14ac:dyDescent="0.25">
      <c r="A10084" s="803" t="s">
        <v>7836</v>
      </c>
      <c r="B10084" s="803" t="s">
        <v>7913</v>
      </c>
      <c r="C10084" s="803" t="s">
        <v>7913</v>
      </c>
      <c r="D10084" s="803" t="s">
        <v>7837</v>
      </c>
      <c r="E10084" s="803">
        <v>60</v>
      </c>
      <c r="F10084" s="803">
        <v>30</v>
      </c>
      <c r="G10084" s="202" t="str">
        <f t="shared" si="157"/>
        <v/>
      </c>
    </row>
    <row r="10085" spans="1:7" s="172" customFormat="1" ht="15" customHeight="1" x14ac:dyDescent="0.25">
      <c r="A10085" s="803" t="s">
        <v>7836</v>
      </c>
      <c r="B10085" s="803" t="s">
        <v>7913</v>
      </c>
      <c r="C10085" s="803" t="s">
        <v>7913</v>
      </c>
      <c r="D10085" s="803" t="s">
        <v>7838</v>
      </c>
      <c r="E10085" s="803">
        <v>63</v>
      </c>
      <c r="F10085" s="803">
        <v>33</v>
      </c>
      <c r="G10085" s="202" t="str">
        <f t="shared" si="157"/>
        <v/>
      </c>
    </row>
    <row r="10086" spans="1:7" s="172" customFormat="1" ht="15" customHeight="1" x14ac:dyDescent="0.25">
      <c r="A10086" s="803" t="s">
        <v>7839</v>
      </c>
      <c r="B10086" s="803" t="s">
        <v>7913</v>
      </c>
      <c r="C10086" s="803" t="s">
        <v>7913</v>
      </c>
      <c r="D10086" s="803" t="s">
        <v>7840</v>
      </c>
      <c r="E10086" s="803">
        <v>10</v>
      </c>
      <c r="F10086" s="803">
        <v>5</v>
      </c>
      <c r="G10086" s="202" t="str">
        <f t="shared" si="157"/>
        <v/>
      </c>
    </row>
    <row r="10087" spans="1:7" s="172" customFormat="1" ht="15" customHeight="1" x14ac:dyDescent="0.25">
      <c r="A10087" s="803" t="s">
        <v>3095</v>
      </c>
      <c r="B10087" s="803" t="s">
        <v>7913</v>
      </c>
      <c r="C10087" s="803" t="s">
        <v>7913</v>
      </c>
      <c r="D10087" s="803" t="s">
        <v>7841</v>
      </c>
      <c r="E10087" s="803">
        <v>25</v>
      </c>
      <c r="F10087" s="803">
        <v>20</v>
      </c>
      <c r="G10087" s="202" t="str">
        <f t="shared" si="157"/>
        <v/>
      </c>
    </row>
    <row r="10088" spans="1:7" s="172" customFormat="1" ht="15" customHeight="1" x14ac:dyDescent="0.25">
      <c r="A10088" s="803" t="s">
        <v>7842</v>
      </c>
      <c r="B10088" s="803" t="s">
        <v>7913</v>
      </c>
      <c r="C10088" s="803" t="s">
        <v>7913</v>
      </c>
      <c r="D10088" s="803" t="s">
        <v>7843</v>
      </c>
      <c r="E10088" s="803">
        <v>30</v>
      </c>
      <c r="F10088" s="803">
        <v>25</v>
      </c>
      <c r="G10088" s="202" t="str">
        <f t="shared" si="157"/>
        <v/>
      </c>
    </row>
    <row r="10089" spans="1:7" s="172" customFormat="1" ht="15" customHeight="1" x14ac:dyDescent="0.25">
      <c r="A10089" s="803" t="s">
        <v>7844</v>
      </c>
      <c r="B10089" s="803" t="s">
        <v>7913</v>
      </c>
      <c r="C10089" s="803" t="s">
        <v>7913</v>
      </c>
      <c r="D10089" s="803" t="s">
        <v>7845</v>
      </c>
      <c r="E10089" s="803">
        <v>40</v>
      </c>
      <c r="F10089" s="803">
        <v>35</v>
      </c>
      <c r="G10089" s="202" t="str">
        <f t="shared" si="157"/>
        <v/>
      </c>
    </row>
    <row r="10090" spans="1:7" s="172" customFormat="1" ht="15" customHeight="1" x14ac:dyDescent="0.25">
      <c r="A10090" s="803" t="s">
        <v>7846</v>
      </c>
      <c r="B10090" s="803" t="s">
        <v>7913</v>
      </c>
      <c r="C10090" s="803" t="s">
        <v>7913</v>
      </c>
      <c r="D10090" s="803" t="s">
        <v>7847</v>
      </c>
      <c r="E10090" s="803">
        <v>30</v>
      </c>
      <c r="F10090" s="803">
        <v>25</v>
      </c>
      <c r="G10090" s="202" t="str">
        <f t="shared" si="157"/>
        <v/>
      </c>
    </row>
    <row r="10091" spans="1:7" s="172" customFormat="1" ht="15" customHeight="1" x14ac:dyDescent="0.25">
      <c r="A10091" s="803" t="s">
        <v>12602</v>
      </c>
      <c r="B10091" s="803" t="s">
        <v>7913</v>
      </c>
      <c r="C10091" s="803" t="s">
        <v>7913</v>
      </c>
      <c r="D10091" s="803" t="s">
        <v>7848</v>
      </c>
      <c r="E10091" s="803">
        <v>250</v>
      </c>
      <c r="F10091" s="803">
        <v>210</v>
      </c>
      <c r="G10091" s="202" t="str">
        <f t="shared" si="157"/>
        <v/>
      </c>
    </row>
    <row r="10092" spans="1:7" s="172" customFormat="1" ht="15" customHeight="1" x14ac:dyDescent="0.25">
      <c r="A10092" s="803" t="s">
        <v>12602</v>
      </c>
      <c r="B10092" s="803" t="s">
        <v>7913</v>
      </c>
      <c r="C10092" s="803" t="s">
        <v>7913</v>
      </c>
      <c r="D10092" s="803" t="s">
        <v>7849</v>
      </c>
      <c r="E10092" s="803">
        <v>160</v>
      </c>
      <c r="F10092" s="803">
        <v>110</v>
      </c>
      <c r="G10092" s="202" t="str">
        <f t="shared" si="157"/>
        <v/>
      </c>
    </row>
    <row r="10093" spans="1:7" s="172" customFormat="1" ht="15" customHeight="1" x14ac:dyDescent="0.25">
      <c r="A10093" s="803" t="s">
        <v>7850</v>
      </c>
      <c r="B10093" s="803" t="s">
        <v>7913</v>
      </c>
      <c r="C10093" s="803" t="s">
        <v>7913</v>
      </c>
      <c r="D10093" s="803" t="s">
        <v>7851</v>
      </c>
      <c r="E10093" s="803">
        <v>63</v>
      </c>
      <c r="F10093" s="803">
        <v>58</v>
      </c>
      <c r="G10093" s="202" t="str">
        <f t="shared" si="157"/>
        <v/>
      </c>
    </row>
    <row r="10094" spans="1:7" s="172" customFormat="1" ht="15" customHeight="1" x14ac:dyDescent="0.25">
      <c r="A10094" s="803" t="s">
        <v>7852</v>
      </c>
      <c r="B10094" s="803" t="s">
        <v>7913</v>
      </c>
      <c r="C10094" s="803" t="s">
        <v>7913</v>
      </c>
      <c r="D10094" s="803" t="s">
        <v>7853</v>
      </c>
      <c r="E10094" s="803">
        <v>250</v>
      </c>
      <c r="F10094" s="803">
        <v>200</v>
      </c>
      <c r="G10094" s="202" t="str">
        <f t="shared" si="157"/>
        <v/>
      </c>
    </row>
    <row r="10095" spans="1:7" s="172" customFormat="1" ht="15" customHeight="1" x14ac:dyDescent="0.25">
      <c r="A10095" s="803" t="s">
        <v>7854</v>
      </c>
      <c r="B10095" s="803" t="s">
        <v>7913</v>
      </c>
      <c r="C10095" s="803" t="s">
        <v>7913</v>
      </c>
      <c r="D10095" s="803" t="s">
        <v>7855</v>
      </c>
      <c r="E10095" s="803">
        <v>160</v>
      </c>
      <c r="F10095" s="803">
        <v>115</v>
      </c>
      <c r="G10095" s="202" t="str">
        <f t="shared" si="157"/>
        <v/>
      </c>
    </row>
    <row r="10096" spans="1:7" s="172" customFormat="1" ht="15" customHeight="1" x14ac:dyDescent="0.25">
      <c r="A10096" s="803" t="s">
        <v>7854</v>
      </c>
      <c r="B10096" s="803" t="s">
        <v>7913</v>
      </c>
      <c r="C10096" s="803" t="s">
        <v>7913</v>
      </c>
      <c r="D10096" s="803" t="s">
        <v>7856</v>
      </c>
      <c r="E10096" s="803">
        <v>160</v>
      </c>
      <c r="F10096" s="803">
        <v>120</v>
      </c>
      <c r="G10096" s="202" t="str">
        <f t="shared" si="157"/>
        <v/>
      </c>
    </row>
    <row r="10097" spans="1:7" s="172" customFormat="1" ht="15" customHeight="1" x14ac:dyDescent="0.25">
      <c r="A10097" s="803" t="s">
        <v>7854</v>
      </c>
      <c r="B10097" s="803" t="s">
        <v>7913</v>
      </c>
      <c r="C10097" s="803" t="s">
        <v>7913</v>
      </c>
      <c r="D10097" s="803" t="s">
        <v>7857</v>
      </c>
      <c r="E10097" s="803">
        <v>250</v>
      </c>
      <c r="F10097" s="803">
        <v>205</v>
      </c>
      <c r="G10097" s="202" t="str">
        <f t="shared" si="157"/>
        <v/>
      </c>
    </row>
    <row r="10098" spans="1:7" s="172" customFormat="1" ht="15" customHeight="1" x14ac:dyDescent="0.25">
      <c r="A10098" s="803" t="s">
        <v>2597</v>
      </c>
      <c r="B10098" s="803" t="s">
        <v>7913</v>
      </c>
      <c r="C10098" s="803" t="s">
        <v>7913</v>
      </c>
      <c r="D10098" s="803" t="s">
        <v>7858</v>
      </c>
      <c r="E10098" s="803">
        <v>25</v>
      </c>
      <c r="F10098" s="803">
        <v>15</v>
      </c>
      <c r="G10098" s="202" t="str">
        <f t="shared" si="157"/>
        <v/>
      </c>
    </row>
    <row r="10099" spans="1:7" s="172" customFormat="1" ht="15" customHeight="1" x14ac:dyDescent="0.25">
      <c r="A10099" s="803" t="s">
        <v>8436</v>
      </c>
      <c r="B10099" s="803" t="s">
        <v>7913</v>
      </c>
      <c r="C10099" s="803" t="s">
        <v>7913</v>
      </c>
      <c r="D10099" s="803" t="s">
        <v>7859</v>
      </c>
      <c r="E10099" s="803">
        <v>20</v>
      </c>
      <c r="F10099" s="803">
        <v>10</v>
      </c>
      <c r="G10099" s="202" t="str">
        <f t="shared" si="157"/>
        <v/>
      </c>
    </row>
    <row r="10100" spans="1:7" s="172" customFormat="1" ht="15" customHeight="1" x14ac:dyDescent="0.25">
      <c r="A10100" s="803" t="s">
        <v>7860</v>
      </c>
      <c r="B10100" s="803" t="s">
        <v>7913</v>
      </c>
      <c r="C10100" s="803" t="s">
        <v>7913</v>
      </c>
      <c r="D10100" s="803" t="s">
        <v>7861</v>
      </c>
      <c r="E10100" s="803">
        <v>60</v>
      </c>
      <c r="F10100" s="803">
        <v>50</v>
      </c>
      <c r="G10100" s="202" t="str">
        <f t="shared" si="157"/>
        <v/>
      </c>
    </row>
    <row r="10101" spans="1:7" s="172" customFormat="1" ht="15" customHeight="1" x14ac:dyDescent="0.25">
      <c r="A10101" s="803" t="s">
        <v>7862</v>
      </c>
      <c r="B10101" s="803" t="s">
        <v>7913</v>
      </c>
      <c r="C10101" s="803" t="s">
        <v>7913</v>
      </c>
      <c r="D10101" s="803" t="s">
        <v>7863</v>
      </c>
      <c r="E10101" s="803">
        <v>100</v>
      </c>
      <c r="F10101" s="803">
        <v>50</v>
      </c>
      <c r="G10101" s="202" t="str">
        <f t="shared" si="157"/>
        <v/>
      </c>
    </row>
    <row r="10102" spans="1:7" s="172" customFormat="1" ht="15" customHeight="1" x14ac:dyDescent="0.25">
      <c r="A10102" s="803" t="s">
        <v>7862</v>
      </c>
      <c r="B10102" s="803" t="s">
        <v>7913</v>
      </c>
      <c r="C10102" s="803" t="s">
        <v>7913</v>
      </c>
      <c r="D10102" s="803" t="s">
        <v>7864</v>
      </c>
      <c r="E10102" s="803">
        <v>400</v>
      </c>
      <c r="F10102" s="803">
        <v>395</v>
      </c>
      <c r="G10102" s="202" t="str">
        <f t="shared" si="157"/>
        <v/>
      </c>
    </row>
    <row r="10103" spans="1:7" s="172" customFormat="1" ht="15" customHeight="1" x14ac:dyDescent="0.25">
      <c r="A10103" s="803" t="s">
        <v>7865</v>
      </c>
      <c r="B10103" s="803" t="s">
        <v>7913</v>
      </c>
      <c r="C10103" s="803" t="s">
        <v>7913</v>
      </c>
      <c r="D10103" s="803" t="s">
        <v>7866</v>
      </c>
      <c r="E10103" s="803">
        <v>10</v>
      </c>
      <c r="F10103" s="803">
        <v>5</v>
      </c>
      <c r="G10103" s="202" t="str">
        <f t="shared" si="157"/>
        <v/>
      </c>
    </row>
    <row r="10104" spans="1:7" s="172" customFormat="1" ht="15" customHeight="1" x14ac:dyDescent="0.25">
      <c r="A10104" s="803" t="s">
        <v>7867</v>
      </c>
      <c r="B10104" s="803" t="s">
        <v>7913</v>
      </c>
      <c r="C10104" s="803" t="s">
        <v>7913</v>
      </c>
      <c r="D10104" s="803" t="s">
        <v>7868</v>
      </c>
      <c r="E10104" s="803">
        <v>25</v>
      </c>
      <c r="F10104" s="803">
        <v>15</v>
      </c>
      <c r="G10104" s="202" t="str">
        <f t="shared" si="157"/>
        <v/>
      </c>
    </row>
    <row r="10105" spans="1:7" s="172" customFormat="1" ht="15" customHeight="1" x14ac:dyDescent="0.25">
      <c r="A10105" s="803" t="s">
        <v>7869</v>
      </c>
      <c r="B10105" s="803" t="s">
        <v>7913</v>
      </c>
      <c r="C10105" s="803" t="s">
        <v>7913</v>
      </c>
      <c r="D10105" s="803" t="s">
        <v>7870</v>
      </c>
      <c r="E10105" s="803">
        <v>100</v>
      </c>
      <c r="F10105" s="803">
        <v>70</v>
      </c>
      <c r="G10105" s="202" t="str">
        <f t="shared" si="157"/>
        <v/>
      </c>
    </row>
    <row r="10106" spans="1:7" s="172" customFormat="1" ht="15" customHeight="1" x14ac:dyDescent="0.25">
      <c r="A10106" s="803" t="s">
        <v>7869</v>
      </c>
      <c r="B10106" s="803" t="s">
        <v>7913</v>
      </c>
      <c r="C10106" s="803" t="s">
        <v>7913</v>
      </c>
      <c r="D10106" s="803" t="s">
        <v>7871</v>
      </c>
      <c r="E10106" s="803">
        <v>60</v>
      </c>
      <c r="F10106" s="803">
        <v>30</v>
      </c>
      <c r="G10106" s="202" t="str">
        <f t="shared" si="157"/>
        <v/>
      </c>
    </row>
    <row r="10107" spans="1:7" s="172" customFormat="1" ht="15" customHeight="1" x14ac:dyDescent="0.25">
      <c r="A10107" s="803" t="s">
        <v>7869</v>
      </c>
      <c r="B10107" s="803" t="s">
        <v>7913</v>
      </c>
      <c r="C10107" s="803" t="s">
        <v>7913</v>
      </c>
      <c r="D10107" s="803" t="s">
        <v>7872</v>
      </c>
      <c r="E10107" s="803">
        <v>100</v>
      </c>
      <c r="F10107" s="803">
        <v>60</v>
      </c>
      <c r="G10107" s="202" t="str">
        <f t="shared" si="157"/>
        <v/>
      </c>
    </row>
    <row r="10108" spans="1:7" s="172" customFormat="1" ht="15" customHeight="1" x14ac:dyDescent="0.25">
      <c r="A10108" s="803" t="s">
        <v>7869</v>
      </c>
      <c r="B10108" s="803" t="s">
        <v>7913</v>
      </c>
      <c r="C10108" s="803" t="s">
        <v>7913</v>
      </c>
      <c r="D10108" s="803" t="s">
        <v>7873</v>
      </c>
      <c r="E10108" s="803">
        <v>160</v>
      </c>
      <c r="F10108" s="803">
        <v>120</v>
      </c>
      <c r="G10108" s="202" t="str">
        <f t="shared" si="157"/>
        <v/>
      </c>
    </row>
    <row r="10109" spans="1:7" s="172" customFormat="1" ht="15" customHeight="1" x14ac:dyDescent="0.25">
      <c r="A10109" s="803" t="s">
        <v>7874</v>
      </c>
      <c r="B10109" s="803" t="s">
        <v>7913</v>
      </c>
      <c r="C10109" s="803" t="s">
        <v>7913</v>
      </c>
      <c r="D10109" s="803" t="s">
        <v>7875</v>
      </c>
      <c r="E10109" s="803">
        <v>160</v>
      </c>
      <c r="F10109" s="803">
        <v>130</v>
      </c>
      <c r="G10109" s="202" t="str">
        <f t="shared" si="157"/>
        <v/>
      </c>
    </row>
    <row r="10110" spans="1:7" s="172" customFormat="1" ht="15" customHeight="1" x14ac:dyDescent="0.25">
      <c r="A10110" s="803" t="s">
        <v>4811</v>
      </c>
      <c r="B10110" s="803" t="s">
        <v>7913</v>
      </c>
      <c r="C10110" s="803" t="s">
        <v>7913</v>
      </c>
      <c r="D10110" s="803" t="s">
        <v>7876</v>
      </c>
      <c r="E10110" s="803">
        <v>30</v>
      </c>
      <c r="F10110" s="803">
        <v>15</v>
      </c>
      <c r="G10110" s="202" t="str">
        <f t="shared" si="157"/>
        <v/>
      </c>
    </row>
    <row r="10111" spans="1:7" s="172" customFormat="1" ht="15" customHeight="1" x14ac:dyDescent="0.25">
      <c r="A10111" s="803" t="s">
        <v>2903</v>
      </c>
      <c r="B10111" s="803" t="s">
        <v>7913</v>
      </c>
      <c r="C10111" s="803" t="s">
        <v>7913</v>
      </c>
      <c r="D10111" s="803" t="s">
        <v>7877</v>
      </c>
      <c r="E10111" s="803">
        <v>100</v>
      </c>
      <c r="F10111" s="803">
        <v>70</v>
      </c>
      <c r="G10111" s="202" t="str">
        <f t="shared" si="157"/>
        <v/>
      </c>
    </row>
    <row r="10112" spans="1:7" s="172" customFormat="1" ht="15" customHeight="1" x14ac:dyDescent="0.25">
      <c r="A10112" s="803" t="s">
        <v>7878</v>
      </c>
      <c r="B10112" s="803" t="s">
        <v>7913</v>
      </c>
      <c r="C10112" s="803" t="s">
        <v>7913</v>
      </c>
      <c r="D10112" s="803" t="s">
        <v>7879</v>
      </c>
      <c r="E10112" s="803">
        <v>30</v>
      </c>
      <c r="F10112" s="803">
        <v>25</v>
      </c>
      <c r="G10112" s="202" t="str">
        <f t="shared" si="157"/>
        <v/>
      </c>
    </row>
    <row r="10113" spans="1:7" s="172" customFormat="1" ht="15" customHeight="1" x14ac:dyDescent="0.25">
      <c r="A10113" s="803" t="s">
        <v>7880</v>
      </c>
      <c r="B10113" s="803" t="s">
        <v>7913</v>
      </c>
      <c r="C10113" s="803" t="s">
        <v>7913</v>
      </c>
      <c r="D10113" s="803" t="s">
        <v>7881</v>
      </c>
      <c r="E10113" s="803">
        <v>60</v>
      </c>
      <c r="F10113" s="803">
        <v>55</v>
      </c>
      <c r="G10113" s="202" t="str">
        <f t="shared" si="157"/>
        <v/>
      </c>
    </row>
    <row r="10114" spans="1:7" s="172" customFormat="1" ht="15" customHeight="1" x14ac:dyDescent="0.25">
      <c r="A10114" s="803" t="s">
        <v>7882</v>
      </c>
      <c r="B10114" s="803" t="s">
        <v>7913</v>
      </c>
      <c r="C10114" s="803" t="s">
        <v>7913</v>
      </c>
      <c r="D10114" s="803" t="s">
        <v>7883</v>
      </c>
      <c r="E10114" s="803">
        <v>4</v>
      </c>
      <c r="F10114" s="803">
        <v>1</v>
      </c>
      <c r="G10114" s="202" t="str">
        <f t="shared" si="157"/>
        <v/>
      </c>
    </row>
    <row r="10115" spans="1:7" s="172" customFormat="1" ht="15" customHeight="1" x14ac:dyDescent="0.25">
      <c r="A10115" s="803" t="s">
        <v>3981</v>
      </c>
      <c r="B10115" s="803" t="s">
        <v>7913</v>
      </c>
      <c r="C10115" s="803" t="s">
        <v>7913</v>
      </c>
      <c r="D10115" s="803" t="s">
        <v>7884</v>
      </c>
      <c r="E10115" s="803">
        <v>60</v>
      </c>
      <c r="F10115" s="803">
        <v>30</v>
      </c>
      <c r="G10115" s="202" t="str">
        <f t="shared" si="157"/>
        <v/>
      </c>
    </row>
    <row r="10116" spans="1:7" s="172" customFormat="1" ht="15" customHeight="1" x14ac:dyDescent="0.25">
      <c r="A10116" s="803" t="s">
        <v>3981</v>
      </c>
      <c r="B10116" s="803" t="s">
        <v>7913</v>
      </c>
      <c r="C10116" s="803" t="s">
        <v>7913</v>
      </c>
      <c r="D10116" s="803" t="s">
        <v>7885</v>
      </c>
      <c r="E10116" s="803">
        <v>250</v>
      </c>
      <c r="F10116" s="803">
        <v>220</v>
      </c>
      <c r="G10116" s="202" t="str">
        <f t="shared" si="157"/>
        <v/>
      </c>
    </row>
    <row r="10117" spans="1:7" s="172" customFormat="1" ht="15" customHeight="1" x14ac:dyDescent="0.25">
      <c r="A10117" s="803" t="s">
        <v>3981</v>
      </c>
      <c r="B10117" s="803" t="s">
        <v>7913</v>
      </c>
      <c r="C10117" s="803" t="s">
        <v>7913</v>
      </c>
      <c r="D10117" s="803" t="s">
        <v>7886</v>
      </c>
      <c r="E10117" s="803">
        <v>160</v>
      </c>
      <c r="F10117" s="803">
        <v>120</v>
      </c>
      <c r="G10117" s="202" t="str">
        <f t="shared" si="157"/>
        <v/>
      </c>
    </row>
    <row r="10118" spans="1:7" s="172" customFormat="1" ht="15" customHeight="1" x14ac:dyDescent="0.25">
      <c r="A10118" s="803" t="s">
        <v>7874</v>
      </c>
      <c r="B10118" s="803" t="s">
        <v>7913</v>
      </c>
      <c r="C10118" s="803" t="s">
        <v>7913</v>
      </c>
      <c r="D10118" s="803" t="s">
        <v>7887</v>
      </c>
      <c r="E10118" s="803">
        <v>63</v>
      </c>
      <c r="F10118" s="803">
        <v>23</v>
      </c>
      <c r="G10118" s="202" t="str">
        <f t="shared" si="157"/>
        <v/>
      </c>
    </row>
    <row r="10119" spans="1:7" s="172" customFormat="1" ht="15" customHeight="1" x14ac:dyDescent="0.25">
      <c r="A10119" s="803" t="s">
        <v>7874</v>
      </c>
      <c r="B10119" s="803" t="s">
        <v>7913</v>
      </c>
      <c r="C10119" s="803" t="s">
        <v>7913</v>
      </c>
      <c r="D10119" s="803" t="s">
        <v>7888</v>
      </c>
      <c r="E10119" s="803">
        <v>250</v>
      </c>
      <c r="F10119" s="803">
        <v>220</v>
      </c>
      <c r="G10119" s="202" t="str">
        <f t="shared" si="157"/>
        <v/>
      </c>
    </row>
    <row r="10120" spans="1:7" s="172" customFormat="1" ht="15" customHeight="1" x14ac:dyDescent="0.25">
      <c r="A10120" s="803" t="s">
        <v>7874</v>
      </c>
      <c r="B10120" s="803" t="s">
        <v>7913</v>
      </c>
      <c r="C10120" s="803" t="s">
        <v>7913</v>
      </c>
      <c r="D10120" s="803" t="s">
        <v>7889</v>
      </c>
      <c r="E10120" s="803">
        <v>60</v>
      </c>
      <c r="F10120" s="803">
        <v>40</v>
      </c>
      <c r="G10120" s="202" t="str">
        <f t="shared" si="157"/>
        <v/>
      </c>
    </row>
    <row r="10121" spans="1:7" s="172" customFormat="1" ht="15" customHeight="1" x14ac:dyDescent="0.25">
      <c r="A10121" s="803" t="s">
        <v>3981</v>
      </c>
      <c r="B10121" s="803" t="s">
        <v>7913</v>
      </c>
      <c r="C10121" s="803" t="s">
        <v>7913</v>
      </c>
      <c r="D10121" s="803" t="s">
        <v>7890</v>
      </c>
      <c r="E10121" s="803">
        <v>250</v>
      </c>
      <c r="F10121" s="803">
        <v>210</v>
      </c>
      <c r="G10121" s="202" t="str">
        <f t="shared" si="157"/>
        <v/>
      </c>
    </row>
    <row r="10122" spans="1:7" s="172" customFormat="1" ht="15" customHeight="1" x14ac:dyDescent="0.25">
      <c r="A10122" s="803" t="s">
        <v>3545</v>
      </c>
      <c r="B10122" s="803" t="s">
        <v>7913</v>
      </c>
      <c r="C10122" s="803" t="s">
        <v>7913</v>
      </c>
      <c r="D10122" s="803" t="s">
        <v>7891</v>
      </c>
      <c r="E10122" s="803">
        <v>60</v>
      </c>
      <c r="F10122" s="803">
        <v>45</v>
      </c>
      <c r="G10122" s="202" t="str">
        <f t="shared" si="157"/>
        <v/>
      </c>
    </row>
    <row r="10123" spans="1:7" s="172" customFormat="1" ht="15" customHeight="1" x14ac:dyDescent="0.25">
      <c r="A10123" s="803" t="s">
        <v>3607</v>
      </c>
      <c r="B10123" s="803" t="s">
        <v>7913</v>
      </c>
      <c r="C10123" s="803" t="s">
        <v>7913</v>
      </c>
      <c r="D10123" s="803" t="s">
        <v>7892</v>
      </c>
      <c r="E10123" s="803">
        <v>30</v>
      </c>
      <c r="F10123" s="803">
        <v>20</v>
      </c>
      <c r="G10123" s="202" t="str">
        <f t="shared" si="157"/>
        <v/>
      </c>
    </row>
    <row r="10124" spans="1:7" s="172" customFormat="1" ht="15" customHeight="1" x14ac:dyDescent="0.25">
      <c r="A10124" s="803" t="s">
        <v>4859</v>
      </c>
      <c r="B10124" s="803" t="s">
        <v>7913</v>
      </c>
      <c r="C10124" s="803" t="s">
        <v>7913</v>
      </c>
      <c r="D10124" s="803" t="s">
        <v>7893</v>
      </c>
      <c r="E10124" s="803">
        <v>60</v>
      </c>
      <c r="F10124" s="803">
        <v>40</v>
      </c>
      <c r="G10124" s="202" t="str">
        <f t="shared" si="157"/>
        <v/>
      </c>
    </row>
    <row r="10125" spans="1:7" s="172" customFormat="1" ht="15" customHeight="1" x14ac:dyDescent="0.25">
      <c r="A10125" s="803" t="s">
        <v>4859</v>
      </c>
      <c r="B10125" s="803" t="s">
        <v>7913</v>
      </c>
      <c r="C10125" s="803" t="s">
        <v>7913</v>
      </c>
      <c r="D10125" s="803" t="s">
        <v>7894</v>
      </c>
      <c r="E10125" s="803">
        <v>100</v>
      </c>
      <c r="F10125" s="803">
        <v>60</v>
      </c>
      <c r="G10125" s="202" t="str">
        <f t="shared" si="157"/>
        <v/>
      </c>
    </row>
    <row r="10126" spans="1:7" s="172" customFormat="1" ht="15" customHeight="1" x14ac:dyDescent="0.25">
      <c r="A10126" s="803" t="s">
        <v>7895</v>
      </c>
      <c r="B10126" s="803" t="s">
        <v>7913</v>
      </c>
      <c r="C10126" s="803" t="s">
        <v>7913</v>
      </c>
      <c r="D10126" s="803" t="s">
        <v>7896</v>
      </c>
      <c r="E10126" s="803">
        <v>60</v>
      </c>
      <c r="F10126" s="803">
        <v>50</v>
      </c>
      <c r="G10126" s="202" t="str">
        <f t="shared" si="157"/>
        <v/>
      </c>
    </row>
    <row r="10127" spans="1:7" s="172" customFormat="1" ht="15" customHeight="1" x14ac:dyDescent="0.25">
      <c r="A10127" s="803" t="s">
        <v>7897</v>
      </c>
      <c r="B10127" s="803" t="s">
        <v>7913</v>
      </c>
      <c r="C10127" s="803" t="s">
        <v>7913</v>
      </c>
      <c r="D10127" s="803" t="s">
        <v>7898</v>
      </c>
      <c r="E10127" s="803">
        <v>100</v>
      </c>
      <c r="F10127" s="803">
        <v>95</v>
      </c>
      <c r="G10127" s="202" t="str">
        <f t="shared" si="157"/>
        <v/>
      </c>
    </row>
    <row r="10128" spans="1:7" s="172" customFormat="1" ht="15" customHeight="1" x14ac:dyDescent="0.25">
      <c r="A10128" s="803" t="s">
        <v>7899</v>
      </c>
      <c r="B10128" s="803" t="s">
        <v>7913</v>
      </c>
      <c r="C10128" s="803" t="s">
        <v>7913</v>
      </c>
      <c r="D10128" s="803" t="s">
        <v>7900</v>
      </c>
      <c r="E10128" s="803">
        <v>160</v>
      </c>
      <c r="F10128" s="803">
        <v>150</v>
      </c>
      <c r="G10128" s="202" t="str">
        <f t="shared" si="157"/>
        <v/>
      </c>
    </row>
    <row r="10129" spans="1:7" s="172" customFormat="1" ht="15" customHeight="1" x14ac:dyDescent="0.25">
      <c r="A10129" s="803" t="s">
        <v>7901</v>
      </c>
      <c r="B10129" s="803" t="s">
        <v>7913</v>
      </c>
      <c r="C10129" s="803" t="s">
        <v>7913</v>
      </c>
      <c r="D10129" s="803" t="s">
        <v>7902</v>
      </c>
      <c r="E10129" s="803">
        <v>400</v>
      </c>
      <c r="F10129" s="803">
        <v>350</v>
      </c>
      <c r="G10129" s="202" t="str">
        <f t="shared" si="157"/>
        <v/>
      </c>
    </row>
    <row r="10130" spans="1:7" s="172" customFormat="1" ht="15" customHeight="1" x14ac:dyDescent="0.25">
      <c r="A10130" s="803" t="s">
        <v>7901</v>
      </c>
      <c r="B10130" s="803" t="s">
        <v>7913</v>
      </c>
      <c r="C10130" s="803" t="s">
        <v>7913</v>
      </c>
      <c r="D10130" s="803" t="s">
        <v>7903</v>
      </c>
      <c r="E10130" s="803">
        <v>630</v>
      </c>
      <c r="F10130" s="803">
        <v>580</v>
      </c>
      <c r="G10130" s="202" t="str">
        <f t="shared" si="157"/>
        <v/>
      </c>
    </row>
    <row r="10131" spans="1:7" s="172" customFormat="1" ht="15" customHeight="1" x14ac:dyDescent="0.25">
      <c r="A10131" s="803" t="s">
        <v>7901</v>
      </c>
      <c r="B10131" s="803" t="s">
        <v>7913</v>
      </c>
      <c r="C10131" s="803" t="s">
        <v>7913</v>
      </c>
      <c r="D10131" s="803" t="s">
        <v>7904</v>
      </c>
      <c r="E10131" s="803">
        <v>250</v>
      </c>
      <c r="F10131" s="803">
        <v>210</v>
      </c>
      <c r="G10131" s="202" t="str">
        <f t="shared" si="157"/>
        <v/>
      </c>
    </row>
    <row r="10132" spans="1:7" s="172" customFormat="1" ht="15" customHeight="1" x14ac:dyDescent="0.25">
      <c r="A10132" s="803" t="s">
        <v>7905</v>
      </c>
      <c r="B10132" s="803" t="s">
        <v>7913</v>
      </c>
      <c r="C10132" s="803" t="s">
        <v>7913</v>
      </c>
      <c r="D10132" s="803" t="s">
        <v>7906</v>
      </c>
      <c r="E10132" s="803">
        <v>25</v>
      </c>
      <c r="F10132" s="803">
        <v>5</v>
      </c>
      <c r="G10132" s="202" t="str">
        <f t="shared" si="157"/>
        <v/>
      </c>
    </row>
    <row r="10133" spans="1:7" s="172" customFormat="1" ht="15" customHeight="1" x14ac:dyDescent="0.25">
      <c r="A10133" s="803" t="s">
        <v>12603</v>
      </c>
      <c r="B10133" s="803" t="s">
        <v>7913</v>
      </c>
      <c r="C10133" s="803" t="s">
        <v>7913</v>
      </c>
      <c r="D10133" s="803" t="s">
        <v>7907</v>
      </c>
      <c r="E10133" s="803">
        <v>100</v>
      </c>
      <c r="F10133" s="803">
        <v>70</v>
      </c>
      <c r="G10133" s="202" t="str">
        <f t="shared" si="157"/>
        <v/>
      </c>
    </row>
    <row r="10134" spans="1:7" s="172" customFormat="1" ht="15" customHeight="1" x14ac:dyDescent="0.25">
      <c r="A10134" s="803" t="s">
        <v>2791</v>
      </c>
      <c r="B10134" s="803" t="s">
        <v>7913</v>
      </c>
      <c r="C10134" s="803" t="s">
        <v>7913</v>
      </c>
      <c r="D10134" s="803" t="s">
        <v>7908</v>
      </c>
      <c r="E10134" s="803">
        <v>25</v>
      </c>
      <c r="F10134" s="803">
        <v>10</v>
      </c>
      <c r="G10134" s="202" t="str">
        <f t="shared" si="157"/>
        <v/>
      </c>
    </row>
    <row r="10135" spans="1:7" s="172" customFormat="1" ht="15" customHeight="1" x14ac:dyDescent="0.25">
      <c r="A10135" s="803" t="s">
        <v>7909</v>
      </c>
      <c r="B10135" s="803" t="s">
        <v>7913</v>
      </c>
      <c r="C10135" s="803" t="s">
        <v>7913</v>
      </c>
      <c r="D10135" s="803" t="s">
        <v>7910</v>
      </c>
      <c r="E10135" s="803">
        <v>63</v>
      </c>
      <c r="F10135" s="803">
        <v>33</v>
      </c>
      <c r="G10135" s="202" t="str">
        <f t="shared" si="157"/>
        <v/>
      </c>
    </row>
    <row r="10136" spans="1:7" s="172" customFormat="1" ht="15" customHeight="1" x14ac:dyDescent="0.25">
      <c r="A10136" s="803" t="s">
        <v>7911</v>
      </c>
      <c r="B10136" s="803" t="s">
        <v>7913</v>
      </c>
      <c r="C10136" s="803" t="s">
        <v>7913</v>
      </c>
      <c r="D10136" s="803" t="s">
        <v>7912</v>
      </c>
      <c r="E10136" s="803">
        <v>60</v>
      </c>
      <c r="F10136" s="803">
        <v>30</v>
      </c>
      <c r="G10136" s="202" t="str">
        <f t="shared" si="157"/>
        <v/>
      </c>
    </row>
    <row r="10137" spans="1:7" s="172" customFormat="1" ht="15" customHeight="1" x14ac:dyDescent="0.25">
      <c r="A10137" s="803" t="s">
        <v>16966</v>
      </c>
      <c r="B10137" s="803" t="s">
        <v>4354</v>
      </c>
      <c r="C10137" s="803" t="s">
        <v>4354</v>
      </c>
      <c r="D10137" s="803" t="s">
        <v>4355</v>
      </c>
      <c r="E10137" s="803">
        <v>100</v>
      </c>
      <c r="F10137" s="803">
        <v>25</v>
      </c>
      <c r="G10137" s="202" t="str">
        <f t="shared" si="157"/>
        <v/>
      </c>
    </row>
    <row r="10138" spans="1:7" s="172" customFormat="1" ht="15" customHeight="1" x14ac:dyDescent="0.25">
      <c r="A10138" s="803" t="s">
        <v>4356</v>
      </c>
      <c r="B10138" s="803" t="s">
        <v>4354</v>
      </c>
      <c r="C10138" s="803" t="s">
        <v>4354</v>
      </c>
      <c r="D10138" s="803" t="s">
        <v>4356</v>
      </c>
      <c r="E10138" s="803">
        <v>60</v>
      </c>
      <c r="F10138" s="803">
        <v>30</v>
      </c>
      <c r="G10138" s="202" t="str">
        <f t="shared" si="157"/>
        <v/>
      </c>
    </row>
    <row r="10139" spans="1:7" s="172" customFormat="1" ht="15" customHeight="1" x14ac:dyDescent="0.25">
      <c r="A10139" s="803" t="s">
        <v>16967</v>
      </c>
      <c r="B10139" s="803" t="s">
        <v>4354</v>
      </c>
      <c r="C10139" s="803" t="s">
        <v>4354</v>
      </c>
      <c r="D10139" s="803" t="s">
        <v>4357</v>
      </c>
      <c r="E10139" s="803">
        <v>100</v>
      </c>
      <c r="F10139" s="803">
        <v>20</v>
      </c>
      <c r="G10139" s="202" t="str">
        <f t="shared" si="157"/>
        <v/>
      </c>
    </row>
    <row r="10140" spans="1:7" s="172" customFormat="1" ht="15" customHeight="1" x14ac:dyDescent="0.25">
      <c r="A10140" s="803" t="s">
        <v>16967</v>
      </c>
      <c r="B10140" s="803" t="s">
        <v>4354</v>
      </c>
      <c r="C10140" s="803" t="s">
        <v>4354</v>
      </c>
      <c r="D10140" s="803" t="s">
        <v>4358</v>
      </c>
      <c r="E10140" s="803">
        <v>160</v>
      </c>
      <c r="F10140" s="803">
        <v>60</v>
      </c>
      <c r="G10140" s="202" t="str">
        <f t="shared" si="157"/>
        <v/>
      </c>
    </row>
    <row r="10141" spans="1:7" s="172" customFormat="1" ht="15" customHeight="1" x14ac:dyDescent="0.25">
      <c r="A10141" s="803" t="s">
        <v>16967</v>
      </c>
      <c r="B10141" s="803" t="s">
        <v>4354</v>
      </c>
      <c r="C10141" s="803" t="s">
        <v>4354</v>
      </c>
      <c r="D10141" s="803" t="s">
        <v>4359</v>
      </c>
      <c r="E10141" s="803">
        <v>160</v>
      </c>
      <c r="F10141" s="803">
        <v>120</v>
      </c>
      <c r="G10141" s="202" t="str">
        <f t="shared" si="157"/>
        <v/>
      </c>
    </row>
    <row r="10142" spans="1:7" s="172" customFormat="1" ht="15" customHeight="1" x14ac:dyDescent="0.25">
      <c r="A10142" s="803" t="s">
        <v>16967</v>
      </c>
      <c r="B10142" s="803" t="s">
        <v>4354</v>
      </c>
      <c r="C10142" s="803" t="s">
        <v>4354</v>
      </c>
      <c r="D10142" s="803" t="s">
        <v>4360</v>
      </c>
      <c r="E10142" s="803">
        <v>250</v>
      </c>
      <c r="F10142" s="803">
        <v>50</v>
      </c>
      <c r="G10142" s="202" t="str">
        <f t="shared" ref="G10142:G10204" si="158">IF(E10142=F10142,"не загружен","")</f>
        <v/>
      </c>
    </row>
    <row r="10143" spans="1:7" s="172" customFormat="1" ht="15" customHeight="1" x14ac:dyDescent="0.25">
      <c r="A10143" s="803" t="s">
        <v>4361</v>
      </c>
      <c r="B10143" s="803" t="s">
        <v>4354</v>
      </c>
      <c r="C10143" s="803" t="s">
        <v>4354</v>
      </c>
      <c r="D10143" s="803" t="s">
        <v>4361</v>
      </c>
      <c r="E10143" s="803">
        <v>63</v>
      </c>
      <c r="F10143" s="803">
        <v>50</v>
      </c>
      <c r="G10143" s="202" t="str">
        <f t="shared" si="158"/>
        <v/>
      </c>
    </row>
    <row r="10144" spans="1:7" s="172" customFormat="1" ht="15" customHeight="1" x14ac:dyDescent="0.25">
      <c r="A10144" s="803" t="s">
        <v>4362</v>
      </c>
      <c r="B10144" s="803" t="s">
        <v>4354</v>
      </c>
      <c r="C10144" s="803" t="s">
        <v>4354</v>
      </c>
      <c r="D10144" s="803" t="s">
        <v>18539</v>
      </c>
      <c r="E10144" s="803">
        <v>400</v>
      </c>
      <c r="F10144" s="803">
        <v>290</v>
      </c>
      <c r="G10144" s="202" t="str">
        <f t="shared" si="158"/>
        <v/>
      </c>
    </row>
    <row r="10145" spans="1:7" s="172" customFormat="1" ht="15" customHeight="1" x14ac:dyDescent="0.25">
      <c r="A10145" s="803" t="s">
        <v>16967</v>
      </c>
      <c r="B10145" s="803" t="s">
        <v>4354</v>
      </c>
      <c r="C10145" s="803" t="s">
        <v>4354</v>
      </c>
      <c r="D10145" s="803" t="s">
        <v>4363</v>
      </c>
      <c r="E10145" s="803">
        <v>180</v>
      </c>
      <c r="F10145" s="803">
        <v>100</v>
      </c>
      <c r="G10145" s="202" t="str">
        <f t="shared" si="158"/>
        <v/>
      </c>
    </row>
    <row r="10146" spans="1:7" s="172" customFormat="1" ht="15" customHeight="1" x14ac:dyDescent="0.25">
      <c r="A10146" s="803" t="s">
        <v>16966</v>
      </c>
      <c r="B10146" s="803" t="s">
        <v>4354</v>
      </c>
      <c r="C10146" s="803" t="s">
        <v>4354</v>
      </c>
      <c r="D10146" s="803" t="s">
        <v>4364</v>
      </c>
      <c r="E10146" s="803">
        <v>60</v>
      </c>
      <c r="F10146" s="803">
        <v>20</v>
      </c>
      <c r="G10146" s="202" t="str">
        <f t="shared" si="158"/>
        <v/>
      </c>
    </row>
    <row r="10147" spans="1:7" s="172" customFormat="1" ht="15" customHeight="1" x14ac:dyDescent="0.25">
      <c r="A10147" s="803" t="s">
        <v>4365</v>
      </c>
      <c r="B10147" s="803" t="s">
        <v>4354</v>
      </c>
      <c r="C10147" s="803" t="s">
        <v>4354</v>
      </c>
      <c r="D10147" s="803" t="s">
        <v>4365</v>
      </c>
      <c r="E10147" s="803">
        <v>63</v>
      </c>
      <c r="F10147" s="803">
        <v>35</v>
      </c>
      <c r="G10147" s="202" t="str">
        <f t="shared" si="158"/>
        <v/>
      </c>
    </row>
    <row r="10148" spans="1:7" s="172" customFormat="1" ht="15" customHeight="1" x14ac:dyDescent="0.25">
      <c r="A10148" s="803" t="s">
        <v>16967</v>
      </c>
      <c r="B10148" s="803" t="s">
        <v>4354</v>
      </c>
      <c r="C10148" s="803" t="s">
        <v>4354</v>
      </c>
      <c r="D10148" s="803" t="s">
        <v>4366</v>
      </c>
      <c r="E10148" s="803">
        <v>160</v>
      </c>
      <c r="F10148" s="803">
        <v>50</v>
      </c>
      <c r="G10148" s="202" t="str">
        <f t="shared" si="158"/>
        <v/>
      </c>
    </row>
    <row r="10149" spans="1:7" s="172" customFormat="1" ht="15" customHeight="1" x14ac:dyDescent="0.25">
      <c r="A10149" s="803" t="s">
        <v>4367</v>
      </c>
      <c r="B10149" s="803" t="s">
        <v>4354</v>
      </c>
      <c r="C10149" s="803" t="s">
        <v>4354</v>
      </c>
      <c r="D10149" s="803" t="s">
        <v>4367</v>
      </c>
      <c r="E10149" s="803">
        <v>800</v>
      </c>
      <c r="F10149" s="803">
        <v>320</v>
      </c>
      <c r="G10149" s="202" t="str">
        <f t="shared" si="158"/>
        <v/>
      </c>
    </row>
    <row r="10150" spans="1:7" s="172" customFormat="1" ht="15" customHeight="1" x14ac:dyDescent="0.25">
      <c r="A10150" s="803" t="s">
        <v>4368</v>
      </c>
      <c r="B10150" s="803" t="s">
        <v>4354</v>
      </c>
      <c r="C10150" s="803" t="s">
        <v>4354</v>
      </c>
      <c r="D10150" s="803" t="s">
        <v>4368</v>
      </c>
      <c r="E10150" s="803">
        <v>160</v>
      </c>
      <c r="F10150" s="803">
        <v>85</v>
      </c>
      <c r="G10150" s="202" t="str">
        <f t="shared" si="158"/>
        <v/>
      </c>
    </row>
    <row r="10151" spans="1:7" s="172" customFormat="1" ht="15" customHeight="1" x14ac:dyDescent="0.25">
      <c r="A10151" s="803" t="s">
        <v>4369</v>
      </c>
      <c r="B10151" s="803" t="s">
        <v>4354</v>
      </c>
      <c r="C10151" s="803" t="s">
        <v>4354</v>
      </c>
      <c r="D10151" s="803" t="s">
        <v>4369</v>
      </c>
      <c r="E10151" s="803">
        <v>100</v>
      </c>
      <c r="F10151" s="803">
        <v>20</v>
      </c>
      <c r="G10151" s="202" t="str">
        <f t="shared" si="158"/>
        <v/>
      </c>
    </row>
    <row r="10152" spans="1:7" s="172" customFormat="1" ht="15" customHeight="1" x14ac:dyDescent="0.25">
      <c r="A10152" s="803" t="s">
        <v>4370</v>
      </c>
      <c r="B10152" s="803" t="s">
        <v>4354</v>
      </c>
      <c r="C10152" s="803" t="s">
        <v>4354</v>
      </c>
      <c r="D10152" s="803" t="s">
        <v>4370</v>
      </c>
      <c r="E10152" s="803">
        <v>100</v>
      </c>
      <c r="F10152" s="803">
        <v>0</v>
      </c>
      <c r="G10152" s="202" t="str">
        <f t="shared" si="158"/>
        <v/>
      </c>
    </row>
    <row r="10153" spans="1:7" s="172" customFormat="1" ht="15" customHeight="1" x14ac:dyDescent="0.25">
      <c r="A10153" s="803" t="s">
        <v>4370</v>
      </c>
      <c r="B10153" s="803" t="s">
        <v>4354</v>
      </c>
      <c r="C10153" s="803" t="s">
        <v>4354</v>
      </c>
      <c r="D10153" s="803" t="s">
        <v>18540</v>
      </c>
      <c r="E10153" s="803">
        <v>63</v>
      </c>
      <c r="F10153" s="803">
        <v>35</v>
      </c>
      <c r="G10153" s="202" t="str">
        <f t="shared" si="158"/>
        <v/>
      </c>
    </row>
    <row r="10154" spans="1:7" s="172" customFormat="1" ht="15" customHeight="1" x14ac:dyDescent="0.25">
      <c r="A10154" s="803" t="s">
        <v>4370</v>
      </c>
      <c r="B10154" s="803" t="s">
        <v>4354</v>
      </c>
      <c r="C10154" s="803" t="s">
        <v>4354</v>
      </c>
      <c r="D10154" s="803" t="s">
        <v>18949</v>
      </c>
      <c r="E10154" s="803">
        <v>630</v>
      </c>
      <c r="F10154" s="803">
        <v>125</v>
      </c>
      <c r="G10154" s="202" t="str">
        <f t="shared" si="158"/>
        <v/>
      </c>
    </row>
    <row r="10155" spans="1:7" s="172" customFormat="1" ht="15" customHeight="1" x14ac:dyDescent="0.25">
      <c r="A10155" s="803" t="s">
        <v>4371</v>
      </c>
      <c r="B10155" s="803" t="s">
        <v>4354</v>
      </c>
      <c r="C10155" s="803" t="s">
        <v>4354</v>
      </c>
      <c r="D10155" s="803" t="s">
        <v>4371</v>
      </c>
      <c r="E10155" s="803">
        <v>60</v>
      </c>
      <c r="F10155" s="803">
        <v>20</v>
      </c>
      <c r="G10155" s="202" t="str">
        <f t="shared" si="158"/>
        <v/>
      </c>
    </row>
    <row r="10156" spans="1:7" s="172" customFormat="1" ht="15" customHeight="1" x14ac:dyDescent="0.25">
      <c r="A10156" s="803" t="s">
        <v>4372</v>
      </c>
      <c r="B10156" s="803" t="s">
        <v>4354</v>
      </c>
      <c r="C10156" s="803" t="s">
        <v>4354</v>
      </c>
      <c r="D10156" s="803" t="s">
        <v>4373</v>
      </c>
      <c r="E10156" s="803">
        <v>250</v>
      </c>
      <c r="F10156" s="803">
        <v>155</v>
      </c>
      <c r="G10156" s="202" t="str">
        <f t="shared" si="158"/>
        <v/>
      </c>
    </row>
    <row r="10157" spans="1:7" s="172" customFormat="1" ht="15" customHeight="1" x14ac:dyDescent="0.25">
      <c r="A10157" s="803" t="s">
        <v>4372</v>
      </c>
      <c r="B10157" s="803" t="s">
        <v>4354</v>
      </c>
      <c r="C10157" s="803" t="s">
        <v>4354</v>
      </c>
      <c r="D10157" s="803" t="s">
        <v>4374</v>
      </c>
      <c r="E10157" s="803">
        <v>100</v>
      </c>
      <c r="F10157" s="803">
        <v>40</v>
      </c>
      <c r="G10157" s="202" t="str">
        <f t="shared" si="158"/>
        <v/>
      </c>
    </row>
    <row r="10158" spans="1:7" s="172" customFormat="1" ht="15" customHeight="1" x14ac:dyDescent="0.25">
      <c r="A10158" s="803" t="s">
        <v>4375</v>
      </c>
      <c r="B10158" s="803" t="s">
        <v>4354</v>
      </c>
      <c r="C10158" s="803" t="s">
        <v>4354</v>
      </c>
      <c r="D10158" s="803" t="s">
        <v>4375</v>
      </c>
      <c r="E10158" s="803">
        <v>100</v>
      </c>
      <c r="F10158" s="803">
        <v>20</v>
      </c>
      <c r="G10158" s="202" t="str">
        <f t="shared" si="158"/>
        <v/>
      </c>
    </row>
    <row r="10159" spans="1:7" s="172" customFormat="1" ht="15" customHeight="1" x14ac:dyDescent="0.25">
      <c r="A10159" s="803" t="s">
        <v>4376</v>
      </c>
      <c r="B10159" s="803" t="s">
        <v>4354</v>
      </c>
      <c r="C10159" s="803" t="s">
        <v>4354</v>
      </c>
      <c r="D10159" s="803" t="s">
        <v>4377</v>
      </c>
      <c r="E10159" s="803">
        <v>160</v>
      </c>
      <c r="F10159" s="803">
        <v>25</v>
      </c>
      <c r="G10159" s="202" t="str">
        <f t="shared" si="158"/>
        <v/>
      </c>
    </row>
    <row r="10160" spans="1:7" s="172" customFormat="1" ht="15" customHeight="1" x14ac:dyDescent="0.25">
      <c r="A10160" s="803" t="s">
        <v>4376</v>
      </c>
      <c r="B10160" s="803" t="s">
        <v>4354</v>
      </c>
      <c r="C10160" s="803" t="s">
        <v>4354</v>
      </c>
      <c r="D10160" s="803" t="s">
        <v>4378</v>
      </c>
      <c r="E10160" s="803">
        <v>160</v>
      </c>
      <c r="F10160" s="803">
        <v>20</v>
      </c>
      <c r="G10160" s="202" t="str">
        <f t="shared" si="158"/>
        <v/>
      </c>
    </row>
    <row r="10161" spans="1:7" s="172" customFormat="1" ht="15" customHeight="1" x14ac:dyDescent="0.25">
      <c r="A10161" s="803" t="s">
        <v>4379</v>
      </c>
      <c r="B10161" s="803" t="s">
        <v>4354</v>
      </c>
      <c r="C10161" s="803" t="s">
        <v>4354</v>
      </c>
      <c r="D10161" s="803" t="s">
        <v>4380</v>
      </c>
      <c r="E10161" s="803">
        <v>100</v>
      </c>
      <c r="F10161" s="803">
        <v>10</v>
      </c>
      <c r="G10161" s="202" t="str">
        <f t="shared" si="158"/>
        <v/>
      </c>
    </row>
    <row r="10162" spans="1:7" s="172" customFormat="1" ht="15" customHeight="1" x14ac:dyDescent="0.25">
      <c r="A10162" s="803" t="s">
        <v>4379</v>
      </c>
      <c r="B10162" s="803" t="s">
        <v>4354</v>
      </c>
      <c r="C10162" s="803" t="s">
        <v>4354</v>
      </c>
      <c r="D10162" s="803" t="s">
        <v>4381</v>
      </c>
      <c r="E10162" s="803">
        <v>100</v>
      </c>
      <c r="F10162" s="803">
        <v>0</v>
      </c>
      <c r="G10162" s="202" t="str">
        <f t="shared" si="158"/>
        <v/>
      </c>
    </row>
    <row r="10163" spans="1:7" s="172" customFormat="1" ht="15" customHeight="1" x14ac:dyDescent="0.25">
      <c r="A10163" s="803" t="s">
        <v>4372</v>
      </c>
      <c r="B10163" s="803" t="s">
        <v>4354</v>
      </c>
      <c r="C10163" s="803" t="s">
        <v>4354</v>
      </c>
      <c r="D10163" s="803" t="s">
        <v>4382</v>
      </c>
      <c r="E10163" s="803">
        <v>1260</v>
      </c>
      <c r="F10163" s="803">
        <v>800</v>
      </c>
      <c r="G10163" s="202" t="str">
        <f t="shared" si="158"/>
        <v/>
      </c>
    </row>
    <row r="10164" spans="1:7" s="172" customFormat="1" ht="15" customHeight="1" x14ac:dyDescent="0.25">
      <c r="A10164" s="803" t="s">
        <v>4383</v>
      </c>
      <c r="B10164" s="803" t="s">
        <v>4354</v>
      </c>
      <c r="C10164" s="803" t="s">
        <v>4354</v>
      </c>
      <c r="D10164" s="803" t="s">
        <v>18541</v>
      </c>
      <c r="E10164" s="803">
        <v>100</v>
      </c>
      <c r="F10164" s="803">
        <v>7</v>
      </c>
      <c r="G10164" s="202" t="str">
        <f t="shared" si="158"/>
        <v/>
      </c>
    </row>
    <row r="10165" spans="1:7" s="172" customFormat="1" ht="15" customHeight="1" x14ac:dyDescent="0.25">
      <c r="A10165" s="803" t="s">
        <v>4384</v>
      </c>
      <c r="B10165" s="803" t="s">
        <v>4354</v>
      </c>
      <c r="C10165" s="803" t="s">
        <v>4354</v>
      </c>
      <c r="D10165" s="803" t="s">
        <v>4384</v>
      </c>
      <c r="E10165" s="803">
        <v>100</v>
      </c>
      <c r="F10165" s="803">
        <v>20</v>
      </c>
      <c r="G10165" s="202" t="str">
        <f t="shared" si="158"/>
        <v/>
      </c>
    </row>
    <row r="10166" spans="1:7" s="172" customFormat="1" ht="15" customHeight="1" x14ac:dyDescent="0.25">
      <c r="A10166" s="803" t="s">
        <v>20187</v>
      </c>
      <c r="B10166" s="803" t="s">
        <v>4354</v>
      </c>
      <c r="C10166" s="803" t="s">
        <v>4354</v>
      </c>
      <c r="D10166" s="803" t="s">
        <v>20188</v>
      </c>
      <c r="E10166" s="803">
        <v>63</v>
      </c>
      <c r="F10166" s="803">
        <v>53</v>
      </c>
      <c r="G10166" s="202" t="str">
        <f t="shared" si="158"/>
        <v/>
      </c>
    </row>
    <row r="10167" spans="1:7" s="172" customFormat="1" ht="15" customHeight="1" x14ac:dyDescent="0.25">
      <c r="A10167" s="803" t="s">
        <v>4385</v>
      </c>
      <c r="B10167" s="803" t="s">
        <v>4354</v>
      </c>
      <c r="C10167" s="803" t="s">
        <v>4354</v>
      </c>
      <c r="D10167" s="803" t="s">
        <v>4385</v>
      </c>
      <c r="E10167" s="803">
        <v>5</v>
      </c>
      <c r="F10167" s="803">
        <v>2</v>
      </c>
      <c r="G10167" s="202" t="str">
        <f t="shared" si="158"/>
        <v/>
      </c>
    </row>
    <row r="10168" spans="1:7" s="172" customFormat="1" ht="15" customHeight="1" x14ac:dyDescent="0.25">
      <c r="A10168" s="803" t="s">
        <v>4386</v>
      </c>
      <c r="B10168" s="803" t="s">
        <v>4354</v>
      </c>
      <c r="C10168" s="803" t="s">
        <v>4354</v>
      </c>
      <c r="D10168" s="803" t="s">
        <v>4386</v>
      </c>
      <c r="E10168" s="803">
        <v>50</v>
      </c>
      <c r="F10168" s="803">
        <v>10</v>
      </c>
      <c r="G10168" s="202" t="str">
        <f t="shared" si="158"/>
        <v/>
      </c>
    </row>
    <row r="10169" spans="1:7" s="172" customFormat="1" ht="15" customHeight="1" x14ac:dyDescent="0.25">
      <c r="A10169" s="803" t="s">
        <v>4387</v>
      </c>
      <c r="B10169" s="803" t="s">
        <v>4354</v>
      </c>
      <c r="C10169" s="803" t="s">
        <v>4354</v>
      </c>
      <c r="D10169" s="803" t="s">
        <v>4387</v>
      </c>
      <c r="E10169" s="803">
        <v>100</v>
      </c>
      <c r="F10169" s="803">
        <v>20</v>
      </c>
      <c r="G10169" s="202" t="str">
        <f t="shared" si="158"/>
        <v/>
      </c>
    </row>
    <row r="10170" spans="1:7" s="172" customFormat="1" ht="15" customHeight="1" x14ac:dyDescent="0.25">
      <c r="A10170" s="803" t="s">
        <v>4372</v>
      </c>
      <c r="B10170" s="803" t="s">
        <v>4354</v>
      </c>
      <c r="C10170" s="803" t="s">
        <v>4354</v>
      </c>
      <c r="D10170" s="803" t="s">
        <v>4388</v>
      </c>
      <c r="E10170" s="803">
        <v>250</v>
      </c>
      <c r="F10170" s="803">
        <v>30</v>
      </c>
      <c r="G10170" s="202" t="str">
        <f t="shared" si="158"/>
        <v/>
      </c>
    </row>
    <row r="10171" spans="1:7" s="172" customFormat="1" ht="15" customHeight="1" x14ac:dyDescent="0.25">
      <c r="A10171" s="803" t="s">
        <v>4389</v>
      </c>
      <c r="B10171" s="803" t="s">
        <v>4354</v>
      </c>
      <c r="C10171" s="803" t="s">
        <v>4354</v>
      </c>
      <c r="D10171" s="803" t="s">
        <v>4389</v>
      </c>
      <c r="E10171" s="803">
        <v>250</v>
      </c>
      <c r="F10171" s="803">
        <v>0</v>
      </c>
      <c r="G10171" s="202" t="str">
        <f t="shared" si="158"/>
        <v/>
      </c>
    </row>
    <row r="10172" spans="1:7" s="172" customFormat="1" ht="15" customHeight="1" x14ac:dyDescent="0.25">
      <c r="A10172" s="803" t="s">
        <v>4389</v>
      </c>
      <c r="B10172" s="803" t="s">
        <v>4354</v>
      </c>
      <c r="C10172" s="803" t="s">
        <v>4354</v>
      </c>
      <c r="D10172" s="803" t="s">
        <v>4390</v>
      </c>
      <c r="E10172" s="803">
        <v>40</v>
      </c>
      <c r="F10172" s="803">
        <v>0</v>
      </c>
      <c r="G10172" s="202" t="str">
        <f t="shared" si="158"/>
        <v/>
      </c>
    </row>
    <row r="10173" spans="1:7" s="172" customFormat="1" ht="15" customHeight="1" x14ac:dyDescent="0.25">
      <c r="A10173" s="803" t="s">
        <v>4391</v>
      </c>
      <c r="B10173" s="803" t="s">
        <v>4354</v>
      </c>
      <c r="C10173" s="803" t="s">
        <v>4354</v>
      </c>
      <c r="D10173" s="803" t="s">
        <v>4391</v>
      </c>
      <c r="E10173" s="803">
        <v>100</v>
      </c>
      <c r="F10173" s="803">
        <v>5</v>
      </c>
      <c r="G10173" s="202" t="str">
        <f t="shared" si="158"/>
        <v/>
      </c>
    </row>
    <row r="10174" spans="1:7" s="172" customFormat="1" ht="15" customHeight="1" x14ac:dyDescent="0.25">
      <c r="A10174" s="803" t="s">
        <v>4391</v>
      </c>
      <c r="B10174" s="803" t="s">
        <v>4354</v>
      </c>
      <c r="C10174" s="803" t="s">
        <v>4354</v>
      </c>
      <c r="D10174" s="803" t="s">
        <v>4392</v>
      </c>
      <c r="E10174" s="803">
        <v>250</v>
      </c>
      <c r="F10174" s="803">
        <v>100</v>
      </c>
      <c r="G10174" s="202" t="str">
        <f t="shared" si="158"/>
        <v/>
      </c>
    </row>
    <row r="10175" spans="1:7" s="172" customFormat="1" ht="15" customHeight="1" x14ac:dyDescent="0.25">
      <c r="A10175" s="803" t="s">
        <v>4393</v>
      </c>
      <c r="B10175" s="803" t="s">
        <v>4354</v>
      </c>
      <c r="C10175" s="803" t="s">
        <v>4354</v>
      </c>
      <c r="D10175" s="803" t="s">
        <v>4393</v>
      </c>
      <c r="E10175" s="803">
        <v>100</v>
      </c>
      <c r="F10175" s="803">
        <v>25</v>
      </c>
      <c r="G10175" s="202" t="str">
        <f t="shared" si="158"/>
        <v/>
      </c>
    </row>
    <row r="10176" spans="1:7" s="172" customFormat="1" ht="15" customHeight="1" x14ac:dyDescent="0.25">
      <c r="A10176" s="803" t="s">
        <v>4394</v>
      </c>
      <c r="B10176" s="803" t="s">
        <v>4354</v>
      </c>
      <c r="C10176" s="803" t="s">
        <v>4354</v>
      </c>
      <c r="D10176" s="803" t="s">
        <v>4395</v>
      </c>
      <c r="E10176" s="803">
        <v>400</v>
      </c>
      <c r="F10176" s="803">
        <v>350</v>
      </c>
      <c r="G10176" s="202" t="str">
        <f t="shared" si="158"/>
        <v/>
      </c>
    </row>
    <row r="10177" spans="1:7" s="172" customFormat="1" ht="15" customHeight="1" x14ac:dyDescent="0.25">
      <c r="A10177" s="803" t="s">
        <v>4394</v>
      </c>
      <c r="B10177" s="803" t="s">
        <v>4354</v>
      </c>
      <c r="C10177" s="803" t="s">
        <v>4354</v>
      </c>
      <c r="D10177" s="803" t="s">
        <v>4396</v>
      </c>
      <c r="E10177" s="803">
        <v>250</v>
      </c>
      <c r="F10177" s="803">
        <v>200</v>
      </c>
      <c r="G10177" s="202" t="str">
        <f t="shared" si="158"/>
        <v/>
      </c>
    </row>
    <row r="10178" spans="1:7" s="172" customFormat="1" ht="15" customHeight="1" x14ac:dyDescent="0.25">
      <c r="A10178" s="803" t="s">
        <v>18542</v>
      </c>
      <c r="B10178" s="803" t="s">
        <v>4354</v>
      </c>
      <c r="C10178" s="803" t="s">
        <v>4354</v>
      </c>
      <c r="D10178" s="803" t="s">
        <v>18542</v>
      </c>
      <c r="E10178" s="803">
        <v>100</v>
      </c>
      <c r="F10178" s="803">
        <v>35</v>
      </c>
      <c r="G10178" s="202" t="str">
        <f t="shared" si="158"/>
        <v/>
      </c>
    </row>
    <row r="10179" spans="1:7" s="172" customFormat="1" ht="15" customHeight="1" x14ac:dyDescent="0.25">
      <c r="A10179" s="803" t="s">
        <v>4397</v>
      </c>
      <c r="B10179" s="803" t="s">
        <v>4354</v>
      </c>
      <c r="C10179" s="803" t="s">
        <v>4354</v>
      </c>
      <c r="D10179" s="803" t="s">
        <v>4398</v>
      </c>
      <c r="E10179" s="803">
        <v>60</v>
      </c>
      <c r="F10179" s="803">
        <v>10</v>
      </c>
      <c r="G10179" s="202" t="str">
        <f t="shared" si="158"/>
        <v/>
      </c>
    </row>
    <row r="10180" spans="1:7" s="172" customFormat="1" ht="15" customHeight="1" x14ac:dyDescent="0.25">
      <c r="A10180" s="803" t="s">
        <v>4399</v>
      </c>
      <c r="B10180" s="803" t="s">
        <v>4354</v>
      </c>
      <c r="C10180" s="803" t="s">
        <v>4354</v>
      </c>
      <c r="D10180" s="803" t="s">
        <v>4399</v>
      </c>
      <c r="E10180" s="803">
        <v>30</v>
      </c>
      <c r="F10180" s="803">
        <v>5</v>
      </c>
      <c r="G10180" s="202" t="str">
        <f t="shared" si="158"/>
        <v/>
      </c>
    </row>
    <row r="10181" spans="1:7" s="172" customFormat="1" ht="15" customHeight="1" x14ac:dyDescent="0.25">
      <c r="A10181" s="803" t="s">
        <v>4400</v>
      </c>
      <c r="B10181" s="803" t="s">
        <v>4354</v>
      </c>
      <c r="C10181" s="803" t="s">
        <v>4354</v>
      </c>
      <c r="D10181" s="803" t="s">
        <v>4400</v>
      </c>
      <c r="E10181" s="803">
        <v>63</v>
      </c>
      <c r="F10181" s="803">
        <v>20</v>
      </c>
      <c r="G10181" s="202" t="str">
        <f t="shared" si="158"/>
        <v/>
      </c>
    </row>
    <row r="10182" spans="1:7" s="172" customFormat="1" ht="15" customHeight="1" x14ac:dyDescent="0.25">
      <c r="A10182" s="803" t="s">
        <v>18543</v>
      </c>
      <c r="B10182" s="803" t="s">
        <v>4354</v>
      </c>
      <c r="C10182" s="803" t="s">
        <v>4354</v>
      </c>
      <c r="D10182" s="803" t="s">
        <v>18544</v>
      </c>
      <c r="E10182" s="803">
        <v>63</v>
      </c>
      <c r="F10182" s="803">
        <v>25</v>
      </c>
      <c r="G10182" s="202" t="str">
        <f t="shared" si="158"/>
        <v/>
      </c>
    </row>
    <row r="10183" spans="1:7" s="172" customFormat="1" ht="15" customHeight="1" x14ac:dyDescent="0.25">
      <c r="A10183" s="803" t="s">
        <v>4401</v>
      </c>
      <c r="B10183" s="803" t="s">
        <v>4354</v>
      </c>
      <c r="C10183" s="803" t="s">
        <v>4354</v>
      </c>
      <c r="D10183" s="803" t="s">
        <v>4402</v>
      </c>
      <c r="E10183" s="803">
        <v>100</v>
      </c>
      <c r="F10183" s="803">
        <v>20</v>
      </c>
      <c r="G10183" s="202" t="str">
        <f t="shared" si="158"/>
        <v/>
      </c>
    </row>
    <row r="10184" spans="1:7" s="172" customFormat="1" ht="15" customHeight="1" x14ac:dyDescent="0.25">
      <c r="A10184" s="803" t="s">
        <v>4401</v>
      </c>
      <c r="B10184" s="803" t="s">
        <v>4354</v>
      </c>
      <c r="C10184" s="803" t="s">
        <v>4354</v>
      </c>
      <c r="D10184" s="803" t="s">
        <v>4401</v>
      </c>
      <c r="E10184" s="803">
        <v>100</v>
      </c>
      <c r="F10184" s="803">
        <v>20</v>
      </c>
      <c r="G10184" s="202" t="str">
        <f t="shared" si="158"/>
        <v/>
      </c>
    </row>
    <row r="10185" spans="1:7" s="172" customFormat="1" ht="15" customHeight="1" x14ac:dyDescent="0.25">
      <c r="A10185" s="803" t="s">
        <v>4403</v>
      </c>
      <c r="B10185" s="803" t="s">
        <v>4354</v>
      </c>
      <c r="C10185" s="803" t="s">
        <v>4354</v>
      </c>
      <c r="D10185" s="803" t="s">
        <v>18545</v>
      </c>
      <c r="E10185" s="803">
        <v>100</v>
      </c>
      <c r="F10185" s="803">
        <v>35</v>
      </c>
      <c r="G10185" s="202" t="str">
        <f t="shared" si="158"/>
        <v/>
      </c>
    </row>
    <row r="10186" spans="1:7" s="172" customFormat="1" ht="15" customHeight="1" x14ac:dyDescent="0.25">
      <c r="A10186" s="803" t="s">
        <v>5479</v>
      </c>
      <c r="B10186" s="803" t="s">
        <v>4354</v>
      </c>
      <c r="C10186" s="803" t="s">
        <v>4354</v>
      </c>
      <c r="D10186" s="803" t="s">
        <v>5479</v>
      </c>
      <c r="E10186" s="803">
        <v>160</v>
      </c>
      <c r="F10186" s="803">
        <v>103</v>
      </c>
      <c r="G10186" s="202" t="str">
        <f t="shared" si="158"/>
        <v/>
      </c>
    </row>
    <row r="10187" spans="1:7" s="172" customFormat="1" ht="15" customHeight="1" x14ac:dyDescent="0.25">
      <c r="A10187" s="803" t="s">
        <v>4403</v>
      </c>
      <c r="B10187" s="803" t="s">
        <v>4354</v>
      </c>
      <c r="C10187" s="803" t="s">
        <v>4354</v>
      </c>
      <c r="D10187" s="803" t="s">
        <v>18950</v>
      </c>
      <c r="E10187" s="803">
        <v>63</v>
      </c>
      <c r="F10187" s="803">
        <v>34</v>
      </c>
      <c r="G10187" s="202" t="str">
        <f t="shared" si="158"/>
        <v/>
      </c>
    </row>
    <row r="10188" spans="1:7" s="172" customFormat="1" ht="15" customHeight="1" x14ac:dyDescent="0.25">
      <c r="A10188" s="803" t="s">
        <v>4403</v>
      </c>
      <c r="B10188" s="803" t="s">
        <v>4354</v>
      </c>
      <c r="C10188" s="803" t="s">
        <v>4354</v>
      </c>
      <c r="D10188" s="803" t="s">
        <v>4403</v>
      </c>
      <c r="E10188" s="803">
        <v>160</v>
      </c>
      <c r="F10188" s="803">
        <v>10</v>
      </c>
      <c r="G10188" s="202" t="str">
        <f t="shared" si="158"/>
        <v/>
      </c>
    </row>
    <row r="10189" spans="1:7" s="172" customFormat="1" ht="15" customHeight="1" x14ac:dyDescent="0.25">
      <c r="A10189" s="803" t="s">
        <v>4403</v>
      </c>
      <c r="B10189" s="803" t="s">
        <v>4354</v>
      </c>
      <c r="C10189" s="803" t="s">
        <v>4354</v>
      </c>
      <c r="D10189" s="803" t="s">
        <v>18546</v>
      </c>
      <c r="E10189" s="803">
        <v>40</v>
      </c>
      <c r="F10189" s="803">
        <v>15</v>
      </c>
      <c r="G10189" s="202" t="str">
        <f t="shared" si="158"/>
        <v/>
      </c>
    </row>
    <row r="10190" spans="1:7" s="172" customFormat="1" ht="15" customHeight="1" x14ac:dyDescent="0.25">
      <c r="A10190" s="803" t="s">
        <v>16968</v>
      </c>
      <c r="B10190" s="803" t="s">
        <v>4354</v>
      </c>
      <c r="C10190" s="803" t="s">
        <v>4354</v>
      </c>
      <c r="D10190" s="803" t="s">
        <v>4404</v>
      </c>
      <c r="E10190" s="803">
        <v>160</v>
      </c>
      <c r="F10190" s="803">
        <v>50</v>
      </c>
      <c r="G10190" s="202" t="str">
        <f t="shared" si="158"/>
        <v/>
      </c>
    </row>
    <row r="10191" spans="1:7" s="172" customFormat="1" ht="15" customHeight="1" x14ac:dyDescent="0.25">
      <c r="A10191" s="803" t="s">
        <v>16968</v>
      </c>
      <c r="B10191" s="803" t="s">
        <v>4354</v>
      </c>
      <c r="C10191" s="803" t="s">
        <v>4354</v>
      </c>
      <c r="D10191" s="803" t="s">
        <v>4405</v>
      </c>
      <c r="E10191" s="803">
        <v>160</v>
      </c>
      <c r="F10191" s="803">
        <v>30</v>
      </c>
      <c r="G10191" s="202" t="str">
        <f t="shared" si="158"/>
        <v/>
      </c>
    </row>
    <row r="10192" spans="1:7" s="172" customFormat="1" ht="15" customHeight="1" x14ac:dyDescent="0.25">
      <c r="A10192" s="803" t="s">
        <v>16969</v>
      </c>
      <c r="B10192" s="803" t="s">
        <v>4354</v>
      </c>
      <c r="C10192" s="803" t="s">
        <v>4354</v>
      </c>
      <c r="D10192" s="803" t="s">
        <v>4406</v>
      </c>
      <c r="E10192" s="803">
        <v>160</v>
      </c>
      <c r="F10192" s="803">
        <v>80</v>
      </c>
      <c r="G10192" s="202" t="str">
        <f t="shared" si="158"/>
        <v/>
      </c>
    </row>
    <row r="10193" spans="1:7" s="172" customFormat="1" ht="15" customHeight="1" x14ac:dyDescent="0.25">
      <c r="A10193" s="803" t="s">
        <v>16970</v>
      </c>
      <c r="B10193" s="803" t="s">
        <v>4354</v>
      </c>
      <c r="C10193" s="803" t="s">
        <v>4354</v>
      </c>
      <c r="D10193" s="803" t="s">
        <v>4407</v>
      </c>
      <c r="E10193" s="803">
        <v>400</v>
      </c>
      <c r="F10193" s="803">
        <v>60</v>
      </c>
      <c r="G10193" s="202" t="str">
        <f t="shared" si="158"/>
        <v/>
      </c>
    </row>
    <row r="10194" spans="1:7" s="172" customFormat="1" ht="15" customHeight="1" x14ac:dyDescent="0.25">
      <c r="A10194" s="803" t="s">
        <v>16430</v>
      </c>
      <c r="B10194" s="803" t="s">
        <v>4354</v>
      </c>
      <c r="C10194" s="803" t="s">
        <v>4354</v>
      </c>
      <c r="D10194" s="803" t="s">
        <v>4408</v>
      </c>
      <c r="E10194" s="803">
        <v>63</v>
      </c>
      <c r="F10194" s="803">
        <v>40</v>
      </c>
      <c r="G10194" s="202" t="str">
        <f t="shared" si="158"/>
        <v/>
      </c>
    </row>
    <row r="10195" spans="1:7" s="172" customFormat="1" ht="15" customHeight="1" x14ac:dyDescent="0.25">
      <c r="A10195" s="803" t="s">
        <v>16968</v>
      </c>
      <c r="B10195" s="803" t="s">
        <v>4354</v>
      </c>
      <c r="C10195" s="803" t="s">
        <v>4354</v>
      </c>
      <c r="D10195" s="803" t="s">
        <v>4409</v>
      </c>
      <c r="E10195" s="803">
        <v>1260</v>
      </c>
      <c r="F10195" s="803">
        <v>400</v>
      </c>
      <c r="G10195" s="202" t="str">
        <f t="shared" si="158"/>
        <v/>
      </c>
    </row>
    <row r="10196" spans="1:7" s="172" customFormat="1" ht="15" customHeight="1" x14ac:dyDescent="0.25">
      <c r="A10196" s="803" t="s">
        <v>4410</v>
      </c>
      <c r="B10196" s="803" t="s">
        <v>4354</v>
      </c>
      <c r="C10196" s="803" t="s">
        <v>4354</v>
      </c>
      <c r="D10196" s="803" t="s">
        <v>4410</v>
      </c>
      <c r="E10196" s="803">
        <v>100</v>
      </c>
      <c r="F10196" s="803">
        <v>20</v>
      </c>
      <c r="G10196" s="202" t="str">
        <f t="shared" si="158"/>
        <v/>
      </c>
    </row>
    <row r="10197" spans="1:7" s="172" customFormat="1" ht="15" customHeight="1" x14ac:dyDescent="0.25">
      <c r="A10197" s="803" t="s">
        <v>4411</v>
      </c>
      <c r="B10197" s="803" t="s">
        <v>4354</v>
      </c>
      <c r="C10197" s="803" t="s">
        <v>4354</v>
      </c>
      <c r="D10197" s="803" t="s">
        <v>4411</v>
      </c>
      <c r="E10197" s="803">
        <v>60</v>
      </c>
      <c r="F10197" s="803">
        <v>20</v>
      </c>
      <c r="G10197" s="202" t="str">
        <f t="shared" si="158"/>
        <v/>
      </c>
    </row>
    <row r="10198" spans="1:7" s="172" customFormat="1" ht="15" customHeight="1" x14ac:dyDescent="0.25">
      <c r="A10198" s="803" t="s">
        <v>4412</v>
      </c>
      <c r="B10198" s="803" t="s">
        <v>4354</v>
      </c>
      <c r="C10198" s="803" t="s">
        <v>4354</v>
      </c>
      <c r="D10198" s="803" t="s">
        <v>4412</v>
      </c>
      <c r="E10198" s="803">
        <v>60</v>
      </c>
      <c r="F10198" s="803">
        <v>10</v>
      </c>
      <c r="G10198" s="202" t="str">
        <f t="shared" si="158"/>
        <v/>
      </c>
    </row>
    <row r="10199" spans="1:7" s="172" customFormat="1" ht="15" customHeight="1" x14ac:dyDescent="0.25">
      <c r="A10199" s="803" t="s">
        <v>4413</v>
      </c>
      <c r="B10199" s="803" t="s">
        <v>4354</v>
      </c>
      <c r="C10199" s="803" t="s">
        <v>4354</v>
      </c>
      <c r="D10199" s="803" t="s">
        <v>4413</v>
      </c>
      <c r="E10199" s="803">
        <v>30</v>
      </c>
      <c r="F10199" s="803">
        <v>5</v>
      </c>
      <c r="G10199" s="202" t="str">
        <f t="shared" si="158"/>
        <v/>
      </c>
    </row>
    <row r="10200" spans="1:7" s="172" customFormat="1" ht="15" customHeight="1" x14ac:dyDescent="0.25">
      <c r="A10200" s="803" t="s">
        <v>4414</v>
      </c>
      <c r="B10200" s="803" t="s">
        <v>4354</v>
      </c>
      <c r="C10200" s="803" t="s">
        <v>4354</v>
      </c>
      <c r="D10200" s="803" t="s">
        <v>4414</v>
      </c>
      <c r="E10200" s="803">
        <v>160</v>
      </c>
      <c r="F10200" s="803">
        <v>50</v>
      </c>
      <c r="G10200" s="202" t="str">
        <f t="shared" si="158"/>
        <v/>
      </c>
    </row>
    <row r="10201" spans="1:7" s="172" customFormat="1" ht="15" customHeight="1" x14ac:dyDescent="0.25">
      <c r="A10201" s="803" t="s">
        <v>4415</v>
      </c>
      <c r="B10201" s="803" t="s">
        <v>4354</v>
      </c>
      <c r="C10201" s="803" t="s">
        <v>4354</v>
      </c>
      <c r="D10201" s="803" t="s">
        <v>4415</v>
      </c>
      <c r="E10201" s="803">
        <v>100</v>
      </c>
      <c r="F10201" s="803">
        <v>30</v>
      </c>
      <c r="G10201" s="202" t="str">
        <f t="shared" si="158"/>
        <v/>
      </c>
    </row>
    <row r="10202" spans="1:7" s="172" customFormat="1" ht="15" customHeight="1" x14ac:dyDescent="0.25">
      <c r="A10202" s="803" t="s">
        <v>16971</v>
      </c>
      <c r="B10202" s="803" t="s">
        <v>4354</v>
      </c>
      <c r="C10202" s="803" t="s">
        <v>4354</v>
      </c>
      <c r="D10202" s="803" t="s">
        <v>4416</v>
      </c>
      <c r="E10202" s="803">
        <v>250</v>
      </c>
      <c r="F10202" s="803">
        <v>100</v>
      </c>
      <c r="G10202" s="202" t="str">
        <f t="shared" si="158"/>
        <v/>
      </c>
    </row>
    <row r="10203" spans="1:7" s="172" customFormat="1" ht="15" customHeight="1" x14ac:dyDescent="0.25">
      <c r="A10203" s="803" t="s">
        <v>16971</v>
      </c>
      <c r="B10203" s="803" t="s">
        <v>4354</v>
      </c>
      <c r="C10203" s="803" t="s">
        <v>4354</v>
      </c>
      <c r="D10203" s="803" t="s">
        <v>4417</v>
      </c>
      <c r="E10203" s="803">
        <v>250</v>
      </c>
      <c r="F10203" s="803">
        <v>50</v>
      </c>
      <c r="G10203" s="202" t="str">
        <f t="shared" si="158"/>
        <v/>
      </c>
    </row>
    <row r="10204" spans="1:7" s="172" customFormat="1" ht="15" customHeight="1" x14ac:dyDescent="0.25">
      <c r="A10204" s="803" t="s">
        <v>16971</v>
      </c>
      <c r="B10204" s="803" t="s">
        <v>4354</v>
      </c>
      <c r="C10204" s="803" t="s">
        <v>4354</v>
      </c>
      <c r="D10204" s="803" t="s">
        <v>4418</v>
      </c>
      <c r="E10204" s="803">
        <v>160</v>
      </c>
      <c r="F10204" s="803">
        <v>10</v>
      </c>
      <c r="G10204" s="202" t="str">
        <f t="shared" si="158"/>
        <v/>
      </c>
    </row>
    <row r="10205" spans="1:7" s="172" customFormat="1" ht="15" customHeight="1" x14ac:dyDescent="0.25">
      <c r="A10205" s="803" t="s">
        <v>4419</v>
      </c>
      <c r="B10205" s="803" t="s">
        <v>4354</v>
      </c>
      <c r="C10205" s="803" t="s">
        <v>4354</v>
      </c>
      <c r="D10205" s="803" t="s">
        <v>4420</v>
      </c>
      <c r="E10205" s="803">
        <v>100</v>
      </c>
      <c r="F10205" s="803">
        <v>80</v>
      </c>
      <c r="G10205" s="202" t="str">
        <f t="shared" ref="G10205:G10265" si="159">IF(E10205=F10205,"не загружен","")</f>
        <v/>
      </c>
    </row>
    <row r="10206" spans="1:7" s="172" customFormat="1" ht="15" customHeight="1" x14ac:dyDescent="0.25">
      <c r="A10206" s="803" t="s">
        <v>4421</v>
      </c>
      <c r="B10206" s="803" t="s">
        <v>4354</v>
      </c>
      <c r="C10206" s="803" t="s">
        <v>4354</v>
      </c>
      <c r="D10206" s="803" t="s">
        <v>4421</v>
      </c>
      <c r="E10206" s="803">
        <v>100</v>
      </c>
      <c r="F10206" s="803">
        <v>30</v>
      </c>
      <c r="G10206" s="202" t="str">
        <f t="shared" si="159"/>
        <v/>
      </c>
    </row>
    <row r="10207" spans="1:7" s="172" customFormat="1" ht="15" customHeight="1" x14ac:dyDescent="0.25">
      <c r="A10207" s="803" t="s">
        <v>4422</v>
      </c>
      <c r="B10207" s="803" t="s">
        <v>4354</v>
      </c>
      <c r="C10207" s="803" t="s">
        <v>4354</v>
      </c>
      <c r="D10207" s="803" t="s">
        <v>4422</v>
      </c>
      <c r="E10207" s="803">
        <v>30</v>
      </c>
      <c r="F10207" s="803">
        <v>5</v>
      </c>
      <c r="G10207" s="202" t="str">
        <f t="shared" si="159"/>
        <v/>
      </c>
    </row>
    <row r="10208" spans="1:7" s="172" customFormat="1" ht="15" customHeight="1" x14ac:dyDescent="0.25">
      <c r="A10208" s="803" t="s">
        <v>4423</v>
      </c>
      <c r="B10208" s="803" t="s">
        <v>4354</v>
      </c>
      <c r="C10208" s="803" t="s">
        <v>4354</v>
      </c>
      <c r="D10208" s="803" t="s">
        <v>4423</v>
      </c>
      <c r="E10208" s="803">
        <v>100</v>
      </c>
      <c r="F10208" s="803">
        <v>30</v>
      </c>
      <c r="G10208" s="202" t="str">
        <f t="shared" si="159"/>
        <v/>
      </c>
    </row>
    <row r="10209" spans="1:7" s="172" customFormat="1" ht="15" customHeight="1" x14ac:dyDescent="0.25">
      <c r="A10209" s="803" t="s">
        <v>16971</v>
      </c>
      <c r="B10209" s="803" t="s">
        <v>4354</v>
      </c>
      <c r="C10209" s="803" t="s">
        <v>4354</v>
      </c>
      <c r="D10209" s="803" t="s">
        <v>4424</v>
      </c>
      <c r="E10209" s="803">
        <v>400</v>
      </c>
      <c r="F10209" s="803">
        <v>200</v>
      </c>
      <c r="G10209" s="202" t="str">
        <f t="shared" si="159"/>
        <v/>
      </c>
    </row>
    <row r="10210" spans="1:7" s="172" customFormat="1" ht="15" customHeight="1" x14ac:dyDescent="0.25">
      <c r="A10210" s="803" t="s">
        <v>4419</v>
      </c>
      <c r="B10210" s="803" t="s">
        <v>4354</v>
      </c>
      <c r="C10210" s="803" t="s">
        <v>4354</v>
      </c>
      <c r="D10210" s="803" t="s">
        <v>4419</v>
      </c>
      <c r="E10210" s="803">
        <v>250</v>
      </c>
      <c r="F10210" s="803">
        <v>100</v>
      </c>
      <c r="G10210" s="202" t="str">
        <f t="shared" si="159"/>
        <v/>
      </c>
    </row>
    <row r="10211" spans="1:7" s="172" customFormat="1" ht="15" customHeight="1" x14ac:dyDescent="0.25">
      <c r="A10211" s="803" t="s">
        <v>16972</v>
      </c>
      <c r="B10211" s="803" t="s">
        <v>4354</v>
      </c>
      <c r="C10211" s="803" t="s">
        <v>4354</v>
      </c>
      <c r="D10211" s="803" t="s">
        <v>4425</v>
      </c>
      <c r="E10211" s="803">
        <v>250</v>
      </c>
      <c r="F10211" s="803">
        <v>200</v>
      </c>
      <c r="G10211" s="202" t="str">
        <f t="shared" si="159"/>
        <v/>
      </c>
    </row>
    <row r="10212" spans="1:7" s="172" customFormat="1" ht="15" customHeight="1" x14ac:dyDescent="0.25">
      <c r="A10212" s="803" t="s">
        <v>16972</v>
      </c>
      <c r="B10212" s="803" t="s">
        <v>4354</v>
      </c>
      <c r="C10212" s="803" t="s">
        <v>4354</v>
      </c>
      <c r="D10212" s="803" t="s">
        <v>4426</v>
      </c>
      <c r="E10212" s="803">
        <v>160</v>
      </c>
      <c r="F10212" s="803">
        <v>100</v>
      </c>
      <c r="G10212" s="202" t="str">
        <f t="shared" si="159"/>
        <v/>
      </c>
    </row>
    <row r="10213" spans="1:7" s="172" customFormat="1" ht="15" customHeight="1" x14ac:dyDescent="0.25">
      <c r="A10213" s="803" t="s">
        <v>16972</v>
      </c>
      <c r="B10213" s="803" t="s">
        <v>4354</v>
      </c>
      <c r="C10213" s="803" t="s">
        <v>4354</v>
      </c>
      <c r="D10213" s="803" t="s">
        <v>4427</v>
      </c>
      <c r="E10213" s="803">
        <v>100</v>
      </c>
      <c r="F10213" s="803">
        <v>10</v>
      </c>
      <c r="G10213" s="202" t="str">
        <f t="shared" si="159"/>
        <v/>
      </c>
    </row>
    <row r="10214" spans="1:7" s="172" customFormat="1" ht="15" customHeight="1" x14ac:dyDescent="0.25">
      <c r="A10214" s="803" t="s">
        <v>16972</v>
      </c>
      <c r="B10214" s="803" t="s">
        <v>4354</v>
      </c>
      <c r="C10214" s="803" t="s">
        <v>4354</v>
      </c>
      <c r="D10214" s="803" t="s">
        <v>4428</v>
      </c>
      <c r="E10214" s="803">
        <v>160</v>
      </c>
      <c r="F10214" s="803">
        <v>50</v>
      </c>
      <c r="G10214" s="202" t="str">
        <f t="shared" si="159"/>
        <v/>
      </c>
    </row>
    <row r="10215" spans="1:7" s="172" customFormat="1" ht="15" customHeight="1" x14ac:dyDescent="0.25">
      <c r="A10215" s="803" t="s">
        <v>16972</v>
      </c>
      <c r="B10215" s="803" t="s">
        <v>4354</v>
      </c>
      <c r="C10215" s="803" t="s">
        <v>4354</v>
      </c>
      <c r="D10215" s="803" t="s">
        <v>4429</v>
      </c>
      <c r="E10215" s="803">
        <v>250</v>
      </c>
      <c r="F10215" s="803">
        <v>100</v>
      </c>
      <c r="G10215" s="202" t="str">
        <f t="shared" si="159"/>
        <v/>
      </c>
    </row>
    <row r="10216" spans="1:7" s="172" customFormat="1" ht="15" customHeight="1" x14ac:dyDescent="0.25">
      <c r="A10216" s="803" t="s">
        <v>16972</v>
      </c>
      <c r="B10216" s="803" t="s">
        <v>4354</v>
      </c>
      <c r="C10216" s="803" t="s">
        <v>4354</v>
      </c>
      <c r="D10216" s="803" t="s">
        <v>4430</v>
      </c>
      <c r="E10216" s="803">
        <v>650</v>
      </c>
      <c r="F10216" s="803">
        <v>400</v>
      </c>
      <c r="G10216" s="202" t="str">
        <f t="shared" si="159"/>
        <v/>
      </c>
    </row>
    <row r="10217" spans="1:7" s="172" customFormat="1" ht="15" customHeight="1" x14ac:dyDescent="0.25">
      <c r="A10217" s="803" t="s">
        <v>4431</v>
      </c>
      <c r="B10217" s="803" t="s">
        <v>4354</v>
      </c>
      <c r="C10217" s="803" t="s">
        <v>4354</v>
      </c>
      <c r="D10217" s="803" t="s">
        <v>4431</v>
      </c>
      <c r="E10217" s="803">
        <v>60</v>
      </c>
      <c r="F10217" s="803">
        <v>30</v>
      </c>
      <c r="G10217" s="202" t="str">
        <f t="shared" si="159"/>
        <v/>
      </c>
    </row>
    <row r="10218" spans="1:7" s="172" customFormat="1" ht="15" customHeight="1" x14ac:dyDescent="0.25">
      <c r="A10218" s="803" t="s">
        <v>4432</v>
      </c>
      <c r="B10218" s="803" t="s">
        <v>4354</v>
      </c>
      <c r="C10218" s="803" t="s">
        <v>4354</v>
      </c>
      <c r="D10218" s="803" t="s">
        <v>4432</v>
      </c>
      <c r="E10218" s="803">
        <v>100</v>
      </c>
      <c r="F10218" s="803">
        <v>30</v>
      </c>
      <c r="G10218" s="202" t="str">
        <f t="shared" si="159"/>
        <v/>
      </c>
    </row>
    <row r="10219" spans="1:7" s="172" customFormat="1" ht="15" customHeight="1" x14ac:dyDescent="0.25">
      <c r="A10219" s="803" t="s">
        <v>4433</v>
      </c>
      <c r="B10219" s="803" t="s">
        <v>4354</v>
      </c>
      <c r="C10219" s="803" t="s">
        <v>4354</v>
      </c>
      <c r="D10219" s="803" t="s">
        <v>4433</v>
      </c>
      <c r="E10219" s="803">
        <v>60</v>
      </c>
      <c r="F10219" s="803">
        <v>10</v>
      </c>
      <c r="G10219" s="202" t="str">
        <f t="shared" si="159"/>
        <v/>
      </c>
    </row>
    <row r="10220" spans="1:7" s="172" customFormat="1" ht="15" customHeight="1" x14ac:dyDescent="0.25">
      <c r="A10220" s="803" t="s">
        <v>4434</v>
      </c>
      <c r="B10220" s="803" t="s">
        <v>4354</v>
      </c>
      <c r="C10220" s="803" t="s">
        <v>4354</v>
      </c>
      <c r="D10220" s="803" t="s">
        <v>4434</v>
      </c>
      <c r="E10220" s="803">
        <v>30</v>
      </c>
      <c r="F10220" s="803">
        <v>5</v>
      </c>
      <c r="G10220" s="202" t="str">
        <f t="shared" si="159"/>
        <v/>
      </c>
    </row>
    <row r="10221" spans="1:7" s="172" customFormat="1" ht="15" customHeight="1" x14ac:dyDescent="0.25">
      <c r="A10221" s="803" t="s">
        <v>4435</v>
      </c>
      <c r="B10221" s="803" t="s">
        <v>4354</v>
      </c>
      <c r="C10221" s="803" t="s">
        <v>4354</v>
      </c>
      <c r="D10221" s="803" t="s">
        <v>4435</v>
      </c>
      <c r="E10221" s="803">
        <v>100</v>
      </c>
      <c r="F10221" s="803">
        <v>20</v>
      </c>
      <c r="G10221" s="202" t="str">
        <f t="shared" si="159"/>
        <v/>
      </c>
    </row>
    <row r="10222" spans="1:7" s="172" customFormat="1" ht="15" customHeight="1" x14ac:dyDescent="0.25">
      <c r="A10222" s="803" t="s">
        <v>4436</v>
      </c>
      <c r="B10222" s="803" t="s">
        <v>4354</v>
      </c>
      <c r="C10222" s="803" t="s">
        <v>4354</v>
      </c>
      <c r="D10222" s="803" t="s">
        <v>4436</v>
      </c>
      <c r="E10222" s="803">
        <v>10</v>
      </c>
      <c r="F10222" s="803">
        <v>0</v>
      </c>
      <c r="G10222" s="202" t="str">
        <f t="shared" si="159"/>
        <v/>
      </c>
    </row>
    <row r="10223" spans="1:7" s="172" customFormat="1" ht="15" customHeight="1" x14ac:dyDescent="0.25">
      <c r="A10223" s="803" t="s">
        <v>4437</v>
      </c>
      <c r="B10223" s="803" t="s">
        <v>4354</v>
      </c>
      <c r="C10223" s="803" t="s">
        <v>4354</v>
      </c>
      <c r="D10223" s="803" t="s">
        <v>4437</v>
      </c>
      <c r="E10223" s="803">
        <v>10</v>
      </c>
      <c r="F10223" s="803">
        <v>0</v>
      </c>
      <c r="G10223" s="202" t="str">
        <f t="shared" si="159"/>
        <v/>
      </c>
    </row>
    <row r="10224" spans="1:7" s="172" customFormat="1" ht="15" customHeight="1" x14ac:dyDescent="0.25">
      <c r="A10224" s="803" t="s">
        <v>4438</v>
      </c>
      <c r="B10224" s="803" t="s">
        <v>4354</v>
      </c>
      <c r="C10224" s="803" t="s">
        <v>4354</v>
      </c>
      <c r="D10224" s="803" t="s">
        <v>4438</v>
      </c>
      <c r="E10224" s="803">
        <v>100</v>
      </c>
      <c r="F10224" s="803">
        <v>30</v>
      </c>
      <c r="G10224" s="202" t="str">
        <f t="shared" si="159"/>
        <v/>
      </c>
    </row>
    <row r="10225" spans="1:7" s="172" customFormat="1" ht="15" customHeight="1" x14ac:dyDescent="0.25">
      <c r="A10225" s="803" t="s">
        <v>4439</v>
      </c>
      <c r="B10225" s="803" t="s">
        <v>4354</v>
      </c>
      <c r="C10225" s="803" t="s">
        <v>4354</v>
      </c>
      <c r="D10225" s="803" t="s">
        <v>4439</v>
      </c>
      <c r="E10225" s="803">
        <v>30</v>
      </c>
      <c r="F10225" s="803">
        <v>5</v>
      </c>
      <c r="G10225" s="202" t="str">
        <f t="shared" si="159"/>
        <v/>
      </c>
    </row>
    <row r="10226" spans="1:7" s="172" customFormat="1" ht="15" customHeight="1" x14ac:dyDescent="0.25">
      <c r="A10226" s="803" t="s">
        <v>4440</v>
      </c>
      <c r="B10226" s="803" t="s">
        <v>4354</v>
      </c>
      <c r="C10226" s="803" t="s">
        <v>4354</v>
      </c>
      <c r="D10226" s="803" t="s">
        <v>4441</v>
      </c>
      <c r="E10226" s="803">
        <v>40</v>
      </c>
      <c r="F10226" s="803">
        <v>5</v>
      </c>
      <c r="G10226" s="202" t="str">
        <f t="shared" si="159"/>
        <v/>
      </c>
    </row>
    <row r="10227" spans="1:7" s="172" customFormat="1" ht="15" customHeight="1" x14ac:dyDescent="0.25">
      <c r="A10227" s="803" t="s">
        <v>4440</v>
      </c>
      <c r="B10227" s="803" t="s">
        <v>4354</v>
      </c>
      <c r="C10227" s="803" t="s">
        <v>4354</v>
      </c>
      <c r="D10227" s="803" t="s">
        <v>4442</v>
      </c>
      <c r="E10227" s="803">
        <v>100</v>
      </c>
      <c r="F10227" s="803">
        <v>40</v>
      </c>
      <c r="G10227" s="202" t="str">
        <f t="shared" si="159"/>
        <v/>
      </c>
    </row>
    <row r="10228" spans="1:7" s="172" customFormat="1" ht="15" customHeight="1" x14ac:dyDescent="0.25">
      <c r="A10228" s="803" t="s">
        <v>4443</v>
      </c>
      <c r="B10228" s="803" t="s">
        <v>4354</v>
      </c>
      <c r="C10228" s="803" t="s">
        <v>4354</v>
      </c>
      <c r="D10228" s="803" t="s">
        <v>4443</v>
      </c>
      <c r="E10228" s="803">
        <v>100</v>
      </c>
      <c r="F10228" s="803">
        <v>80</v>
      </c>
      <c r="G10228" s="202" t="str">
        <f t="shared" si="159"/>
        <v/>
      </c>
    </row>
    <row r="10229" spans="1:7" s="172" customFormat="1" ht="15" customHeight="1" x14ac:dyDescent="0.25">
      <c r="A10229" s="803" t="s">
        <v>4444</v>
      </c>
      <c r="B10229" s="803" t="s">
        <v>4354</v>
      </c>
      <c r="C10229" s="803" t="s">
        <v>4354</v>
      </c>
      <c r="D10229" s="803" t="s">
        <v>4444</v>
      </c>
      <c r="E10229" s="803">
        <v>25</v>
      </c>
      <c r="F10229" s="803">
        <v>0</v>
      </c>
      <c r="G10229" s="202" t="str">
        <f t="shared" si="159"/>
        <v/>
      </c>
    </row>
    <row r="10230" spans="1:7" s="172" customFormat="1" ht="15" customHeight="1" x14ac:dyDescent="0.25">
      <c r="A10230" s="803" t="s">
        <v>4445</v>
      </c>
      <c r="B10230" s="803" t="s">
        <v>4354</v>
      </c>
      <c r="C10230" s="803" t="s">
        <v>4354</v>
      </c>
      <c r="D10230" s="803" t="s">
        <v>4445</v>
      </c>
      <c r="E10230" s="803">
        <v>100</v>
      </c>
      <c r="F10230" s="803">
        <v>18</v>
      </c>
      <c r="G10230" s="202" t="str">
        <f t="shared" si="159"/>
        <v/>
      </c>
    </row>
    <row r="10231" spans="1:7" s="172" customFormat="1" ht="15" customHeight="1" x14ac:dyDescent="0.25">
      <c r="A10231" s="803" t="s">
        <v>16973</v>
      </c>
      <c r="B10231" s="803" t="s">
        <v>4354</v>
      </c>
      <c r="C10231" s="803" t="s">
        <v>4354</v>
      </c>
      <c r="D10231" s="803" t="s">
        <v>4446</v>
      </c>
      <c r="E10231" s="803">
        <v>160</v>
      </c>
      <c r="F10231" s="803">
        <v>150</v>
      </c>
      <c r="G10231" s="202" t="str">
        <f t="shared" si="159"/>
        <v/>
      </c>
    </row>
    <row r="10232" spans="1:7" s="172" customFormat="1" ht="15" customHeight="1" x14ac:dyDescent="0.25">
      <c r="A10232" s="803" t="s">
        <v>16973</v>
      </c>
      <c r="B10232" s="803" t="s">
        <v>4354</v>
      </c>
      <c r="C10232" s="803" t="s">
        <v>4354</v>
      </c>
      <c r="D10232" s="803" t="s">
        <v>4447</v>
      </c>
      <c r="E10232" s="803">
        <v>800</v>
      </c>
      <c r="F10232" s="803">
        <v>750</v>
      </c>
      <c r="G10232" s="202" t="str">
        <f t="shared" si="159"/>
        <v/>
      </c>
    </row>
    <row r="10233" spans="1:7" s="172" customFormat="1" ht="15" customHeight="1" x14ac:dyDescent="0.25">
      <c r="A10233" s="803" t="s">
        <v>4448</v>
      </c>
      <c r="B10233" s="803" t="s">
        <v>4354</v>
      </c>
      <c r="C10233" s="803" t="s">
        <v>4354</v>
      </c>
      <c r="D10233" s="803" t="s">
        <v>4448</v>
      </c>
      <c r="E10233" s="803">
        <v>100</v>
      </c>
      <c r="F10233" s="803">
        <v>25</v>
      </c>
      <c r="G10233" s="202" t="str">
        <f t="shared" si="159"/>
        <v/>
      </c>
    </row>
    <row r="10234" spans="1:7" s="172" customFormat="1" ht="15" customHeight="1" x14ac:dyDescent="0.25">
      <c r="A10234" s="803" t="s">
        <v>16973</v>
      </c>
      <c r="B10234" s="803" t="s">
        <v>4354</v>
      </c>
      <c r="C10234" s="803" t="s">
        <v>4354</v>
      </c>
      <c r="D10234" s="803" t="s">
        <v>4449</v>
      </c>
      <c r="E10234" s="803">
        <v>320</v>
      </c>
      <c r="F10234" s="803">
        <v>200</v>
      </c>
      <c r="G10234" s="202" t="str">
        <f t="shared" si="159"/>
        <v/>
      </c>
    </row>
    <row r="10235" spans="1:7" s="172" customFormat="1" ht="15" customHeight="1" x14ac:dyDescent="0.25">
      <c r="A10235" s="803" t="s">
        <v>16973</v>
      </c>
      <c r="B10235" s="803" t="s">
        <v>4354</v>
      </c>
      <c r="C10235" s="803" t="s">
        <v>4354</v>
      </c>
      <c r="D10235" s="803" t="s">
        <v>4450</v>
      </c>
      <c r="E10235" s="803">
        <v>1260</v>
      </c>
      <c r="F10235" s="803">
        <v>200</v>
      </c>
      <c r="G10235" s="202" t="str">
        <f t="shared" si="159"/>
        <v/>
      </c>
    </row>
    <row r="10236" spans="1:7" s="172" customFormat="1" ht="15" customHeight="1" x14ac:dyDescent="0.25">
      <c r="A10236" s="803" t="s">
        <v>16973</v>
      </c>
      <c r="B10236" s="803" t="s">
        <v>4354</v>
      </c>
      <c r="C10236" s="803" t="s">
        <v>4354</v>
      </c>
      <c r="D10236" s="803" t="s">
        <v>4451</v>
      </c>
      <c r="E10236" s="803">
        <v>1260</v>
      </c>
      <c r="F10236" s="803">
        <v>200</v>
      </c>
      <c r="G10236" s="202" t="str">
        <f t="shared" si="159"/>
        <v/>
      </c>
    </row>
    <row r="10237" spans="1:7" s="172" customFormat="1" ht="15" customHeight="1" x14ac:dyDescent="0.25">
      <c r="A10237" s="803" t="s">
        <v>4452</v>
      </c>
      <c r="B10237" s="803" t="s">
        <v>4354</v>
      </c>
      <c r="C10237" s="803" t="s">
        <v>4354</v>
      </c>
      <c r="D10237" s="803" t="s">
        <v>4452</v>
      </c>
      <c r="E10237" s="803">
        <v>25</v>
      </c>
      <c r="F10237" s="803">
        <v>15</v>
      </c>
      <c r="G10237" s="202" t="str">
        <f t="shared" si="159"/>
        <v/>
      </c>
    </row>
    <row r="10238" spans="1:7" s="172" customFormat="1" ht="15" customHeight="1" x14ac:dyDescent="0.25">
      <c r="A10238" s="803" t="s">
        <v>4453</v>
      </c>
      <c r="B10238" s="803" t="s">
        <v>4354</v>
      </c>
      <c r="C10238" s="803" t="s">
        <v>4354</v>
      </c>
      <c r="D10238" s="803" t="s">
        <v>4453</v>
      </c>
      <c r="E10238" s="803">
        <v>60</v>
      </c>
      <c r="F10238" s="803">
        <v>20</v>
      </c>
      <c r="G10238" s="202" t="str">
        <f t="shared" si="159"/>
        <v/>
      </c>
    </row>
    <row r="10239" spans="1:7" s="172" customFormat="1" ht="15" customHeight="1" x14ac:dyDescent="0.25">
      <c r="A10239" s="803" t="s">
        <v>4454</v>
      </c>
      <c r="B10239" s="803" t="s">
        <v>4354</v>
      </c>
      <c r="C10239" s="803" t="s">
        <v>4354</v>
      </c>
      <c r="D10239" s="803" t="s">
        <v>4454</v>
      </c>
      <c r="E10239" s="803">
        <v>63</v>
      </c>
      <c r="F10239" s="803">
        <v>5</v>
      </c>
      <c r="G10239" s="202" t="str">
        <f t="shared" si="159"/>
        <v/>
      </c>
    </row>
    <row r="10240" spans="1:7" s="172" customFormat="1" ht="15" customHeight="1" x14ac:dyDescent="0.25">
      <c r="A10240" s="803" t="s">
        <v>4455</v>
      </c>
      <c r="B10240" s="803" t="s">
        <v>4354</v>
      </c>
      <c r="C10240" s="803" t="s">
        <v>4354</v>
      </c>
      <c r="D10240" s="803" t="s">
        <v>4455</v>
      </c>
      <c r="E10240" s="803">
        <v>100</v>
      </c>
      <c r="F10240" s="803">
        <v>10</v>
      </c>
      <c r="G10240" s="202" t="str">
        <f t="shared" si="159"/>
        <v/>
      </c>
    </row>
    <row r="10241" spans="1:7" s="172" customFormat="1" ht="15" customHeight="1" x14ac:dyDescent="0.25">
      <c r="A10241" s="803" t="s">
        <v>16974</v>
      </c>
      <c r="B10241" s="803" t="s">
        <v>4354</v>
      </c>
      <c r="C10241" s="803" t="s">
        <v>4354</v>
      </c>
      <c r="D10241" s="803" t="s">
        <v>4456</v>
      </c>
      <c r="E10241" s="803">
        <v>160</v>
      </c>
      <c r="F10241" s="803">
        <v>100</v>
      </c>
      <c r="G10241" s="202" t="str">
        <f t="shared" si="159"/>
        <v/>
      </c>
    </row>
    <row r="10242" spans="1:7" s="172" customFormat="1" ht="15" customHeight="1" x14ac:dyDescent="0.25">
      <c r="A10242" s="803" t="s">
        <v>16975</v>
      </c>
      <c r="B10242" s="803" t="s">
        <v>4354</v>
      </c>
      <c r="C10242" s="803" t="s">
        <v>4354</v>
      </c>
      <c r="D10242" s="803" t="s">
        <v>4457</v>
      </c>
      <c r="E10242" s="803">
        <v>100</v>
      </c>
      <c r="F10242" s="803">
        <v>50</v>
      </c>
      <c r="G10242" s="202" t="str">
        <f t="shared" si="159"/>
        <v/>
      </c>
    </row>
    <row r="10243" spans="1:7" s="172" customFormat="1" ht="15" customHeight="1" x14ac:dyDescent="0.25">
      <c r="A10243" s="803" t="s">
        <v>4458</v>
      </c>
      <c r="B10243" s="803" t="s">
        <v>4354</v>
      </c>
      <c r="C10243" s="803" t="s">
        <v>4354</v>
      </c>
      <c r="D10243" s="803" t="s">
        <v>4458</v>
      </c>
      <c r="E10243" s="803">
        <v>10</v>
      </c>
      <c r="F10243" s="803">
        <v>5</v>
      </c>
      <c r="G10243" s="202" t="str">
        <f t="shared" si="159"/>
        <v/>
      </c>
    </row>
    <row r="10244" spans="1:7" s="172" customFormat="1" ht="15" customHeight="1" x14ac:dyDescent="0.25">
      <c r="A10244" s="803" t="s">
        <v>4459</v>
      </c>
      <c r="B10244" s="803" t="s">
        <v>4354</v>
      </c>
      <c r="C10244" s="803" t="s">
        <v>4354</v>
      </c>
      <c r="D10244" s="803" t="s">
        <v>4460</v>
      </c>
      <c r="E10244" s="803">
        <v>60</v>
      </c>
      <c r="F10244" s="803">
        <v>55</v>
      </c>
      <c r="G10244" s="202" t="str">
        <f t="shared" si="159"/>
        <v/>
      </c>
    </row>
    <row r="10245" spans="1:7" s="172" customFormat="1" ht="15" customHeight="1" x14ac:dyDescent="0.25">
      <c r="A10245" s="803" t="s">
        <v>4459</v>
      </c>
      <c r="B10245" s="803" t="s">
        <v>4354</v>
      </c>
      <c r="C10245" s="803" t="s">
        <v>4354</v>
      </c>
      <c r="D10245" s="803" t="s">
        <v>4461</v>
      </c>
      <c r="E10245" s="803">
        <v>160</v>
      </c>
      <c r="F10245" s="803">
        <v>20</v>
      </c>
      <c r="G10245" s="202" t="str">
        <f t="shared" si="159"/>
        <v/>
      </c>
    </row>
    <row r="10246" spans="1:7" s="172" customFormat="1" ht="15" customHeight="1" x14ac:dyDescent="0.25">
      <c r="A10246" s="803" t="s">
        <v>4459</v>
      </c>
      <c r="B10246" s="803" t="s">
        <v>4354</v>
      </c>
      <c r="C10246" s="803" t="s">
        <v>4354</v>
      </c>
      <c r="D10246" s="803" t="s">
        <v>4462</v>
      </c>
      <c r="E10246" s="803">
        <v>100</v>
      </c>
      <c r="F10246" s="803">
        <v>20</v>
      </c>
      <c r="G10246" s="202" t="str">
        <f t="shared" si="159"/>
        <v/>
      </c>
    </row>
    <row r="10247" spans="1:7" s="172" customFormat="1" ht="15" customHeight="1" x14ac:dyDescent="0.25">
      <c r="A10247" s="803" t="s">
        <v>4459</v>
      </c>
      <c r="B10247" s="803" t="s">
        <v>4354</v>
      </c>
      <c r="C10247" s="803" t="s">
        <v>4354</v>
      </c>
      <c r="D10247" s="803" t="s">
        <v>4463</v>
      </c>
      <c r="E10247" s="803">
        <v>160</v>
      </c>
      <c r="F10247" s="803">
        <v>20</v>
      </c>
      <c r="G10247" s="202" t="str">
        <f t="shared" si="159"/>
        <v/>
      </c>
    </row>
    <row r="10248" spans="1:7" s="172" customFormat="1" ht="15" customHeight="1" x14ac:dyDescent="0.25">
      <c r="A10248" s="803" t="s">
        <v>4459</v>
      </c>
      <c r="B10248" s="803" t="s">
        <v>4354</v>
      </c>
      <c r="C10248" s="803" t="s">
        <v>4354</v>
      </c>
      <c r="D10248" s="803" t="s">
        <v>4464</v>
      </c>
      <c r="E10248" s="803">
        <v>160</v>
      </c>
      <c r="F10248" s="803">
        <v>20</v>
      </c>
      <c r="G10248" s="202" t="str">
        <f t="shared" si="159"/>
        <v/>
      </c>
    </row>
    <row r="10249" spans="1:7" s="172" customFormat="1" ht="15" customHeight="1" x14ac:dyDescent="0.25">
      <c r="A10249" s="803" t="s">
        <v>4465</v>
      </c>
      <c r="B10249" s="803" t="s">
        <v>4354</v>
      </c>
      <c r="C10249" s="803" t="s">
        <v>4354</v>
      </c>
      <c r="D10249" s="803" t="s">
        <v>4465</v>
      </c>
      <c r="E10249" s="803">
        <v>100</v>
      </c>
      <c r="F10249" s="803">
        <v>10</v>
      </c>
      <c r="G10249" s="202" t="str">
        <f t="shared" si="159"/>
        <v/>
      </c>
    </row>
    <row r="10250" spans="1:7" s="172" customFormat="1" ht="15" customHeight="1" x14ac:dyDescent="0.25">
      <c r="A10250" s="803" t="s">
        <v>4466</v>
      </c>
      <c r="B10250" s="803" t="s">
        <v>4354</v>
      </c>
      <c r="C10250" s="803" t="s">
        <v>4354</v>
      </c>
      <c r="D10250" s="803" t="s">
        <v>4466</v>
      </c>
      <c r="E10250" s="803">
        <v>60</v>
      </c>
      <c r="F10250" s="803">
        <v>20</v>
      </c>
      <c r="G10250" s="202" t="str">
        <f t="shared" si="159"/>
        <v/>
      </c>
    </row>
    <row r="10251" spans="1:7" s="172" customFormat="1" ht="15" customHeight="1" x14ac:dyDescent="0.25">
      <c r="A10251" s="803" t="s">
        <v>4467</v>
      </c>
      <c r="B10251" s="803" t="s">
        <v>4354</v>
      </c>
      <c r="C10251" s="803" t="s">
        <v>4354</v>
      </c>
      <c r="D10251" s="803" t="s">
        <v>4467</v>
      </c>
      <c r="E10251" s="803">
        <v>60</v>
      </c>
      <c r="F10251" s="803">
        <v>10</v>
      </c>
      <c r="G10251" s="202" t="str">
        <f t="shared" si="159"/>
        <v/>
      </c>
    </row>
    <row r="10252" spans="1:7" s="172" customFormat="1" ht="15" customHeight="1" x14ac:dyDescent="0.25">
      <c r="A10252" s="803" t="s">
        <v>4459</v>
      </c>
      <c r="B10252" s="803" t="s">
        <v>4354</v>
      </c>
      <c r="C10252" s="803" t="s">
        <v>4354</v>
      </c>
      <c r="D10252" s="803" t="s">
        <v>4468</v>
      </c>
      <c r="E10252" s="803">
        <v>400</v>
      </c>
      <c r="F10252" s="803">
        <v>350</v>
      </c>
      <c r="G10252" s="202" t="str">
        <f t="shared" si="159"/>
        <v/>
      </c>
    </row>
    <row r="10253" spans="1:7" s="172" customFormat="1" ht="15" customHeight="1" x14ac:dyDescent="0.25">
      <c r="A10253" s="803" t="s">
        <v>4469</v>
      </c>
      <c r="B10253" s="803" t="s">
        <v>4354</v>
      </c>
      <c r="C10253" s="803" t="s">
        <v>4354</v>
      </c>
      <c r="D10253" s="803" t="s">
        <v>4469</v>
      </c>
      <c r="E10253" s="803">
        <v>60</v>
      </c>
      <c r="F10253" s="803">
        <v>10</v>
      </c>
      <c r="G10253" s="202" t="str">
        <f t="shared" si="159"/>
        <v/>
      </c>
    </row>
    <row r="10254" spans="1:7" s="172" customFormat="1" ht="15" customHeight="1" x14ac:dyDescent="0.25">
      <c r="A10254" s="803" t="s">
        <v>4470</v>
      </c>
      <c r="B10254" s="803" t="s">
        <v>4354</v>
      </c>
      <c r="C10254" s="803" t="s">
        <v>4354</v>
      </c>
      <c r="D10254" s="803" t="s">
        <v>4470</v>
      </c>
      <c r="E10254" s="803">
        <v>160</v>
      </c>
      <c r="F10254" s="803">
        <v>60</v>
      </c>
      <c r="G10254" s="202" t="str">
        <f t="shared" si="159"/>
        <v/>
      </c>
    </row>
    <row r="10255" spans="1:7" s="172" customFormat="1" ht="15" customHeight="1" x14ac:dyDescent="0.25">
      <c r="A10255" s="803" t="s">
        <v>4471</v>
      </c>
      <c r="B10255" s="803" t="s">
        <v>4354</v>
      </c>
      <c r="C10255" s="803" t="s">
        <v>4354</v>
      </c>
      <c r="D10255" s="803" t="s">
        <v>4471</v>
      </c>
      <c r="E10255" s="803">
        <v>60</v>
      </c>
      <c r="F10255" s="803">
        <v>10</v>
      </c>
      <c r="G10255" s="202" t="str">
        <f t="shared" si="159"/>
        <v/>
      </c>
    </row>
    <row r="10256" spans="1:7" s="172" customFormat="1" ht="15" customHeight="1" x14ac:dyDescent="0.25">
      <c r="A10256" s="803" t="s">
        <v>4472</v>
      </c>
      <c r="B10256" s="803" t="s">
        <v>4354</v>
      </c>
      <c r="C10256" s="803" t="s">
        <v>4354</v>
      </c>
      <c r="D10256" s="803" t="s">
        <v>4472</v>
      </c>
      <c r="E10256" s="803">
        <v>100</v>
      </c>
      <c r="F10256" s="803">
        <v>50</v>
      </c>
      <c r="G10256" s="202" t="str">
        <f t="shared" si="159"/>
        <v/>
      </c>
    </row>
    <row r="10257" spans="1:7" s="172" customFormat="1" ht="15" customHeight="1" x14ac:dyDescent="0.25">
      <c r="A10257" s="803" t="s">
        <v>4473</v>
      </c>
      <c r="B10257" s="803" t="s">
        <v>4354</v>
      </c>
      <c r="C10257" s="803" t="s">
        <v>4354</v>
      </c>
      <c r="D10257" s="803" t="s">
        <v>4473</v>
      </c>
      <c r="E10257" s="803">
        <v>60</v>
      </c>
      <c r="F10257" s="803">
        <v>20</v>
      </c>
      <c r="G10257" s="202" t="str">
        <f t="shared" si="159"/>
        <v/>
      </c>
    </row>
    <row r="10258" spans="1:7" s="172" customFormat="1" ht="15" customHeight="1" x14ac:dyDescent="0.25">
      <c r="A10258" s="803" t="s">
        <v>16976</v>
      </c>
      <c r="B10258" s="803" t="s">
        <v>4354</v>
      </c>
      <c r="C10258" s="803" t="s">
        <v>4354</v>
      </c>
      <c r="D10258" s="803" t="s">
        <v>4474</v>
      </c>
      <c r="E10258" s="803">
        <v>60</v>
      </c>
      <c r="F10258" s="803">
        <v>15</v>
      </c>
      <c r="G10258" s="202" t="str">
        <f t="shared" si="159"/>
        <v/>
      </c>
    </row>
    <row r="10259" spans="1:7" s="172" customFormat="1" ht="15" customHeight="1" x14ac:dyDescent="0.25">
      <c r="A10259" s="803" t="s">
        <v>16976</v>
      </c>
      <c r="B10259" s="803" t="s">
        <v>4354</v>
      </c>
      <c r="C10259" s="803" t="s">
        <v>4354</v>
      </c>
      <c r="D10259" s="803" t="s">
        <v>4475</v>
      </c>
      <c r="E10259" s="803">
        <v>250</v>
      </c>
      <c r="F10259" s="803">
        <v>150</v>
      </c>
      <c r="G10259" s="202" t="str">
        <f t="shared" si="159"/>
        <v/>
      </c>
    </row>
    <row r="10260" spans="1:7" s="172" customFormat="1" ht="15" customHeight="1" x14ac:dyDescent="0.25">
      <c r="A10260" s="803" t="s">
        <v>4476</v>
      </c>
      <c r="B10260" s="803" t="s">
        <v>4354</v>
      </c>
      <c r="C10260" s="803" t="s">
        <v>4354</v>
      </c>
      <c r="D10260" s="803" t="s">
        <v>4476</v>
      </c>
      <c r="E10260" s="803">
        <v>60</v>
      </c>
      <c r="F10260" s="803">
        <v>10</v>
      </c>
      <c r="G10260" s="202" t="str">
        <f t="shared" si="159"/>
        <v/>
      </c>
    </row>
    <row r="10261" spans="1:7" s="172" customFormat="1" ht="15" customHeight="1" x14ac:dyDescent="0.25">
      <c r="A10261" s="803" t="s">
        <v>16977</v>
      </c>
      <c r="B10261" s="803" t="s">
        <v>4354</v>
      </c>
      <c r="C10261" s="803" t="s">
        <v>4354</v>
      </c>
      <c r="D10261" s="803" t="s">
        <v>4477</v>
      </c>
      <c r="E10261" s="803">
        <v>250</v>
      </c>
      <c r="F10261" s="803">
        <v>200</v>
      </c>
      <c r="G10261" s="202" t="str">
        <f t="shared" si="159"/>
        <v/>
      </c>
    </row>
    <row r="10262" spans="1:7" s="172" customFormat="1" ht="15" customHeight="1" x14ac:dyDescent="0.25">
      <c r="A10262" s="803" t="s">
        <v>16977</v>
      </c>
      <c r="B10262" s="803" t="s">
        <v>4354</v>
      </c>
      <c r="C10262" s="803" t="s">
        <v>4354</v>
      </c>
      <c r="D10262" s="803" t="s">
        <v>4478</v>
      </c>
      <c r="E10262" s="803">
        <v>60</v>
      </c>
      <c r="F10262" s="803">
        <v>10</v>
      </c>
      <c r="G10262" s="202" t="str">
        <f t="shared" si="159"/>
        <v/>
      </c>
    </row>
    <row r="10263" spans="1:7" s="172" customFormat="1" ht="15" customHeight="1" x14ac:dyDescent="0.25">
      <c r="A10263" s="803" t="s">
        <v>4479</v>
      </c>
      <c r="B10263" s="803" t="s">
        <v>4354</v>
      </c>
      <c r="C10263" s="803" t="s">
        <v>4354</v>
      </c>
      <c r="D10263" s="803" t="s">
        <v>4479</v>
      </c>
      <c r="E10263" s="803">
        <v>60</v>
      </c>
      <c r="F10263" s="803">
        <v>15</v>
      </c>
      <c r="G10263" s="202" t="str">
        <f t="shared" si="159"/>
        <v/>
      </c>
    </row>
    <row r="10264" spans="1:7" s="172" customFormat="1" ht="15" customHeight="1" x14ac:dyDescent="0.25">
      <c r="A10264" s="803" t="s">
        <v>16977</v>
      </c>
      <c r="B10264" s="803" t="s">
        <v>4354</v>
      </c>
      <c r="C10264" s="803" t="s">
        <v>4354</v>
      </c>
      <c r="D10264" s="803" t="s">
        <v>4480</v>
      </c>
      <c r="E10264" s="803">
        <v>160</v>
      </c>
      <c r="F10264" s="803">
        <v>60</v>
      </c>
      <c r="G10264" s="202" t="str">
        <f t="shared" si="159"/>
        <v/>
      </c>
    </row>
    <row r="10265" spans="1:7" s="172" customFormat="1" ht="15" customHeight="1" x14ac:dyDescent="0.25">
      <c r="A10265" s="803" t="s">
        <v>4481</v>
      </c>
      <c r="B10265" s="803" t="s">
        <v>4354</v>
      </c>
      <c r="C10265" s="803" t="s">
        <v>4354</v>
      </c>
      <c r="D10265" s="803" t="s">
        <v>4481</v>
      </c>
      <c r="E10265" s="803">
        <v>60</v>
      </c>
      <c r="F10265" s="803">
        <v>10</v>
      </c>
      <c r="G10265" s="202" t="str">
        <f t="shared" si="159"/>
        <v/>
      </c>
    </row>
    <row r="10266" spans="1:7" s="172" customFormat="1" ht="15" customHeight="1" x14ac:dyDescent="0.25">
      <c r="A10266" s="803" t="s">
        <v>4482</v>
      </c>
      <c r="B10266" s="803" t="s">
        <v>4354</v>
      </c>
      <c r="C10266" s="803" t="s">
        <v>4354</v>
      </c>
      <c r="D10266" s="803" t="s">
        <v>4482</v>
      </c>
      <c r="E10266" s="803">
        <v>60</v>
      </c>
      <c r="F10266" s="803">
        <v>10</v>
      </c>
      <c r="G10266" s="202" t="str">
        <f t="shared" ref="G10266:G10325" si="160">IF(E10266=F10266,"не загружен","")</f>
        <v/>
      </c>
    </row>
    <row r="10267" spans="1:7" s="172" customFormat="1" ht="15" customHeight="1" x14ac:dyDescent="0.25">
      <c r="A10267" s="803" t="s">
        <v>4483</v>
      </c>
      <c r="B10267" s="803" t="s">
        <v>4354</v>
      </c>
      <c r="C10267" s="803" t="s">
        <v>4354</v>
      </c>
      <c r="D10267" s="803" t="s">
        <v>4483</v>
      </c>
      <c r="E10267" s="803">
        <v>160</v>
      </c>
      <c r="F10267" s="803">
        <v>60</v>
      </c>
      <c r="G10267" s="202" t="str">
        <f t="shared" si="160"/>
        <v/>
      </c>
    </row>
    <row r="10268" spans="1:7" s="172" customFormat="1" ht="15" customHeight="1" x14ac:dyDescent="0.25">
      <c r="A10268" s="803" t="s">
        <v>4484</v>
      </c>
      <c r="B10268" s="803" t="s">
        <v>4354</v>
      </c>
      <c r="C10268" s="803" t="s">
        <v>4354</v>
      </c>
      <c r="D10268" s="803" t="s">
        <v>4485</v>
      </c>
      <c r="E10268" s="803">
        <v>160</v>
      </c>
      <c r="F10268" s="803">
        <v>60</v>
      </c>
      <c r="G10268" s="202" t="str">
        <f t="shared" si="160"/>
        <v/>
      </c>
    </row>
    <row r="10269" spans="1:7" s="172" customFormat="1" ht="15" customHeight="1" x14ac:dyDescent="0.25">
      <c r="A10269" s="803" t="s">
        <v>4486</v>
      </c>
      <c r="B10269" s="803" t="s">
        <v>4354</v>
      </c>
      <c r="C10269" s="803" t="s">
        <v>4354</v>
      </c>
      <c r="D10269" s="803" t="s">
        <v>4486</v>
      </c>
      <c r="E10269" s="803">
        <v>30</v>
      </c>
      <c r="F10269" s="803">
        <v>10</v>
      </c>
      <c r="G10269" s="202" t="str">
        <f t="shared" si="160"/>
        <v/>
      </c>
    </row>
    <row r="10270" spans="1:7" s="172" customFormat="1" ht="15" customHeight="1" x14ac:dyDescent="0.25">
      <c r="A10270" s="803" t="s">
        <v>4487</v>
      </c>
      <c r="B10270" s="803" t="s">
        <v>4354</v>
      </c>
      <c r="C10270" s="803" t="s">
        <v>4354</v>
      </c>
      <c r="D10270" s="803" t="s">
        <v>4488</v>
      </c>
      <c r="E10270" s="803">
        <v>100</v>
      </c>
      <c r="F10270" s="803">
        <v>60</v>
      </c>
      <c r="G10270" s="202" t="str">
        <f t="shared" si="160"/>
        <v/>
      </c>
    </row>
    <row r="10271" spans="1:7" s="172" customFormat="1" ht="15" customHeight="1" x14ac:dyDescent="0.25">
      <c r="A10271" s="803" t="s">
        <v>4489</v>
      </c>
      <c r="B10271" s="803" t="s">
        <v>4354</v>
      </c>
      <c r="C10271" s="803" t="s">
        <v>4354</v>
      </c>
      <c r="D10271" s="803" t="s">
        <v>4489</v>
      </c>
      <c r="E10271" s="803">
        <v>60</v>
      </c>
      <c r="F10271" s="803">
        <v>20</v>
      </c>
      <c r="G10271" s="202" t="str">
        <f t="shared" si="160"/>
        <v/>
      </c>
    </row>
    <row r="10272" spans="1:7" s="172" customFormat="1" ht="15" customHeight="1" x14ac:dyDescent="0.25">
      <c r="A10272" s="803" t="s">
        <v>4490</v>
      </c>
      <c r="B10272" s="803" t="s">
        <v>4354</v>
      </c>
      <c r="C10272" s="803" t="s">
        <v>4354</v>
      </c>
      <c r="D10272" s="803" t="s">
        <v>4490</v>
      </c>
      <c r="E10272" s="803">
        <v>60</v>
      </c>
      <c r="F10272" s="803">
        <v>20</v>
      </c>
      <c r="G10272" s="202" t="str">
        <f t="shared" si="160"/>
        <v/>
      </c>
    </row>
    <row r="10273" spans="1:7" s="172" customFormat="1" ht="15" customHeight="1" x14ac:dyDescent="0.25">
      <c r="A10273" s="803" t="s">
        <v>4491</v>
      </c>
      <c r="B10273" s="803" t="s">
        <v>4354</v>
      </c>
      <c r="C10273" s="803" t="s">
        <v>4354</v>
      </c>
      <c r="D10273" s="803" t="s">
        <v>4491</v>
      </c>
      <c r="E10273" s="803">
        <v>160</v>
      </c>
      <c r="F10273" s="803">
        <v>100</v>
      </c>
      <c r="G10273" s="202" t="str">
        <f t="shared" si="160"/>
        <v/>
      </c>
    </row>
    <row r="10274" spans="1:7" s="172" customFormat="1" ht="15" customHeight="1" x14ac:dyDescent="0.25">
      <c r="A10274" s="803" t="s">
        <v>4459</v>
      </c>
      <c r="B10274" s="803" t="s">
        <v>4354</v>
      </c>
      <c r="C10274" s="803" t="s">
        <v>4354</v>
      </c>
      <c r="D10274" s="803" t="s">
        <v>4492</v>
      </c>
      <c r="E10274" s="803">
        <v>63</v>
      </c>
      <c r="F10274" s="803">
        <v>10</v>
      </c>
      <c r="G10274" s="202" t="str">
        <f t="shared" si="160"/>
        <v/>
      </c>
    </row>
    <row r="10275" spans="1:7" s="172" customFormat="1" ht="15" customHeight="1" x14ac:dyDescent="0.25">
      <c r="A10275" s="803" t="s">
        <v>4459</v>
      </c>
      <c r="B10275" s="803" t="s">
        <v>4354</v>
      </c>
      <c r="C10275" s="803" t="s">
        <v>4354</v>
      </c>
      <c r="D10275" s="803" t="s">
        <v>4493</v>
      </c>
      <c r="E10275" s="803">
        <v>250</v>
      </c>
      <c r="F10275" s="803">
        <v>150</v>
      </c>
      <c r="G10275" s="202" t="str">
        <f t="shared" si="160"/>
        <v/>
      </c>
    </row>
    <row r="10276" spans="1:7" s="172" customFormat="1" ht="15" customHeight="1" x14ac:dyDescent="0.25">
      <c r="A10276" s="803" t="s">
        <v>4459</v>
      </c>
      <c r="B10276" s="803" t="s">
        <v>4354</v>
      </c>
      <c r="C10276" s="803" t="s">
        <v>4354</v>
      </c>
      <c r="D10276" s="803" t="s">
        <v>4494</v>
      </c>
      <c r="E10276" s="803">
        <v>100</v>
      </c>
      <c r="F10276" s="803">
        <v>40</v>
      </c>
      <c r="G10276" s="202" t="str">
        <f t="shared" si="160"/>
        <v/>
      </c>
    </row>
    <row r="10277" spans="1:7" s="172" customFormat="1" ht="15" customHeight="1" x14ac:dyDescent="0.25">
      <c r="A10277" s="803" t="s">
        <v>4459</v>
      </c>
      <c r="B10277" s="803" t="s">
        <v>4354</v>
      </c>
      <c r="C10277" s="803" t="s">
        <v>4354</v>
      </c>
      <c r="D10277" s="803" t="s">
        <v>4495</v>
      </c>
      <c r="E10277" s="803">
        <v>250</v>
      </c>
      <c r="F10277" s="803">
        <v>150</v>
      </c>
      <c r="G10277" s="202" t="str">
        <f t="shared" si="160"/>
        <v/>
      </c>
    </row>
    <row r="10278" spans="1:7" s="172" customFormat="1" ht="15" customHeight="1" x14ac:dyDescent="0.25">
      <c r="A10278" s="803" t="s">
        <v>4496</v>
      </c>
      <c r="B10278" s="803" t="s">
        <v>4354</v>
      </c>
      <c r="C10278" s="803" t="s">
        <v>4354</v>
      </c>
      <c r="D10278" s="803" t="s">
        <v>4496</v>
      </c>
      <c r="E10278" s="803">
        <v>60</v>
      </c>
      <c r="F10278" s="803">
        <v>20</v>
      </c>
      <c r="G10278" s="202" t="str">
        <f t="shared" si="160"/>
        <v/>
      </c>
    </row>
    <row r="10279" spans="1:7" s="172" customFormat="1" ht="15" customHeight="1" x14ac:dyDescent="0.25">
      <c r="A10279" s="803" t="s">
        <v>4459</v>
      </c>
      <c r="B10279" s="803" t="s">
        <v>4354</v>
      </c>
      <c r="C10279" s="803" t="s">
        <v>4354</v>
      </c>
      <c r="D10279" s="803" t="s">
        <v>4497</v>
      </c>
      <c r="E10279" s="803">
        <v>160</v>
      </c>
      <c r="F10279" s="803">
        <v>60</v>
      </c>
      <c r="G10279" s="202" t="str">
        <f t="shared" si="160"/>
        <v/>
      </c>
    </row>
    <row r="10280" spans="1:7" s="172" customFormat="1" ht="15" customHeight="1" x14ac:dyDescent="0.25">
      <c r="A10280" s="803" t="s">
        <v>4498</v>
      </c>
      <c r="B10280" s="803" t="s">
        <v>4354</v>
      </c>
      <c r="C10280" s="803" t="s">
        <v>4354</v>
      </c>
      <c r="D10280" s="803" t="s">
        <v>4498</v>
      </c>
      <c r="E10280" s="803">
        <v>100</v>
      </c>
      <c r="F10280" s="803">
        <v>40</v>
      </c>
      <c r="G10280" s="202" t="str">
        <f t="shared" si="160"/>
        <v/>
      </c>
    </row>
    <row r="10281" spans="1:7" s="172" customFormat="1" ht="15" customHeight="1" x14ac:dyDescent="0.25">
      <c r="A10281" s="803" t="s">
        <v>4499</v>
      </c>
      <c r="B10281" s="803" t="s">
        <v>4354</v>
      </c>
      <c r="C10281" s="803" t="s">
        <v>4354</v>
      </c>
      <c r="D10281" s="803" t="s">
        <v>4499</v>
      </c>
      <c r="E10281" s="803">
        <v>250</v>
      </c>
      <c r="F10281" s="803">
        <v>200</v>
      </c>
      <c r="G10281" s="202" t="str">
        <f t="shared" si="160"/>
        <v/>
      </c>
    </row>
    <row r="10282" spans="1:7" s="172" customFormat="1" ht="15" customHeight="1" x14ac:dyDescent="0.25">
      <c r="A10282" s="803" t="s">
        <v>16978</v>
      </c>
      <c r="B10282" s="803" t="s">
        <v>4354</v>
      </c>
      <c r="C10282" s="803" t="s">
        <v>4354</v>
      </c>
      <c r="D10282" s="803" t="s">
        <v>4500</v>
      </c>
      <c r="E10282" s="803">
        <v>250</v>
      </c>
      <c r="F10282" s="803">
        <v>200</v>
      </c>
      <c r="G10282" s="202" t="str">
        <f t="shared" si="160"/>
        <v/>
      </c>
    </row>
    <row r="10283" spans="1:7" s="172" customFormat="1" ht="15" customHeight="1" x14ac:dyDescent="0.25">
      <c r="A10283" s="803" t="s">
        <v>16978</v>
      </c>
      <c r="B10283" s="803" t="s">
        <v>4354</v>
      </c>
      <c r="C10283" s="803" t="s">
        <v>4354</v>
      </c>
      <c r="D10283" s="803" t="s">
        <v>4501</v>
      </c>
      <c r="E10283" s="803">
        <v>800</v>
      </c>
      <c r="F10283" s="803">
        <v>300</v>
      </c>
      <c r="G10283" s="202" t="str">
        <f t="shared" si="160"/>
        <v/>
      </c>
    </row>
    <row r="10284" spans="1:7" s="172" customFormat="1" ht="15" customHeight="1" x14ac:dyDescent="0.25">
      <c r="A10284" s="803" t="s">
        <v>16978</v>
      </c>
      <c r="B10284" s="803" t="s">
        <v>4354</v>
      </c>
      <c r="C10284" s="803" t="s">
        <v>4354</v>
      </c>
      <c r="D10284" s="803" t="s">
        <v>4495</v>
      </c>
      <c r="E10284" s="803">
        <v>800</v>
      </c>
      <c r="F10284" s="803">
        <v>300</v>
      </c>
      <c r="G10284" s="202" t="str">
        <f t="shared" si="160"/>
        <v/>
      </c>
    </row>
    <row r="10285" spans="1:7" s="172" customFormat="1" ht="15" customHeight="1" x14ac:dyDescent="0.25">
      <c r="A10285" s="803" t="s">
        <v>16979</v>
      </c>
      <c r="B10285" s="803" t="s">
        <v>4354</v>
      </c>
      <c r="C10285" s="803" t="s">
        <v>4354</v>
      </c>
      <c r="D10285" s="803" t="s">
        <v>4502</v>
      </c>
      <c r="E10285" s="803">
        <v>100</v>
      </c>
      <c r="F10285" s="803">
        <v>40</v>
      </c>
      <c r="G10285" s="202" t="str">
        <f t="shared" si="160"/>
        <v/>
      </c>
    </row>
    <row r="10286" spans="1:7" s="172" customFormat="1" ht="15" customHeight="1" x14ac:dyDescent="0.25">
      <c r="A10286" s="803" t="s">
        <v>16979</v>
      </c>
      <c r="B10286" s="803" t="s">
        <v>4354</v>
      </c>
      <c r="C10286" s="803" t="s">
        <v>4354</v>
      </c>
      <c r="D10286" s="803" t="s">
        <v>4503</v>
      </c>
      <c r="E10286" s="803">
        <v>160</v>
      </c>
      <c r="F10286" s="803">
        <v>100</v>
      </c>
      <c r="G10286" s="202" t="str">
        <f t="shared" si="160"/>
        <v/>
      </c>
    </row>
    <row r="10287" spans="1:7" s="172" customFormat="1" ht="15" customHeight="1" x14ac:dyDescent="0.25">
      <c r="A10287" s="803" t="s">
        <v>16979</v>
      </c>
      <c r="B10287" s="803" t="s">
        <v>4354</v>
      </c>
      <c r="C10287" s="803" t="s">
        <v>4354</v>
      </c>
      <c r="D10287" s="803" t="s">
        <v>4499</v>
      </c>
      <c r="E10287" s="803">
        <v>250</v>
      </c>
      <c r="F10287" s="803">
        <v>200</v>
      </c>
      <c r="G10287" s="202" t="str">
        <f t="shared" si="160"/>
        <v/>
      </c>
    </row>
    <row r="10288" spans="1:7" s="172" customFormat="1" ht="15" customHeight="1" x14ac:dyDescent="0.25">
      <c r="A10288" s="803" t="s">
        <v>16979</v>
      </c>
      <c r="B10288" s="803" t="s">
        <v>4354</v>
      </c>
      <c r="C10288" s="803" t="s">
        <v>4354</v>
      </c>
      <c r="D10288" s="803" t="s">
        <v>4504</v>
      </c>
      <c r="E10288" s="803">
        <v>160</v>
      </c>
      <c r="F10288" s="803">
        <v>60</v>
      </c>
      <c r="G10288" s="202" t="str">
        <f t="shared" si="160"/>
        <v/>
      </c>
    </row>
    <row r="10289" spans="1:7" s="172" customFormat="1" ht="15" customHeight="1" x14ac:dyDescent="0.25">
      <c r="A10289" s="803" t="s">
        <v>16979</v>
      </c>
      <c r="B10289" s="803" t="s">
        <v>4354</v>
      </c>
      <c r="C10289" s="803" t="s">
        <v>4354</v>
      </c>
      <c r="D10289" s="803" t="s">
        <v>4505</v>
      </c>
      <c r="E10289" s="803">
        <v>250</v>
      </c>
      <c r="F10289" s="803">
        <v>200</v>
      </c>
      <c r="G10289" s="202" t="str">
        <f t="shared" si="160"/>
        <v/>
      </c>
    </row>
    <row r="10290" spans="1:7" s="172" customFormat="1" ht="15" customHeight="1" x14ac:dyDescent="0.25">
      <c r="A10290" s="803" t="s">
        <v>4506</v>
      </c>
      <c r="B10290" s="803" t="s">
        <v>4354</v>
      </c>
      <c r="C10290" s="803" t="s">
        <v>4354</v>
      </c>
      <c r="D10290" s="803" t="s">
        <v>4507</v>
      </c>
      <c r="E10290" s="803">
        <v>250</v>
      </c>
      <c r="F10290" s="803">
        <v>70</v>
      </c>
      <c r="G10290" s="202" t="str">
        <f t="shared" si="160"/>
        <v/>
      </c>
    </row>
    <row r="10291" spans="1:7" s="172" customFormat="1" ht="15" customHeight="1" x14ac:dyDescent="0.25">
      <c r="A10291" s="803" t="s">
        <v>4508</v>
      </c>
      <c r="B10291" s="803" t="s">
        <v>4354</v>
      </c>
      <c r="C10291" s="803" t="s">
        <v>4354</v>
      </c>
      <c r="D10291" s="803" t="s">
        <v>4508</v>
      </c>
      <c r="E10291" s="803">
        <v>160</v>
      </c>
      <c r="F10291" s="803">
        <v>60</v>
      </c>
      <c r="G10291" s="202" t="str">
        <f t="shared" si="160"/>
        <v/>
      </c>
    </row>
    <row r="10292" spans="1:7" s="172" customFormat="1" ht="15" customHeight="1" x14ac:dyDescent="0.25">
      <c r="A10292" s="803" t="s">
        <v>4509</v>
      </c>
      <c r="B10292" s="803" t="s">
        <v>4354</v>
      </c>
      <c r="C10292" s="803" t="s">
        <v>4354</v>
      </c>
      <c r="D10292" s="803" t="s">
        <v>4510</v>
      </c>
      <c r="E10292" s="803">
        <v>250</v>
      </c>
      <c r="F10292" s="803">
        <v>60</v>
      </c>
      <c r="G10292" s="202" t="str">
        <f t="shared" si="160"/>
        <v/>
      </c>
    </row>
    <row r="10293" spans="1:7" s="172" customFormat="1" ht="15" customHeight="1" x14ac:dyDescent="0.25">
      <c r="A10293" s="803" t="s">
        <v>16978</v>
      </c>
      <c r="B10293" s="803" t="s">
        <v>4354</v>
      </c>
      <c r="C10293" s="803" t="s">
        <v>4354</v>
      </c>
      <c r="D10293" s="803" t="s">
        <v>4511</v>
      </c>
      <c r="E10293" s="803">
        <v>400</v>
      </c>
      <c r="F10293" s="803">
        <v>300</v>
      </c>
      <c r="G10293" s="202" t="str">
        <f t="shared" si="160"/>
        <v/>
      </c>
    </row>
    <row r="10294" spans="1:7" s="172" customFormat="1" ht="15" customHeight="1" x14ac:dyDescent="0.25">
      <c r="A10294" s="803" t="s">
        <v>4512</v>
      </c>
      <c r="B10294" s="803" t="s">
        <v>4354</v>
      </c>
      <c r="C10294" s="803" t="s">
        <v>4354</v>
      </c>
      <c r="D10294" s="803" t="s">
        <v>4512</v>
      </c>
      <c r="E10294" s="803">
        <v>60</v>
      </c>
      <c r="F10294" s="803">
        <v>15</v>
      </c>
      <c r="G10294" s="202" t="str">
        <f t="shared" si="160"/>
        <v/>
      </c>
    </row>
    <row r="10295" spans="1:7" s="172" customFormat="1" ht="15" customHeight="1" x14ac:dyDescent="0.25">
      <c r="A10295" s="803" t="s">
        <v>16980</v>
      </c>
      <c r="B10295" s="803" t="s">
        <v>4354</v>
      </c>
      <c r="C10295" s="803" t="s">
        <v>4354</v>
      </c>
      <c r="D10295" s="803" t="s">
        <v>4513</v>
      </c>
      <c r="E10295" s="803">
        <v>160</v>
      </c>
      <c r="F10295" s="803">
        <v>60</v>
      </c>
      <c r="G10295" s="202" t="str">
        <f t="shared" si="160"/>
        <v/>
      </c>
    </row>
    <row r="10296" spans="1:7" s="172" customFormat="1" ht="15" customHeight="1" x14ac:dyDescent="0.25">
      <c r="A10296" s="803" t="s">
        <v>4514</v>
      </c>
      <c r="B10296" s="803" t="s">
        <v>4354</v>
      </c>
      <c r="C10296" s="803" t="s">
        <v>4354</v>
      </c>
      <c r="D10296" s="803" t="s">
        <v>4514</v>
      </c>
      <c r="E10296" s="803">
        <v>60</v>
      </c>
      <c r="F10296" s="803">
        <v>30</v>
      </c>
      <c r="G10296" s="202" t="str">
        <f t="shared" si="160"/>
        <v/>
      </c>
    </row>
    <row r="10297" spans="1:7" s="172" customFormat="1" ht="15" customHeight="1" x14ac:dyDescent="0.25">
      <c r="A10297" s="803" t="s">
        <v>4515</v>
      </c>
      <c r="B10297" s="803" t="s">
        <v>4354</v>
      </c>
      <c r="C10297" s="803" t="s">
        <v>4354</v>
      </c>
      <c r="D10297" s="803" t="s">
        <v>4515</v>
      </c>
      <c r="E10297" s="803">
        <v>60</v>
      </c>
      <c r="F10297" s="803">
        <v>10</v>
      </c>
      <c r="G10297" s="202" t="str">
        <f t="shared" si="160"/>
        <v/>
      </c>
    </row>
    <row r="10298" spans="1:7" s="172" customFormat="1" ht="15" customHeight="1" x14ac:dyDescent="0.25">
      <c r="A10298" s="803" t="s">
        <v>4516</v>
      </c>
      <c r="B10298" s="803" t="s">
        <v>4354</v>
      </c>
      <c r="C10298" s="803" t="s">
        <v>4354</v>
      </c>
      <c r="D10298" s="803" t="s">
        <v>4517</v>
      </c>
      <c r="E10298" s="803">
        <v>60</v>
      </c>
      <c r="F10298" s="803">
        <v>10</v>
      </c>
      <c r="G10298" s="202" t="str">
        <f t="shared" si="160"/>
        <v/>
      </c>
    </row>
    <row r="10299" spans="1:7" s="172" customFormat="1" ht="15" customHeight="1" x14ac:dyDescent="0.25">
      <c r="A10299" s="803" t="s">
        <v>16981</v>
      </c>
      <c r="B10299" s="803" t="s">
        <v>4354</v>
      </c>
      <c r="C10299" s="803" t="s">
        <v>4354</v>
      </c>
      <c r="D10299" s="803" t="s">
        <v>4518</v>
      </c>
      <c r="E10299" s="803">
        <v>250</v>
      </c>
      <c r="F10299" s="803">
        <v>80</v>
      </c>
      <c r="G10299" s="202" t="str">
        <f t="shared" si="160"/>
        <v/>
      </c>
    </row>
    <row r="10300" spans="1:7" s="172" customFormat="1" ht="15" customHeight="1" x14ac:dyDescent="0.25">
      <c r="A10300" s="803" t="s">
        <v>4519</v>
      </c>
      <c r="B10300" s="803" t="s">
        <v>4354</v>
      </c>
      <c r="C10300" s="803" t="s">
        <v>4354</v>
      </c>
      <c r="D10300" s="803" t="s">
        <v>4520</v>
      </c>
      <c r="E10300" s="803">
        <v>100</v>
      </c>
      <c r="F10300" s="803">
        <v>20</v>
      </c>
      <c r="G10300" s="202" t="str">
        <f t="shared" si="160"/>
        <v/>
      </c>
    </row>
    <row r="10301" spans="1:7" s="172" customFormat="1" ht="15" customHeight="1" x14ac:dyDescent="0.25">
      <c r="A10301" s="803" t="s">
        <v>4519</v>
      </c>
      <c r="B10301" s="803" t="s">
        <v>4354</v>
      </c>
      <c r="C10301" s="803" t="s">
        <v>4354</v>
      </c>
      <c r="D10301" s="803" t="s">
        <v>4521</v>
      </c>
      <c r="E10301" s="803">
        <v>160</v>
      </c>
      <c r="F10301" s="803">
        <v>60</v>
      </c>
      <c r="G10301" s="202" t="str">
        <f t="shared" si="160"/>
        <v/>
      </c>
    </row>
    <row r="10302" spans="1:7" s="172" customFormat="1" ht="15" customHeight="1" x14ac:dyDescent="0.25">
      <c r="A10302" s="803" t="s">
        <v>4519</v>
      </c>
      <c r="B10302" s="803" t="s">
        <v>4354</v>
      </c>
      <c r="C10302" s="803" t="s">
        <v>4354</v>
      </c>
      <c r="D10302" s="803" t="s">
        <v>4522</v>
      </c>
      <c r="E10302" s="803">
        <v>250</v>
      </c>
      <c r="F10302" s="803">
        <v>100</v>
      </c>
      <c r="G10302" s="202" t="str">
        <f t="shared" si="160"/>
        <v/>
      </c>
    </row>
    <row r="10303" spans="1:7" s="172" customFormat="1" ht="15" customHeight="1" x14ac:dyDescent="0.25">
      <c r="A10303" s="803" t="s">
        <v>4523</v>
      </c>
      <c r="B10303" s="803" t="s">
        <v>4354</v>
      </c>
      <c r="C10303" s="803" t="s">
        <v>4354</v>
      </c>
      <c r="D10303" s="803" t="s">
        <v>4523</v>
      </c>
      <c r="E10303" s="803">
        <v>60</v>
      </c>
      <c r="F10303" s="803">
        <v>10</v>
      </c>
      <c r="G10303" s="202" t="str">
        <f t="shared" si="160"/>
        <v/>
      </c>
    </row>
    <row r="10304" spans="1:7" s="172" customFormat="1" ht="15" customHeight="1" x14ac:dyDescent="0.25">
      <c r="A10304" s="803" t="s">
        <v>4524</v>
      </c>
      <c r="B10304" s="803" t="s">
        <v>4354</v>
      </c>
      <c r="C10304" s="803" t="s">
        <v>4354</v>
      </c>
      <c r="D10304" s="803" t="s">
        <v>4524</v>
      </c>
      <c r="E10304" s="803">
        <v>25</v>
      </c>
      <c r="F10304" s="803">
        <v>5</v>
      </c>
      <c r="G10304" s="202" t="str">
        <f t="shared" si="160"/>
        <v/>
      </c>
    </row>
    <row r="10305" spans="1:7" s="172" customFormat="1" ht="15" customHeight="1" x14ac:dyDescent="0.25">
      <c r="A10305" s="803" t="s">
        <v>4506</v>
      </c>
      <c r="B10305" s="803" t="s">
        <v>4354</v>
      </c>
      <c r="C10305" s="803" t="s">
        <v>4354</v>
      </c>
      <c r="D10305" s="803" t="s">
        <v>4525</v>
      </c>
      <c r="E10305" s="803">
        <v>160</v>
      </c>
      <c r="F10305" s="803">
        <v>20</v>
      </c>
      <c r="G10305" s="202" t="str">
        <f t="shared" si="160"/>
        <v/>
      </c>
    </row>
    <row r="10306" spans="1:7" s="172" customFormat="1" ht="15" customHeight="1" x14ac:dyDescent="0.25">
      <c r="A10306" s="803" t="s">
        <v>4526</v>
      </c>
      <c r="B10306" s="803" t="s">
        <v>4354</v>
      </c>
      <c r="C10306" s="803" t="s">
        <v>4354</v>
      </c>
      <c r="D10306" s="803" t="s">
        <v>4526</v>
      </c>
      <c r="E10306" s="803">
        <v>60</v>
      </c>
      <c r="F10306" s="803">
        <v>10</v>
      </c>
      <c r="G10306" s="202" t="str">
        <f t="shared" si="160"/>
        <v/>
      </c>
    </row>
    <row r="10307" spans="1:7" s="172" customFormat="1" ht="15" customHeight="1" x14ac:dyDescent="0.25">
      <c r="A10307" s="803" t="s">
        <v>4527</v>
      </c>
      <c r="B10307" s="803" t="s">
        <v>4354</v>
      </c>
      <c r="C10307" s="803" t="s">
        <v>4354</v>
      </c>
      <c r="D10307" s="803" t="s">
        <v>4527</v>
      </c>
      <c r="E10307" s="803">
        <v>60</v>
      </c>
      <c r="F10307" s="803">
        <v>10</v>
      </c>
      <c r="G10307" s="202" t="str">
        <f t="shared" si="160"/>
        <v/>
      </c>
    </row>
    <row r="10308" spans="1:7" s="172" customFormat="1" ht="15" customHeight="1" x14ac:dyDescent="0.25">
      <c r="A10308" s="803" t="s">
        <v>4528</v>
      </c>
      <c r="B10308" s="803" t="s">
        <v>4354</v>
      </c>
      <c r="C10308" s="803" t="s">
        <v>4354</v>
      </c>
      <c r="D10308" s="803" t="s">
        <v>4528</v>
      </c>
      <c r="E10308" s="803">
        <v>60</v>
      </c>
      <c r="F10308" s="803">
        <v>10</v>
      </c>
      <c r="G10308" s="202" t="str">
        <f t="shared" si="160"/>
        <v/>
      </c>
    </row>
    <row r="10309" spans="1:7" s="172" customFormat="1" ht="15" customHeight="1" x14ac:dyDescent="0.25">
      <c r="A10309" s="803" t="s">
        <v>4529</v>
      </c>
      <c r="B10309" s="803" t="s">
        <v>4354</v>
      </c>
      <c r="C10309" s="803" t="s">
        <v>4354</v>
      </c>
      <c r="D10309" s="803" t="s">
        <v>4529</v>
      </c>
      <c r="E10309" s="803">
        <v>60</v>
      </c>
      <c r="F10309" s="803">
        <v>25</v>
      </c>
      <c r="G10309" s="202" t="str">
        <f t="shared" si="160"/>
        <v/>
      </c>
    </row>
    <row r="10310" spans="1:7" s="172" customFormat="1" ht="15" customHeight="1" x14ac:dyDescent="0.25">
      <c r="A10310" s="803" t="s">
        <v>4530</v>
      </c>
      <c r="B10310" s="803" t="s">
        <v>4354</v>
      </c>
      <c r="C10310" s="803" t="s">
        <v>4354</v>
      </c>
      <c r="D10310" s="803" t="s">
        <v>20189</v>
      </c>
      <c r="E10310" s="803">
        <v>63</v>
      </c>
      <c r="F10310" s="803">
        <v>48</v>
      </c>
      <c r="G10310" s="202" t="str">
        <f t="shared" si="160"/>
        <v/>
      </c>
    </row>
    <row r="10311" spans="1:7" s="172" customFormat="1" ht="15" customHeight="1" x14ac:dyDescent="0.25">
      <c r="A10311" s="803" t="s">
        <v>4530</v>
      </c>
      <c r="B10311" s="803" t="s">
        <v>4354</v>
      </c>
      <c r="C10311" s="803" t="s">
        <v>4354</v>
      </c>
      <c r="D10311" s="803" t="s">
        <v>4530</v>
      </c>
      <c r="E10311" s="803">
        <v>60</v>
      </c>
      <c r="F10311" s="803">
        <v>20</v>
      </c>
      <c r="G10311" s="202" t="str">
        <f t="shared" si="160"/>
        <v/>
      </c>
    </row>
    <row r="10312" spans="1:7" s="172" customFormat="1" ht="15" customHeight="1" x14ac:dyDescent="0.25">
      <c r="A10312" s="803" t="s">
        <v>4531</v>
      </c>
      <c r="B10312" s="803" t="s">
        <v>4354</v>
      </c>
      <c r="C10312" s="803" t="s">
        <v>4354</v>
      </c>
      <c r="D10312" s="803" t="s">
        <v>4531</v>
      </c>
      <c r="E10312" s="803">
        <v>63</v>
      </c>
      <c r="F10312" s="803">
        <v>12</v>
      </c>
      <c r="G10312" s="202" t="str">
        <f t="shared" si="160"/>
        <v/>
      </c>
    </row>
    <row r="10313" spans="1:7" s="172" customFormat="1" ht="15" customHeight="1" x14ac:dyDescent="0.25">
      <c r="A10313" s="803" t="s">
        <v>4532</v>
      </c>
      <c r="B10313" s="803" t="s">
        <v>4354</v>
      </c>
      <c r="C10313" s="803" t="s">
        <v>4354</v>
      </c>
      <c r="D10313" s="803" t="s">
        <v>4532</v>
      </c>
      <c r="E10313" s="803">
        <v>30</v>
      </c>
      <c r="F10313" s="803">
        <v>10</v>
      </c>
      <c r="G10313" s="202" t="str">
        <f t="shared" si="160"/>
        <v/>
      </c>
    </row>
    <row r="10314" spans="1:7" s="172" customFormat="1" ht="15" customHeight="1" x14ac:dyDescent="0.25">
      <c r="A10314" s="803" t="s">
        <v>4471</v>
      </c>
      <c r="B10314" s="803" t="s">
        <v>4354</v>
      </c>
      <c r="C10314" s="803" t="s">
        <v>4354</v>
      </c>
      <c r="D10314" s="803" t="s">
        <v>4533</v>
      </c>
      <c r="E10314" s="803">
        <v>160</v>
      </c>
      <c r="F10314" s="803">
        <v>100</v>
      </c>
      <c r="G10314" s="202" t="str">
        <f t="shared" si="160"/>
        <v/>
      </c>
    </row>
    <row r="10315" spans="1:7" s="172" customFormat="1" ht="15" customHeight="1" x14ac:dyDescent="0.25">
      <c r="A10315" s="803" t="s">
        <v>4471</v>
      </c>
      <c r="B10315" s="803" t="s">
        <v>4354</v>
      </c>
      <c r="C10315" s="803" t="s">
        <v>4354</v>
      </c>
      <c r="D10315" s="803" t="s">
        <v>4499</v>
      </c>
      <c r="E10315" s="803">
        <v>60</v>
      </c>
      <c r="F10315" s="803">
        <v>20</v>
      </c>
      <c r="G10315" s="202" t="str">
        <f t="shared" si="160"/>
        <v/>
      </c>
    </row>
    <row r="10316" spans="1:7" s="172" customFormat="1" ht="15" customHeight="1" x14ac:dyDescent="0.25">
      <c r="A10316" s="803" t="s">
        <v>4471</v>
      </c>
      <c r="B10316" s="803" t="s">
        <v>4354</v>
      </c>
      <c r="C10316" s="803" t="s">
        <v>4354</v>
      </c>
      <c r="D10316" s="803" t="s">
        <v>4534</v>
      </c>
      <c r="E10316" s="803">
        <v>100</v>
      </c>
      <c r="F10316" s="803">
        <v>50</v>
      </c>
      <c r="G10316" s="202" t="str">
        <f t="shared" si="160"/>
        <v/>
      </c>
    </row>
    <row r="10317" spans="1:7" s="172" customFormat="1" ht="15" customHeight="1" x14ac:dyDescent="0.25">
      <c r="A10317" s="803" t="s">
        <v>4471</v>
      </c>
      <c r="B10317" s="803" t="s">
        <v>4354</v>
      </c>
      <c r="C10317" s="803" t="s">
        <v>4354</v>
      </c>
      <c r="D10317" s="803" t="s">
        <v>4535</v>
      </c>
      <c r="E10317" s="803">
        <v>400</v>
      </c>
      <c r="F10317" s="803">
        <v>300</v>
      </c>
      <c r="G10317" s="202" t="str">
        <f t="shared" si="160"/>
        <v/>
      </c>
    </row>
    <row r="10318" spans="1:7" s="172" customFormat="1" ht="15" customHeight="1" x14ac:dyDescent="0.25">
      <c r="A10318" s="803" t="s">
        <v>4471</v>
      </c>
      <c r="B10318" s="803" t="s">
        <v>4354</v>
      </c>
      <c r="C10318" s="803" t="s">
        <v>4354</v>
      </c>
      <c r="D10318" s="803" t="s">
        <v>4536</v>
      </c>
      <c r="E10318" s="803">
        <v>100</v>
      </c>
      <c r="F10318" s="803">
        <v>50</v>
      </c>
      <c r="G10318" s="202" t="str">
        <f t="shared" si="160"/>
        <v/>
      </c>
    </row>
    <row r="10319" spans="1:7" s="172" customFormat="1" ht="15" customHeight="1" x14ac:dyDescent="0.25">
      <c r="A10319" s="803" t="s">
        <v>4471</v>
      </c>
      <c r="B10319" s="803" t="s">
        <v>4354</v>
      </c>
      <c r="C10319" s="803" t="s">
        <v>4354</v>
      </c>
      <c r="D10319" s="803" t="s">
        <v>4537</v>
      </c>
      <c r="E10319" s="803">
        <v>180</v>
      </c>
      <c r="F10319" s="803">
        <v>60</v>
      </c>
      <c r="G10319" s="202" t="str">
        <f t="shared" si="160"/>
        <v/>
      </c>
    </row>
    <row r="10320" spans="1:7" s="172" customFormat="1" ht="15" customHeight="1" x14ac:dyDescent="0.25">
      <c r="A10320" s="803" t="s">
        <v>4471</v>
      </c>
      <c r="B10320" s="803" t="s">
        <v>4354</v>
      </c>
      <c r="C10320" s="803" t="s">
        <v>4354</v>
      </c>
      <c r="D10320" s="803" t="s">
        <v>4538</v>
      </c>
      <c r="E10320" s="803">
        <v>160</v>
      </c>
      <c r="F10320" s="803">
        <v>100</v>
      </c>
      <c r="G10320" s="202" t="str">
        <f t="shared" si="160"/>
        <v/>
      </c>
    </row>
    <row r="10321" spans="1:7" s="172" customFormat="1" ht="15" customHeight="1" x14ac:dyDescent="0.25">
      <c r="A10321" s="803" t="s">
        <v>16982</v>
      </c>
      <c r="B10321" s="803" t="s">
        <v>4354</v>
      </c>
      <c r="C10321" s="803" t="s">
        <v>4354</v>
      </c>
      <c r="D10321" s="803" t="s">
        <v>4539</v>
      </c>
      <c r="E10321" s="803">
        <v>60</v>
      </c>
      <c r="F10321" s="803">
        <v>20</v>
      </c>
      <c r="G10321" s="202" t="str">
        <f t="shared" si="160"/>
        <v/>
      </c>
    </row>
    <row r="10322" spans="1:7" s="172" customFormat="1" ht="15" customHeight="1" x14ac:dyDescent="0.25">
      <c r="A10322" s="803" t="s">
        <v>16982</v>
      </c>
      <c r="B10322" s="803" t="s">
        <v>4354</v>
      </c>
      <c r="C10322" s="803" t="s">
        <v>4354</v>
      </c>
      <c r="D10322" s="803" t="s">
        <v>4540</v>
      </c>
      <c r="E10322" s="803">
        <v>60</v>
      </c>
      <c r="F10322" s="803">
        <v>20</v>
      </c>
      <c r="G10322" s="202" t="str">
        <f t="shared" si="160"/>
        <v/>
      </c>
    </row>
    <row r="10323" spans="1:7" s="172" customFormat="1" ht="15" customHeight="1" x14ac:dyDescent="0.25">
      <c r="A10323" s="803" t="s">
        <v>4541</v>
      </c>
      <c r="B10323" s="803" t="s">
        <v>4354</v>
      </c>
      <c r="C10323" s="803" t="s">
        <v>4354</v>
      </c>
      <c r="D10323" s="803" t="s">
        <v>4542</v>
      </c>
      <c r="E10323" s="803">
        <v>60</v>
      </c>
      <c r="F10323" s="803">
        <v>10</v>
      </c>
      <c r="G10323" s="202" t="str">
        <f t="shared" si="160"/>
        <v/>
      </c>
    </row>
    <row r="10324" spans="1:7" s="172" customFormat="1" ht="15" customHeight="1" x14ac:dyDescent="0.25">
      <c r="A10324" s="803" t="s">
        <v>4541</v>
      </c>
      <c r="B10324" s="803" t="s">
        <v>4354</v>
      </c>
      <c r="C10324" s="803" t="s">
        <v>4354</v>
      </c>
      <c r="D10324" s="803" t="s">
        <v>4543</v>
      </c>
      <c r="E10324" s="803">
        <v>160</v>
      </c>
      <c r="F10324" s="803">
        <v>60</v>
      </c>
      <c r="G10324" s="202" t="str">
        <f t="shared" si="160"/>
        <v/>
      </c>
    </row>
    <row r="10325" spans="1:7" s="172" customFormat="1" ht="15" customHeight="1" x14ac:dyDescent="0.25">
      <c r="A10325" s="803" t="s">
        <v>4541</v>
      </c>
      <c r="B10325" s="803" t="s">
        <v>4354</v>
      </c>
      <c r="C10325" s="803" t="s">
        <v>4354</v>
      </c>
      <c r="D10325" s="803" t="s">
        <v>4544</v>
      </c>
      <c r="E10325" s="803">
        <v>160</v>
      </c>
      <c r="F10325" s="803">
        <v>60</v>
      </c>
      <c r="G10325" s="202" t="str">
        <f t="shared" si="160"/>
        <v/>
      </c>
    </row>
    <row r="10326" spans="1:7" s="172" customFormat="1" ht="15" customHeight="1" x14ac:dyDescent="0.25">
      <c r="A10326" s="803" t="s">
        <v>4545</v>
      </c>
      <c r="B10326" s="803" t="s">
        <v>4354</v>
      </c>
      <c r="C10326" s="803" t="s">
        <v>4354</v>
      </c>
      <c r="D10326" s="803" t="s">
        <v>4499</v>
      </c>
      <c r="E10326" s="803">
        <v>100</v>
      </c>
      <c r="F10326" s="803">
        <v>80</v>
      </c>
      <c r="G10326" s="202" t="str">
        <f t="shared" ref="G10326:G10388" si="161">IF(E10326=F10326,"не загружен","")</f>
        <v/>
      </c>
    </row>
    <row r="10327" spans="1:7" s="172" customFormat="1" ht="15" customHeight="1" x14ac:dyDescent="0.25">
      <c r="A10327" s="803" t="s">
        <v>4545</v>
      </c>
      <c r="B10327" s="803" t="s">
        <v>4354</v>
      </c>
      <c r="C10327" s="803" t="s">
        <v>4354</v>
      </c>
      <c r="D10327" s="803" t="s">
        <v>4546</v>
      </c>
      <c r="E10327" s="803">
        <v>60</v>
      </c>
      <c r="F10327" s="803">
        <v>10</v>
      </c>
      <c r="G10327" s="202" t="str">
        <f t="shared" si="161"/>
        <v/>
      </c>
    </row>
    <row r="10328" spans="1:7" s="172" customFormat="1" ht="15" customHeight="1" x14ac:dyDescent="0.25">
      <c r="A10328" s="803" t="s">
        <v>4545</v>
      </c>
      <c r="B10328" s="803" t="s">
        <v>4354</v>
      </c>
      <c r="C10328" s="803" t="s">
        <v>4354</v>
      </c>
      <c r="D10328" s="803" t="s">
        <v>4547</v>
      </c>
      <c r="E10328" s="803">
        <v>100</v>
      </c>
      <c r="F10328" s="803">
        <v>20</v>
      </c>
      <c r="G10328" s="202" t="str">
        <f t="shared" si="161"/>
        <v/>
      </c>
    </row>
    <row r="10329" spans="1:7" s="172" customFormat="1" ht="15" customHeight="1" x14ac:dyDescent="0.25">
      <c r="A10329" s="803" t="s">
        <v>4548</v>
      </c>
      <c r="B10329" s="803" t="s">
        <v>4354</v>
      </c>
      <c r="C10329" s="803" t="s">
        <v>4354</v>
      </c>
      <c r="D10329" s="803" t="s">
        <v>4548</v>
      </c>
      <c r="E10329" s="803">
        <v>100</v>
      </c>
      <c r="F10329" s="803">
        <v>40</v>
      </c>
      <c r="G10329" s="202" t="str">
        <f t="shared" si="161"/>
        <v/>
      </c>
    </row>
    <row r="10330" spans="1:7" s="172" customFormat="1" ht="15" customHeight="1" x14ac:dyDescent="0.25">
      <c r="A10330" s="803" t="s">
        <v>4549</v>
      </c>
      <c r="B10330" s="803" t="s">
        <v>4354</v>
      </c>
      <c r="C10330" s="803" t="s">
        <v>4354</v>
      </c>
      <c r="D10330" s="803" t="s">
        <v>4549</v>
      </c>
      <c r="E10330" s="803">
        <v>160</v>
      </c>
      <c r="F10330" s="803">
        <v>100</v>
      </c>
      <c r="G10330" s="202" t="str">
        <f t="shared" si="161"/>
        <v/>
      </c>
    </row>
    <row r="10331" spans="1:7" s="172" customFormat="1" ht="15" customHeight="1" x14ac:dyDescent="0.25">
      <c r="A10331" s="803" t="s">
        <v>4550</v>
      </c>
      <c r="B10331" s="803" t="s">
        <v>4354</v>
      </c>
      <c r="C10331" s="803" t="s">
        <v>4354</v>
      </c>
      <c r="D10331" s="803" t="s">
        <v>4550</v>
      </c>
      <c r="E10331" s="803">
        <v>40</v>
      </c>
      <c r="F10331" s="803">
        <v>10</v>
      </c>
      <c r="G10331" s="202" t="str">
        <f t="shared" si="161"/>
        <v/>
      </c>
    </row>
    <row r="10332" spans="1:7" s="172" customFormat="1" ht="15" customHeight="1" x14ac:dyDescent="0.25">
      <c r="A10332" s="803" t="s">
        <v>4551</v>
      </c>
      <c r="B10332" s="803" t="s">
        <v>4354</v>
      </c>
      <c r="C10332" s="803" t="s">
        <v>4354</v>
      </c>
      <c r="D10332" s="803" t="s">
        <v>4551</v>
      </c>
      <c r="E10332" s="803">
        <v>60</v>
      </c>
      <c r="F10332" s="803">
        <v>20</v>
      </c>
      <c r="G10332" s="202" t="str">
        <f t="shared" si="161"/>
        <v/>
      </c>
    </row>
    <row r="10333" spans="1:7" s="172" customFormat="1" ht="15" customHeight="1" x14ac:dyDescent="0.25">
      <c r="A10333" s="803" t="s">
        <v>4552</v>
      </c>
      <c r="B10333" s="803" t="s">
        <v>4354</v>
      </c>
      <c r="C10333" s="803" t="s">
        <v>4354</v>
      </c>
      <c r="D10333" s="803" t="s">
        <v>4553</v>
      </c>
      <c r="E10333" s="803">
        <v>250</v>
      </c>
      <c r="F10333" s="803">
        <v>200</v>
      </c>
      <c r="G10333" s="202" t="str">
        <f t="shared" si="161"/>
        <v/>
      </c>
    </row>
    <row r="10334" spans="1:7" s="172" customFormat="1" ht="15" customHeight="1" x14ac:dyDescent="0.25">
      <c r="A10334" s="803" t="s">
        <v>4554</v>
      </c>
      <c r="B10334" s="803" t="s">
        <v>4354</v>
      </c>
      <c r="C10334" s="803" t="s">
        <v>4354</v>
      </c>
      <c r="D10334" s="803" t="s">
        <v>4554</v>
      </c>
      <c r="E10334" s="803">
        <v>50</v>
      </c>
      <c r="F10334" s="803">
        <v>10</v>
      </c>
      <c r="G10334" s="202" t="str">
        <f t="shared" si="161"/>
        <v/>
      </c>
    </row>
    <row r="10335" spans="1:7" s="172" customFormat="1" ht="15" customHeight="1" x14ac:dyDescent="0.25">
      <c r="A10335" s="803" t="s">
        <v>4555</v>
      </c>
      <c r="B10335" s="803" t="s">
        <v>4354</v>
      </c>
      <c r="C10335" s="803" t="s">
        <v>4354</v>
      </c>
      <c r="D10335" s="803" t="s">
        <v>4555</v>
      </c>
      <c r="E10335" s="803">
        <v>250</v>
      </c>
      <c r="F10335" s="803">
        <v>50</v>
      </c>
      <c r="G10335" s="202" t="str">
        <f t="shared" si="161"/>
        <v/>
      </c>
    </row>
    <row r="10336" spans="1:7" s="172" customFormat="1" ht="15" customHeight="1" x14ac:dyDescent="0.25">
      <c r="A10336" s="803" t="s">
        <v>4556</v>
      </c>
      <c r="B10336" s="803" t="s">
        <v>4354</v>
      </c>
      <c r="C10336" s="803" t="s">
        <v>4354</v>
      </c>
      <c r="D10336" s="803" t="s">
        <v>4556</v>
      </c>
      <c r="E10336" s="803">
        <v>100</v>
      </c>
      <c r="F10336" s="803">
        <v>60</v>
      </c>
      <c r="G10336" s="202" t="str">
        <f t="shared" si="161"/>
        <v/>
      </c>
    </row>
    <row r="10337" spans="1:7" s="172" customFormat="1" ht="15" customHeight="1" x14ac:dyDescent="0.25">
      <c r="A10337" s="803" t="s">
        <v>4557</v>
      </c>
      <c r="B10337" s="803" t="s">
        <v>4354</v>
      </c>
      <c r="C10337" s="803" t="s">
        <v>4354</v>
      </c>
      <c r="D10337" s="803" t="s">
        <v>4557</v>
      </c>
      <c r="E10337" s="803">
        <v>60</v>
      </c>
      <c r="F10337" s="803">
        <v>10</v>
      </c>
      <c r="G10337" s="202" t="str">
        <f t="shared" si="161"/>
        <v/>
      </c>
    </row>
    <row r="10338" spans="1:7" s="172" customFormat="1" ht="15" customHeight="1" x14ac:dyDescent="0.25">
      <c r="A10338" s="803" t="s">
        <v>4557</v>
      </c>
      <c r="B10338" s="803" t="s">
        <v>4354</v>
      </c>
      <c r="C10338" s="803" t="s">
        <v>4354</v>
      </c>
      <c r="D10338" s="803" t="s">
        <v>4558</v>
      </c>
      <c r="E10338" s="803">
        <v>160</v>
      </c>
      <c r="F10338" s="803">
        <v>40</v>
      </c>
      <c r="G10338" s="202" t="str">
        <f t="shared" si="161"/>
        <v/>
      </c>
    </row>
    <row r="10339" spans="1:7" s="172" customFormat="1" ht="15" customHeight="1" x14ac:dyDescent="0.25">
      <c r="A10339" s="803" t="s">
        <v>4557</v>
      </c>
      <c r="B10339" s="803" t="s">
        <v>4354</v>
      </c>
      <c r="C10339" s="803" t="s">
        <v>4354</v>
      </c>
      <c r="D10339" s="803" t="s">
        <v>4559</v>
      </c>
      <c r="E10339" s="803">
        <v>63</v>
      </c>
      <c r="F10339" s="803">
        <v>10</v>
      </c>
      <c r="G10339" s="202" t="str">
        <f t="shared" si="161"/>
        <v/>
      </c>
    </row>
    <row r="10340" spans="1:7" s="172" customFormat="1" ht="15" customHeight="1" x14ac:dyDescent="0.25">
      <c r="A10340" s="803" t="s">
        <v>4557</v>
      </c>
      <c r="B10340" s="803" t="s">
        <v>4354</v>
      </c>
      <c r="C10340" s="803" t="s">
        <v>4354</v>
      </c>
      <c r="D10340" s="803" t="s">
        <v>4560</v>
      </c>
      <c r="E10340" s="803">
        <v>100</v>
      </c>
      <c r="F10340" s="803">
        <v>10</v>
      </c>
      <c r="G10340" s="202" t="str">
        <f t="shared" si="161"/>
        <v/>
      </c>
    </row>
    <row r="10341" spans="1:7" s="172" customFormat="1" ht="15" customHeight="1" x14ac:dyDescent="0.25">
      <c r="A10341" s="803" t="s">
        <v>4561</v>
      </c>
      <c r="B10341" s="803" t="s">
        <v>4354</v>
      </c>
      <c r="C10341" s="803" t="s">
        <v>4354</v>
      </c>
      <c r="D10341" s="803" t="s">
        <v>4561</v>
      </c>
      <c r="E10341" s="803">
        <v>100</v>
      </c>
      <c r="F10341" s="803">
        <v>20</v>
      </c>
      <c r="G10341" s="202" t="str">
        <f t="shared" si="161"/>
        <v/>
      </c>
    </row>
    <row r="10342" spans="1:7" s="172" customFormat="1" ht="15" customHeight="1" x14ac:dyDescent="0.25">
      <c r="A10342" s="803" t="s">
        <v>4562</v>
      </c>
      <c r="B10342" s="803" t="s">
        <v>4354</v>
      </c>
      <c r="C10342" s="803" t="s">
        <v>4354</v>
      </c>
      <c r="D10342" s="803" t="s">
        <v>4562</v>
      </c>
      <c r="E10342" s="803">
        <v>40</v>
      </c>
      <c r="F10342" s="803">
        <v>10</v>
      </c>
      <c r="G10342" s="202" t="str">
        <f t="shared" si="161"/>
        <v/>
      </c>
    </row>
    <row r="10343" spans="1:7" s="172" customFormat="1" ht="15" customHeight="1" x14ac:dyDescent="0.25">
      <c r="A10343" s="803" t="s">
        <v>4562</v>
      </c>
      <c r="B10343" s="803" t="s">
        <v>4354</v>
      </c>
      <c r="C10343" s="803" t="s">
        <v>4354</v>
      </c>
      <c r="D10343" s="803" t="s">
        <v>4563</v>
      </c>
      <c r="E10343" s="803">
        <v>100</v>
      </c>
      <c r="F10343" s="803">
        <v>20</v>
      </c>
      <c r="G10343" s="202" t="str">
        <f t="shared" si="161"/>
        <v/>
      </c>
    </row>
    <row r="10344" spans="1:7" s="172" customFormat="1" ht="15" customHeight="1" x14ac:dyDescent="0.25">
      <c r="A10344" s="803" t="s">
        <v>4564</v>
      </c>
      <c r="B10344" s="803" t="s">
        <v>4354</v>
      </c>
      <c r="C10344" s="803" t="s">
        <v>4354</v>
      </c>
      <c r="D10344" s="803" t="s">
        <v>4565</v>
      </c>
      <c r="E10344" s="803">
        <v>40</v>
      </c>
      <c r="F10344" s="803">
        <v>20</v>
      </c>
      <c r="G10344" s="202" t="str">
        <f t="shared" si="161"/>
        <v/>
      </c>
    </row>
    <row r="10345" spans="1:7" s="172" customFormat="1" ht="15" customHeight="1" x14ac:dyDescent="0.25">
      <c r="A10345" s="803" t="s">
        <v>4566</v>
      </c>
      <c r="B10345" s="803" t="s">
        <v>4354</v>
      </c>
      <c r="C10345" s="803" t="s">
        <v>4354</v>
      </c>
      <c r="D10345" s="803" t="s">
        <v>4566</v>
      </c>
      <c r="E10345" s="803">
        <v>25</v>
      </c>
      <c r="F10345" s="803">
        <v>10</v>
      </c>
      <c r="G10345" s="202" t="str">
        <f t="shared" si="161"/>
        <v/>
      </c>
    </row>
    <row r="10346" spans="1:7" s="172" customFormat="1" ht="15" customHeight="1" x14ac:dyDescent="0.25">
      <c r="A10346" s="803" t="s">
        <v>16983</v>
      </c>
      <c r="B10346" s="803" t="s">
        <v>4354</v>
      </c>
      <c r="C10346" s="803" t="s">
        <v>4354</v>
      </c>
      <c r="D10346" s="803" t="s">
        <v>4567</v>
      </c>
      <c r="E10346" s="803">
        <v>250</v>
      </c>
      <c r="F10346" s="803">
        <v>200</v>
      </c>
      <c r="G10346" s="202" t="str">
        <f t="shared" si="161"/>
        <v/>
      </c>
    </row>
    <row r="10347" spans="1:7" s="172" customFormat="1" ht="15" customHeight="1" x14ac:dyDescent="0.25">
      <c r="A10347" s="803" t="s">
        <v>4568</v>
      </c>
      <c r="B10347" s="803" t="s">
        <v>4354</v>
      </c>
      <c r="C10347" s="803" t="s">
        <v>4354</v>
      </c>
      <c r="D10347" s="803" t="s">
        <v>4569</v>
      </c>
      <c r="E10347" s="803">
        <v>250</v>
      </c>
      <c r="F10347" s="803">
        <v>200</v>
      </c>
      <c r="G10347" s="202" t="str">
        <f t="shared" si="161"/>
        <v/>
      </c>
    </row>
    <row r="10348" spans="1:7" s="172" customFormat="1" ht="15" customHeight="1" x14ac:dyDescent="0.25">
      <c r="A10348" s="803" t="s">
        <v>4570</v>
      </c>
      <c r="B10348" s="803" t="s">
        <v>4354</v>
      </c>
      <c r="C10348" s="803" t="s">
        <v>4354</v>
      </c>
      <c r="D10348" s="803" t="s">
        <v>4570</v>
      </c>
      <c r="E10348" s="803">
        <v>100</v>
      </c>
      <c r="F10348" s="803">
        <v>50</v>
      </c>
      <c r="G10348" s="202" t="str">
        <f t="shared" si="161"/>
        <v/>
      </c>
    </row>
    <row r="10349" spans="1:7" s="172" customFormat="1" ht="15" customHeight="1" x14ac:dyDescent="0.25">
      <c r="A10349" s="803" t="s">
        <v>4571</v>
      </c>
      <c r="B10349" s="803" t="s">
        <v>4354</v>
      </c>
      <c r="C10349" s="803" t="s">
        <v>4354</v>
      </c>
      <c r="D10349" s="803" t="s">
        <v>4572</v>
      </c>
      <c r="E10349" s="803">
        <v>30</v>
      </c>
      <c r="F10349" s="803">
        <v>5</v>
      </c>
      <c r="G10349" s="202" t="str">
        <f t="shared" si="161"/>
        <v/>
      </c>
    </row>
    <row r="10350" spans="1:7" s="172" customFormat="1" ht="15" customHeight="1" x14ac:dyDescent="0.25">
      <c r="A10350" s="803" t="s">
        <v>4573</v>
      </c>
      <c r="B10350" s="803" t="s">
        <v>4354</v>
      </c>
      <c r="C10350" s="803" t="s">
        <v>4354</v>
      </c>
      <c r="D10350" s="803" t="s">
        <v>4573</v>
      </c>
      <c r="E10350" s="803">
        <v>60</v>
      </c>
      <c r="F10350" s="803">
        <v>10</v>
      </c>
      <c r="G10350" s="202" t="str">
        <f t="shared" si="161"/>
        <v/>
      </c>
    </row>
    <row r="10351" spans="1:7" s="172" customFormat="1" ht="15" customHeight="1" x14ac:dyDescent="0.25">
      <c r="A10351" s="803" t="s">
        <v>4568</v>
      </c>
      <c r="B10351" s="803" t="s">
        <v>4354</v>
      </c>
      <c r="C10351" s="803" t="s">
        <v>4354</v>
      </c>
      <c r="D10351" s="803" t="s">
        <v>4574</v>
      </c>
      <c r="E10351" s="803">
        <v>100</v>
      </c>
      <c r="F10351" s="803">
        <v>20</v>
      </c>
      <c r="G10351" s="202" t="str">
        <f t="shared" si="161"/>
        <v/>
      </c>
    </row>
    <row r="10352" spans="1:7" s="172" customFormat="1" ht="15" customHeight="1" x14ac:dyDescent="0.25">
      <c r="A10352" s="803" t="s">
        <v>4575</v>
      </c>
      <c r="B10352" s="803" t="s">
        <v>4354</v>
      </c>
      <c r="C10352" s="803" t="s">
        <v>4354</v>
      </c>
      <c r="D10352" s="803" t="s">
        <v>4575</v>
      </c>
      <c r="E10352" s="803">
        <v>25</v>
      </c>
      <c r="F10352" s="803">
        <v>5</v>
      </c>
      <c r="G10352" s="202" t="str">
        <f t="shared" si="161"/>
        <v/>
      </c>
    </row>
    <row r="10353" spans="1:7" s="172" customFormat="1" ht="15" customHeight="1" x14ac:dyDescent="0.25">
      <c r="A10353" s="803" t="s">
        <v>16984</v>
      </c>
      <c r="B10353" s="803" t="s">
        <v>4354</v>
      </c>
      <c r="C10353" s="803" t="s">
        <v>4354</v>
      </c>
      <c r="D10353" s="803" t="s">
        <v>4576</v>
      </c>
      <c r="E10353" s="803">
        <v>100</v>
      </c>
      <c r="F10353" s="803">
        <v>20</v>
      </c>
      <c r="G10353" s="202" t="str">
        <f t="shared" si="161"/>
        <v/>
      </c>
    </row>
    <row r="10354" spans="1:7" s="172" customFormat="1" ht="15" customHeight="1" x14ac:dyDescent="0.25">
      <c r="A10354" s="803" t="s">
        <v>16984</v>
      </c>
      <c r="B10354" s="803" t="s">
        <v>4354</v>
      </c>
      <c r="C10354" s="803" t="s">
        <v>4354</v>
      </c>
      <c r="D10354" s="803" t="s">
        <v>4577</v>
      </c>
      <c r="E10354" s="803">
        <v>60</v>
      </c>
      <c r="F10354" s="803">
        <v>30</v>
      </c>
      <c r="G10354" s="202" t="str">
        <f t="shared" si="161"/>
        <v/>
      </c>
    </row>
    <row r="10355" spans="1:7" s="172" customFormat="1" ht="15" customHeight="1" x14ac:dyDescent="0.25">
      <c r="A10355" s="803" t="s">
        <v>4578</v>
      </c>
      <c r="B10355" s="803" t="s">
        <v>4354</v>
      </c>
      <c r="C10355" s="803" t="s">
        <v>4354</v>
      </c>
      <c r="D10355" s="803" t="s">
        <v>4578</v>
      </c>
      <c r="E10355" s="803">
        <v>10</v>
      </c>
      <c r="F10355" s="803">
        <v>2</v>
      </c>
      <c r="G10355" s="202" t="str">
        <f t="shared" si="161"/>
        <v/>
      </c>
    </row>
    <row r="10356" spans="1:7" s="172" customFormat="1" ht="15" customHeight="1" x14ac:dyDescent="0.25">
      <c r="A10356" s="803" t="s">
        <v>4579</v>
      </c>
      <c r="B10356" s="803" t="s">
        <v>4354</v>
      </c>
      <c r="C10356" s="803" t="s">
        <v>4354</v>
      </c>
      <c r="D10356" s="803" t="s">
        <v>4579</v>
      </c>
      <c r="E10356" s="803">
        <v>25</v>
      </c>
      <c r="F10356" s="803">
        <v>10</v>
      </c>
      <c r="G10356" s="202" t="str">
        <f t="shared" si="161"/>
        <v/>
      </c>
    </row>
    <row r="10357" spans="1:7" s="172" customFormat="1" ht="15" customHeight="1" x14ac:dyDescent="0.25">
      <c r="A10357" s="803" t="s">
        <v>16985</v>
      </c>
      <c r="B10357" s="803" t="s">
        <v>4354</v>
      </c>
      <c r="C10357" s="803" t="s">
        <v>4354</v>
      </c>
      <c r="D10357" s="803" t="s">
        <v>4580</v>
      </c>
      <c r="E10357" s="803">
        <v>100</v>
      </c>
      <c r="F10357" s="803">
        <v>10</v>
      </c>
      <c r="G10357" s="202" t="str">
        <f t="shared" si="161"/>
        <v/>
      </c>
    </row>
    <row r="10358" spans="1:7" s="172" customFormat="1" ht="15" customHeight="1" x14ac:dyDescent="0.25">
      <c r="A10358" s="803" t="s">
        <v>16986</v>
      </c>
      <c r="B10358" s="803" t="s">
        <v>4354</v>
      </c>
      <c r="C10358" s="803" t="s">
        <v>4354</v>
      </c>
      <c r="D10358" s="803" t="s">
        <v>4581</v>
      </c>
      <c r="E10358" s="803">
        <v>63</v>
      </c>
      <c r="F10358" s="803">
        <v>5</v>
      </c>
      <c r="G10358" s="202" t="str">
        <f t="shared" si="161"/>
        <v/>
      </c>
    </row>
    <row r="10359" spans="1:7" s="172" customFormat="1" ht="15" customHeight="1" x14ac:dyDescent="0.25">
      <c r="A10359" s="803" t="s">
        <v>16986</v>
      </c>
      <c r="B10359" s="803" t="s">
        <v>4354</v>
      </c>
      <c r="C10359" s="803" t="s">
        <v>4354</v>
      </c>
      <c r="D10359" s="803" t="s">
        <v>4582</v>
      </c>
      <c r="E10359" s="803">
        <v>63</v>
      </c>
      <c r="F10359" s="803">
        <v>50</v>
      </c>
      <c r="G10359" s="202" t="str">
        <f t="shared" si="161"/>
        <v/>
      </c>
    </row>
    <row r="10360" spans="1:7" s="172" customFormat="1" ht="15" customHeight="1" x14ac:dyDescent="0.25">
      <c r="A10360" s="803" t="s">
        <v>16986</v>
      </c>
      <c r="B10360" s="803" t="s">
        <v>4354</v>
      </c>
      <c r="C10360" s="803" t="s">
        <v>4354</v>
      </c>
      <c r="D10360" s="803" t="s">
        <v>4583</v>
      </c>
      <c r="E10360" s="803">
        <v>100</v>
      </c>
      <c r="F10360" s="803">
        <v>60</v>
      </c>
      <c r="G10360" s="202" t="str">
        <f t="shared" si="161"/>
        <v/>
      </c>
    </row>
    <row r="10361" spans="1:7" s="172" customFormat="1" ht="15" customHeight="1" x14ac:dyDescent="0.25">
      <c r="A10361" s="803" t="s">
        <v>16986</v>
      </c>
      <c r="B10361" s="803" t="s">
        <v>4354</v>
      </c>
      <c r="C10361" s="803" t="s">
        <v>4354</v>
      </c>
      <c r="D10361" s="803" t="s">
        <v>4584</v>
      </c>
      <c r="E10361" s="803">
        <v>800</v>
      </c>
      <c r="F10361" s="803">
        <v>100</v>
      </c>
      <c r="G10361" s="202" t="str">
        <f t="shared" si="161"/>
        <v/>
      </c>
    </row>
    <row r="10362" spans="1:7" s="172" customFormat="1" ht="15" customHeight="1" x14ac:dyDescent="0.25">
      <c r="A10362" s="803" t="s">
        <v>16986</v>
      </c>
      <c r="B10362" s="803" t="s">
        <v>4354</v>
      </c>
      <c r="C10362" s="803" t="s">
        <v>4354</v>
      </c>
      <c r="D10362" s="803" t="s">
        <v>4585</v>
      </c>
      <c r="E10362" s="803">
        <v>100</v>
      </c>
      <c r="F10362" s="803">
        <v>50</v>
      </c>
      <c r="G10362" s="202" t="str">
        <f t="shared" si="161"/>
        <v/>
      </c>
    </row>
    <row r="10363" spans="1:7" s="172" customFormat="1" ht="15" customHeight="1" x14ac:dyDescent="0.25">
      <c r="A10363" s="803" t="s">
        <v>16986</v>
      </c>
      <c r="B10363" s="803" t="s">
        <v>4354</v>
      </c>
      <c r="C10363" s="803" t="s">
        <v>4354</v>
      </c>
      <c r="D10363" s="803" t="s">
        <v>4586</v>
      </c>
      <c r="E10363" s="803">
        <v>100</v>
      </c>
      <c r="F10363" s="803">
        <v>20</v>
      </c>
      <c r="G10363" s="202" t="str">
        <f t="shared" si="161"/>
        <v/>
      </c>
    </row>
    <row r="10364" spans="1:7" s="172" customFormat="1" ht="15" customHeight="1" x14ac:dyDescent="0.25">
      <c r="A10364" s="803" t="s">
        <v>16986</v>
      </c>
      <c r="B10364" s="803" t="s">
        <v>4354</v>
      </c>
      <c r="C10364" s="803" t="s">
        <v>4354</v>
      </c>
      <c r="D10364" s="803" t="s">
        <v>4587</v>
      </c>
      <c r="E10364" s="803">
        <v>160</v>
      </c>
      <c r="F10364" s="803">
        <v>60</v>
      </c>
      <c r="G10364" s="202" t="str">
        <f t="shared" si="161"/>
        <v/>
      </c>
    </row>
    <row r="10365" spans="1:7" s="172" customFormat="1" ht="15" customHeight="1" x14ac:dyDescent="0.25">
      <c r="A10365" s="803" t="s">
        <v>16985</v>
      </c>
      <c r="B10365" s="803" t="s">
        <v>4354</v>
      </c>
      <c r="C10365" s="803" t="s">
        <v>4354</v>
      </c>
      <c r="D10365" s="803" t="s">
        <v>4588</v>
      </c>
      <c r="E10365" s="803">
        <v>100</v>
      </c>
      <c r="F10365" s="803">
        <v>20</v>
      </c>
      <c r="G10365" s="202" t="str">
        <f t="shared" si="161"/>
        <v/>
      </c>
    </row>
    <row r="10366" spans="1:7" s="172" customFormat="1" ht="15" customHeight="1" x14ac:dyDescent="0.25">
      <c r="A10366" s="803" t="s">
        <v>4589</v>
      </c>
      <c r="B10366" s="803" t="s">
        <v>4354</v>
      </c>
      <c r="C10366" s="803" t="s">
        <v>4354</v>
      </c>
      <c r="D10366" s="803" t="s">
        <v>4589</v>
      </c>
      <c r="E10366" s="803">
        <v>63</v>
      </c>
      <c r="F10366" s="803">
        <v>20</v>
      </c>
      <c r="G10366" s="202" t="str">
        <f t="shared" si="161"/>
        <v/>
      </c>
    </row>
    <row r="10367" spans="1:7" s="172" customFormat="1" ht="15" customHeight="1" x14ac:dyDescent="0.25">
      <c r="A10367" s="803" t="s">
        <v>16987</v>
      </c>
      <c r="B10367" s="803" t="s">
        <v>4354</v>
      </c>
      <c r="C10367" s="803" t="s">
        <v>4354</v>
      </c>
      <c r="D10367" s="803" t="s">
        <v>4590</v>
      </c>
      <c r="E10367" s="803">
        <v>100</v>
      </c>
      <c r="F10367" s="803">
        <v>60</v>
      </c>
      <c r="G10367" s="202" t="str">
        <f t="shared" si="161"/>
        <v/>
      </c>
    </row>
    <row r="10368" spans="1:7" s="172" customFormat="1" ht="15" customHeight="1" x14ac:dyDescent="0.25">
      <c r="A10368" s="803" t="s">
        <v>4591</v>
      </c>
      <c r="B10368" s="803" t="s">
        <v>4354</v>
      </c>
      <c r="C10368" s="803" t="s">
        <v>4354</v>
      </c>
      <c r="D10368" s="803" t="s">
        <v>4591</v>
      </c>
      <c r="E10368" s="803">
        <v>63</v>
      </c>
      <c r="F10368" s="803">
        <v>50</v>
      </c>
      <c r="G10368" s="202" t="str">
        <f t="shared" si="161"/>
        <v/>
      </c>
    </row>
    <row r="10369" spans="1:7" s="172" customFormat="1" ht="15" customHeight="1" x14ac:dyDescent="0.25">
      <c r="A10369" s="803" t="s">
        <v>16986</v>
      </c>
      <c r="B10369" s="803" t="s">
        <v>4354</v>
      </c>
      <c r="C10369" s="803" t="s">
        <v>4354</v>
      </c>
      <c r="D10369" s="803" t="s">
        <v>4581</v>
      </c>
      <c r="E10369" s="803">
        <v>63</v>
      </c>
      <c r="F10369" s="803">
        <v>5</v>
      </c>
      <c r="G10369" s="202" t="str">
        <f t="shared" si="161"/>
        <v/>
      </c>
    </row>
    <row r="10370" spans="1:7" s="172" customFormat="1" ht="15" customHeight="1" x14ac:dyDescent="0.25">
      <c r="A10370" s="803" t="s">
        <v>16986</v>
      </c>
      <c r="B10370" s="803" t="s">
        <v>4354</v>
      </c>
      <c r="C10370" s="803" t="s">
        <v>4354</v>
      </c>
      <c r="D10370" s="803" t="s">
        <v>4592</v>
      </c>
      <c r="E10370" s="803">
        <v>63</v>
      </c>
      <c r="F10370" s="803">
        <v>55</v>
      </c>
      <c r="G10370" s="202" t="str">
        <f t="shared" si="161"/>
        <v/>
      </c>
    </row>
    <row r="10371" spans="1:7" s="172" customFormat="1" ht="15" customHeight="1" x14ac:dyDescent="0.25">
      <c r="A10371" s="803" t="s">
        <v>4593</v>
      </c>
      <c r="B10371" s="803" t="s">
        <v>4354</v>
      </c>
      <c r="C10371" s="803" t="s">
        <v>4354</v>
      </c>
      <c r="D10371" s="803" t="s">
        <v>4593</v>
      </c>
      <c r="E10371" s="803">
        <v>60</v>
      </c>
      <c r="F10371" s="803">
        <v>10</v>
      </c>
      <c r="G10371" s="202" t="str">
        <f t="shared" si="161"/>
        <v/>
      </c>
    </row>
    <row r="10372" spans="1:7" s="172" customFormat="1" ht="15" customHeight="1" x14ac:dyDescent="0.25">
      <c r="A10372" s="803" t="s">
        <v>4594</v>
      </c>
      <c r="B10372" s="803" t="s">
        <v>4354</v>
      </c>
      <c r="C10372" s="803" t="s">
        <v>4354</v>
      </c>
      <c r="D10372" s="803" t="s">
        <v>4594</v>
      </c>
      <c r="E10372" s="803">
        <v>30</v>
      </c>
      <c r="F10372" s="803">
        <v>5</v>
      </c>
      <c r="G10372" s="202" t="str">
        <f t="shared" si="161"/>
        <v/>
      </c>
    </row>
    <row r="10373" spans="1:7" s="172" customFormat="1" ht="15" customHeight="1" x14ac:dyDescent="0.25">
      <c r="A10373" s="803" t="s">
        <v>4595</v>
      </c>
      <c r="B10373" s="803" t="s">
        <v>4354</v>
      </c>
      <c r="C10373" s="803" t="s">
        <v>4354</v>
      </c>
      <c r="D10373" s="803" t="s">
        <v>4595</v>
      </c>
      <c r="E10373" s="803">
        <v>100</v>
      </c>
      <c r="F10373" s="803">
        <v>50</v>
      </c>
      <c r="G10373" s="202" t="str">
        <f t="shared" si="161"/>
        <v/>
      </c>
    </row>
    <row r="10374" spans="1:7" s="172" customFormat="1" ht="15" customHeight="1" x14ac:dyDescent="0.25">
      <c r="A10374" s="803" t="s">
        <v>4596</v>
      </c>
      <c r="B10374" s="803" t="s">
        <v>4354</v>
      </c>
      <c r="C10374" s="803" t="s">
        <v>4354</v>
      </c>
      <c r="D10374" s="803" t="s">
        <v>4596</v>
      </c>
      <c r="E10374" s="803">
        <v>63</v>
      </c>
      <c r="F10374" s="803">
        <v>20</v>
      </c>
      <c r="G10374" s="202" t="str">
        <f t="shared" si="161"/>
        <v/>
      </c>
    </row>
    <row r="10375" spans="1:7" s="172" customFormat="1" ht="15" customHeight="1" x14ac:dyDescent="0.25">
      <c r="A10375" s="803" t="s">
        <v>16988</v>
      </c>
      <c r="B10375" s="803" t="s">
        <v>4354</v>
      </c>
      <c r="C10375" s="803" t="s">
        <v>4354</v>
      </c>
      <c r="D10375" s="803" t="s">
        <v>4597</v>
      </c>
      <c r="E10375" s="803">
        <v>100</v>
      </c>
      <c r="F10375" s="803">
        <v>30</v>
      </c>
      <c r="G10375" s="202" t="str">
        <f t="shared" si="161"/>
        <v/>
      </c>
    </row>
    <row r="10376" spans="1:7" s="172" customFormat="1" ht="15" customHeight="1" x14ac:dyDescent="0.25">
      <c r="A10376" s="803" t="s">
        <v>16988</v>
      </c>
      <c r="B10376" s="803" t="s">
        <v>4354</v>
      </c>
      <c r="C10376" s="803" t="s">
        <v>4354</v>
      </c>
      <c r="D10376" s="803" t="s">
        <v>4598</v>
      </c>
      <c r="E10376" s="803">
        <v>160</v>
      </c>
      <c r="F10376" s="803">
        <v>60</v>
      </c>
      <c r="G10376" s="202" t="str">
        <f t="shared" si="161"/>
        <v/>
      </c>
    </row>
    <row r="10377" spans="1:7" s="172" customFormat="1" ht="15" customHeight="1" x14ac:dyDescent="0.25">
      <c r="A10377" s="803" t="s">
        <v>16988</v>
      </c>
      <c r="B10377" s="803" t="s">
        <v>4354</v>
      </c>
      <c r="C10377" s="803" t="s">
        <v>4354</v>
      </c>
      <c r="D10377" s="803" t="s">
        <v>4599</v>
      </c>
      <c r="E10377" s="803">
        <v>160</v>
      </c>
      <c r="F10377" s="803">
        <v>120</v>
      </c>
      <c r="G10377" s="202" t="str">
        <f t="shared" si="161"/>
        <v/>
      </c>
    </row>
    <row r="10378" spans="1:7" s="172" customFormat="1" ht="15" customHeight="1" x14ac:dyDescent="0.25">
      <c r="A10378" s="803" t="s">
        <v>16989</v>
      </c>
      <c r="B10378" s="803" t="s">
        <v>4354</v>
      </c>
      <c r="C10378" s="803" t="s">
        <v>4354</v>
      </c>
      <c r="D10378" s="803" t="s">
        <v>4600</v>
      </c>
      <c r="E10378" s="803">
        <v>100</v>
      </c>
      <c r="F10378" s="803">
        <v>80</v>
      </c>
      <c r="G10378" s="202" t="str">
        <f t="shared" si="161"/>
        <v/>
      </c>
    </row>
    <row r="10379" spans="1:7" s="172" customFormat="1" ht="15" customHeight="1" x14ac:dyDescent="0.25">
      <c r="A10379" s="803" t="s">
        <v>16989</v>
      </c>
      <c r="B10379" s="803" t="s">
        <v>4354</v>
      </c>
      <c r="C10379" s="803" t="s">
        <v>4354</v>
      </c>
      <c r="D10379" s="803" t="s">
        <v>4601</v>
      </c>
      <c r="E10379" s="803">
        <v>100</v>
      </c>
      <c r="F10379" s="803">
        <v>40</v>
      </c>
      <c r="G10379" s="202" t="str">
        <f t="shared" si="161"/>
        <v/>
      </c>
    </row>
    <row r="10380" spans="1:7" s="172" customFormat="1" ht="15" customHeight="1" x14ac:dyDescent="0.25">
      <c r="A10380" s="803" t="s">
        <v>16989</v>
      </c>
      <c r="B10380" s="803" t="s">
        <v>4354</v>
      </c>
      <c r="C10380" s="803" t="s">
        <v>4354</v>
      </c>
      <c r="D10380" s="803" t="s">
        <v>4602</v>
      </c>
      <c r="E10380" s="803">
        <v>160</v>
      </c>
      <c r="F10380" s="803">
        <v>60</v>
      </c>
      <c r="G10380" s="202" t="str">
        <f t="shared" si="161"/>
        <v/>
      </c>
    </row>
    <row r="10381" spans="1:7" s="172" customFormat="1" ht="15" customHeight="1" x14ac:dyDescent="0.25">
      <c r="A10381" s="803" t="s">
        <v>16988</v>
      </c>
      <c r="B10381" s="803" t="s">
        <v>4354</v>
      </c>
      <c r="C10381" s="803" t="s">
        <v>4354</v>
      </c>
      <c r="D10381" s="803" t="s">
        <v>4603</v>
      </c>
      <c r="E10381" s="803">
        <v>40</v>
      </c>
      <c r="F10381" s="803">
        <v>20</v>
      </c>
      <c r="G10381" s="202" t="str">
        <f t="shared" si="161"/>
        <v/>
      </c>
    </row>
    <row r="10382" spans="1:7" s="172" customFormat="1" ht="15" customHeight="1" x14ac:dyDescent="0.25">
      <c r="A10382" s="803" t="s">
        <v>4604</v>
      </c>
      <c r="B10382" s="803" t="s">
        <v>4354</v>
      </c>
      <c r="C10382" s="803" t="s">
        <v>4354</v>
      </c>
      <c r="D10382" s="803" t="s">
        <v>4604</v>
      </c>
      <c r="E10382" s="803">
        <v>40</v>
      </c>
      <c r="F10382" s="803">
        <v>10</v>
      </c>
      <c r="G10382" s="202" t="str">
        <f t="shared" si="161"/>
        <v/>
      </c>
    </row>
    <row r="10383" spans="1:7" s="172" customFormat="1" ht="15" customHeight="1" x14ac:dyDescent="0.25">
      <c r="A10383" s="803" t="s">
        <v>4605</v>
      </c>
      <c r="B10383" s="803" t="s">
        <v>4354</v>
      </c>
      <c r="C10383" s="803" t="s">
        <v>4354</v>
      </c>
      <c r="D10383" s="803" t="s">
        <v>4605</v>
      </c>
      <c r="E10383" s="803">
        <v>100</v>
      </c>
      <c r="F10383" s="803">
        <v>40</v>
      </c>
      <c r="G10383" s="202" t="str">
        <f t="shared" si="161"/>
        <v/>
      </c>
    </row>
    <row r="10384" spans="1:7" s="172" customFormat="1" ht="15" customHeight="1" x14ac:dyDescent="0.25">
      <c r="A10384" s="803" t="s">
        <v>4606</v>
      </c>
      <c r="B10384" s="803" t="s">
        <v>4354</v>
      </c>
      <c r="C10384" s="803" t="s">
        <v>4354</v>
      </c>
      <c r="D10384" s="803" t="s">
        <v>4606</v>
      </c>
      <c r="E10384" s="803">
        <v>63</v>
      </c>
      <c r="F10384" s="803">
        <v>30</v>
      </c>
      <c r="G10384" s="202" t="str">
        <f t="shared" si="161"/>
        <v/>
      </c>
    </row>
    <row r="10385" spans="1:7" s="172" customFormat="1" ht="15" customHeight="1" x14ac:dyDescent="0.25">
      <c r="A10385" s="803" t="s">
        <v>4607</v>
      </c>
      <c r="B10385" s="803" t="s">
        <v>4354</v>
      </c>
      <c r="C10385" s="803" t="s">
        <v>4354</v>
      </c>
      <c r="D10385" s="803" t="s">
        <v>4607</v>
      </c>
      <c r="E10385" s="803">
        <v>30</v>
      </c>
      <c r="F10385" s="803">
        <v>20</v>
      </c>
      <c r="G10385" s="202" t="str">
        <f t="shared" si="161"/>
        <v/>
      </c>
    </row>
    <row r="10386" spans="1:7" s="172" customFormat="1" ht="15" customHeight="1" x14ac:dyDescent="0.25">
      <c r="A10386" s="803" t="s">
        <v>4608</v>
      </c>
      <c r="B10386" s="803" t="s">
        <v>4354</v>
      </c>
      <c r="C10386" s="803" t="s">
        <v>4354</v>
      </c>
      <c r="D10386" s="803" t="s">
        <v>4608</v>
      </c>
      <c r="E10386" s="803">
        <v>30</v>
      </c>
      <c r="F10386" s="803">
        <v>10</v>
      </c>
      <c r="G10386" s="202" t="str">
        <f t="shared" si="161"/>
        <v/>
      </c>
    </row>
    <row r="10387" spans="1:7" s="172" customFormat="1" ht="15" customHeight="1" x14ac:dyDescent="0.25">
      <c r="A10387" s="803" t="s">
        <v>16990</v>
      </c>
      <c r="B10387" s="803" t="s">
        <v>4354</v>
      </c>
      <c r="C10387" s="803" t="s">
        <v>4354</v>
      </c>
      <c r="D10387" s="803" t="s">
        <v>4609</v>
      </c>
      <c r="E10387" s="803">
        <v>250</v>
      </c>
      <c r="F10387" s="803">
        <v>200</v>
      </c>
      <c r="G10387" s="202" t="str">
        <f t="shared" si="161"/>
        <v/>
      </c>
    </row>
    <row r="10388" spans="1:7" s="172" customFormat="1" ht="15" customHeight="1" x14ac:dyDescent="0.25">
      <c r="A10388" s="803" t="s">
        <v>16990</v>
      </c>
      <c r="B10388" s="803" t="s">
        <v>4354</v>
      </c>
      <c r="C10388" s="803" t="s">
        <v>4354</v>
      </c>
      <c r="D10388" s="803" t="s">
        <v>4610</v>
      </c>
      <c r="E10388" s="803">
        <v>250</v>
      </c>
      <c r="F10388" s="803">
        <v>100</v>
      </c>
      <c r="G10388" s="202" t="str">
        <f t="shared" si="161"/>
        <v/>
      </c>
    </row>
    <row r="10389" spans="1:7" s="172" customFormat="1" ht="15" customHeight="1" x14ac:dyDescent="0.25">
      <c r="A10389" s="803" t="s">
        <v>4611</v>
      </c>
      <c r="B10389" s="803" t="s">
        <v>4354</v>
      </c>
      <c r="C10389" s="803" t="s">
        <v>4354</v>
      </c>
      <c r="D10389" s="803" t="s">
        <v>4611</v>
      </c>
      <c r="E10389" s="803">
        <v>60</v>
      </c>
      <c r="F10389" s="803">
        <v>10</v>
      </c>
      <c r="G10389" s="202" t="str">
        <f t="shared" ref="G10389:G10452" si="162">IF(E10389=F10389,"не загружен","")</f>
        <v/>
      </c>
    </row>
    <row r="10390" spans="1:7" s="172" customFormat="1" ht="15" customHeight="1" x14ac:dyDescent="0.25">
      <c r="A10390" s="803" t="s">
        <v>16991</v>
      </c>
      <c r="B10390" s="803" t="s">
        <v>4354</v>
      </c>
      <c r="C10390" s="803" t="s">
        <v>4354</v>
      </c>
      <c r="D10390" s="803" t="s">
        <v>4612</v>
      </c>
      <c r="E10390" s="803">
        <v>100</v>
      </c>
      <c r="F10390" s="803">
        <v>80</v>
      </c>
      <c r="G10390" s="202" t="str">
        <f t="shared" si="162"/>
        <v/>
      </c>
    </row>
    <row r="10391" spans="1:7" s="172" customFormat="1" ht="15" customHeight="1" x14ac:dyDescent="0.25">
      <c r="A10391" s="803" t="s">
        <v>4613</v>
      </c>
      <c r="B10391" s="803" t="s">
        <v>4354</v>
      </c>
      <c r="C10391" s="803" t="s">
        <v>4354</v>
      </c>
      <c r="D10391" s="803" t="s">
        <v>4613</v>
      </c>
      <c r="E10391" s="803">
        <v>30</v>
      </c>
      <c r="F10391" s="803">
        <v>20</v>
      </c>
      <c r="G10391" s="202" t="str">
        <f t="shared" si="162"/>
        <v/>
      </c>
    </row>
    <row r="10392" spans="1:7" s="172" customFormat="1" ht="15" customHeight="1" x14ac:dyDescent="0.25">
      <c r="A10392" s="803" t="s">
        <v>4614</v>
      </c>
      <c r="B10392" s="803" t="s">
        <v>4354</v>
      </c>
      <c r="C10392" s="803" t="s">
        <v>4354</v>
      </c>
      <c r="D10392" s="803" t="s">
        <v>4614</v>
      </c>
      <c r="E10392" s="803">
        <v>10</v>
      </c>
      <c r="F10392" s="803">
        <v>6</v>
      </c>
      <c r="G10392" s="202" t="str">
        <f t="shared" si="162"/>
        <v/>
      </c>
    </row>
    <row r="10393" spans="1:7" s="172" customFormat="1" ht="15" customHeight="1" x14ac:dyDescent="0.25">
      <c r="A10393" s="803" t="s">
        <v>16992</v>
      </c>
      <c r="B10393" s="803" t="s">
        <v>4354</v>
      </c>
      <c r="C10393" s="803" t="s">
        <v>4354</v>
      </c>
      <c r="D10393" s="803" t="s">
        <v>4615</v>
      </c>
      <c r="E10393" s="803">
        <v>60</v>
      </c>
      <c r="F10393" s="803">
        <v>20</v>
      </c>
      <c r="G10393" s="202" t="str">
        <f t="shared" si="162"/>
        <v/>
      </c>
    </row>
    <row r="10394" spans="1:7" s="172" customFormat="1" ht="15" customHeight="1" x14ac:dyDescent="0.25">
      <c r="A10394" s="803" t="s">
        <v>16993</v>
      </c>
      <c r="B10394" s="803" t="s">
        <v>4354</v>
      </c>
      <c r="C10394" s="803" t="s">
        <v>4354</v>
      </c>
      <c r="D10394" s="803" t="s">
        <v>4616</v>
      </c>
      <c r="E10394" s="803">
        <v>100</v>
      </c>
      <c r="F10394" s="803">
        <v>50</v>
      </c>
      <c r="G10394" s="202" t="str">
        <f t="shared" si="162"/>
        <v/>
      </c>
    </row>
    <row r="10395" spans="1:7" s="172" customFormat="1" ht="15" customHeight="1" x14ac:dyDescent="0.25">
      <c r="A10395" s="803" t="s">
        <v>16993</v>
      </c>
      <c r="B10395" s="803" t="s">
        <v>4354</v>
      </c>
      <c r="C10395" s="803" t="s">
        <v>4354</v>
      </c>
      <c r="D10395" s="803" t="s">
        <v>4617</v>
      </c>
      <c r="E10395" s="803">
        <v>160</v>
      </c>
      <c r="F10395" s="803">
        <v>100</v>
      </c>
      <c r="G10395" s="202" t="str">
        <f t="shared" si="162"/>
        <v/>
      </c>
    </row>
    <row r="10396" spans="1:7" s="172" customFormat="1" ht="15" customHeight="1" x14ac:dyDescent="0.25">
      <c r="A10396" s="803" t="s">
        <v>4618</v>
      </c>
      <c r="B10396" s="803" t="s">
        <v>4354</v>
      </c>
      <c r="C10396" s="803" t="s">
        <v>4354</v>
      </c>
      <c r="D10396" s="803" t="s">
        <v>4618</v>
      </c>
      <c r="E10396" s="803">
        <v>100</v>
      </c>
      <c r="F10396" s="803">
        <v>60</v>
      </c>
      <c r="G10396" s="202" t="str">
        <f t="shared" si="162"/>
        <v/>
      </c>
    </row>
    <row r="10397" spans="1:7" s="172" customFormat="1" ht="15" customHeight="1" x14ac:dyDescent="0.25">
      <c r="A10397" s="803" t="s">
        <v>4619</v>
      </c>
      <c r="B10397" s="803" t="s">
        <v>4354</v>
      </c>
      <c r="C10397" s="803" t="s">
        <v>4354</v>
      </c>
      <c r="D10397" s="803" t="s">
        <v>4619</v>
      </c>
      <c r="E10397" s="803">
        <v>30</v>
      </c>
      <c r="F10397" s="803">
        <v>10</v>
      </c>
      <c r="G10397" s="202" t="str">
        <f t="shared" si="162"/>
        <v/>
      </c>
    </row>
    <row r="10398" spans="1:7" s="172" customFormat="1" ht="15" customHeight="1" x14ac:dyDescent="0.25">
      <c r="A10398" s="803" t="s">
        <v>4619</v>
      </c>
      <c r="B10398" s="803" t="s">
        <v>4354</v>
      </c>
      <c r="C10398" s="803" t="s">
        <v>4354</v>
      </c>
      <c r="D10398" s="803" t="s">
        <v>4620</v>
      </c>
      <c r="E10398" s="803">
        <v>160</v>
      </c>
      <c r="F10398" s="803">
        <v>100</v>
      </c>
      <c r="G10398" s="202" t="str">
        <f t="shared" si="162"/>
        <v/>
      </c>
    </row>
    <row r="10399" spans="1:7" s="172" customFormat="1" ht="15" customHeight="1" x14ac:dyDescent="0.25">
      <c r="A10399" s="803" t="s">
        <v>16994</v>
      </c>
      <c r="B10399" s="803" t="s">
        <v>4354</v>
      </c>
      <c r="C10399" s="803" t="s">
        <v>4354</v>
      </c>
      <c r="D10399" s="803" t="s">
        <v>4621</v>
      </c>
      <c r="E10399" s="803">
        <v>100</v>
      </c>
      <c r="F10399" s="803">
        <v>80</v>
      </c>
      <c r="G10399" s="202" t="str">
        <f t="shared" si="162"/>
        <v/>
      </c>
    </row>
    <row r="10400" spans="1:7" s="172" customFormat="1" ht="15" customHeight="1" x14ac:dyDescent="0.25">
      <c r="A10400" s="803" t="s">
        <v>4622</v>
      </c>
      <c r="B10400" s="803" t="s">
        <v>4354</v>
      </c>
      <c r="C10400" s="803" t="s">
        <v>4354</v>
      </c>
      <c r="D10400" s="803" t="s">
        <v>4622</v>
      </c>
      <c r="E10400" s="803">
        <v>30</v>
      </c>
      <c r="F10400" s="803">
        <v>5</v>
      </c>
      <c r="G10400" s="202" t="str">
        <f t="shared" si="162"/>
        <v/>
      </c>
    </row>
    <row r="10401" spans="1:7" s="172" customFormat="1" ht="15" customHeight="1" x14ac:dyDescent="0.25">
      <c r="A10401" s="803" t="s">
        <v>4623</v>
      </c>
      <c r="B10401" s="803" t="s">
        <v>4354</v>
      </c>
      <c r="C10401" s="803" t="s">
        <v>4354</v>
      </c>
      <c r="D10401" s="803" t="s">
        <v>4623</v>
      </c>
      <c r="E10401" s="803">
        <v>10</v>
      </c>
      <c r="F10401" s="803">
        <v>5</v>
      </c>
      <c r="G10401" s="202" t="str">
        <f t="shared" si="162"/>
        <v/>
      </c>
    </row>
    <row r="10402" spans="1:7" s="172" customFormat="1" ht="15" customHeight="1" x14ac:dyDescent="0.25">
      <c r="A10402" s="803" t="s">
        <v>4624</v>
      </c>
      <c r="B10402" s="803" t="s">
        <v>4354</v>
      </c>
      <c r="C10402" s="803" t="s">
        <v>4354</v>
      </c>
      <c r="D10402" s="803" t="s">
        <v>4624</v>
      </c>
      <c r="E10402" s="803">
        <v>100</v>
      </c>
      <c r="F10402" s="803">
        <v>20</v>
      </c>
      <c r="G10402" s="202" t="str">
        <f t="shared" si="162"/>
        <v/>
      </c>
    </row>
    <row r="10403" spans="1:7" s="172" customFormat="1" ht="15" customHeight="1" x14ac:dyDescent="0.25">
      <c r="A10403" s="803" t="s">
        <v>16990</v>
      </c>
      <c r="B10403" s="803" t="s">
        <v>4354</v>
      </c>
      <c r="C10403" s="803" t="s">
        <v>4354</v>
      </c>
      <c r="D10403" s="803" t="s">
        <v>4625</v>
      </c>
      <c r="E10403" s="803">
        <v>63</v>
      </c>
      <c r="F10403" s="803">
        <v>20</v>
      </c>
      <c r="G10403" s="202" t="str">
        <f t="shared" si="162"/>
        <v/>
      </c>
    </row>
    <row r="10404" spans="1:7" s="172" customFormat="1" ht="15" customHeight="1" x14ac:dyDescent="0.25">
      <c r="A10404" s="803" t="s">
        <v>16990</v>
      </c>
      <c r="B10404" s="803" t="s">
        <v>4354</v>
      </c>
      <c r="C10404" s="803" t="s">
        <v>4354</v>
      </c>
      <c r="D10404" s="803" t="s">
        <v>4626</v>
      </c>
      <c r="E10404" s="803">
        <v>30</v>
      </c>
      <c r="F10404" s="803">
        <v>21</v>
      </c>
      <c r="G10404" s="202" t="str">
        <f t="shared" si="162"/>
        <v/>
      </c>
    </row>
    <row r="10405" spans="1:7" s="172" customFormat="1" ht="15" customHeight="1" x14ac:dyDescent="0.25">
      <c r="A10405" s="803" t="s">
        <v>16995</v>
      </c>
      <c r="B10405" s="803" t="s">
        <v>4354</v>
      </c>
      <c r="C10405" s="803" t="s">
        <v>4354</v>
      </c>
      <c r="D10405" s="803" t="s">
        <v>4627</v>
      </c>
      <c r="E10405" s="803">
        <v>30</v>
      </c>
      <c r="F10405" s="803">
        <v>10</v>
      </c>
      <c r="G10405" s="202" t="str">
        <f t="shared" si="162"/>
        <v/>
      </c>
    </row>
    <row r="10406" spans="1:7" s="172" customFormat="1" ht="15" customHeight="1" x14ac:dyDescent="0.25">
      <c r="A10406" s="803" t="s">
        <v>4628</v>
      </c>
      <c r="B10406" s="803" t="s">
        <v>4354</v>
      </c>
      <c r="C10406" s="803" t="s">
        <v>4354</v>
      </c>
      <c r="D10406" s="803" t="s">
        <v>4628</v>
      </c>
      <c r="E10406" s="803">
        <v>160</v>
      </c>
      <c r="F10406" s="803">
        <v>50</v>
      </c>
      <c r="G10406" s="202" t="str">
        <f t="shared" si="162"/>
        <v/>
      </c>
    </row>
    <row r="10407" spans="1:7" s="172" customFormat="1" ht="15" customHeight="1" x14ac:dyDescent="0.25">
      <c r="A10407" s="803" t="s">
        <v>16996</v>
      </c>
      <c r="B10407" s="803" t="s">
        <v>4354</v>
      </c>
      <c r="C10407" s="803" t="s">
        <v>4354</v>
      </c>
      <c r="D10407" s="803" t="s">
        <v>4629</v>
      </c>
      <c r="E10407" s="803">
        <v>400</v>
      </c>
      <c r="F10407" s="803">
        <v>300</v>
      </c>
      <c r="G10407" s="202" t="str">
        <f t="shared" si="162"/>
        <v/>
      </c>
    </row>
    <row r="10408" spans="1:7" s="172" customFormat="1" ht="15" customHeight="1" x14ac:dyDescent="0.25">
      <c r="A10408" s="803" t="s">
        <v>4630</v>
      </c>
      <c r="B10408" s="803" t="s">
        <v>4354</v>
      </c>
      <c r="C10408" s="803" t="s">
        <v>4354</v>
      </c>
      <c r="D10408" s="803" t="s">
        <v>4630</v>
      </c>
      <c r="E10408" s="803">
        <v>63</v>
      </c>
      <c r="F10408" s="803">
        <v>40</v>
      </c>
      <c r="G10408" s="202" t="str">
        <f t="shared" si="162"/>
        <v/>
      </c>
    </row>
    <row r="10409" spans="1:7" s="172" customFormat="1" ht="15" customHeight="1" x14ac:dyDescent="0.25">
      <c r="A10409" s="803" t="s">
        <v>4631</v>
      </c>
      <c r="B10409" s="803" t="s">
        <v>4354</v>
      </c>
      <c r="C10409" s="803" t="s">
        <v>4354</v>
      </c>
      <c r="D10409" s="803" t="s">
        <v>4631</v>
      </c>
      <c r="E10409" s="803">
        <v>50</v>
      </c>
      <c r="F10409" s="803">
        <v>10</v>
      </c>
      <c r="G10409" s="202" t="str">
        <f t="shared" si="162"/>
        <v/>
      </c>
    </row>
    <row r="10410" spans="1:7" s="172" customFormat="1" ht="15" customHeight="1" x14ac:dyDescent="0.25">
      <c r="A10410" s="803" t="s">
        <v>4632</v>
      </c>
      <c r="B10410" s="803" t="s">
        <v>4354</v>
      </c>
      <c r="C10410" s="803" t="s">
        <v>4354</v>
      </c>
      <c r="D10410" s="803" t="s">
        <v>4632</v>
      </c>
      <c r="E10410" s="803">
        <v>63</v>
      </c>
      <c r="F10410" s="803">
        <v>20</v>
      </c>
      <c r="G10410" s="202" t="str">
        <f t="shared" si="162"/>
        <v/>
      </c>
    </row>
    <row r="10411" spans="1:7" s="172" customFormat="1" ht="15" customHeight="1" x14ac:dyDescent="0.25">
      <c r="A10411" s="803" t="s">
        <v>4633</v>
      </c>
      <c r="B10411" s="803" t="s">
        <v>4354</v>
      </c>
      <c r="C10411" s="803" t="s">
        <v>4354</v>
      </c>
      <c r="D10411" s="803" t="s">
        <v>4633</v>
      </c>
      <c r="E10411" s="803">
        <v>100</v>
      </c>
      <c r="F10411" s="803">
        <v>56</v>
      </c>
      <c r="G10411" s="202" t="str">
        <f t="shared" si="162"/>
        <v/>
      </c>
    </row>
    <row r="10412" spans="1:7" s="172" customFormat="1" ht="15" customHeight="1" x14ac:dyDescent="0.25">
      <c r="A10412" s="803" t="s">
        <v>4634</v>
      </c>
      <c r="B10412" s="803" t="s">
        <v>4354</v>
      </c>
      <c r="C10412" s="803" t="s">
        <v>4354</v>
      </c>
      <c r="D10412" s="803" t="s">
        <v>4634</v>
      </c>
      <c r="E10412" s="803">
        <v>60</v>
      </c>
      <c r="F10412" s="803">
        <v>30</v>
      </c>
      <c r="G10412" s="202" t="str">
        <f t="shared" si="162"/>
        <v/>
      </c>
    </row>
    <row r="10413" spans="1:7" s="172" customFormat="1" ht="15" customHeight="1" x14ac:dyDescent="0.25">
      <c r="A10413" s="803" t="s">
        <v>4635</v>
      </c>
      <c r="B10413" s="803" t="s">
        <v>4354</v>
      </c>
      <c r="C10413" s="803" t="s">
        <v>4354</v>
      </c>
      <c r="D10413" s="803" t="s">
        <v>4635</v>
      </c>
      <c r="E10413" s="803">
        <v>60</v>
      </c>
      <c r="F10413" s="803">
        <v>15</v>
      </c>
      <c r="G10413" s="202" t="str">
        <f t="shared" si="162"/>
        <v/>
      </c>
    </row>
    <row r="10414" spans="1:7" s="172" customFormat="1" ht="15" customHeight="1" x14ac:dyDescent="0.25">
      <c r="A10414" s="803" t="s">
        <v>4636</v>
      </c>
      <c r="B10414" s="803" t="s">
        <v>4354</v>
      </c>
      <c r="C10414" s="803" t="s">
        <v>4354</v>
      </c>
      <c r="D10414" s="803" t="s">
        <v>4625</v>
      </c>
      <c r="E10414" s="803">
        <v>160</v>
      </c>
      <c r="F10414" s="803">
        <v>100</v>
      </c>
      <c r="G10414" s="202" t="str">
        <f t="shared" si="162"/>
        <v/>
      </c>
    </row>
    <row r="10415" spans="1:7" s="172" customFormat="1" ht="15" customHeight="1" x14ac:dyDescent="0.25">
      <c r="A10415" s="803" t="s">
        <v>4636</v>
      </c>
      <c r="B10415" s="803" t="s">
        <v>4354</v>
      </c>
      <c r="C10415" s="803" t="s">
        <v>4354</v>
      </c>
      <c r="D10415" s="803" t="s">
        <v>4637</v>
      </c>
      <c r="E10415" s="803">
        <v>100</v>
      </c>
      <c r="F10415" s="803">
        <v>80</v>
      </c>
      <c r="G10415" s="202" t="str">
        <f t="shared" si="162"/>
        <v/>
      </c>
    </row>
    <row r="10416" spans="1:7" s="172" customFormat="1" ht="15" customHeight="1" x14ac:dyDescent="0.25">
      <c r="A10416" s="803" t="s">
        <v>4636</v>
      </c>
      <c r="B10416" s="803" t="s">
        <v>4354</v>
      </c>
      <c r="C10416" s="803" t="s">
        <v>4354</v>
      </c>
      <c r="D10416" s="803" t="s">
        <v>4638</v>
      </c>
      <c r="E10416" s="803">
        <v>160</v>
      </c>
      <c r="F10416" s="803">
        <v>20</v>
      </c>
      <c r="G10416" s="202" t="str">
        <f t="shared" si="162"/>
        <v/>
      </c>
    </row>
    <row r="10417" spans="1:7" s="172" customFormat="1" ht="15" customHeight="1" x14ac:dyDescent="0.25">
      <c r="A10417" s="803" t="s">
        <v>16997</v>
      </c>
      <c r="B10417" s="803" t="s">
        <v>4354</v>
      </c>
      <c r="C10417" s="803" t="s">
        <v>4354</v>
      </c>
      <c r="D10417" s="803" t="s">
        <v>4639</v>
      </c>
      <c r="E10417" s="803">
        <v>100</v>
      </c>
      <c r="F10417" s="803">
        <v>55</v>
      </c>
      <c r="G10417" s="202" t="str">
        <f t="shared" si="162"/>
        <v/>
      </c>
    </row>
    <row r="10418" spans="1:7" s="172" customFormat="1" ht="15" customHeight="1" x14ac:dyDescent="0.25">
      <c r="A10418" s="803" t="s">
        <v>4640</v>
      </c>
      <c r="B10418" s="803" t="s">
        <v>4354</v>
      </c>
      <c r="C10418" s="803" t="s">
        <v>4354</v>
      </c>
      <c r="D10418" s="803" t="s">
        <v>4640</v>
      </c>
      <c r="E10418" s="803">
        <v>63</v>
      </c>
      <c r="F10418" s="803">
        <v>5</v>
      </c>
      <c r="G10418" s="202" t="str">
        <f t="shared" si="162"/>
        <v/>
      </c>
    </row>
    <row r="10419" spans="1:7" s="172" customFormat="1" ht="15" customHeight="1" x14ac:dyDescent="0.25">
      <c r="A10419" s="803" t="s">
        <v>4641</v>
      </c>
      <c r="B10419" s="803" t="s">
        <v>4354</v>
      </c>
      <c r="C10419" s="803" t="s">
        <v>4354</v>
      </c>
      <c r="D10419" s="803" t="s">
        <v>4642</v>
      </c>
      <c r="E10419" s="803">
        <v>160</v>
      </c>
      <c r="F10419" s="803">
        <v>100</v>
      </c>
      <c r="G10419" s="202" t="str">
        <f t="shared" si="162"/>
        <v/>
      </c>
    </row>
    <row r="10420" spans="1:7" s="172" customFormat="1" ht="15" customHeight="1" x14ac:dyDescent="0.25">
      <c r="A10420" s="803" t="s">
        <v>4641</v>
      </c>
      <c r="B10420" s="803" t="s">
        <v>4354</v>
      </c>
      <c r="C10420" s="803" t="s">
        <v>4354</v>
      </c>
      <c r="D10420" s="803" t="s">
        <v>4643</v>
      </c>
      <c r="E10420" s="803">
        <v>100</v>
      </c>
      <c r="F10420" s="803">
        <v>45</v>
      </c>
      <c r="G10420" s="202" t="str">
        <f t="shared" si="162"/>
        <v/>
      </c>
    </row>
    <row r="10421" spans="1:7" s="172" customFormat="1" ht="15" customHeight="1" x14ac:dyDescent="0.25">
      <c r="A10421" s="803" t="s">
        <v>4644</v>
      </c>
      <c r="B10421" s="803" t="s">
        <v>4354</v>
      </c>
      <c r="C10421" s="803" t="s">
        <v>4354</v>
      </c>
      <c r="D10421" s="803" t="s">
        <v>4644</v>
      </c>
      <c r="E10421" s="803">
        <v>30</v>
      </c>
      <c r="F10421" s="803">
        <v>10</v>
      </c>
      <c r="G10421" s="202" t="str">
        <f t="shared" si="162"/>
        <v/>
      </c>
    </row>
    <row r="10422" spans="1:7" s="172" customFormat="1" ht="15" customHeight="1" x14ac:dyDescent="0.25">
      <c r="A10422" s="803" t="s">
        <v>4645</v>
      </c>
      <c r="B10422" s="803" t="s">
        <v>4354</v>
      </c>
      <c r="C10422" s="803" t="s">
        <v>4354</v>
      </c>
      <c r="D10422" s="803" t="s">
        <v>4645</v>
      </c>
      <c r="E10422" s="803">
        <v>100</v>
      </c>
      <c r="F10422" s="803">
        <v>35</v>
      </c>
      <c r="G10422" s="202" t="str">
        <f t="shared" si="162"/>
        <v/>
      </c>
    </row>
    <row r="10423" spans="1:7" s="172" customFormat="1" ht="15" customHeight="1" x14ac:dyDescent="0.25">
      <c r="A10423" s="803" t="s">
        <v>4646</v>
      </c>
      <c r="B10423" s="803" t="s">
        <v>4354</v>
      </c>
      <c r="C10423" s="803" t="s">
        <v>4354</v>
      </c>
      <c r="D10423" s="803" t="s">
        <v>4646</v>
      </c>
      <c r="E10423" s="803">
        <v>160</v>
      </c>
      <c r="F10423" s="803">
        <v>30</v>
      </c>
      <c r="G10423" s="202" t="str">
        <f t="shared" si="162"/>
        <v/>
      </c>
    </row>
    <row r="10424" spans="1:7" s="172" customFormat="1" ht="15" customHeight="1" x14ac:dyDescent="0.25">
      <c r="A10424" s="803" t="s">
        <v>16998</v>
      </c>
      <c r="B10424" s="803" t="s">
        <v>4354</v>
      </c>
      <c r="C10424" s="803" t="s">
        <v>4354</v>
      </c>
      <c r="D10424" s="803" t="s">
        <v>4647</v>
      </c>
      <c r="E10424" s="803">
        <v>250</v>
      </c>
      <c r="F10424" s="803">
        <v>200</v>
      </c>
      <c r="G10424" s="202" t="str">
        <f t="shared" si="162"/>
        <v/>
      </c>
    </row>
    <row r="10425" spans="1:7" s="172" customFormat="1" ht="15" customHeight="1" x14ac:dyDescent="0.25">
      <c r="A10425" s="803" t="s">
        <v>16999</v>
      </c>
      <c r="B10425" s="803" t="s">
        <v>4354</v>
      </c>
      <c r="C10425" s="803" t="s">
        <v>4354</v>
      </c>
      <c r="D10425" s="803" t="s">
        <v>4648</v>
      </c>
      <c r="E10425" s="803">
        <v>30</v>
      </c>
      <c r="F10425" s="803">
        <v>5</v>
      </c>
      <c r="G10425" s="202" t="str">
        <f t="shared" si="162"/>
        <v/>
      </c>
    </row>
    <row r="10426" spans="1:7" s="172" customFormat="1" ht="15" customHeight="1" x14ac:dyDescent="0.25">
      <c r="A10426" s="803" t="s">
        <v>4649</v>
      </c>
      <c r="B10426" s="803" t="s">
        <v>4354</v>
      </c>
      <c r="C10426" s="803" t="s">
        <v>4354</v>
      </c>
      <c r="D10426" s="803" t="s">
        <v>4650</v>
      </c>
      <c r="E10426" s="803">
        <v>100</v>
      </c>
      <c r="F10426" s="803">
        <v>20</v>
      </c>
      <c r="G10426" s="202" t="str">
        <f t="shared" si="162"/>
        <v/>
      </c>
    </row>
    <row r="10427" spans="1:7" s="172" customFormat="1" ht="15" customHeight="1" x14ac:dyDescent="0.25">
      <c r="A10427" s="803" t="s">
        <v>4651</v>
      </c>
      <c r="B10427" s="803" t="s">
        <v>4354</v>
      </c>
      <c r="C10427" s="803" t="s">
        <v>4354</v>
      </c>
      <c r="D10427" s="803" t="s">
        <v>4651</v>
      </c>
      <c r="E10427" s="803">
        <v>60</v>
      </c>
      <c r="F10427" s="803">
        <v>10</v>
      </c>
      <c r="G10427" s="202" t="str">
        <f t="shared" si="162"/>
        <v/>
      </c>
    </row>
    <row r="10428" spans="1:7" s="172" customFormat="1" ht="15" customHeight="1" x14ac:dyDescent="0.25">
      <c r="A10428" s="803" t="s">
        <v>4652</v>
      </c>
      <c r="B10428" s="803" t="s">
        <v>4354</v>
      </c>
      <c r="C10428" s="803" t="s">
        <v>4354</v>
      </c>
      <c r="D10428" s="803" t="s">
        <v>4653</v>
      </c>
      <c r="E10428" s="803">
        <v>30</v>
      </c>
      <c r="F10428" s="803">
        <v>5</v>
      </c>
      <c r="G10428" s="202" t="str">
        <f t="shared" si="162"/>
        <v/>
      </c>
    </row>
    <row r="10429" spans="1:7" s="172" customFormat="1" ht="15" customHeight="1" x14ac:dyDescent="0.25">
      <c r="A10429" s="803" t="s">
        <v>17000</v>
      </c>
      <c r="B10429" s="803" t="s">
        <v>4354</v>
      </c>
      <c r="C10429" s="803" t="s">
        <v>4354</v>
      </c>
      <c r="D10429" s="803" t="s">
        <v>4654</v>
      </c>
      <c r="E10429" s="803">
        <v>63</v>
      </c>
      <c r="F10429" s="803">
        <v>3</v>
      </c>
      <c r="G10429" s="202" t="str">
        <f t="shared" si="162"/>
        <v/>
      </c>
    </row>
    <row r="10430" spans="1:7" s="172" customFormat="1" ht="15" customHeight="1" x14ac:dyDescent="0.25">
      <c r="A10430" s="803" t="s">
        <v>4575</v>
      </c>
      <c r="B10430" s="803" t="s">
        <v>4354</v>
      </c>
      <c r="C10430" s="803" t="s">
        <v>4354</v>
      </c>
      <c r="D10430" s="803" t="s">
        <v>4575</v>
      </c>
      <c r="E10430" s="803">
        <v>60</v>
      </c>
      <c r="F10430" s="803">
        <v>20</v>
      </c>
      <c r="G10430" s="202" t="str">
        <f t="shared" si="162"/>
        <v/>
      </c>
    </row>
    <row r="10431" spans="1:7" s="172" customFormat="1" ht="15" customHeight="1" x14ac:dyDescent="0.25">
      <c r="A10431" s="803" t="s">
        <v>17000</v>
      </c>
      <c r="B10431" s="803" t="s">
        <v>4354</v>
      </c>
      <c r="C10431" s="803" t="s">
        <v>4354</v>
      </c>
      <c r="D10431" s="803" t="s">
        <v>4655</v>
      </c>
      <c r="E10431" s="803">
        <v>100</v>
      </c>
      <c r="F10431" s="803">
        <v>80</v>
      </c>
      <c r="G10431" s="202" t="str">
        <f t="shared" si="162"/>
        <v/>
      </c>
    </row>
    <row r="10432" spans="1:7" s="172" customFormat="1" ht="15" customHeight="1" x14ac:dyDescent="0.25">
      <c r="A10432" s="803" t="s">
        <v>4634</v>
      </c>
      <c r="B10432" s="803" t="s">
        <v>4354</v>
      </c>
      <c r="C10432" s="803" t="s">
        <v>4354</v>
      </c>
      <c r="D10432" s="803" t="s">
        <v>4656</v>
      </c>
      <c r="E10432" s="803">
        <v>63</v>
      </c>
      <c r="F10432" s="803">
        <v>30</v>
      </c>
      <c r="G10432" s="202" t="str">
        <f t="shared" si="162"/>
        <v/>
      </c>
    </row>
    <row r="10433" spans="1:7" s="172" customFormat="1" ht="15" customHeight="1" x14ac:dyDescent="0.25">
      <c r="A10433" s="803" t="s">
        <v>4657</v>
      </c>
      <c r="B10433" s="803" t="s">
        <v>4354</v>
      </c>
      <c r="C10433" s="803" t="s">
        <v>4354</v>
      </c>
      <c r="D10433" s="803" t="s">
        <v>4657</v>
      </c>
      <c r="E10433" s="803">
        <v>63</v>
      </c>
      <c r="F10433" s="803">
        <v>16</v>
      </c>
      <c r="G10433" s="202" t="str">
        <f t="shared" si="162"/>
        <v/>
      </c>
    </row>
    <row r="10434" spans="1:7" s="172" customFormat="1" ht="15" customHeight="1" x14ac:dyDescent="0.25">
      <c r="A10434" s="803" t="s">
        <v>4658</v>
      </c>
      <c r="B10434" s="803" t="s">
        <v>4354</v>
      </c>
      <c r="C10434" s="803" t="s">
        <v>4354</v>
      </c>
      <c r="D10434" s="803" t="s">
        <v>4658</v>
      </c>
      <c r="E10434" s="803">
        <v>63</v>
      </c>
      <c r="F10434" s="803">
        <v>20</v>
      </c>
      <c r="G10434" s="202" t="str">
        <f t="shared" si="162"/>
        <v/>
      </c>
    </row>
    <row r="10435" spans="1:7" s="172" customFormat="1" ht="15" customHeight="1" x14ac:dyDescent="0.25">
      <c r="A10435" s="803" t="s">
        <v>17001</v>
      </c>
      <c r="B10435" s="803" t="s">
        <v>4354</v>
      </c>
      <c r="C10435" s="803" t="s">
        <v>4354</v>
      </c>
      <c r="D10435" s="803" t="s">
        <v>4659</v>
      </c>
      <c r="E10435" s="803">
        <v>100</v>
      </c>
      <c r="F10435" s="803">
        <v>80</v>
      </c>
      <c r="G10435" s="202" t="str">
        <f t="shared" si="162"/>
        <v/>
      </c>
    </row>
    <row r="10436" spans="1:7" s="172" customFormat="1" ht="15" customHeight="1" x14ac:dyDescent="0.25">
      <c r="A10436" s="803" t="s">
        <v>17001</v>
      </c>
      <c r="B10436" s="803" t="s">
        <v>4354</v>
      </c>
      <c r="C10436" s="803" t="s">
        <v>4354</v>
      </c>
      <c r="D10436" s="803" t="s">
        <v>4660</v>
      </c>
      <c r="E10436" s="803">
        <v>160</v>
      </c>
      <c r="F10436" s="803">
        <v>55</v>
      </c>
      <c r="G10436" s="202" t="str">
        <f t="shared" si="162"/>
        <v/>
      </c>
    </row>
    <row r="10437" spans="1:7" s="172" customFormat="1" ht="15" customHeight="1" x14ac:dyDescent="0.25">
      <c r="A10437" s="803" t="s">
        <v>17001</v>
      </c>
      <c r="B10437" s="803" t="s">
        <v>4354</v>
      </c>
      <c r="C10437" s="803" t="s">
        <v>4354</v>
      </c>
      <c r="D10437" s="803" t="s">
        <v>4661</v>
      </c>
      <c r="E10437" s="803">
        <v>160</v>
      </c>
      <c r="F10437" s="803">
        <v>110</v>
      </c>
      <c r="G10437" s="202" t="str">
        <f t="shared" si="162"/>
        <v/>
      </c>
    </row>
    <row r="10438" spans="1:7" s="172" customFormat="1" ht="15" customHeight="1" x14ac:dyDescent="0.25">
      <c r="A10438" s="803" t="s">
        <v>17001</v>
      </c>
      <c r="B10438" s="803" t="s">
        <v>4354</v>
      </c>
      <c r="C10438" s="803" t="s">
        <v>4354</v>
      </c>
      <c r="D10438" s="803" t="s">
        <v>4662</v>
      </c>
      <c r="E10438" s="803">
        <v>160</v>
      </c>
      <c r="F10438" s="803">
        <v>60</v>
      </c>
      <c r="G10438" s="202" t="str">
        <f t="shared" si="162"/>
        <v/>
      </c>
    </row>
    <row r="10439" spans="1:7" s="172" customFormat="1" ht="15" customHeight="1" x14ac:dyDescent="0.25">
      <c r="A10439" s="803" t="s">
        <v>17001</v>
      </c>
      <c r="B10439" s="803" t="s">
        <v>4354</v>
      </c>
      <c r="C10439" s="803" t="s">
        <v>4354</v>
      </c>
      <c r="D10439" s="803" t="s">
        <v>4663</v>
      </c>
      <c r="E10439" s="803">
        <v>160</v>
      </c>
      <c r="F10439" s="803">
        <v>100</v>
      </c>
      <c r="G10439" s="202" t="str">
        <f t="shared" si="162"/>
        <v/>
      </c>
    </row>
    <row r="10440" spans="1:7" s="172" customFormat="1" ht="15" customHeight="1" x14ac:dyDescent="0.25">
      <c r="A10440" s="803" t="s">
        <v>4664</v>
      </c>
      <c r="B10440" s="803" t="s">
        <v>4354</v>
      </c>
      <c r="C10440" s="803" t="s">
        <v>4354</v>
      </c>
      <c r="D10440" s="803" t="s">
        <v>4664</v>
      </c>
      <c r="E10440" s="803">
        <v>25</v>
      </c>
      <c r="F10440" s="803">
        <v>5</v>
      </c>
      <c r="G10440" s="202" t="str">
        <f t="shared" si="162"/>
        <v/>
      </c>
    </row>
    <row r="10441" spans="1:7" s="172" customFormat="1" ht="15" customHeight="1" x14ac:dyDescent="0.25">
      <c r="A10441" s="803" t="s">
        <v>4665</v>
      </c>
      <c r="B10441" s="803" t="s">
        <v>4354</v>
      </c>
      <c r="C10441" s="803" t="s">
        <v>4354</v>
      </c>
      <c r="D10441" s="803" t="s">
        <v>4665</v>
      </c>
      <c r="E10441" s="803">
        <v>10</v>
      </c>
      <c r="F10441" s="803">
        <v>3</v>
      </c>
      <c r="G10441" s="202" t="str">
        <f t="shared" si="162"/>
        <v/>
      </c>
    </row>
    <row r="10442" spans="1:7" s="172" customFormat="1" ht="15" customHeight="1" x14ac:dyDescent="0.25">
      <c r="A10442" s="803" t="s">
        <v>4439</v>
      </c>
      <c r="B10442" s="803" t="s">
        <v>4354</v>
      </c>
      <c r="C10442" s="803" t="s">
        <v>4354</v>
      </c>
      <c r="D10442" s="803" t="s">
        <v>4439</v>
      </c>
      <c r="E10442" s="803">
        <v>10</v>
      </c>
      <c r="F10442" s="803">
        <v>2</v>
      </c>
      <c r="G10442" s="202" t="str">
        <f t="shared" si="162"/>
        <v/>
      </c>
    </row>
    <row r="10443" spans="1:7" s="172" customFormat="1" ht="15" customHeight="1" x14ac:dyDescent="0.25">
      <c r="A10443" s="803" t="s">
        <v>4666</v>
      </c>
      <c r="B10443" s="803" t="s">
        <v>4354</v>
      </c>
      <c r="C10443" s="803" t="s">
        <v>4354</v>
      </c>
      <c r="D10443" s="803" t="s">
        <v>4666</v>
      </c>
      <c r="E10443" s="803">
        <v>250</v>
      </c>
      <c r="F10443" s="803">
        <v>140</v>
      </c>
      <c r="G10443" s="202" t="str">
        <f t="shared" si="162"/>
        <v/>
      </c>
    </row>
    <row r="10444" spans="1:7" s="172" customFormat="1" ht="15" customHeight="1" x14ac:dyDescent="0.25">
      <c r="A10444" s="803" t="s">
        <v>4667</v>
      </c>
      <c r="B10444" s="803" t="s">
        <v>4354</v>
      </c>
      <c r="C10444" s="803" t="s">
        <v>4354</v>
      </c>
      <c r="D10444" s="803" t="s">
        <v>4667</v>
      </c>
      <c r="E10444" s="803">
        <v>100</v>
      </c>
      <c r="F10444" s="803">
        <v>95</v>
      </c>
      <c r="G10444" s="202" t="str">
        <f t="shared" si="162"/>
        <v/>
      </c>
    </row>
    <row r="10445" spans="1:7" s="172" customFormat="1" ht="15" customHeight="1" x14ac:dyDescent="0.25">
      <c r="A10445" s="803" t="s">
        <v>12367</v>
      </c>
      <c r="B10445" s="803" t="s">
        <v>4668</v>
      </c>
      <c r="C10445" s="803" t="s">
        <v>4668</v>
      </c>
      <c r="D10445" s="803" t="s">
        <v>4669</v>
      </c>
      <c r="E10445" s="803">
        <v>10</v>
      </c>
      <c r="F10445" s="803">
        <v>3</v>
      </c>
      <c r="G10445" s="202" t="str">
        <f t="shared" si="162"/>
        <v/>
      </c>
    </row>
    <row r="10446" spans="1:7" s="172" customFormat="1" ht="15" customHeight="1" x14ac:dyDescent="0.25">
      <c r="A10446" s="803" t="s">
        <v>12368</v>
      </c>
      <c r="B10446" s="803" t="s">
        <v>4668</v>
      </c>
      <c r="C10446" s="803" t="s">
        <v>4668</v>
      </c>
      <c r="D10446" s="803" t="s">
        <v>4670</v>
      </c>
      <c r="E10446" s="803">
        <v>63</v>
      </c>
      <c r="F10446" s="803">
        <v>15</v>
      </c>
      <c r="G10446" s="202" t="str">
        <f t="shared" si="162"/>
        <v/>
      </c>
    </row>
    <row r="10447" spans="1:7" s="172" customFormat="1" ht="15" customHeight="1" x14ac:dyDescent="0.25">
      <c r="A10447" s="803" t="s">
        <v>12369</v>
      </c>
      <c r="B10447" s="803" t="s">
        <v>4668</v>
      </c>
      <c r="C10447" s="803" t="s">
        <v>4668</v>
      </c>
      <c r="D10447" s="803" t="s">
        <v>19179</v>
      </c>
      <c r="E10447" s="803">
        <v>160</v>
      </c>
      <c r="F10447" s="803">
        <v>32</v>
      </c>
      <c r="G10447" s="202" t="str">
        <f t="shared" si="162"/>
        <v/>
      </c>
    </row>
    <row r="10448" spans="1:7" s="172" customFormat="1" ht="15" customHeight="1" x14ac:dyDescent="0.25">
      <c r="A10448" s="803" t="s">
        <v>12370</v>
      </c>
      <c r="B10448" s="803" t="s">
        <v>4668</v>
      </c>
      <c r="C10448" s="803" t="s">
        <v>4668</v>
      </c>
      <c r="D10448" s="803" t="s">
        <v>4671</v>
      </c>
      <c r="E10448" s="803">
        <v>10</v>
      </c>
      <c r="F10448" s="803">
        <v>3</v>
      </c>
      <c r="G10448" s="202" t="str">
        <f t="shared" si="162"/>
        <v/>
      </c>
    </row>
    <row r="10449" spans="1:7" s="172" customFormat="1" ht="15" customHeight="1" x14ac:dyDescent="0.25">
      <c r="A10449" s="803" t="s">
        <v>12371</v>
      </c>
      <c r="B10449" s="803" t="s">
        <v>4668</v>
      </c>
      <c r="C10449" s="803" t="s">
        <v>4668</v>
      </c>
      <c r="D10449" s="803" t="s">
        <v>4672</v>
      </c>
      <c r="E10449" s="803">
        <v>250</v>
      </c>
      <c r="F10449" s="803">
        <v>205</v>
      </c>
      <c r="G10449" s="202" t="str">
        <f t="shared" si="162"/>
        <v/>
      </c>
    </row>
    <row r="10450" spans="1:7" s="172" customFormat="1" ht="15" customHeight="1" x14ac:dyDescent="0.25">
      <c r="A10450" s="803" t="s">
        <v>12372</v>
      </c>
      <c r="B10450" s="803" t="s">
        <v>4668</v>
      </c>
      <c r="C10450" s="803" t="s">
        <v>4668</v>
      </c>
      <c r="D10450" s="803" t="s">
        <v>4673</v>
      </c>
      <c r="E10450" s="803">
        <v>100</v>
      </c>
      <c r="F10450" s="803">
        <v>25</v>
      </c>
      <c r="G10450" s="202" t="str">
        <f t="shared" si="162"/>
        <v/>
      </c>
    </row>
    <row r="10451" spans="1:7" s="172" customFormat="1" ht="15" customHeight="1" x14ac:dyDescent="0.25">
      <c r="A10451" s="803" t="s">
        <v>12373</v>
      </c>
      <c r="B10451" s="803" t="s">
        <v>4668</v>
      </c>
      <c r="C10451" s="803" t="s">
        <v>4668</v>
      </c>
      <c r="D10451" s="803" t="s">
        <v>4674</v>
      </c>
      <c r="E10451" s="803">
        <v>250</v>
      </c>
      <c r="F10451" s="803">
        <v>118</v>
      </c>
      <c r="G10451" s="202" t="str">
        <f t="shared" si="162"/>
        <v/>
      </c>
    </row>
    <row r="10452" spans="1:7" s="172" customFormat="1" ht="15" customHeight="1" x14ac:dyDescent="0.25">
      <c r="A10452" s="803" t="s">
        <v>12373</v>
      </c>
      <c r="B10452" s="803" t="s">
        <v>4668</v>
      </c>
      <c r="C10452" s="803" t="s">
        <v>4668</v>
      </c>
      <c r="D10452" s="803" t="s">
        <v>4675</v>
      </c>
      <c r="E10452" s="803">
        <v>100</v>
      </c>
      <c r="F10452" s="803">
        <v>16</v>
      </c>
      <c r="G10452" s="202" t="str">
        <f t="shared" si="162"/>
        <v/>
      </c>
    </row>
    <row r="10453" spans="1:7" s="172" customFormat="1" ht="15" customHeight="1" x14ac:dyDescent="0.25">
      <c r="A10453" s="803" t="s">
        <v>12374</v>
      </c>
      <c r="B10453" s="803" t="s">
        <v>4668</v>
      </c>
      <c r="C10453" s="803" t="s">
        <v>4668</v>
      </c>
      <c r="D10453" s="803" t="s">
        <v>4676</v>
      </c>
      <c r="E10453" s="803">
        <v>160</v>
      </c>
      <c r="F10453" s="803">
        <v>95</v>
      </c>
      <c r="G10453" s="202" t="str">
        <f t="shared" ref="G10453:G10498" si="163">IF(E10453=F10453,"не загружен","")</f>
        <v/>
      </c>
    </row>
    <row r="10454" spans="1:7" s="172" customFormat="1" ht="15" customHeight="1" x14ac:dyDescent="0.25">
      <c r="A10454" s="803" t="s">
        <v>12375</v>
      </c>
      <c r="B10454" s="803" t="s">
        <v>4668</v>
      </c>
      <c r="C10454" s="803" t="s">
        <v>4668</v>
      </c>
      <c r="D10454" s="803" t="s">
        <v>4677</v>
      </c>
      <c r="E10454" s="803">
        <v>60</v>
      </c>
      <c r="F10454" s="803">
        <v>22</v>
      </c>
      <c r="G10454" s="202" t="str">
        <f t="shared" si="163"/>
        <v/>
      </c>
    </row>
    <row r="10455" spans="1:7" s="172" customFormat="1" ht="15" customHeight="1" x14ac:dyDescent="0.25">
      <c r="A10455" s="803" t="s">
        <v>12371</v>
      </c>
      <c r="B10455" s="803" t="s">
        <v>4668</v>
      </c>
      <c r="C10455" s="803" t="s">
        <v>4668</v>
      </c>
      <c r="D10455" s="803" t="s">
        <v>4678</v>
      </c>
      <c r="E10455" s="803">
        <v>100</v>
      </c>
      <c r="F10455" s="803">
        <v>15</v>
      </c>
      <c r="G10455" s="202" t="str">
        <f t="shared" si="163"/>
        <v/>
      </c>
    </row>
    <row r="10456" spans="1:7" s="172" customFormat="1" ht="15" customHeight="1" x14ac:dyDescent="0.25">
      <c r="A10456" s="803" t="s">
        <v>12376</v>
      </c>
      <c r="B10456" s="803" t="s">
        <v>4668</v>
      </c>
      <c r="C10456" s="803" t="s">
        <v>4668</v>
      </c>
      <c r="D10456" s="803" t="s">
        <v>4679</v>
      </c>
      <c r="E10456" s="803">
        <v>500</v>
      </c>
      <c r="F10456" s="803">
        <v>70</v>
      </c>
      <c r="G10456" s="202" t="str">
        <f t="shared" si="163"/>
        <v/>
      </c>
    </row>
    <row r="10457" spans="1:7" s="172" customFormat="1" ht="15" customHeight="1" x14ac:dyDescent="0.25">
      <c r="A10457" s="803" t="s">
        <v>12376</v>
      </c>
      <c r="B10457" s="803" t="s">
        <v>4668</v>
      </c>
      <c r="C10457" s="803" t="s">
        <v>4668</v>
      </c>
      <c r="D10457" s="803" t="s">
        <v>4680</v>
      </c>
      <c r="E10457" s="803">
        <v>800</v>
      </c>
      <c r="F10457" s="803">
        <v>112</v>
      </c>
      <c r="G10457" s="202" t="str">
        <f t="shared" si="163"/>
        <v/>
      </c>
    </row>
    <row r="10458" spans="1:7" s="172" customFormat="1" ht="15" customHeight="1" x14ac:dyDescent="0.25">
      <c r="A10458" s="803" t="s">
        <v>12376</v>
      </c>
      <c r="B10458" s="803" t="s">
        <v>4668</v>
      </c>
      <c r="C10458" s="803" t="s">
        <v>4668</v>
      </c>
      <c r="D10458" s="803" t="s">
        <v>4681</v>
      </c>
      <c r="E10458" s="803">
        <v>400</v>
      </c>
      <c r="F10458" s="803">
        <v>210</v>
      </c>
      <c r="G10458" s="202" t="str">
        <f t="shared" si="163"/>
        <v/>
      </c>
    </row>
    <row r="10459" spans="1:7" s="172" customFormat="1" ht="15" customHeight="1" x14ac:dyDescent="0.25">
      <c r="A10459" s="803" t="s">
        <v>12376</v>
      </c>
      <c r="B10459" s="803" t="s">
        <v>4668</v>
      </c>
      <c r="C10459" s="803" t="s">
        <v>4668</v>
      </c>
      <c r="D10459" s="803" t="s">
        <v>4682</v>
      </c>
      <c r="E10459" s="803">
        <v>250</v>
      </c>
      <c r="F10459" s="803">
        <v>102</v>
      </c>
      <c r="G10459" s="202" t="str">
        <f t="shared" si="163"/>
        <v/>
      </c>
    </row>
    <row r="10460" spans="1:7" s="172" customFormat="1" ht="15" customHeight="1" x14ac:dyDescent="0.25">
      <c r="A10460" s="803" t="s">
        <v>12377</v>
      </c>
      <c r="B10460" s="803" t="s">
        <v>4668</v>
      </c>
      <c r="C10460" s="803" t="s">
        <v>4668</v>
      </c>
      <c r="D10460" s="803" t="s">
        <v>4683</v>
      </c>
      <c r="E10460" s="803">
        <v>160</v>
      </c>
      <c r="F10460" s="803">
        <v>15</v>
      </c>
      <c r="G10460" s="202" t="str">
        <f t="shared" si="163"/>
        <v/>
      </c>
    </row>
    <row r="10461" spans="1:7" s="172" customFormat="1" ht="15" customHeight="1" x14ac:dyDescent="0.25">
      <c r="A10461" s="803" t="s">
        <v>12378</v>
      </c>
      <c r="B10461" s="803" t="s">
        <v>4668</v>
      </c>
      <c r="C10461" s="803" t="s">
        <v>4668</v>
      </c>
      <c r="D10461" s="803" t="s">
        <v>4684</v>
      </c>
      <c r="E10461" s="803">
        <v>63</v>
      </c>
      <c r="F10461" s="803">
        <v>10</v>
      </c>
      <c r="G10461" s="202" t="str">
        <f t="shared" si="163"/>
        <v/>
      </c>
    </row>
    <row r="10462" spans="1:7" s="172" customFormat="1" ht="15" customHeight="1" x14ac:dyDescent="0.25">
      <c r="A10462" s="803" t="s">
        <v>12379</v>
      </c>
      <c r="B10462" s="803" t="s">
        <v>4668</v>
      </c>
      <c r="C10462" s="803" t="s">
        <v>4668</v>
      </c>
      <c r="D10462" s="803" t="s">
        <v>4685</v>
      </c>
      <c r="E10462" s="803">
        <v>160</v>
      </c>
      <c r="F10462" s="803">
        <v>95</v>
      </c>
      <c r="G10462" s="202" t="str">
        <f t="shared" si="163"/>
        <v/>
      </c>
    </row>
    <row r="10463" spans="1:7" s="172" customFormat="1" ht="15" customHeight="1" x14ac:dyDescent="0.25">
      <c r="A10463" s="803" t="s">
        <v>12379</v>
      </c>
      <c r="B10463" s="803" t="s">
        <v>4668</v>
      </c>
      <c r="C10463" s="803" t="s">
        <v>4668</v>
      </c>
      <c r="D10463" s="803" t="s">
        <v>4686</v>
      </c>
      <c r="E10463" s="803">
        <v>160</v>
      </c>
      <c r="F10463" s="803">
        <v>35</v>
      </c>
      <c r="G10463" s="202" t="str">
        <f t="shared" si="163"/>
        <v/>
      </c>
    </row>
    <row r="10464" spans="1:7" s="172" customFormat="1" ht="15" customHeight="1" x14ac:dyDescent="0.25">
      <c r="A10464" s="804" t="s">
        <v>12379</v>
      </c>
      <c r="B10464" s="804" t="s">
        <v>4668</v>
      </c>
      <c r="C10464" s="804" t="s">
        <v>4668</v>
      </c>
      <c r="D10464" s="804" t="s">
        <v>4687</v>
      </c>
      <c r="E10464" s="804">
        <v>63</v>
      </c>
      <c r="F10464" s="804">
        <v>15</v>
      </c>
      <c r="G10464" s="202" t="str">
        <f t="shared" si="163"/>
        <v/>
      </c>
    </row>
    <row r="10465" spans="1:7" s="172" customFormat="1" ht="15" customHeight="1" x14ac:dyDescent="0.25">
      <c r="A10465" s="804" t="s">
        <v>12380</v>
      </c>
      <c r="B10465" s="804" t="s">
        <v>4668</v>
      </c>
      <c r="C10465" s="804" t="s">
        <v>4668</v>
      </c>
      <c r="D10465" s="804" t="s">
        <v>4688</v>
      </c>
      <c r="E10465" s="804">
        <v>100</v>
      </c>
      <c r="F10465" s="804">
        <v>80</v>
      </c>
      <c r="G10465" s="202" t="str">
        <f t="shared" si="163"/>
        <v/>
      </c>
    </row>
    <row r="10466" spans="1:7" s="172" customFormat="1" ht="15" customHeight="1" x14ac:dyDescent="0.25">
      <c r="A10466" s="804" t="s">
        <v>12380</v>
      </c>
      <c r="B10466" s="804" t="s">
        <v>4668</v>
      </c>
      <c r="C10466" s="804" t="s">
        <v>4668</v>
      </c>
      <c r="D10466" s="804" t="s">
        <v>4689</v>
      </c>
      <c r="E10466" s="804">
        <v>250</v>
      </c>
      <c r="F10466" s="804">
        <v>110</v>
      </c>
      <c r="G10466" s="202" t="str">
        <f t="shared" si="163"/>
        <v/>
      </c>
    </row>
    <row r="10467" spans="1:7" s="172" customFormat="1" ht="15" customHeight="1" x14ac:dyDescent="0.25">
      <c r="A10467" s="804" t="s">
        <v>12377</v>
      </c>
      <c r="B10467" s="804" t="s">
        <v>4668</v>
      </c>
      <c r="C10467" s="804" t="s">
        <v>4668</v>
      </c>
      <c r="D10467" s="804" t="s">
        <v>4690</v>
      </c>
      <c r="E10467" s="804">
        <v>250</v>
      </c>
      <c r="F10467" s="804">
        <v>91</v>
      </c>
      <c r="G10467" s="202" t="str">
        <f t="shared" si="163"/>
        <v/>
      </c>
    </row>
    <row r="10468" spans="1:7" s="172" customFormat="1" ht="15" customHeight="1" x14ac:dyDescent="0.25">
      <c r="A10468" s="804" t="s">
        <v>12381</v>
      </c>
      <c r="B10468" s="804" t="s">
        <v>4668</v>
      </c>
      <c r="C10468" s="804" t="s">
        <v>4668</v>
      </c>
      <c r="D10468" s="804" t="s">
        <v>4691</v>
      </c>
      <c r="E10468" s="804">
        <v>160</v>
      </c>
      <c r="F10468" s="804">
        <v>38</v>
      </c>
      <c r="G10468" s="202" t="str">
        <f t="shared" si="163"/>
        <v/>
      </c>
    </row>
    <row r="10469" spans="1:7" s="172" customFormat="1" ht="15" customHeight="1" x14ac:dyDescent="0.25">
      <c r="A10469" s="804" t="s">
        <v>12381</v>
      </c>
      <c r="B10469" s="804" t="s">
        <v>4668</v>
      </c>
      <c r="C10469" s="804" t="s">
        <v>4668</v>
      </c>
      <c r="D10469" s="804" t="s">
        <v>4692</v>
      </c>
      <c r="E10469" s="804">
        <v>800</v>
      </c>
      <c r="F10469" s="804">
        <v>100</v>
      </c>
      <c r="G10469" s="202" t="str">
        <f t="shared" si="163"/>
        <v/>
      </c>
    </row>
    <row r="10470" spans="1:7" s="172" customFormat="1" ht="15" customHeight="1" x14ac:dyDescent="0.25">
      <c r="A10470" s="804" t="s">
        <v>12382</v>
      </c>
      <c r="B10470" s="804" t="s">
        <v>4668</v>
      </c>
      <c r="C10470" s="804" t="s">
        <v>4668</v>
      </c>
      <c r="D10470" s="804" t="s">
        <v>4693</v>
      </c>
      <c r="E10470" s="804">
        <v>400</v>
      </c>
      <c r="F10470" s="804">
        <v>240</v>
      </c>
      <c r="G10470" s="202" t="str">
        <f t="shared" si="163"/>
        <v/>
      </c>
    </row>
    <row r="10471" spans="1:7" s="172" customFormat="1" ht="15" customHeight="1" x14ac:dyDescent="0.25">
      <c r="A10471" s="804" t="s">
        <v>12382</v>
      </c>
      <c r="B10471" s="804" t="s">
        <v>4668</v>
      </c>
      <c r="C10471" s="804" t="s">
        <v>4668</v>
      </c>
      <c r="D10471" s="804" t="s">
        <v>4694</v>
      </c>
      <c r="E10471" s="804">
        <v>60</v>
      </c>
      <c r="F10471" s="804">
        <v>15</v>
      </c>
      <c r="G10471" s="202" t="str">
        <f t="shared" si="163"/>
        <v/>
      </c>
    </row>
    <row r="10472" spans="1:7" s="172" customFormat="1" ht="15" customHeight="1" x14ac:dyDescent="0.25">
      <c r="A10472" s="804" t="s">
        <v>12382</v>
      </c>
      <c r="B10472" s="804" t="s">
        <v>4668</v>
      </c>
      <c r="C10472" s="804" t="s">
        <v>4668</v>
      </c>
      <c r="D10472" s="804" t="s">
        <v>4695</v>
      </c>
      <c r="E10472" s="804">
        <v>100</v>
      </c>
      <c r="F10472" s="804">
        <v>15</v>
      </c>
      <c r="G10472" s="202" t="str">
        <f t="shared" si="163"/>
        <v/>
      </c>
    </row>
    <row r="10473" spans="1:7" s="172" customFormat="1" ht="15" customHeight="1" x14ac:dyDescent="0.25">
      <c r="A10473" s="804" t="s">
        <v>12383</v>
      </c>
      <c r="B10473" s="804" t="s">
        <v>4668</v>
      </c>
      <c r="C10473" s="804" t="s">
        <v>4668</v>
      </c>
      <c r="D10473" s="804" t="s">
        <v>4696</v>
      </c>
      <c r="E10473" s="804">
        <v>60</v>
      </c>
      <c r="F10473" s="804">
        <v>18</v>
      </c>
      <c r="G10473" s="202" t="str">
        <f t="shared" si="163"/>
        <v/>
      </c>
    </row>
    <row r="10474" spans="1:7" s="172" customFormat="1" ht="15" customHeight="1" x14ac:dyDescent="0.25">
      <c r="A10474" s="804" t="s">
        <v>12384</v>
      </c>
      <c r="B10474" s="804" t="s">
        <v>4668</v>
      </c>
      <c r="C10474" s="804" t="s">
        <v>4668</v>
      </c>
      <c r="D10474" s="804" t="s">
        <v>4697</v>
      </c>
      <c r="E10474" s="804">
        <v>100</v>
      </c>
      <c r="F10474" s="804">
        <v>58</v>
      </c>
      <c r="G10474" s="202" t="str">
        <f t="shared" si="163"/>
        <v/>
      </c>
    </row>
    <row r="10475" spans="1:7" s="172" customFormat="1" ht="15" customHeight="1" x14ac:dyDescent="0.25">
      <c r="A10475" s="804" t="s">
        <v>12385</v>
      </c>
      <c r="B10475" s="804" t="s">
        <v>4668</v>
      </c>
      <c r="C10475" s="804" t="s">
        <v>4668</v>
      </c>
      <c r="D10475" s="804" t="s">
        <v>4698</v>
      </c>
      <c r="E10475" s="804">
        <v>63</v>
      </c>
      <c r="F10475" s="804">
        <v>10</v>
      </c>
      <c r="G10475" s="202" t="str">
        <f t="shared" si="163"/>
        <v/>
      </c>
    </row>
    <row r="10476" spans="1:7" s="172" customFormat="1" ht="15" customHeight="1" x14ac:dyDescent="0.25">
      <c r="A10476" s="804" t="s">
        <v>12386</v>
      </c>
      <c r="B10476" s="804" t="s">
        <v>4668</v>
      </c>
      <c r="C10476" s="804" t="s">
        <v>4668</v>
      </c>
      <c r="D10476" s="804" t="s">
        <v>4699</v>
      </c>
      <c r="E10476" s="804">
        <v>60</v>
      </c>
      <c r="F10476" s="804">
        <v>34</v>
      </c>
      <c r="G10476" s="202" t="str">
        <f t="shared" si="163"/>
        <v/>
      </c>
    </row>
    <row r="10477" spans="1:7" s="172" customFormat="1" ht="15" customHeight="1" x14ac:dyDescent="0.25">
      <c r="A10477" s="804" t="s">
        <v>12387</v>
      </c>
      <c r="B10477" s="804" t="s">
        <v>4668</v>
      </c>
      <c r="C10477" s="804" t="s">
        <v>4668</v>
      </c>
      <c r="D10477" s="804" t="s">
        <v>4700</v>
      </c>
      <c r="E10477" s="804">
        <v>63</v>
      </c>
      <c r="F10477" s="804">
        <v>12</v>
      </c>
      <c r="G10477" s="202" t="str">
        <f t="shared" si="163"/>
        <v/>
      </c>
    </row>
    <row r="10478" spans="1:7" s="172" customFormat="1" ht="15" customHeight="1" x14ac:dyDescent="0.25">
      <c r="A10478" s="804" t="s">
        <v>12388</v>
      </c>
      <c r="B10478" s="804" t="s">
        <v>4668</v>
      </c>
      <c r="C10478" s="804" t="s">
        <v>4668</v>
      </c>
      <c r="D10478" s="804" t="s">
        <v>4701</v>
      </c>
      <c r="E10478" s="804">
        <v>60</v>
      </c>
      <c r="F10478" s="804">
        <v>15</v>
      </c>
      <c r="G10478" s="202" t="str">
        <f t="shared" si="163"/>
        <v/>
      </c>
    </row>
    <row r="10479" spans="1:7" s="172" customFormat="1" ht="15" customHeight="1" x14ac:dyDescent="0.25">
      <c r="A10479" s="804" t="s">
        <v>12389</v>
      </c>
      <c r="B10479" s="804" t="s">
        <v>4668</v>
      </c>
      <c r="C10479" s="804" t="s">
        <v>4668</v>
      </c>
      <c r="D10479" s="804" t="s">
        <v>4702</v>
      </c>
      <c r="E10479" s="804">
        <v>60</v>
      </c>
      <c r="F10479" s="804">
        <v>22</v>
      </c>
      <c r="G10479" s="202" t="str">
        <f t="shared" si="163"/>
        <v/>
      </c>
    </row>
    <row r="10480" spans="1:7" s="172" customFormat="1" ht="15" customHeight="1" x14ac:dyDescent="0.25">
      <c r="A10480" s="804" t="s">
        <v>12390</v>
      </c>
      <c r="B10480" s="804" t="s">
        <v>4668</v>
      </c>
      <c r="C10480" s="804" t="s">
        <v>4668</v>
      </c>
      <c r="D10480" s="804" t="s">
        <v>4703</v>
      </c>
      <c r="E10480" s="804">
        <v>60</v>
      </c>
      <c r="F10480" s="804">
        <v>47</v>
      </c>
      <c r="G10480" s="202" t="str">
        <f t="shared" si="163"/>
        <v/>
      </c>
    </row>
    <row r="10481" spans="1:7" s="172" customFormat="1" ht="15" customHeight="1" x14ac:dyDescent="0.25">
      <c r="A10481" s="804" t="s">
        <v>12391</v>
      </c>
      <c r="B10481" s="804" t="s">
        <v>4668</v>
      </c>
      <c r="C10481" s="804" t="s">
        <v>4668</v>
      </c>
      <c r="D10481" s="804" t="s">
        <v>4704</v>
      </c>
      <c r="E10481" s="804">
        <v>25</v>
      </c>
      <c r="F10481" s="804">
        <v>5</v>
      </c>
      <c r="G10481" s="202" t="str">
        <f t="shared" si="163"/>
        <v/>
      </c>
    </row>
    <row r="10482" spans="1:7" s="172" customFormat="1" ht="15" customHeight="1" x14ac:dyDescent="0.25">
      <c r="A10482" s="804" t="s">
        <v>12392</v>
      </c>
      <c r="B10482" s="804" t="s">
        <v>4668</v>
      </c>
      <c r="C10482" s="804" t="s">
        <v>4668</v>
      </c>
      <c r="D10482" s="804" t="s">
        <v>4705</v>
      </c>
      <c r="E10482" s="804">
        <v>160</v>
      </c>
      <c r="F10482" s="804">
        <v>134</v>
      </c>
      <c r="G10482" s="202" t="str">
        <f t="shared" si="163"/>
        <v/>
      </c>
    </row>
    <row r="10483" spans="1:7" s="172" customFormat="1" ht="15" customHeight="1" x14ac:dyDescent="0.25">
      <c r="A10483" s="804" t="s">
        <v>12393</v>
      </c>
      <c r="B10483" s="804" t="s">
        <v>4668</v>
      </c>
      <c r="C10483" s="804" t="s">
        <v>4668</v>
      </c>
      <c r="D10483" s="804" t="s">
        <v>4706</v>
      </c>
      <c r="E10483" s="804">
        <v>10</v>
      </c>
      <c r="F10483" s="804">
        <v>3</v>
      </c>
      <c r="G10483" s="202" t="str">
        <f t="shared" si="163"/>
        <v/>
      </c>
    </row>
    <row r="10484" spans="1:7" s="172" customFormat="1" ht="15" customHeight="1" x14ac:dyDescent="0.25">
      <c r="A10484" s="804" t="s">
        <v>12394</v>
      </c>
      <c r="B10484" s="804" t="s">
        <v>4668</v>
      </c>
      <c r="C10484" s="804" t="s">
        <v>4668</v>
      </c>
      <c r="D10484" s="804" t="s">
        <v>4707</v>
      </c>
      <c r="E10484" s="804">
        <v>60</v>
      </c>
      <c r="F10484" s="804">
        <v>40</v>
      </c>
      <c r="G10484" s="202" t="str">
        <f t="shared" si="163"/>
        <v/>
      </c>
    </row>
    <row r="10485" spans="1:7" s="172" customFormat="1" ht="15" customHeight="1" x14ac:dyDescent="0.25">
      <c r="A10485" s="804" t="s">
        <v>12395</v>
      </c>
      <c r="B10485" s="804" t="s">
        <v>4668</v>
      </c>
      <c r="C10485" s="804" t="s">
        <v>4668</v>
      </c>
      <c r="D10485" s="804" t="s">
        <v>4708</v>
      </c>
      <c r="E10485" s="804">
        <v>10</v>
      </c>
      <c r="F10485" s="804">
        <v>3</v>
      </c>
      <c r="G10485" s="202" t="str">
        <f t="shared" si="163"/>
        <v/>
      </c>
    </row>
    <row r="10486" spans="1:7" s="172" customFormat="1" ht="15" customHeight="1" x14ac:dyDescent="0.25">
      <c r="A10486" s="804" t="s">
        <v>12396</v>
      </c>
      <c r="B10486" s="804" t="s">
        <v>4668</v>
      </c>
      <c r="C10486" s="804" t="s">
        <v>4668</v>
      </c>
      <c r="D10486" s="804" t="s">
        <v>4709</v>
      </c>
      <c r="E10486" s="804">
        <v>30</v>
      </c>
      <c r="F10486" s="804">
        <v>5</v>
      </c>
      <c r="G10486" s="202" t="str">
        <f t="shared" si="163"/>
        <v/>
      </c>
    </row>
    <row r="10487" spans="1:7" s="172" customFormat="1" ht="15" customHeight="1" x14ac:dyDescent="0.25">
      <c r="A10487" s="804" t="s">
        <v>12397</v>
      </c>
      <c r="B10487" s="804" t="s">
        <v>4668</v>
      </c>
      <c r="C10487" s="804" t="s">
        <v>4668</v>
      </c>
      <c r="D10487" s="804" t="s">
        <v>4710</v>
      </c>
      <c r="E10487" s="804">
        <v>63</v>
      </c>
      <c r="F10487" s="804">
        <v>53</v>
      </c>
      <c r="G10487" s="202" t="str">
        <f t="shared" si="163"/>
        <v/>
      </c>
    </row>
    <row r="10488" spans="1:7" s="172" customFormat="1" ht="15" customHeight="1" x14ac:dyDescent="0.25">
      <c r="A10488" s="804" t="s">
        <v>12397</v>
      </c>
      <c r="B10488" s="804" t="s">
        <v>4668</v>
      </c>
      <c r="C10488" s="804" t="s">
        <v>4668</v>
      </c>
      <c r="D10488" s="804" t="s">
        <v>4711</v>
      </c>
      <c r="E10488" s="804">
        <v>160</v>
      </c>
      <c r="F10488" s="804">
        <v>89</v>
      </c>
      <c r="G10488" s="202" t="str">
        <f t="shared" si="163"/>
        <v/>
      </c>
    </row>
    <row r="10489" spans="1:7" s="172" customFormat="1" ht="15" customHeight="1" x14ac:dyDescent="0.25">
      <c r="A10489" s="804" t="s">
        <v>12397</v>
      </c>
      <c r="B10489" s="804" t="s">
        <v>4668</v>
      </c>
      <c r="C10489" s="804" t="s">
        <v>4668</v>
      </c>
      <c r="D10489" s="804" t="s">
        <v>4712</v>
      </c>
      <c r="E10489" s="804">
        <v>160</v>
      </c>
      <c r="F10489" s="804">
        <v>63</v>
      </c>
      <c r="G10489" s="202" t="str">
        <f t="shared" si="163"/>
        <v/>
      </c>
    </row>
    <row r="10490" spans="1:7" s="172" customFormat="1" ht="15" customHeight="1" x14ac:dyDescent="0.25">
      <c r="A10490" s="804" t="s">
        <v>12398</v>
      </c>
      <c r="B10490" s="804" t="s">
        <v>4668</v>
      </c>
      <c r="C10490" s="804" t="s">
        <v>4668</v>
      </c>
      <c r="D10490" s="804" t="s">
        <v>4713</v>
      </c>
      <c r="E10490" s="804">
        <v>100</v>
      </c>
      <c r="F10490" s="804">
        <v>25</v>
      </c>
      <c r="G10490" s="202" t="str">
        <f t="shared" si="163"/>
        <v/>
      </c>
    </row>
    <row r="10491" spans="1:7" s="172" customFormat="1" ht="15" customHeight="1" x14ac:dyDescent="0.25">
      <c r="A10491" s="804" t="s">
        <v>12399</v>
      </c>
      <c r="B10491" s="804" t="s">
        <v>4668</v>
      </c>
      <c r="C10491" s="804" t="s">
        <v>4668</v>
      </c>
      <c r="D10491" s="804" t="s">
        <v>4714</v>
      </c>
      <c r="E10491" s="804">
        <v>100</v>
      </c>
      <c r="F10491" s="804">
        <v>20</v>
      </c>
      <c r="G10491" s="202" t="str">
        <f t="shared" si="163"/>
        <v/>
      </c>
    </row>
    <row r="10492" spans="1:7" s="172" customFormat="1" ht="15" customHeight="1" x14ac:dyDescent="0.25">
      <c r="A10492" s="804" t="s">
        <v>12400</v>
      </c>
      <c r="B10492" s="804" t="s">
        <v>4668</v>
      </c>
      <c r="C10492" s="804" t="s">
        <v>4668</v>
      </c>
      <c r="D10492" s="804" t="s">
        <v>4715</v>
      </c>
      <c r="E10492" s="804">
        <v>63</v>
      </c>
      <c r="F10492" s="804">
        <v>15</v>
      </c>
      <c r="G10492" s="202" t="str">
        <f t="shared" si="163"/>
        <v/>
      </c>
    </row>
    <row r="10493" spans="1:7" s="172" customFormat="1" ht="15" customHeight="1" x14ac:dyDescent="0.25">
      <c r="A10493" s="804" t="s">
        <v>12401</v>
      </c>
      <c r="B10493" s="804" t="s">
        <v>4668</v>
      </c>
      <c r="C10493" s="804" t="s">
        <v>4668</v>
      </c>
      <c r="D10493" s="804" t="s">
        <v>4716</v>
      </c>
      <c r="E10493" s="804">
        <v>160</v>
      </c>
      <c r="F10493" s="804">
        <v>80</v>
      </c>
      <c r="G10493" s="202" t="str">
        <f t="shared" si="163"/>
        <v/>
      </c>
    </row>
    <row r="10494" spans="1:7" s="172" customFormat="1" ht="15" customHeight="1" x14ac:dyDescent="0.25">
      <c r="A10494" s="804" t="s">
        <v>12402</v>
      </c>
      <c r="B10494" s="804" t="s">
        <v>4668</v>
      </c>
      <c r="C10494" s="804" t="s">
        <v>4668</v>
      </c>
      <c r="D10494" s="804" t="s">
        <v>4717</v>
      </c>
      <c r="E10494" s="804">
        <v>100</v>
      </c>
      <c r="F10494" s="804">
        <v>22</v>
      </c>
      <c r="G10494" s="202" t="str">
        <f t="shared" si="163"/>
        <v/>
      </c>
    </row>
    <row r="10495" spans="1:7" s="172" customFormat="1" ht="15" customHeight="1" x14ac:dyDescent="0.25">
      <c r="A10495" s="804" t="s">
        <v>12403</v>
      </c>
      <c r="B10495" s="804" t="s">
        <v>4668</v>
      </c>
      <c r="C10495" s="804" t="s">
        <v>4668</v>
      </c>
      <c r="D10495" s="804" t="s">
        <v>4718</v>
      </c>
      <c r="E10495" s="804">
        <v>50</v>
      </c>
      <c r="F10495" s="804">
        <v>15</v>
      </c>
      <c r="G10495" s="202" t="str">
        <f t="shared" si="163"/>
        <v/>
      </c>
    </row>
    <row r="10496" spans="1:7" s="172" customFormat="1" ht="15" customHeight="1" x14ac:dyDescent="0.25">
      <c r="A10496" s="804" t="s">
        <v>12381</v>
      </c>
      <c r="B10496" s="804" t="s">
        <v>4668</v>
      </c>
      <c r="C10496" s="804" t="s">
        <v>4668</v>
      </c>
      <c r="D10496" s="804" t="s">
        <v>4719</v>
      </c>
      <c r="E10496" s="804">
        <v>250</v>
      </c>
      <c r="F10496" s="804">
        <v>148</v>
      </c>
      <c r="G10496" s="202" t="str">
        <f t="shared" si="163"/>
        <v/>
      </c>
    </row>
    <row r="10497" spans="1:7" s="172" customFormat="1" ht="15" customHeight="1" x14ac:dyDescent="0.25">
      <c r="A10497" s="804" t="s">
        <v>12401</v>
      </c>
      <c r="B10497" s="804" t="s">
        <v>4668</v>
      </c>
      <c r="C10497" s="804" t="s">
        <v>4668</v>
      </c>
      <c r="D10497" s="804" t="s">
        <v>4720</v>
      </c>
      <c r="E10497" s="804">
        <v>160</v>
      </c>
      <c r="F10497" s="804">
        <v>35</v>
      </c>
      <c r="G10497" s="202" t="str">
        <f t="shared" si="163"/>
        <v/>
      </c>
    </row>
    <row r="10498" spans="1:7" s="172" customFormat="1" ht="15" customHeight="1" x14ac:dyDescent="0.25">
      <c r="A10498" s="804" t="s">
        <v>12404</v>
      </c>
      <c r="B10498" s="804" t="s">
        <v>4668</v>
      </c>
      <c r="C10498" s="804" t="s">
        <v>4668</v>
      </c>
      <c r="D10498" s="804" t="s">
        <v>4721</v>
      </c>
      <c r="E10498" s="804">
        <v>100</v>
      </c>
      <c r="F10498" s="804">
        <v>14</v>
      </c>
      <c r="G10498" s="202" t="str">
        <f t="shared" si="163"/>
        <v/>
      </c>
    </row>
    <row r="10499" spans="1:7" s="172" customFormat="1" ht="15" customHeight="1" x14ac:dyDescent="0.25">
      <c r="A10499" s="804" t="s">
        <v>12405</v>
      </c>
      <c r="B10499" s="804" t="s">
        <v>4668</v>
      </c>
      <c r="C10499" s="804" t="s">
        <v>4668</v>
      </c>
      <c r="D10499" s="804" t="s">
        <v>4722</v>
      </c>
      <c r="E10499" s="804">
        <v>63</v>
      </c>
      <c r="F10499" s="804">
        <v>45</v>
      </c>
      <c r="G10499" s="202"/>
    </row>
    <row r="10500" spans="1:7" s="172" customFormat="1" ht="15" customHeight="1" x14ac:dyDescent="0.25">
      <c r="A10500" s="804" t="s">
        <v>12406</v>
      </c>
      <c r="B10500" s="804" t="s">
        <v>4668</v>
      </c>
      <c r="C10500" s="804" t="s">
        <v>4668</v>
      </c>
      <c r="D10500" s="804" t="s">
        <v>4723</v>
      </c>
      <c r="E10500" s="804">
        <v>60</v>
      </c>
      <c r="F10500" s="804">
        <v>25</v>
      </c>
      <c r="G10500" s="202"/>
    </row>
    <row r="10501" spans="1:7" s="172" customFormat="1" ht="15" customHeight="1" x14ac:dyDescent="0.25">
      <c r="A10501" s="804" t="s">
        <v>12407</v>
      </c>
      <c r="B10501" s="804" t="s">
        <v>4668</v>
      </c>
      <c r="C10501" s="804" t="s">
        <v>4668</v>
      </c>
      <c r="D10501" s="804" t="s">
        <v>4724</v>
      </c>
      <c r="E10501" s="804">
        <v>25</v>
      </c>
      <c r="F10501" s="804">
        <v>3</v>
      </c>
      <c r="G10501" s="202"/>
    </row>
    <row r="10502" spans="1:7" s="172" customFormat="1" ht="15" customHeight="1" x14ac:dyDescent="0.25">
      <c r="A10502" s="804" t="s">
        <v>12408</v>
      </c>
      <c r="B10502" s="804" t="s">
        <v>4668</v>
      </c>
      <c r="C10502" s="804" t="s">
        <v>4668</v>
      </c>
      <c r="D10502" s="804" t="s">
        <v>4725</v>
      </c>
      <c r="E10502" s="804">
        <v>30</v>
      </c>
      <c r="F10502" s="804">
        <v>17</v>
      </c>
      <c r="G10502" s="202"/>
    </row>
    <row r="10503" spans="1:7" s="172" customFormat="1" ht="15" customHeight="1" x14ac:dyDescent="0.25">
      <c r="A10503" s="804" t="s">
        <v>12409</v>
      </c>
      <c r="B10503" s="804" t="s">
        <v>4668</v>
      </c>
      <c r="C10503" s="804" t="s">
        <v>4668</v>
      </c>
      <c r="D10503" s="804" t="s">
        <v>4726</v>
      </c>
      <c r="E10503" s="804">
        <v>4</v>
      </c>
      <c r="F10503" s="804">
        <v>1</v>
      </c>
      <c r="G10503" s="202"/>
    </row>
    <row r="10504" spans="1:7" s="172" customFormat="1" ht="15" customHeight="1" x14ac:dyDescent="0.25">
      <c r="A10504" s="804" t="s">
        <v>12410</v>
      </c>
      <c r="B10504" s="804" t="s">
        <v>4668</v>
      </c>
      <c r="C10504" s="804" t="s">
        <v>4668</v>
      </c>
      <c r="D10504" s="804" t="s">
        <v>4727</v>
      </c>
      <c r="E10504" s="804">
        <v>160</v>
      </c>
      <c r="F10504" s="804">
        <v>105</v>
      </c>
      <c r="G10504" s="202"/>
    </row>
    <row r="10505" spans="1:7" s="172" customFormat="1" ht="15" customHeight="1" x14ac:dyDescent="0.25">
      <c r="A10505" s="804" t="s">
        <v>12411</v>
      </c>
      <c r="B10505" s="804" t="s">
        <v>4668</v>
      </c>
      <c r="C10505" s="804" t="s">
        <v>4668</v>
      </c>
      <c r="D10505" s="804" t="s">
        <v>4728</v>
      </c>
      <c r="E10505" s="804">
        <v>60</v>
      </c>
      <c r="F10505" s="804">
        <v>20</v>
      </c>
      <c r="G10505" s="202"/>
    </row>
    <row r="10506" spans="1:7" s="172" customFormat="1" ht="15" customHeight="1" x14ac:dyDescent="0.25">
      <c r="A10506" s="804" t="s">
        <v>12412</v>
      </c>
      <c r="B10506" s="804" t="s">
        <v>4668</v>
      </c>
      <c r="C10506" s="804" t="s">
        <v>4668</v>
      </c>
      <c r="D10506" s="804" t="s">
        <v>4729</v>
      </c>
      <c r="E10506" s="804">
        <v>30</v>
      </c>
      <c r="F10506" s="804">
        <v>24</v>
      </c>
      <c r="G10506" s="202"/>
    </row>
    <row r="10507" spans="1:7" s="172" customFormat="1" ht="15" customHeight="1" x14ac:dyDescent="0.25">
      <c r="A10507" s="804" t="s">
        <v>12413</v>
      </c>
      <c r="B10507" s="804" t="s">
        <v>4668</v>
      </c>
      <c r="C10507" s="804" t="s">
        <v>4668</v>
      </c>
      <c r="D10507" s="804" t="s">
        <v>4730</v>
      </c>
      <c r="E10507" s="804">
        <v>63</v>
      </c>
      <c r="F10507" s="804">
        <v>43</v>
      </c>
      <c r="G10507" s="202"/>
    </row>
    <row r="10508" spans="1:7" s="172" customFormat="1" ht="15" customHeight="1" x14ac:dyDescent="0.25">
      <c r="A10508" s="804" t="s">
        <v>12414</v>
      </c>
      <c r="B10508" s="804" t="s">
        <v>4668</v>
      </c>
      <c r="C10508" s="804" t="s">
        <v>4668</v>
      </c>
      <c r="D10508" s="804" t="s">
        <v>4731</v>
      </c>
      <c r="E10508" s="804">
        <v>60</v>
      </c>
      <c r="F10508" s="804">
        <v>46</v>
      </c>
      <c r="G10508" s="202"/>
    </row>
    <row r="10509" spans="1:7" s="172" customFormat="1" ht="15" customHeight="1" x14ac:dyDescent="0.25">
      <c r="A10509" s="804" t="s">
        <v>12415</v>
      </c>
      <c r="B10509" s="804" t="s">
        <v>4668</v>
      </c>
      <c r="C10509" s="804" t="s">
        <v>4668</v>
      </c>
      <c r="D10509" s="804" t="s">
        <v>4732</v>
      </c>
      <c r="E10509" s="804">
        <v>250</v>
      </c>
      <c r="F10509" s="804">
        <v>241</v>
      </c>
      <c r="G10509" s="202"/>
    </row>
    <row r="10510" spans="1:7" s="172" customFormat="1" ht="15" customHeight="1" x14ac:dyDescent="0.25">
      <c r="A10510" s="804" t="s">
        <v>12415</v>
      </c>
      <c r="B10510" s="804" t="s">
        <v>4668</v>
      </c>
      <c r="C10510" s="804" t="s">
        <v>4668</v>
      </c>
      <c r="D10510" s="804" t="s">
        <v>4733</v>
      </c>
      <c r="E10510" s="804">
        <v>63</v>
      </c>
      <c r="F10510" s="804">
        <v>8</v>
      </c>
      <c r="G10510" s="202"/>
    </row>
    <row r="10511" spans="1:7" s="172" customFormat="1" ht="15" customHeight="1" x14ac:dyDescent="0.25">
      <c r="A10511" s="804" t="s">
        <v>12416</v>
      </c>
      <c r="B10511" s="804" t="s">
        <v>4668</v>
      </c>
      <c r="C10511" s="804" t="s">
        <v>4668</v>
      </c>
      <c r="D10511" s="804" t="s">
        <v>4734</v>
      </c>
      <c r="E10511" s="804">
        <v>160</v>
      </c>
      <c r="F10511" s="804">
        <v>28</v>
      </c>
      <c r="G10511" s="202"/>
    </row>
    <row r="10512" spans="1:7" s="172" customFormat="1" ht="15" customHeight="1" x14ac:dyDescent="0.25">
      <c r="A10512" s="804" t="s">
        <v>12417</v>
      </c>
      <c r="B10512" s="804" t="s">
        <v>4668</v>
      </c>
      <c r="C10512" s="804" t="s">
        <v>4668</v>
      </c>
      <c r="D10512" s="804" t="s">
        <v>4735</v>
      </c>
      <c r="E10512" s="804">
        <v>160</v>
      </c>
      <c r="F10512" s="804">
        <v>82</v>
      </c>
      <c r="G10512" s="202"/>
    </row>
    <row r="10513" spans="1:7" s="172" customFormat="1" ht="15" customHeight="1" x14ac:dyDescent="0.25">
      <c r="A10513" s="804" t="s">
        <v>12418</v>
      </c>
      <c r="B10513" s="804" t="s">
        <v>4668</v>
      </c>
      <c r="C10513" s="804" t="s">
        <v>4668</v>
      </c>
      <c r="D10513" s="804" t="s">
        <v>4736</v>
      </c>
      <c r="E10513" s="804">
        <v>63</v>
      </c>
      <c r="F10513" s="804">
        <v>11</v>
      </c>
      <c r="G10513" s="202"/>
    </row>
    <row r="10514" spans="1:7" s="172" customFormat="1" ht="15" customHeight="1" x14ac:dyDescent="0.25">
      <c r="A10514" s="804" t="s">
        <v>12419</v>
      </c>
      <c r="B10514" s="804" t="s">
        <v>4668</v>
      </c>
      <c r="C10514" s="804" t="s">
        <v>4668</v>
      </c>
      <c r="D10514" s="804" t="s">
        <v>4737</v>
      </c>
      <c r="E10514" s="804">
        <v>100</v>
      </c>
      <c r="F10514" s="804">
        <v>25</v>
      </c>
      <c r="G10514" s="202"/>
    </row>
    <row r="10515" spans="1:7" s="172" customFormat="1" ht="15" customHeight="1" x14ac:dyDescent="0.25">
      <c r="A10515" s="804" t="s">
        <v>12420</v>
      </c>
      <c r="B10515" s="804" t="s">
        <v>4668</v>
      </c>
      <c r="C10515" s="804" t="s">
        <v>4668</v>
      </c>
      <c r="D10515" s="804" t="s">
        <v>4738</v>
      </c>
      <c r="E10515" s="804">
        <v>100</v>
      </c>
      <c r="F10515" s="804">
        <v>26</v>
      </c>
      <c r="G10515" s="202"/>
    </row>
    <row r="10516" spans="1:7" s="172" customFormat="1" ht="15" customHeight="1" x14ac:dyDescent="0.25">
      <c r="A10516" s="804" t="s">
        <v>12421</v>
      </c>
      <c r="B10516" s="804" t="s">
        <v>4668</v>
      </c>
      <c r="C10516" s="804" t="s">
        <v>4668</v>
      </c>
      <c r="D10516" s="804" t="s">
        <v>4739</v>
      </c>
      <c r="E10516" s="804">
        <v>100</v>
      </c>
      <c r="F10516" s="804">
        <v>30</v>
      </c>
      <c r="G10516" s="202"/>
    </row>
    <row r="10517" spans="1:7" s="172" customFormat="1" ht="15" customHeight="1" x14ac:dyDescent="0.25">
      <c r="A10517" s="804" t="s">
        <v>12422</v>
      </c>
      <c r="B10517" s="804" t="s">
        <v>4668</v>
      </c>
      <c r="C10517" s="804" t="s">
        <v>4668</v>
      </c>
      <c r="D10517" s="804" t="s">
        <v>4740</v>
      </c>
      <c r="E10517" s="804">
        <v>160</v>
      </c>
      <c r="F10517" s="804">
        <v>23</v>
      </c>
      <c r="G10517" s="202"/>
    </row>
    <row r="10518" spans="1:7" s="172" customFormat="1" ht="15" customHeight="1" x14ac:dyDescent="0.25">
      <c r="A10518" s="804" t="s">
        <v>12423</v>
      </c>
      <c r="B10518" s="804" t="s">
        <v>4668</v>
      </c>
      <c r="C10518" s="804" t="s">
        <v>4668</v>
      </c>
      <c r="D10518" s="804" t="s">
        <v>4741</v>
      </c>
      <c r="E10518" s="804">
        <v>100</v>
      </c>
      <c r="F10518" s="804">
        <v>87</v>
      </c>
      <c r="G10518" s="202"/>
    </row>
    <row r="10519" spans="1:7" s="172" customFormat="1" ht="15" customHeight="1" x14ac:dyDescent="0.25">
      <c r="A10519" s="804" t="s">
        <v>12424</v>
      </c>
      <c r="B10519" s="804" t="s">
        <v>4668</v>
      </c>
      <c r="C10519" s="804" t="s">
        <v>4668</v>
      </c>
      <c r="D10519" s="804" t="s">
        <v>4742</v>
      </c>
      <c r="E10519" s="804">
        <v>160</v>
      </c>
      <c r="F10519" s="804">
        <v>80</v>
      </c>
      <c r="G10519" s="202"/>
    </row>
    <row r="10520" spans="1:7" s="172" customFormat="1" ht="15" customHeight="1" x14ac:dyDescent="0.25">
      <c r="A10520" s="804" t="s">
        <v>12425</v>
      </c>
      <c r="B10520" s="804" t="s">
        <v>4668</v>
      </c>
      <c r="C10520" s="804" t="s">
        <v>4668</v>
      </c>
      <c r="D10520" s="804" t="s">
        <v>4743</v>
      </c>
      <c r="E10520" s="804">
        <v>100</v>
      </c>
      <c r="F10520" s="804">
        <v>20</v>
      </c>
      <c r="G10520" s="202"/>
    </row>
    <row r="10521" spans="1:7" s="172" customFormat="1" ht="15" customHeight="1" x14ac:dyDescent="0.25">
      <c r="A10521" s="804" t="s">
        <v>12426</v>
      </c>
      <c r="B10521" s="804" t="s">
        <v>4668</v>
      </c>
      <c r="C10521" s="804" t="s">
        <v>4668</v>
      </c>
      <c r="D10521" s="804" t="s">
        <v>4744</v>
      </c>
      <c r="E10521" s="804">
        <v>30</v>
      </c>
      <c r="F10521" s="804">
        <v>5</v>
      </c>
      <c r="G10521" s="202"/>
    </row>
    <row r="10522" spans="1:7" s="172" customFormat="1" ht="15" customHeight="1" x14ac:dyDescent="0.25">
      <c r="A10522" s="804" t="s">
        <v>12427</v>
      </c>
      <c r="B10522" s="804" t="s">
        <v>4668</v>
      </c>
      <c r="C10522" s="804" t="s">
        <v>4668</v>
      </c>
      <c r="D10522" s="804" t="s">
        <v>4745</v>
      </c>
      <c r="E10522" s="804">
        <v>40</v>
      </c>
      <c r="F10522" s="804">
        <v>21</v>
      </c>
      <c r="G10522" s="202"/>
    </row>
    <row r="10523" spans="1:7" s="172" customFormat="1" ht="15" customHeight="1" x14ac:dyDescent="0.25">
      <c r="A10523" s="804" t="s">
        <v>12428</v>
      </c>
      <c r="B10523" s="804" t="s">
        <v>4668</v>
      </c>
      <c r="C10523" s="804" t="s">
        <v>4668</v>
      </c>
      <c r="D10523" s="804" t="s">
        <v>4746</v>
      </c>
      <c r="E10523" s="804">
        <v>40</v>
      </c>
      <c r="F10523" s="804">
        <v>34</v>
      </c>
      <c r="G10523" s="202"/>
    </row>
    <row r="10524" spans="1:7" s="172" customFormat="1" ht="15" customHeight="1" x14ac:dyDescent="0.25">
      <c r="A10524" s="804" t="s">
        <v>12422</v>
      </c>
      <c r="B10524" s="804" t="s">
        <v>4668</v>
      </c>
      <c r="C10524" s="804" t="s">
        <v>4668</v>
      </c>
      <c r="D10524" s="804" t="s">
        <v>4747</v>
      </c>
      <c r="E10524" s="804">
        <v>250</v>
      </c>
      <c r="F10524" s="804">
        <v>35</v>
      </c>
      <c r="G10524" s="202"/>
    </row>
    <row r="10525" spans="1:7" s="172" customFormat="1" ht="15" customHeight="1" x14ac:dyDescent="0.25">
      <c r="A10525" s="804" t="s">
        <v>12429</v>
      </c>
      <c r="B10525" s="804" t="s">
        <v>4668</v>
      </c>
      <c r="C10525" s="804" t="s">
        <v>4668</v>
      </c>
      <c r="D10525" s="804" t="s">
        <v>4748</v>
      </c>
      <c r="E10525" s="804">
        <v>63</v>
      </c>
      <c r="F10525" s="804">
        <v>10</v>
      </c>
      <c r="G10525" s="202"/>
    </row>
    <row r="10526" spans="1:7" s="172" customFormat="1" ht="15" customHeight="1" x14ac:dyDescent="0.25">
      <c r="A10526" s="804" t="s">
        <v>12430</v>
      </c>
      <c r="B10526" s="804" t="s">
        <v>4668</v>
      </c>
      <c r="C10526" s="804" t="s">
        <v>4668</v>
      </c>
      <c r="D10526" s="804" t="s">
        <v>4749</v>
      </c>
      <c r="E10526" s="804">
        <v>30</v>
      </c>
      <c r="F10526" s="804">
        <v>5</v>
      </c>
      <c r="G10526" s="202"/>
    </row>
    <row r="10527" spans="1:7" s="172" customFormat="1" ht="15" customHeight="1" x14ac:dyDescent="0.25">
      <c r="A10527" s="804" t="s">
        <v>12429</v>
      </c>
      <c r="B10527" s="804" t="s">
        <v>4668</v>
      </c>
      <c r="C10527" s="804" t="s">
        <v>4668</v>
      </c>
      <c r="D10527" s="804" t="s">
        <v>4750</v>
      </c>
      <c r="E10527" s="804">
        <v>250</v>
      </c>
      <c r="F10527" s="804">
        <v>220</v>
      </c>
      <c r="G10527" s="202"/>
    </row>
    <row r="10528" spans="1:7" s="172" customFormat="1" ht="15" customHeight="1" x14ac:dyDescent="0.25">
      <c r="A10528" s="804" t="s">
        <v>12429</v>
      </c>
      <c r="B10528" s="804" t="s">
        <v>4668</v>
      </c>
      <c r="C10528" s="804" t="s">
        <v>4668</v>
      </c>
      <c r="D10528" s="804" t="s">
        <v>4751</v>
      </c>
      <c r="E10528" s="804">
        <v>250</v>
      </c>
      <c r="F10528" s="804">
        <v>247</v>
      </c>
      <c r="G10528" s="202"/>
    </row>
    <row r="10529" spans="1:7" s="172" customFormat="1" ht="15" customHeight="1" x14ac:dyDescent="0.25">
      <c r="A10529" s="804" t="s">
        <v>12422</v>
      </c>
      <c r="B10529" s="804" t="s">
        <v>4668</v>
      </c>
      <c r="C10529" s="804" t="s">
        <v>4668</v>
      </c>
      <c r="D10529" s="804" t="s">
        <v>4752</v>
      </c>
      <c r="E10529" s="804">
        <v>160</v>
      </c>
      <c r="F10529" s="804">
        <v>45</v>
      </c>
      <c r="G10529" s="202"/>
    </row>
    <row r="10530" spans="1:7" s="172" customFormat="1" ht="15" customHeight="1" x14ac:dyDescent="0.25">
      <c r="A10530" s="804" t="s">
        <v>12422</v>
      </c>
      <c r="B10530" s="804" t="s">
        <v>4668</v>
      </c>
      <c r="C10530" s="804" t="s">
        <v>4668</v>
      </c>
      <c r="D10530" s="804" t="s">
        <v>4753</v>
      </c>
      <c r="E10530" s="804">
        <v>160</v>
      </c>
      <c r="F10530" s="804">
        <v>35</v>
      </c>
      <c r="G10530" s="202"/>
    </row>
    <row r="10531" spans="1:7" s="172" customFormat="1" ht="15" customHeight="1" x14ac:dyDescent="0.25">
      <c r="A10531" s="804" t="s">
        <v>12422</v>
      </c>
      <c r="B10531" s="804" t="s">
        <v>4668</v>
      </c>
      <c r="C10531" s="804" t="s">
        <v>4668</v>
      </c>
      <c r="D10531" s="804" t="s">
        <v>4754</v>
      </c>
      <c r="E10531" s="804">
        <v>560</v>
      </c>
      <c r="F10531" s="804">
        <v>269</v>
      </c>
      <c r="G10531" s="202"/>
    </row>
    <row r="10532" spans="1:7" s="172" customFormat="1" ht="15" customHeight="1" x14ac:dyDescent="0.25">
      <c r="A10532" s="804" t="s">
        <v>12422</v>
      </c>
      <c r="B10532" s="804" t="s">
        <v>4668</v>
      </c>
      <c r="C10532" s="804" t="s">
        <v>4668</v>
      </c>
      <c r="D10532" s="804" t="s">
        <v>4755</v>
      </c>
      <c r="E10532" s="804">
        <v>160</v>
      </c>
      <c r="F10532" s="804">
        <v>25</v>
      </c>
      <c r="G10532" s="202"/>
    </row>
    <row r="10533" spans="1:7" s="172" customFormat="1" ht="15" customHeight="1" x14ac:dyDescent="0.25">
      <c r="A10533" s="804" t="s">
        <v>12422</v>
      </c>
      <c r="B10533" s="804" t="s">
        <v>4668</v>
      </c>
      <c r="C10533" s="804" t="s">
        <v>4668</v>
      </c>
      <c r="D10533" s="804" t="s">
        <v>4756</v>
      </c>
      <c r="E10533" s="804">
        <v>63</v>
      </c>
      <c r="F10533" s="804">
        <v>25</v>
      </c>
      <c r="G10533" s="202"/>
    </row>
    <row r="10534" spans="1:7" s="172" customFormat="1" ht="15" customHeight="1" x14ac:dyDescent="0.25">
      <c r="A10534" s="804" t="s">
        <v>12431</v>
      </c>
      <c r="B10534" s="804" t="s">
        <v>4668</v>
      </c>
      <c r="C10534" s="804" t="s">
        <v>4668</v>
      </c>
      <c r="D10534" s="804" t="s">
        <v>4757</v>
      </c>
      <c r="E10534" s="804">
        <v>60</v>
      </c>
      <c r="F10534" s="804">
        <v>15</v>
      </c>
      <c r="G10534" s="202"/>
    </row>
    <row r="10535" spans="1:7" s="172" customFormat="1" ht="15" customHeight="1" x14ac:dyDescent="0.25">
      <c r="A10535" s="804" t="s">
        <v>12422</v>
      </c>
      <c r="B10535" s="804" t="s">
        <v>4668</v>
      </c>
      <c r="C10535" s="804" t="s">
        <v>4668</v>
      </c>
      <c r="D10535" s="804" t="s">
        <v>4758</v>
      </c>
      <c r="E10535" s="804">
        <v>160</v>
      </c>
      <c r="F10535" s="804">
        <v>13</v>
      </c>
      <c r="G10535" s="202"/>
    </row>
    <row r="10536" spans="1:7" s="172" customFormat="1" ht="15" customHeight="1" x14ac:dyDescent="0.25">
      <c r="A10536" s="804" t="s">
        <v>12422</v>
      </c>
      <c r="B10536" s="804" t="s">
        <v>4668</v>
      </c>
      <c r="C10536" s="804" t="s">
        <v>4668</v>
      </c>
      <c r="D10536" s="804" t="s">
        <v>4759</v>
      </c>
      <c r="E10536" s="804">
        <v>650</v>
      </c>
      <c r="F10536" s="804">
        <v>107</v>
      </c>
      <c r="G10536" s="202"/>
    </row>
    <row r="10537" spans="1:7" s="172" customFormat="1" ht="15" customHeight="1" x14ac:dyDescent="0.25">
      <c r="A10537" s="804" t="s">
        <v>12432</v>
      </c>
      <c r="B10537" s="804" t="s">
        <v>4668</v>
      </c>
      <c r="C10537" s="804" t="s">
        <v>4668</v>
      </c>
      <c r="D10537" s="804" t="s">
        <v>4760</v>
      </c>
      <c r="E10537" s="804">
        <v>40</v>
      </c>
      <c r="F10537" s="804">
        <v>5</v>
      </c>
      <c r="G10537" s="202"/>
    </row>
    <row r="10538" spans="1:7" s="172" customFormat="1" ht="15" customHeight="1" x14ac:dyDescent="0.25">
      <c r="A10538" s="804" t="s">
        <v>12432</v>
      </c>
      <c r="B10538" s="804" t="s">
        <v>4668</v>
      </c>
      <c r="C10538" s="804" t="s">
        <v>4668</v>
      </c>
      <c r="D10538" s="804" t="s">
        <v>4761</v>
      </c>
      <c r="E10538" s="804">
        <v>160</v>
      </c>
      <c r="F10538" s="804">
        <v>23</v>
      </c>
      <c r="G10538" s="202"/>
    </row>
    <row r="10539" spans="1:7" s="172" customFormat="1" ht="15" customHeight="1" x14ac:dyDescent="0.25">
      <c r="A10539" s="804" t="s">
        <v>12433</v>
      </c>
      <c r="B10539" s="804" t="s">
        <v>4668</v>
      </c>
      <c r="C10539" s="804" t="s">
        <v>4668</v>
      </c>
      <c r="D10539" s="804" t="s">
        <v>4762</v>
      </c>
      <c r="E10539" s="804">
        <v>650</v>
      </c>
      <c r="F10539" s="804">
        <v>172</v>
      </c>
      <c r="G10539" s="202"/>
    </row>
    <row r="10540" spans="1:7" s="172" customFormat="1" ht="15" customHeight="1" x14ac:dyDescent="0.25">
      <c r="A10540" s="804" t="s">
        <v>12434</v>
      </c>
      <c r="B10540" s="804" t="s">
        <v>4668</v>
      </c>
      <c r="C10540" s="804" t="s">
        <v>4668</v>
      </c>
      <c r="D10540" s="804" t="s">
        <v>4763</v>
      </c>
      <c r="E10540" s="804">
        <v>630</v>
      </c>
      <c r="F10540" s="804">
        <v>415</v>
      </c>
      <c r="G10540" s="202"/>
    </row>
    <row r="10541" spans="1:7" s="172" customFormat="1" ht="15" customHeight="1" x14ac:dyDescent="0.25">
      <c r="A10541" s="804" t="s">
        <v>12435</v>
      </c>
      <c r="B10541" s="804" t="s">
        <v>4668</v>
      </c>
      <c r="C10541" s="804" t="s">
        <v>4668</v>
      </c>
      <c r="D10541" s="804" t="s">
        <v>4764</v>
      </c>
      <c r="E10541" s="804">
        <v>40</v>
      </c>
      <c r="F10541" s="804">
        <v>8</v>
      </c>
      <c r="G10541" s="202"/>
    </row>
    <row r="10542" spans="1:7" s="172" customFormat="1" ht="15" customHeight="1" x14ac:dyDescent="0.25">
      <c r="A10542" s="804" t="s">
        <v>12436</v>
      </c>
      <c r="B10542" s="804" t="s">
        <v>4668</v>
      </c>
      <c r="C10542" s="804" t="s">
        <v>4668</v>
      </c>
      <c r="D10542" s="804" t="s">
        <v>4765</v>
      </c>
      <c r="E10542" s="804">
        <v>63</v>
      </c>
      <c r="F10542" s="804">
        <v>12</v>
      </c>
      <c r="G10542" s="202"/>
    </row>
    <row r="10543" spans="1:7" s="172" customFormat="1" ht="15" customHeight="1" x14ac:dyDescent="0.25">
      <c r="A10543" s="804" t="s">
        <v>12436</v>
      </c>
      <c r="B10543" s="804" t="s">
        <v>4668</v>
      </c>
      <c r="C10543" s="804" t="s">
        <v>4668</v>
      </c>
      <c r="D10543" s="804" t="s">
        <v>4766</v>
      </c>
      <c r="E10543" s="804">
        <v>40</v>
      </c>
      <c r="F10543" s="804">
        <v>14</v>
      </c>
      <c r="G10543" s="202"/>
    </row>
    <row r="10544" spans="1:7" s="172" customFormat="1" ht="15" customHeight="1" x14ac:dyDescent="0.25">
      <c r="A10544" s="804" t="s">
        <v>12436</v>
      </c>
      <c r="B10544" s="804" t="s">
        <v>4668</v>
      </c>
      <c r="C10544" s="804" t="s">
        <v>4668</v>
      </c>
      <c r="D10544" s="804" t="s">
        <v>4767</v>
      </c>
      <c r="E10544" s="804">
        <v>63</v>
      </c>
      <c r="F10544" s="804">
        <v>20</v>
      </c>
      <c r="G10544" s="202"/>
    </row>
    <row r="10545" spans="1:7" s="172" customFormat="1" ht="15" customHeight="1" x14ac:dyDescent="0.25">
      <c r="A10545" s="804" t="s">
        <v>12437</v>
      </c>
      <c r="B10545" s="804" t="s">
        <v>4668</v>
      </c>
      <c r="C10545" s="804" t="s">
        <v>4668</v>
      </c>
      <c r="D10545" s="804" t="s">
        <v>4768</v>
      </c>
      <c r="E10545" s="804">
        <v>160</v>
      </c>
      <c r="F10545" s="804">
        <v>102</v>
      </c>
      <c r="G10545" s="202"/>
    </row>
    <row r="10546" spans="1:7" s="172" customFormat="1" ht="15" customHeight="1" x14ac:dyDescent="0.25">
      <c r="A10546" s="804" t="s">
        <v>12434</v>
      </c>
      <c r="B10546" s="804" t="s">
        <v>4668</v>
      </c>
      <c r="C10546" s="804" t="s">
        <v>4668</v>
      </c>
      <c r="D10546" s="804" t="s">
        <v>4769</v>
      </c>
      <c r="E10546" s="804">
        <v>500</v>
      </c>
      <c r="F10546" s="804">
        <v>64</v>
      </c>
      <c r="G10546" s="202"/>
    </row>
    <row r="10547" spans="1:7" s="172" customFormat="1" ht="15" customHeight="1" x14ac:dyDescent="0.25">
      <c r="A10547" s="804" t="s">
        <v>12438</v>
      </c>
      <c r="B10547" s="804" t="s">
        <v>4668</v>
      </c>
      <c r="C10547" s="804" t="s">
        <v>4668</v>
      </c>
      <c r="D10547" s="804" t="s">
        <v>4770</v>
      </c>
      <c r="E10547" s="804">
        <v>160</v>
      </c>
      <c r="F10547" s="804">
        <v>144</v>
      </c>
      <c r="G10547" s="202"/>
    </row>
    <row r="10548" spans="1:7" s="172" customFormat="1" ht="15" customHeight="1" x14ac:dyDescent="0.25">
      <c r="A10548" s="804" t="s">
        <v>12438</v>
      </c>
      <c r="B10548" s="804" t="s">
        <v>4668</v>
      </c>
      <c r="C10548" s="804" t="s">
        <v>4668</v>
      </c>
      <c r="D10548" s="804" t="s">
        <v>4771</v>
      </c>
      <c r="E10548" s="804">
        <v>250</v>
      </c>
      <c r="F10548" s="804">
        <v>232</v>
      </c>
      <c r="G10548" s="202"/>
    </row>
    <row r="10549" spans="1:7" s="172" customFormat="1" ht="15" customHeight="1" x14ac:dyDescent="0.25">
      <c r="A10549" s="804" t="s">
        <v>12439</v>
      </c>
      <c r="B10549" s="804" t="s">
        <v>4668</v>
      </c>
      <c r="C10549" s="804" t="s">
        <v>4668</v>
      </c>
      <c r="D10549" s="804" t="s">
        <v>4772</v>
      </c>
      <c r="E10549" s="804">
        <v>160</v>
      </c>
      <c r="F10549" s="804">
        <v>10</v>
      </c>
      <c r="G10549" s="202"/>
    </row>
    <row r="10550" spans="1:7" s="172" customFormat="1" ht="15" customHeight="1" x14ac:dyDescent="0.25">
      <c r="A10550" s="804" t="s">
        <v>12440</v>
      </c>
      <c r="B10550" s="804" t="s">
        <v>4668</v>
      </c>
      <c r="C10550" s="804" t="s">
        <v>4668</v>
      </c>
      <c r="D10550" s="804" t="s">
        <v>4773</v>
      </c>
      <c r="E10550" s="804">
        <v>160</v>
      </c>
      <c r="F10550" s="804">
        <v>35</v>
      </c>
      <c r="G10550" s="202"/>
    </row>
    <row r="10551" spans="1:7" s="172" customFormat="1" ht="15" customHeight="1" x14ac:dyDescent="0.25">
      <c r="A10551" s="804" t="s">
        <v>12441</v>
      </c>
      <c r="B10551" s="804" t="s">
        <v>4668</v>
      </c>
      <c r="C10551" s="804" t="s">
        <v>4668</v>
      </c>
      <c r="D10551" s="804" t="s">
        <v>4774</v>
      </c>
      <c r="E10551" s="804">
        <v>63</v>
      </c>
      <c r="F10551" s="804">
        <v>15</v>
      </c>
      <c r="G10551" s="202"/>
    </row>
    <row r="10552" spans="1:7" s="172" customFormat="1" ht="15" customHeight="1" x14ac:dyDescent="0.25">
      <c r="A10552" s="804" t="s">
        <v>12438</v>
      </c>
      <c r="B10552" s="804" t="s">
        <v>4668</v>
      </c>
      <c r="C10552" s="804" t="s">
        <v>4668</v>
      </c>
      <c r="D10552" s="804" t="s">
        <v>4775</v>
      </c>
      <c r="E10552" s="804">
        <v>560</v>
      </c>
      <c r="F10552" s="804">
        <v>50</v>
      </c>
      <c r="G10552" s="202"/>
    </row>
    <row r="10553" spans="1:7" s="172" customFormat="1" ht="15" customHeight="1" x14ac:dyDescent="0.25">
      <c r="A10553" s="804" t="s">
        <v>12442</v>
      </c>
      <c r="B10553" s="804" t="s">
        <v>4668</v>
      </c>
      <c r="C10553" s="804" t="s">
        <v>4668</v>
      </c>
      <c r="D10553" s="804" t="s">
        <v>4776</v>
      </c>
      <c r="E10553" s="804">
        <v>160</v>
      </c>
      <c r="F10553" s="804">
        <v>108</v>
      </c>
      <c r="G10553" s="202"/>
    </row>
    <row r="10554" spans="1:7" s="172" customFormat="1" ht="15" customHeight="1" x14ac:dyDescent="0.25">
      <c r="A10554" s="804" t="s">
        <v>12443</v>
      </c>
      <c r="B10554" s="804" t="s">
        <v>4668</v>
      </c>
      <c r="C10554" s="804" t="s">
        <v>4668</v>
      </c>
      <c r="D10554" s="804" t="s">
        <v>4777</v>
      </c>
      <c r="E10554" s="804">
        <v>800</v>
      </c>
      <c r="F10554" s="804">
        <v>400</v>
      </c>
      <c r="G10554" s="202"/>
    </row>
    <row r="10555" spans="1:7" s="172" customFormat="1" ht="15" customHeight="1" x14ac:dyDescent="0.25">
      <c r="A10555" s="804" t="s">
        <v>12443</v>
      </c>
      <c r="B10555" s="804" t="s">
        <v>4668</v>
      </c>
      <c r="C10555" s="804" t="s">
        <v>4668</v>
      </c>
      <c r="D10555" s="804" t="s">
        <v>4778</v>
      </c>
      <c r="E10555" s="804">
        <v>250</v>
      </c>
      <c r="F10555" s="804">
        <v>237</v>
      </c>
      <c r="G10555" s="202"/>
    </row>
    <row r="10556" spans="1:7" s="172" customFormat="1" ht="15" customHeight="1" x14ac:dyDescent="0.25">
      <c r="A10556" s="804" t="s">
        <v>12443</v>
      </c>
      <c r="B10556" s="804" t="s">
        <v>4668</v>
      </c>
      <c r="C10556" s="804" t="s">
        <v>4668</v>
      </c>
      <c r="D10556" s="804" t="s">
        <v>4779</v>
      </c>
      <c r="E10556" s="804">
        <v>800</v>
      </c>
      <c r="F10556" s="804">
        <v>114</v>
      </c>
      <c r="G10556" s="202"/>
    </row>
    <row r="10557" spans="1:7" s="172" customFormat="1" ht="15" customHeight="1" x14ac:dyDescent="0.25">
      <c r="A10557" s="804" t="s">
        <v>12443</v>
      </c>
      <c r="B10557" s="804" t="s">
        <v>4668</v>
      </c>
      <c r="C10557" s="804" t="s">
        <v>4668</v>
      </c>
      <c r="D10557" s="804" t="s">
        <v>4780</v>
      </c>
      <c r="E10557" s="804">
        <v>500</v>
      </c>
      <c r="F10557" s="804">
        <v>178</v>
      </c>
      <c r="G10557" s="202"/>
    </row>
    <row r="10558" spans="1:7" s="172" customFormat="1" ht="15" customHeight="1" x14ac:dyDescent="0.25">
      <c r="A10558" s="804" t="s">
        <v>12441</v>
      </c>
      <c r="B10558" s="804" t="s">
        <v>4668</v>
      </c>
      <c r="C10558" s="804" t="s">
        <v>4668</v>
      </c>
      <c r="D10558" s="804" t="s">
        <v>4781</v>
      </c>
      <c r="E10558" s="804">
        <v>60</v>
      </c>
      <c r="F10558" s="804">
        <v>5</v>
      </c>
      <c r="G10558" s="202"/>
    </row>
    <row r="10559" spans="1:7" s="172" customFormat="1" ht="15" customHeight="1" x14ac:dyDescent="0.25">
      <c r="A10559" s="804" t="s">
        <v>12444</v>
      </c>
      <c r="B10559" s="804" t="s">
        <v>4668</v>
      </c>
      <c r="C10559" s="804" t="s">
        <v>4668</v>
      </c>
      <c r="D10559" s="804" t="s">
        <v>4782</v>
      </c>
      <c r="E10559" s="804">
        <v>60</v>
      </c>
      <c r="F10559" s="804">
        <v>20</v>
      </c>
      <c r="G10559" s="202"/>
    </row>
    <row r="10560" spans="1:7" s="172" customFormat="1" ht="15" customHeight="1" x14ac:dyDescent="0.25">
      <c r="A10560" s="804" t="s">
        <v>12445</v>
      </c>
      <c r="B10560" s="804" t="s">
        <v>4668</v>
      </c>
      <c r="C10560" s="804" t="s">
        <v>4668</v>
      </c>
      <c r="D10560" s="804" t="s">
        <v>4783</v>
      </c>
      <c r="E10560" s="804">
        <v>20</v>
      </c>
      <c r="F10560" s="804">
        <v>5</v>
      </c>
      <c r="G10560" s="202"/>
    </row>
    <row r="10561" spans="1:7" s="172" customFormat="1" ht="15" customHeight="1" x14ac:dyDescent="0.25">
      <c r="A10561" s="804" t="s">
        <v>12439</v>
      </c>
      <c r="B10561" s="804" t="s">
        <v>4668</v>
      </c>
      <c r="C10561" s="804" t="s">
        <v>4668</v>
      </c>
      <c r="D10561" s="804" t="s">
        <v>4784</v>
      </c>
      <c r="E10561" s="804">
        <v>160</v>
      </c>
      <c r="F10561" s="804">
        <v>35</v>
      </c>
      <c r="G10561" s="202"/>
    </row>
    <row r="10562" spans="1:7" s="172" customFormat="1" ht="15" customHeight="1" x14ac:dyDescent="0.25">
      <c r="A10562" s="804" t="s">
        <v>12446</v>
      </c>
      <c r="B10562" s="804" t="s">
        <v>4668</v>
      </c>
      <c r="C10562" s="804" t="s">
        <v>4668</v>
      </c>
      <c r="D10562" s="804" t="s">
        <v>4785</v>
      </c>
      <c r="E10562" s="804">
        <v>60</v>
      </c>
      <c r="F10562" s="804">
        <v>10</v>
      </c>
      <c r="G10562" s="202"/>
    </row>
    <row r="10563" spans="1:7" s="172" customFormat="1" ht="15" customHeight="1" x14ac:dyDescent="0.25">
      <c r="A10563" s="804" t="s">
        <v>12446</v>
      </c>
      <c r="B10563" s="804" t="s">
        <v>4668</v>
      </c>
      <c r="C10563" s="804" t="s">
        <v>4668</v>
      </c>
      <c r="D10563" s="804" t="s">
        <v>4786</v>
      </c>
      <c r="E10563" s="804">
        <v>250</v>
      </c>
      <c r="F10563" s="804">
        <v>153</v>
      </c>
      <c r="G10563" s="202"/>
    </row>
    <row r="10564" spans="1:7" s="172" customFormat="1" ht="15" customHeight="1" x14ac:dyDescent="0.25">
      <c r="A10564" s="804" t="s">
        <v>12447</v>
      </c>
      <c r="B10564" s="804" t="s">
        <v>4668</v>
      </c>
      <c r="C10564" s="804" t="s">
        <v>4668</v>
      </c>
      <c r="D10564" s="804" t="s">
        <v>4787</v>
      </c>
      <c r="E10564" s="804">
        <v>50</v>
      </c>
      <c r="F10564" s="804">
        <v>10</v>
      </c>
      <c r="G10564" s="202"/>
    </row>
    <row r="10565" spans="1:7" s="172" customFormat="1" ht="15" customHeight="1" x14ac:dyDescent="0.25">
      <c r="A10565" s="804" t="s">
        <v>12448</v>
      </c>
      <c r="B10565" s="804" t="s">
        <v>4668</v>
      </c>
      <c r="C10565" s="804" t="s">
        <v>4668</v>
      </c>
      <c r="D10565" s="804" t="s">
        <v>4788</v>
      </c>
      <c r="E10565" s="804">
        <v>60</v>
      </c>
      <c r="F10565" s="804">
        <v>28</v>
      </c>
      <c r="G10565" s="202"/>
    </row>
    <row r="10566" spans="1:7" s="172" customFormat="1" ht="15" customHeight="1" x14ac:dyDescent="0.25">
      <c r="A10566" s="804" t="s">
        <v>12448</v>
      </c>
      <c r="B10566" s="804" t="s">
        <v>4668</v>
      </c>
      <c r="C10566" s="804" t="s">
        <v>4668</v>
      </c>
      <c r="D10566" s="804" t="s">
        <v>4789</v>
      </c>
      <c r="E10566" s="804">
        <v>100</v>
      </c>
      <c r="F10566" s="804">
        <v>10</v>
      </c>
      <c r="G10566" s="202"/>
    </row>
    <row r="10567" spans="1:7" s="172" customFormat="1" ht="15" customHeight="1" x14ac:dyDescent="0.25">
      <c r="A10567" s="804" t="s">
        <v>12449</v>
      </c>
      <c r="B10567" s="804" t="s">
        <v>4668</v>
      </c>
      <c r="C10567" s="804" t="s">
        <v>4668</v>
      </c>
      <c r="D10567" s="804" t="s">
        <v>4790</v>
      </c>
      <c r="E10567" s="804">
        <v>100</v>
      </c>
      <c r="F10567" s="804">
        <v>15</v>
      </c>
      <c r="G10567" s="202"/>
    </row>
    <row r="10568" spans="1:7" s="172" customFormat="1" ht="15" customHeight="1" x14ac:dyDescent="0.25">
      <c r="A10568" s="804" t="s">
        <v>12443</v>
      </c>
      <c r="B10568" s="804" t="s">
        <v>4668</v>
      </c>
      <c r="C10568" s="804" t="s">
        <v>4668</v>
      </c>
      <c r="D10568" s="804" t="s">
        <v>4791</v>
      </c>
      <c r="E10568" s="804">
        <v>50</v>
      </c>
      <c r="F10568" s="804">
        <v>21</v>
      </c>
      <c r="G10568" s="202"/>
    </row>
    <row r="10569" spans="1:7" s="172" customFormat="1" ht="15" customHeight="1" x14ac:dyDescent="0.25">
      <c r="A10569" s="804" t="s">
        <v>12450</v>
      </c>
      <c r="B10569" s="804" t="s">
        <v>4668</v>
      </c>
      <c r="C10569" s="804" t="s">
        <v>4668</v>
      </c>
      <c r="D10569" s="804" t="s">
        <v>4792</v>
      </c>
      <c r="E10569" s="804">
        <v>100</v>
      </c>
      <c r="F10569" s="804">
        <v>55</v>
      </c>
      <c r="G10569" s="202"/>
    </row>
    <row r="10570" spans="1:7" s="172" customFormat="1" ht="15" customHeight="1" x14ac:dyDescent="0.25">
      <c r="A10570" s="804" t="s">
        <v>12443</v>
      </c>
      <c r="B10570" s="804" t="s">
        <v>4668</v>
      </c>
      <c r="C10570" s="804" t="s">
        <v>4668</v>
      </c>
      <c r="D10570" s="804" t="s">
        <v>4793</v>
      </c>
      <c r="E10570" s="804">
        <v>50</v>
      </c>
      <c r="F10570" s="804">
        <v>10</v>
      </c>
      <c r="G10570" s="202"/>
    </row>
    <row r="10571" spans="1:7" s="172" customFormat="1" ht="15" customHeight="1" x14ac:dyDescent="0.25">
      <c r="A10571" s="804" t="s">
        <v>12443</v>
      </c>
      <c r="B10571" s="804" t="s">
        <v>4668</v>
      </c>
      <c r="C10571" s="804" t="s">
        <v>4668</v>
      </c>
      <c r="D10571" s="804" t="s">
        <v>4794</v>
      </c>
      <c r="E10571" s="804">
        <v>100</v>
      </c>
      <c r="F10571" s="804">
        <v>20</v>
      </c>
      <c r="G10571" s="202"/>
    </row>
    <row r="10572" spans="1:7" s="172" customFormat="1" ht="15" customHeight="1" x14ac:dyDescent="0.25">
      <c r="A10572" s="804" t="s">
        <v>12443</v>
      </c>
      <c r="B10572" s="804" t="s">
        <v>4668</v>
      </c>
      <c r="C10572" s="804" t="s">
        <v>4668</v>
      </c>
      <c r="D10572" s="804" t="s">
        <v>4795</v>
      </c>
      <c r="E10572" s="804">
        <v>100</v>
      </c>
      <c r="F10572" s="804">
        <v>30</v>
      </c>
      <c r="G10572" s="202"/>
    </row>
    <row r="10573" spans="1:7" s="172" customFormat="1" ht="15" customHeight="1" x14ac:dyDescent="0.25">
      <c r="A10573" s="804" t="s">
        <v>12443</v>
      </c>
      <c r="B10573" s="804" t="s">
        <v>4668</v>
      </c>
      <c r="C10573" s="804" t="s">
        <v>4668</v>
      </c>
      <c r="D10573" s="804" t="s">
        <v>4796</v>
      </c>
      <c r="E10573" s="804">
        <v>800</v>
      </c>
      <c r="F10573" s="804">
        <v>239</v>
      </c>
      <c r="G10573" s="202"/>
    </row>
    <row r="10574" spans="1:7" s="172" customFormat="1" ht="15" customHeight="1" x14ac:dyDescent="0.25">
      <c r="A10574" s="804" t="s">
        <v>12443</v>
      </c>
      <c r="B10574" s="804" t="s">
        <v>4668</v>
      </c>
      <c r="C10574" s="804" t="s">
        <v>4668</v>
      </c>
      <c r="D10574" s="804" t="s">
        <v>4797</v>
      </c>
      <c r="E10574" s="804">
        <v>25</v>
      </c>
      <c r="F10574" s="804">
        <v>3</v>
      </c>
      <c r="G10574" s="202"/>
    </row>
    <row r="10575" spans="1:7" s="172" customFormat="1" ht="15" customHeight="1" x14ac:dyDescent="0.25">
      <c r="A10575" s="804" t="s">
        <v>12425</v>
      </c>
      <c r="B10575" s="804" t="s">
        <v>4668</v>
      </c>
      <c r="C10575" s="804" t="s">
        <v>4668</v>
      </c>
      <c r="D10575" s="804" t="s">
        <v>4798</v>
      </c>
      <c r="E10575" s="804">
        <v>30</v>
      </c>
      <c r="F10575" s="804">
        <v>10</v>
      </c>
      <c r="G10575" s="202"/>
    </row>
    <row r="10576" spans="1:7" s="172" customFormat="1" ht="15" customHeight="1" x14ac:dyDescent="0.25">
      <c r="A10576" s="804" t="s">
        <v>12451</v>
      </c>
      <c r="B10576" s="804" t="s">
        <v>4668</v>
      </c>
      <c r="C10576" s="804" t="s">
        <v>4668</v>
      </c>
      <c r="D10576" s="804" t="s">
        <v>4799</v>
      </c>
      <c r="E10576" s="804">
        <v>10</v>
      </c>
      <c r="F10576" s="804">
        <v>3</v>
      </c>
      <c r="G10576" s="202"/>
    </row>
    <row r="10577" spans="1:7" s="172" customFormat="1" ht="15" customHeight="1" x14ac:dyDescent="0.25">
      <c r="A10577" s="804" t="s">
        <v>12411</v>
      </c>
      <c r="B10577" s="804" t="s">
        <v>4668</v>
      </c>
      <c r="C10577" s="804" t="s">
        <v>4668</v>
      </c>
      <c r="D10577" s="804" t="s">
        <v>4800</v>
      </c>
      <c r="E10577" s="804">
        <v>63</v>
      </c>
      <c r="F10577" s="804">
        <v>15</v>
      </c>
      <c r="G10577" s="202"/>
    </row>
    <row r="10578" spans="1:7" s="172" customFormat="1" ht="15" customHeight="1" x14ac:dyDescent="0.25">
      <c r="A10578" s="804" t="s">
        <v>12439</v>
      </c>
      <c r="B10578" s="804" t="s">
        <v>4668</v>
      </c>
      <c r="C10578" s="804" t="s">
        <v>4668</v>
      </c>
      <c r="D10578" s="804" t="s">
        <v>4801</v>
      </c>
      <c r="E10578" s="804">
        <v>40</v>
      </c>
      <c r="F10578" s="804">
        <v>3</v>
      </c>
      <c r="G10578" s="202"/>
    </row>
    <row r="10579" spans="1:7" s="172" customFormat="1" ht="15" customHeight="1" x14ac:dyDescent="0.25">
      <c r="A10579" s="804" t="s">
        <v>12438</v>
      </c>
      <c r="B10579" s="804" t="s">
        <v>4668</v>
      </c>
      <c r="C10579" s="804" t="s">
        <v>4668</v>
      </c>
      <c r="D10579" s="804" t="s">
        <v>4802</v>
      </c>
      <c r="E10579" s="804">
        <v>160</v>
      </c>
      <c r="F10579" s="804">
        <v>30</v>
      </c>
      <c r="G10579" s="202"/>
    </row>
    <row r="10580" spans="1:7" s="172" customFormat="1" ht="15" customHeight="1" x14ac:dyDescent="0.25">
      <c r="A10580" s="804" t="s">
        <v>12438</v>
      </c>
      <c r="B10580" s="804" t="s">
        <v>4668</v>
      </c>
      <c r="C10580" s="804" t="s">
        <v>4668</v>
      </c>
      <c r="D10580" s="804" t="s">
        <v>4803</v>
      </c>
      <c r="E10580" s="804">
        <v>180</v>
      </c>
      <c r="F10580" s="804">
        <v>148</v>
      </c>
      <c r="G10580" s="202"/>
    </row>
    <row r="10581" spans="1:7" s="172" customFormat="1" ht="15" customHeight="1" x14ac:dyDescent="0.25">
      <c r="A10581" s="804" t="s">
        <v>12452</v>
      </c>
      <c r="B10581" s="804" t="s">
        <v>4668</v>
      </c>
      <c r="C10581" s="804" t="s">
        <v>4668</v>
      </c>
      <c r="D10581" s="804" t="s">
        <v>4804</v>
      </c>
      <c r="E10581" s="804">
        <v>160</v>
      </c>
      <c r="F10581" s="804">
        <v>108</v>
      </c>
      <c r="G10581" s="202"/>
    </row>
    <row r="10582" spans="1:7" s="172" customFormat="1" ht="15" customHeight="1" x14ac:dyDescent="0.25">
      <c r="A10582" s="804" t="s">
        <v>12452</v>
      </c>
      <c r="B10582" s="804" t="s">
        <v>4668</v>
      </c>
      <c r="C10582" s="804" t="s">
        <v>4668</v>
      </c>
      <c r="D10582" s="804" t="s">
        <v>4805</v>
      </c>
      <c r="E10582" s="804">
        <v>63</v>
      </c>
      <c r="F10582" s="804">
        <v>25</v>
      </c>
      <c r="G10582" s="202"/>
    </row>
    <row r="10583" spans="1:7" s="172" customFormat="1" ht="15" customHeight="1" x14ac:dyDescent="0.25">
      <c r="A10583" s="804" t="s">
        <v>12452</v>
      </c>
      <c r="B10583" s="804" t="s">
        <v>4668</v>
      </c>
      <c r="C10583" s="804" t="s">
        <v>4668</v>
      </c>
      <c r="D10583" s="804" t="s">
        <v>4806</v>
      </c>
      <c r="E10583" s="804">
        <v>100</v>
      </c>
      <c r="F10583" s="804">
        <v>53</v>
      </c>
      <c r="G10583" s="202"/>
    </row>
    <row r="10584" spans="1:7" s="172" customFormat="1" ht="15" customHeight="1" x14ac:dyDescent="0.25">
      <c r="A10584" s="804" t="s">
        <v>12453</v>
      </c>
      <c r="B10584" s="804" t="s">
        <v>4668</v>
      </c>
      <c r="C10584" s="804" t="s">
        <v>4668</v>
      </c>
      <c r="D10584" s="804" t="s">
        <v>4807</v>
      </c>
      <c r="E10584" s="804">
        <v>30</v>
      </c>
      <c r="F10584" s="804">
        <v>27</v>
      </c>
      <c r="G10584" s="202"/>
    </row>
    <row r="10585" spans="1:7" s="172" customFormat="1" ht="15" customHeight="1" x14ac:dyDescent="0.25">
      <c r="A10585" s="804" t="s">
        <v>12454</v>
      </c>
      <c r="B10585" s="804" t="s">
        <v>4668</v>
      </c>
      <c r="C10585" s="804" t="s">
        <v>4668</v>
      </c>
      <c r="D10585" s="804" t="s">
        <v>4808</v>
      </c>
      <c r="E10585" s="804">
        <v>60</v>
      </c>
      <c r="F10585" s="804">
        <v>30</v>
      </c>
      <c r="G10585" s="202"/>
    </row>
    <row r="10586" spans="1:7" s="172" customFormat="1" ht="15" customHeight="1" x14ac:dyDescent="0.25">
      <c r="A10586" s="804" t="s">
        <v>12455</v>
      </c>
      <c r="B10586" s="804" t="s">
        <v>4668</v>
      </c>
      <c r="C10586" s="804" t="s">
        <v>4668</v>
      </c>
      <c r="D10586" s="804" t="s">
        <v>4809</v>
      </c>
      <c r="E10586" s="804">
        <v>160</v>
      </c>
      <c r="F10586" s="804">
        <v>130</v>
      </c>
      <c r="G10586" s="202"/>
    </row>
    <row r="10587" spans="1:7" s="172" customFormat="1" ht="15" customHeight="1" x14ac:dyDescent="0.25">
      <c r="A10587" s="804" t="s">
        <v>18537</v>
      </c>
      <c r="B10587" s="804" t="s">
        <v>4668</v>
      </c>
      <c r="C10587" s="804" t="s">
        <v>4668</v>
      </c>
      <c r="D10587" s="804" t="s">
        <v>18538</v>
      </c>
      <c r="E10587" s="804">
        <v>25</v>
      </c>
      <c r="F10587" s="804">
        <v>10</v>
      </c>
      <c r="G10587" s="202"/>
    </row>
    <row r="10588" spans="1:7" s="172" customFormat="1" ht="15" customHeight="1" x14ac:dyDescent="0.25">
      <c r="A10588" s="804" t="s">
        <v>12421</v>
      </c>
      <c r="B10588" s="804" t="s">
        <v>4668</v>
      </c>
      <c r="C10588" s="804" t="s">
        <v>4668</v>
      </c>
      <c r="D10588" s="804" t="s">
        <v>20190</v>
      </c>
      <c r="E10588" s="804">
        <v>63</v>
      </c>
      <c r="F10588" s="804">
        <v>43</v>
      </c>
      <c r="G10588" s="202"/>
    </row>
    <row r="10589" spans="1:7" s="172" customFormat="1" ht="15" customHeight="1" x14ac:dyDescent="0.25">
      <c r="A10589" s="855"/>
      <c r="B10589" s="855"/>
      <c r="C10589" s="855"/>
      <c r="D10589" s="855"/>
      <c r="E10589" s="855"/>
      <c r="F10589" s="855"/>
      <c r="G10589" s="202"/>
    </row>
    <row r="10590" spans="1:7" s="172" customFormat="1" ht="15" customHeight="1" x14ac:dyDescent="0.25">
      <c r="A10590" s="984" t="s">
        <v>20361</v>
      </c>
      <c r="B10590" s="985"/>
      <c r="C10590" s="985"/>
      <c r="D10590" s="855"/>
      <c r="E10590" s="855"/>
      <c r="F10590" s="855"/>
      <c r="G10590" s="202"/>
    </row>
    <row r="10591" spans="1:7" s="172" customFormat="1" ht="15" customHeight="1" x14ac:dyDescent="0.25">
      <c r="A10591" s="855"/>
      <c r="B10591" s="855"/>
      <c r="C10591" s="855"/>
      <c r="D10591" s="855"/>
      <c r="E10591" s="855"/>
      <c r="F10591" s="855"/>
      <c r="G10591" s="202"/>
    </row>
    <row r="10592" spans="1:7" s="172" customFormat="1" ht="15" customHeight="1" x14ac:dyDescent="0.25">
      <c r="A10592" s="855"/>
      <c r="B10592" s="855"/>
      <c r="C10592" s="855"/>
      <c r="D10592" s="855"/>
      <c r="E10592" s="855"/>
      <c r="F10592" s="855"/>
      <c r="G10592" s="202"/>
    </row>
    <row r="10593" spans="1:7" s="172" customFormat="1" ht="15" customHeight="1" x14ac:dyDescent="0.25">
      <c r="A10593" s="855"/>
      <c r="B10593" s="855"/>
      <c r="C10593" s="855"/>
      <c r="D10593" s="855"/>
      <c r="E10593" s="855"/>
      <c r="F10593" s="855"/>
      <c r="G10593" s="202"/>
    </row>
    <row r="10594" spans="1:7" s="172" customFormat="1" ht="15" customHeight="1" x14ac:dyDescent="0.25">
      <c r="A10594" s="855"/>
      <c r="B10594" s="855"/>
      <c r="C10594" s="855"/>
      <c r="D10594" s="855"/>
      <c r="E10594" s="855"/>
      <c r="F10594" s="855"/>
      <c r="G10594" s="202"/>
    </row>
    <row r="10595" spans="1:7" s="172" customFormat="1" ht="15" customHeight="1" x14ac:dyDescent="0.25">
      <c r="A10595" s="855"/>
      <c r="B10595" s="855"/>
      <c r="C10595" s="855"/>
      <c r="D10595" s="855"/>
      <c r="E10595" s="855"/>
      <c r="F10595" s="855"/>
      <c r="G10595" s="202"/>
    </row>
    <row r="10596" spans="1:7" s="172" customFormat="1" ht="15" customHeight="1" x14ac:dyDescent="0.25">
      <c r="A10596" s="855"/>
      <c r="B10596" s="855"/>
      <c r="C10596" s="855"/>
      <c r="D10596" s="855"/>
      <c r="E10596" s="855"/>
      <c r="F10596" s="855"/>
      <c r="G10596" s="202"/>
    </row>
    <row r="10597" spans="1:7" s="172" customFormat="1" ht="15" customHeight="1" x14ac:dyDescent="0.25">
      <c r="A10597" s="855"/>
      <c r="B10597" s="855"/>
      <c r="C10597" s="855"/>
      <c r="D10597" s="855"/>
      <c r="E10597" s="855"/>
      <c r="F10597" s="855"/>
      <c r="G10597" s="202"/>
    </row>
    <row r="10598" spans="1:7" s="172" customFormat="1" ht="15" customHeight="1" x14ac:dyDescent="0.25">
      <c r="A10598" s="855"/>
      <c r="B10598" s="855"/>
      <c r="C10598" s="855"/>
      <c r="D10598" s="855"/>
      <c r="E10598" s="855"/>
      <c r="F10598" s="855"/>
      <c r="G10598" s="202"/>
    </row>
    <row r="10599" spans="1:7" s="172" customFormat="1" ht="15" customHeight="1" x14ac:dyDescent="0.25">
      <c r="A10599" s="855"/>
      <c r="B10599" s="855"/>
      <c r="C10599" s="855"/>
      <c r="D10599" s="855"/>
      <c r="E10599" s="855"/>
      <c r="F10599" s="855"/>
      <c r="G10599" s="202"/>
    </row>
    <row r="10600" spans="1:7" s="172" customFormat="1" ht="15" customHeight="1" x14ac:dyDescent="0.25">
      <c r="A10600" s="855"/>
      <c r="B10600" s="855"/>
      <c r="C10600" s="855"/>
      <c r="D10600" s="855"/>
      <c r="E10600" s="855"/>
      <c r="F10600" s="855"/>
      <c r="G10600" s="202"/>
    </row>
    <row r="10601" spans="1:7" s="172" customFormat="1" ht="15" customHeight="1" x14ac:dyDescent="0.25">
      <c r="A10601" s="855"/>
      <c r="B10601" s="855"/>
      <c r="C10601" s="855"/>
      <c r="D10601" s="855"/>
      <c r="E10601" s="855"/>
      <c r="F10601" s="855"/>
      <c r="G10601" s="202"/>
    </row>
    <row r="10602" spans="1:7" s="172" customFormat="1" ht="15" customHeight="1" x14ac:dyDescent="0.25">
      <c r="A10602" s="855"/>
      <c r="B10602" s="855"/>
      <c r="C10602" s="855"/>
      <c r="D10602" s="855"/>
      <c r="E10602" s="855"/>
      <c r="F10602" s="855"/>
      <c r="G10602" s="202"/>
    </row>
    <row r="10603" spans="1:7" s="172" customFormat="1" ht="15" customHeight="1" x14ac:dyDescent="0.25">
      <c r="A10603" s="855"/>
      <c r="B10603" s="855"/>
      <c r="C10603" s="855"/>
      <c r="D10603" s="855"/>
      <c r="E10603" s="855"/>
      <c r="F10603" s="855"/>
      <c r="G10603" s="202"/>
    </row>
    <row r="10604" spans="1:7" s="172" customFormat="1" ht="15" customHeight="1" x14ac:dyDescent="0.25">
      <c r="A10604" s="855"/>
      <c r="B10604" s="855"/>
      <c r="C10604" s="855"/>
      <c r="D10604" s="855"/>
      <c r="E10604" s="855"/>
      <c r="F10604" s="855"/>
      <c r="G10604" s="202"/>
    </row>
    <row r="10605" spans="1:7" s="172" customFormat="1" ht="15" customHeight="1" x14ac:dyDescent="0.25">
      <c r="A10605" s="855"/>
      <c r="B10605" s="855"/>
      <c r="C10605" s="855"/>
      <c r="D10605" s="855"/>
      <c r="E10605" s="855"/>
      <c r="F10605" s="855"/>
      <c r="G10605" s="202"/>
    </row>
    <row r="10606" spans="1:7" s="172" customFormat="1" ht="15" customHeight="1" x14ac:dyDescent="0.25">
      <c r="A10606" s="855"/>
      <c r="B10606" s="855"/>
      <c r="C10606" s="855"/>
      <c r="D10606" s="855"/>
      <c r="E10606" s="855"/>
      <c r="F10606" s="855"/>
      <c r="G10606" s="202"/>
    </row>
    <row r="10607" spans="1:7" s="172" customFormat="1" ht="15" customHeight="1" x14ac:dyDescent="0.25">
      <c r="A10607" s="855"/>
      <c r="B10607" s="855"/>
      <c r="C10607" s="855"/>
      <c r="D10607" s="855"/>
      <c r="E10607" s="855"/>
      <c r="F10607" s="855"/>
      <c r="G10607" s="202"/>
    </row>
    <row r="10608" spans="1:7" s="172" customFormat="1" ht="15" customHeight="1" x14ac:dyDescent="0.25">
      <c r="A10608" s="855"/>
      <c r="B10608" s="855"/>
      <c r="C10608" s="855"/>
      <c r="D10608" s="855"/>
      <c r="E10608" s="855"/>
      <c r="F10608" s="855"/>
      <c r="G10608" s="202"/>
    </row>
    <row r="10609" spans="1:7" s="172" customFormat="1" ht="15" customHeight="1" x14ac:dyDescent="0.25">
      <c r="A10609" s="855"/>
      <c r="B10609" s="855"/>
      <c r="C10609" s="855"/>
      <c r="D10609" s="855"/>
      <c r="E10609" s="855"/>
      <c r="F10609" s="855"/>
      <c r="G10609" s="202"/>
    </row>
    <row r="10610" spans="1:7" s="172" customFormat="1" ht="15" customHeight="1" x14ac:dyDescent="0.25">
      <c r="A10610" s="855"/>
      <c r="B10610" s="855"/>
      <c r="C10610" s="855"/>
      <c r="D10610" s="855"/>
      <c r="E10610" s="855"/>
      <c r="F10610" s="855"/>
      <c r="G10610" s="202"/>
    </row>
    <row r="10611" spans="1:7" s="172" customFormat="1" ht="15" customHeight="1" x14ac:dyDescent="0.25">
      <c r="A10611" s="855"/>
      <c r="B10611" s="855"/>
      <c r="C10611" s="855"/>
      <c r="D10611" s="855"/>
      <c r="E10611" s="855"/>
      <c r="F10611" s="855"/>
      <c r="G10611" s="202"/>
    </row>
    <row r="10612" spans="1:7" s="172" customFormat="1" ht="15" customHeight="1" x14ac:dyDescent="0.25">
      <c r="A10612" s="855"/>
      <c r="B10612" s="855"/>
      <c r="C10612" s="855"/>
      <c r="D10612" s="855"/>
      <c r="E10612" s="855"/>
      <c r="F10612" s="855"/>
      <c r="G10612" s="202"/>
    </row>
    <row r="10613" spans="1:7" s="172" customFormat="1" ht="15" customHeight="1" x14ac:dyDescent="0.25">
      <c r="A10613" s="855"/>
      <c r="B10613" s="855"/>
      <c r="C10613" s="855"/>
      <c r="D10613" s="855"/>
      <c r="E10613" s="855"/>
      <c r="F10613" s="855"/>
      <c r="G10613" s="202"/>
    </row>
    <row r="10614" spans="1:7" s="172" customFormat="1" ht="15" customHeight="1" x14ac:dyDescent="0.25">
      <c r="A10614" s="855"/>
      <c r="B10614" s="855"/>
      <c r="C10614" s="855"/>
      <c r="D10614" s="855"/>
      <c r="E10614" s="855"/>
      <c r="F10614" s="855"/>
      <c r="G10614" s="202"/>
    </row>
    <row r="10615" spans="1:7" s="172" customFormat="1" ht="15" customHeight="1" x14ac:dyDescent="0.25">
      <c r="A10615" s="855"/>
      <c r="B10615" s="855"/>
      <c r="C10615" s="855"/>
      <c r="D10615" s="855"/>
      <c r="E10615" s="855"/>
      <c r="F10615" s="855"/>
      <c r="G10615" s="202"/>
    </row>
    <row r="10616" spans="1:7" s="172" customFormat="1" ht="15" customHeight="1" x14ac:dyDescent="0.25">
      <c r="A10616" s="855"/>
      <c r="B10616" s="855"/>
      <c r="C10616" s="855"/>
      <c r="D10616" s="855"/>
      <c r="E10616" s="855"/>
      <c r="F10616" s="855"/>
      <c r="G10616" s="202"/>
    </row>
    <row r="10617" spans="1:7" s="172" customFormat="1" ht="15" customHeight="1" x14ac:dyDescent="0.25">
      <c r="A10617" s="855"/>
      <c r="B10617" s="855"/>
      <c r="C10617" s="855"/>
      <c r="D10617" s="855"/>
      <c r="E10617" s="855"/>
      <c r="F10617" s="855"/>
      <c r="G10617" s="202"/>
    </row>
    <row r="10618" spans="1:7" s="172" customFormat="1" ht="15" customHeight="1" x14ac:dyDescent="0.25">
      <c r="A10618" s="855"/>
      <c r="B10618" s="855"/>
      <c r="C10618" s="855"/>
      <c r="D10618" s="855"/>
      <c r="E10618" s="855"/>
      <c r="F10618" s="855"/>
      <c r="G10618" s="202"/>
    </row>
    <row r="10619" spans="1:7" s="172" customFormat="1" ht="15" customHeight="1" x14ac:dyDescent="0.25">
      <c r="A10619" s="855"/>
      <c r="B10619" s="855"/>
      <c r="C10619" s="855"/>
      <c r="D10619" s="855"/>
      <c r="E10619" s="855"/>
      <c r="F10619" s="855"/>
      <c r="G10619" s="202"/>
    </row>
    <row r="10620" spans="1:7" s="172" customFormat="1" ht="15" customHeight="1" x14ac:dyDescent="0.25">
      <c r="A10620" s="855"/>
      <c r="B10620" s="855"/>
      <c r="C10620" s="855"/>
      <c r="D10620" s="855"/>
      <c r="E10620" s="855"/>
      <c r="F10620" s="855"/>
      <c r="G10620" s="202"/>
    </row>
    <row r="10621" spans="1:7" s="172" customFormat="1" ht="15" customHeight="1" x14ac:dyDescent="0.25">
      <c r="A10621" s="855"/>
      <c r="B10621" s="855"/>
      <c r="C10621" s="855"/>
      <c r="D10621" s="855"/>
      <c r="E10621" s="855"/>
      <c r="F10621" s="855"/>
      <c r="G10621" s="202"/>
    </row>
    <row r="10622" spans="1:7" s="172" customFormat="1" ht="15" customHeight="1" x14ac:dyDescent="0.25">
      <c r="A10622" s="855"/>
      <c r="B10622" s="855"/>
      <c r="C10622" s="855"/>
      <c r="D10622" s="855"/>
      <c r="E10622" s="855"/>
      <c r="F10622" s="855"/>
      <c r="G10622" s="202"/>
    </row>
    <row r="10623" spans="1:7" s="172" customFormat="1" ht="15" customHeight="1" x14ac:dyDescent="0.25">
      <c r="A10623" s="855"/>
      <c r="B10623" s="855"/>
      <c r="C10623" s="855"/>
      <c r="D10623" s="855"/>
      <c r="E10623" s="855"/>
      <c r="F10623" s="855"/>
      <c r="G10623" s="202"/>
    </row>
    <row r="10624" spans="1:7" s="172" customFormat="1" ht="15" customHeight="1" x14ac:dyDescent="0.25">
      <c r="A10624" s="855"/>
      <c r="B10624" s="855"/>
      <c r="C10624" s="855"/>
      <c r="D10624" s="855"/>
      <c r="E10624" s="855"/>
      <c r="F10624" s="855"/>
      <c r="G10624" s="202"/>
    </row>
    <row r="10625" spans="1:7" s="172" customFormat="1" ht="15" customHeight="1" x14ac:dyDescent="0.25">
      <c r="A10625" s="855"/>
      <c r="B10625" s="855"/>
      <c r="C10625" s="855"/>
      <c r="D10625" s="855"/>
      <c r="E10625" s="855"/>
      <c r="F10625" s="855"/>
      <c r="G10625" s="202"/>
    </row>
    <row r="10626" spans="1:7" s="172" customFormat="1" ht="15" customHeight="1" x14ac:dyDescent="0.25">
      <c r="A10626" s="855"/>
      <c r="B10626" s="855"/>
      <c r="C10626" s="855"/>
      <c r="D10626" s="855"/>
      <c r="E10626" s="855"/>
      <c r="F10626" s="855"/>
      <c r="G10626" s="202"/>
    </row>
    <row r="10627" spans="1:7" s="172" customFormat="1" ht="15" customHeight="1" x14ac:dyDescent="0.25">
      <c r="A10627" s="855"/>
      <c r="B10627" s="855"/>
      <c r="C10627" s="855"/>
      <c r="D10627" s="855"/>
      <c r="E10627" s="855"/>
      <c r="F10627" s="855"/>
      <c r="G10627" s="202"/>
    </row>
    <row r="10628" spans="1:7" s="172" customFormat="1" ht="15" customHeight="1" x14ac:dyDescent="0.25">
      <c r="A10628" s="855"/>
      <c r="B10628" s="855"/>
      <c r="C10628" s="855"/>
      <c r="D10628" s="855"/>
      <c r="E10628" s="855"/>
      <c r="F10628" s="855"/>
      <c r="G10628" s="202"/>
    </row>
    <row r="10629" spans="1:7" s="172" customFormat="1" ht="15" customHeight="1" x14ac:dyDescent="0.25">
      <c r="A10629" s="855"/>
      <c r="B10629" s="855"/>
      <c r="C10629" s="855"/>
      <c r="D10629" s="855"/>
      <c r="E10629" s="855"/>
      <c r="F10629" s="855"/>
      <c r="G10629" s="202"/>
    </row>
    <row r="10630" spans="1:7" s="172" customFormat="1" ht="15" customHeight="1" x14ac:dyDescent="0.25">
      <c r="A10630" s="855"/>
      <c r="B10630" s="855"/>
      <c r="C10630" s="855"/>
      <c r="D10630" s="855"/>
      <c r="E10630" s="855"/>
      <c r="F10630" s="855"/>
      <c r="G10630" s="202"/>
    </row>
    <row r="10631" spans="1:7" s="172" customFormat="1" ht="15" customHeight="1" x14ac:dyDescent="0.25">
      <c r="A10631" s="855"/>
      <c r="B10631" s="855"/>
      <c r="C10631" s="855"/>
      <c r="D10631" s="855"/>
      <c r="E10631" s="855"/>
      <c r="F10631" s="855"/>
      <c r="G10631" s="202"/>
    </row>
    <row r="10632" spans="1:7" s="172" customFormat="1" ht="15" customHeight="1" x14ac:dyDescent="0.25">
      <c r="A10632" s="855"/>
      <c r="B10632" s="855"/>
      <c r="C10632" s="855"/>
      <c r="D10632" s="855"/>
      <c r="E10632" s="855"/>
      <c r="F10632" s="855"/>
      <c r="G10632" s="202"/>
    </row>
    <row r="10633" spans="1:7" s="172" customFormat="1" ht="15" customHeight="1" x14ac:dyDescent="0.25">
      <c r="A10633" s="855"/>
      <c r="B10633" s="855"/>
      <c r="C10633" s="855"/>
      <c r="D10633" s="855"/>
      <c r="E10633" s="855"/>
      <c r="F10633" s="855"/>
      <c r="G10633" s="202"/>
    </row>
    <row r="10634" spans="1:7" s="172" customFormat="1" ht="15" customHeight="1" x14ac:dyDescent="0.25">
      <c r="A10634" s="855"/>
      <c r="B10634" s="855"/>
      <c r="C10634" s="855"/>
      <c r="D10634" s="855"/>
      <c r="E10634" s="855"/>
      <c r="F10634" s="855"/>
      <c r="G10634" s="202"/>
    </row>
    <row r="10635" spans="1:7" s="172" customFormat="1" ht="15" customHeight="1" x14ac:dyDescent="0.25">
      <c r="A10635" s="855"/>
      <c r="B10635" s="855"/>
      <c r="C10635" s="855"/>
      <c r="D10635" s="855"/>
      <c r="E10635" s="855"/>
      <c r="F10635" s="855"/>
      <c r="G10635" s="202"/>
    </row>
    <row r="10636" spans="1:7" s="172" customFormat="1" ht="15" customHeight="1" x14ac:dyDescent="0.25">
      <c r="A10636" s="855"/>
      <c r="B10636" s="855"/>
      <c r="C10636" s="855"/>
      <c r="D10636" s="855"/>
      <c r="E10636" s="855"/>
      <c r="F10636" s="855"/>
      <c r="G10636" s="202"/>
    </row>
    <row r="10637" spans="1:7" s="172" customFormat="1" ht="15" customHeight="1" x14ac:dyDescent="0.25">
      <c r="A10637" s="855"/>
      <c r="B10637" s="855"/>
      <c r="C10637" s="855"/>
      <c r="D10637" s="855"/>
      <c r="E10637" s="855"/>
      <c r="F10637" s="855"/>
      <c r="G10637" s="202"/>
    </row>
    <row r="10638" spans="1:7" s="172" customFormat="1" ht="15" customHeight="1" x14ac:dyDescent="0.25">
      <c r="A10638" s="855"/>
      <c r="B10638" s="855"/>
      <c r="C10638" s="855"/>
      <c r="D10638" s="855"/>
      <c r="E10638" s="855"/>
      <c r="F10638" s="855"/>
      <c r="G10638" s="202"/>
    </row>
    <row r="10639" spans="1:7" s="172" customFormat="1" ht="15" customHeight="1" x14ac:dyDescent="0.25">
      <c r="A10639" s="855"/>
      <c r="B10639" s="855"/>
      <c r="C10639" s="855"/>
      <c r="D10639" s="855"/>
      <c r="E10639" s="855"/>
      <c r="F10639" s="855"/>
      <c r="G10639" s="202"/>
    </row>
    <row r="10640" spans="1:7" s="172" customFormat="1" ht="15" customHeight="1" x14ac:dyDescent="0.25">
      <c r="A10640" s="855"/>
      <c r="B10640" s="855"/>
      <c r="C10640" s="855"/>
      <c r="D10640" s="855"/>
      <c r="E10640" s="855"/>
      <c r="F10640" s="855"/>
      <c r="G10640" s="202"/>
    </row>
    <row r="10641" spans="1:7" s="172" customFormat="1" ht="15" customHeight="1" x14ac:dyDescent="0.25">
      <c r="A10641" s="855"/>
      <c r="B10641" s="855"/>
      <c r="C10641" s="855"/>
      <c r="D10641" s="855"/>
      <c r="E10641" s="855"/>
      <c r="F10641" s="855"/>
      <c r="G10641" s="202"/>
    </row>
    <row r="10642" spans="1:7" s="172" customFormat="1" ht="15" customHeight="1" x14ac:dyDescent="0.25">
      <c r="A10642" s="855"/>
      <c r="B10642" s="855"/>
      <c r="C10642" s="855"/>
      <c r="D10642" s="855"/>
      <c r="E10642" s="855"/>
      <c r="F10642" s="855"/>
      <c r="G10642" s="202"/>
    </row>
    <row r="10643" spans="1:7" s="172" customFormat="1" ht="15" customHeight="1" x14ac:dyDescent="0.25">
      <c r="A10643" s="855"/>
      <c r="B10643" s="855"/>
      <c r="C10643" s="855"/>
      <c r="D10643" s="855"/>
      <c r="E10643" s="855"/>
      <c r="F10643" s="855"/>
      <c r="G10643" s="202"/>
    </row>
    <row r="10644" spans="1:7" s="172" customFormat="1" ht="15" customHeight="1" x14ac:dyDescent="0.25">
      <c r="A10644" s="855"/>
      <c r="B10644" s="855"/>
      <c r="C10644" s="855"/>
      <c r="D10644" s="855"/>
      <c r="E10644" s="855"/>
      <c r="F10644" s="855"/>
      <c r="G10644" s="202"/>
    </row>
    <row r="10645" spans="1:7" s="172" customFormat="1" ht="15" customHeight="1" x14ac:dyDescent="0.25">
      <c r="A10645" s="855"/>
      <c r="B10645" s="855"/>
      <c r="C10645" s="855"/>
      <c r="D10645" s="855"/>
      <c r="E10645" s="855"/>
      <c r="F10645" s="855"/>
      <c r="G10645" s="202"/>
    </row>
    <row r="10646" spans="1:7" s="172" customFormat="1" ht="15" customHeight="1" x14ac:dyDescent="0.25">
      <c r="A10646" s="855"/>
      <c r="B10646" s="855"/>
      <c r="C10646" s="855"/>
      <c r="D10646" s="855"/>
      <c r="E10646" s="855"/>
      <c r="F10646" s="855"/>
      <c r="G10646" s="202"/>
    </row>
    <row r="10647" spans="1:7" s="172" customFormat="1" ht="15" customHeight="1" x14ac:dyDescent="0.25">
      <c r="A10647" s="855"/>
      <c r="B10647" s="855"/>
      <c r="C10647" s="855"/>
      <c r="D10647" s="855"/>
      <c r="E10647" s="855"/>
      <c r="F10647" s="855"/>
      <c r="G10647" s="202"/>
    </row>
    <row r="10648" spans="1:7" s="172" customFormat="1" ht="15" customHeight="1" x14ac:dyDescent="0.25">
      <c r="A10648" s="855"/>
      <c r="B10648" s="855"/>
      <c r="C10648" s="855"/>
      <c r="D10648" s="855"/>
      <c r="E10648" s="855"/>
      <c r="F10648" s="855"/>
      <c r="G10648" s="202"/>
    </row>
    <row r="10649" spans="1:7" s="172" customFormat="1" ht="15" customHeight="1" x14ac:dyDescent="0.25">
      <c r="A10649" s="855"/>
      <c r="B10649" s="855"/>
      <c r="C10649" s="855"/>
      <c r="D10649" s="855"/>
      <c r="E10649" s="855"/>
      <c r="F10649" s="855"/>
      <c r="G10649" s="202"/>
    </row>
    <row r="10650" spans="1:7" s="172" customFormat="1" ht="15" customHeight="1" x14ac:dyDescent="0.25">
      <c r="A10650" s="855"/>
      <c r="B10650" s="855"/>
      <c r="C10650" s="855"/>
      <c r="D10650" s="855"/>
      <c r="E10650" s="855"/>
      <c r="F10650" s="855"/>
      <c r="G10650" s="202"/>
    </row>
    <row r="10651" spans="1:7" s="172" customFormat="1" ht="15" customHeight="1" x14ac:dyDescent="0.25">
      <c r="A10651" s="855"/>
      <c r="B10651" s="855"/>
      <c r="C10651" s="855"/>
      <c r="D10651" s="855"/>
      <c r="E10651" s="855"/>
      <c r="F10651" s="855"/>
      <c r="G10651" s="202"/>
    </row>
    <row r="10652" spans="1:7" s="172" customFormat="1" ht="15" customHeight="1" x14ac:dyDescent="0.25">
      <c r="A10652" s="855"/>
      <c r="B10652" s="855"/>
      <c r="C10652" s="855"/>
      <c r="D10652" s="855"/>
      <c r="E10652" s="855"/>
      <c r="F10652" s="855"/>
      <c r="G10652" s="202"/>
    </row>
    <row r="10653" spans="1:7" s="172" customFormat="1" ht="15" customHeight="1" x14ac:dyDescent="0.25">
      <c r="A10653" s="855"/>
      <c r="B10653" s="855"/>
      <c r="C10653" s="855"/>
      <c r="D10653" s="855"/>
      <c r="E10653" s="855"/>
      <c r="F10653" s="855"/>
      <c r="G10653" s="202"/>
    </row>
    <row r="10654" spans="1:7" s="172" customFormat="1" ht="15" customHeight="1" x14ac:dyDescent="0.25">
      <c r="A10654" s="855"/>
      <c r="B10654" s="855"/>
      <c r="C10654" s="855"/>
      <c r="D10654" s="855"/>
      <c r="E10654" s="855"/>
      <c r="F10654" s="855"/>
      <c r="G10654" s="202"/>
    </row>
    <row r="10655" spans="1:7" s="172" customFormat="1" ht="15" customHeight="1" x14ac:dyDescent="0.25">
      <c r="A10655" s="855"/>
      <c r="B10655" s="855"/>
      <c r="C10655" s="855"/>
      <c r="D10655" s="855"/>
      <c r="E10655" s="855"/>
      <c r="F10655" s="855"/>
      <c r="G10655" s="202"/>
    </row>
    <row r="10656" spans="1:7" s="172" customFormat="1" ht="15" customHeight="1" x14ac:dyDescent="0.25">
      <c r="A10656" s="855"/>
      <c r="B10656" s="855"/>
      <c r="C10656" s="855"/>
      <c r="D10656" s="855"/>
      <c r="E10656" s="855"/>
      <c r="F10656" s="855"/>
      <c r="G10656" s="202"/>
    </row>
    <row r="10657" spans="1:7" s="172" customFormat="1" ht="15" customHeight="1" x14ac:dyDescent="0.25">
      <c r="A10657" s="855"/>
      <c r="B10657" s="855"/>
      <c r="C10657" s="855"/>
      <c r="D10657" s="855"/>
      <c r="E10657" s="855"/>
      <c r="F10657" s="855"/>
      <c r="G10657" s="202"/>
    </row>
    <row r="10658" spans="1:7" s="172" customFormat="1" ht="15" customHeight="1" x14ac:dyDescent="0.25">
      <c r="A10658" s="855"/>
      <c r="B10658" s="855"/>
      <c r="C10658" s="855"/>
      <c r="D10658" s="855"/>
      <c r="E10658" s="855"/>
      <c r="F10658" s="855"/>
      <c r="G10658" s="202"/>
    </row>
    <row r="10659" spans="1:7" s="172" customFormat="1" ht="15" customHeight="1" x14ac:dyDescent="0.25">
      <c r="A10659" s="855"/>
      <c r="B10659" s="855"/>
      <c r="C10659" s="855"/>
      <c r="D10659" s="855"/>
      <c r="E10659" s="855"/>
      <c r="F10659" s="855"/>
      <c r="G10659" s="202"/>
    </row>
    <row r="10660" spans="1:7" s="172" customFormat="1" ht="15" customHeight="1" x14ac:dyDescent="0.25">
      <c r="A10660" s="855"/>
      <c r="B10660" s="855"/>
      <c r="C10660" s="855"/>
      <c r="D10660" s="855"/>
      <c r="E10660" s="855"/>
      <c r="F10660" s="855"/>
      <c r="G10660" s="202"/>
    </row>
    <row r="10661" spans="1:7" s="172" customFormat="1" ht="15" customHeight="1" x14ac:dyDescent="0.25">
      <c r="A10661" s="855"/>
      <c r="B10661" s="855"/>
      <c r="C10661" s="855"/>
      <c r="D10661" s="855"/>
      <c r="E10661" s="855"/>
      <c r="F10661" s="855"/>
      <c r="G10661" s="202"/>
    </row>
    <row r="10662" spans="1:7" s="172" customFormat="1" ht="15" customHeight="1" x14ac:dyDescent="0.25">
      <c r="A10662" s="855"/>
      <c r="B10662" s="855"/>
      <c r="C10662" s="855"/>
      <c r="D10662" s="855"/>
      <c r="E10662" s="855"/>
      <c r="F10662" s="855"/>
      <c r="G10662" s="202"/>
    </row>
    <row r="10663" spans="1:7" s="172" customFormat="1" ht="15" customHeight="1" x14ac:dyDescent="0.25">
      <c r="A10663" s="855"/>
      <c r="B10663" s="855"/>
      <c r="C10663" s="855"/>
      <c r="D10663" s="855"/>
      <c r="E10663" s="855"/>
      <c r="F10663" s="855"/>
      <c r="G10663" s="202"/>
    </row>
    <row r="10664" spans="1:7" s="172" customFormat="1" ht="15" customHeight="1" x14ac:dyDescent="0.25">
      <c r="A10664" s="855"/>
      <c r="B10664" s="855"/>
      <c r="C10664" s="855"/>
      <c r="D10664" s="855"/>
      <c r="E10664" s="855"/>
      <c r="F10664" s="855"/>
      <c r="G10664" s="202"/>
    </row>
    <row r="10665" spans="1:7" s="172" customFormat="1" ht="15" customHeight="1" x14ac:dyDescent="0.25">
      <c r="A10665" s="855"/>
      <c r="B10665" s="855"/>
      <c r="C10665" s="855"/>
      <c r="D10665" s="855"/>
      <c r="E10665" s="855"/>
      <c r="F10665" s="855"/>
      <c r="G10665" s="202"/>
    </row>
    <row r="10666" spans="1:7" s="172" customFormat="1" ht="15" customHeight="1" x14ac:dyDescent="0.25">
      <c r="A10666" s="855"/>
      <c r="B10666" s="855"/>
      <c r="C10666" s="855"/>
      <c r="D10666" s="855"/>
      <c r="E10666" s="855"/>
      <c r="F10666" s="855"/>
      <c r="G10666" s="202"/>
    </row>
    <row r="10667" spans="1:7" s="172" customFormat="1" ht="15" customHeight="1" x14ac:dyDescent="0.25">
      <c r="A10667" s="855"/>
      <c r="B10667" s="855"/>
      <c r="C10667" s="855"/>
      <c r="D10667" s="855"/>
      <c r="E10667" s="855"/>
      <c r="F10667" s="855"/>
      <c r="G10667" s="202"/>
    </row>
    <row r="10668" spans="1:7" s="172" customFormat="1" ht="15" customHeight="1" x14ac:dyDescent="0.25">
      <c r="A10668" s="855"/>
      <c r="B10668" s="855"/>
      <c r="C10668" s="855"/>
      <c r="D10668" s="855"/>
      <c r="E10668" s="855"/>
      <c r="F10668" s="855"/>
      <c r="G10668" s="202"/>
    </row>
    <row r="10669" spans="1:7" s="172" customFormat="1" ht="15" customHeight="1" x14ac:dyDescent="0.25">
      <c r="A10669" s="855"/>
      <c r="B10669" s="855"/>
      <c r="C10669" s="855"/>
      <c r="D10669" s="855"/>
      <c r="E10669" s="855"/>
      <c r="F10669" s="855"/>
      <c r="G10669" s="202"/>
    </row>
    <row r="10670" spans="1:7" s="172" customFormat="1" ht="15" customHeight="1" x14ac:dyDescent="0.25">
      <c r="A10670" s="855"/>
      <c r="B10670" s="855"/>
      <c r="C10670" s="855"/>
      <c r="D10670" s="855"/>
      <c r="E10670" s="855"/>
      <c r="F10670" s="855"/>
      <c r="G10670" s="202"/>
    </row>
    <row r="10671" spans="1:7" s="172" customFormat="1" ht="15" customHeight="1" x14ac:dyDescent="0.25">
      <c r="A10671" s="855"/>
      <c r="B10671" s="855"/>
      <c r="C10671" s="855"/>
      <c r="D10671" s="855"/>
      <c r="E10671" s="855"/>
      <c r="F10671" s="855"/>
      <c r="G10671" s="202"/>
    </row>
    <row r="10672" spans="1:7" s="172" customFormat="1" ht="15" customHeight="1" x14ac:dyDescent="0.25">
      <c r="A10672" s="855"/>
      <c r="B10672" s="855"/>
      <c r="C10672" s="855"/>
      <c r="D10672" s="855"/>
      <c r="E10672" s="855"/>
      <c r="F10672" s="855"/>
      <c r="G10672" s="202"/>
    </row>
    <row r="10673" spans="1:7" s="172" customFormat="1" ht="15" customHeight="1" x14ac:dyDescent="0.25">
      <c r="A10673" s="855"/>
      <c r="B10673" s="855"/>
      <c r="C10673" s="855"/>
      <c r="D10673" s="855"/>
      <c r="E10673" s="855"/>
      <c r="F10673" s="855"/>
      <c r="G10673" s="202"/>
    </row>
    <row r="10674" spans="1:7" s="172" customFormat="1" ht="15" customHeight="1" x14ac:dyDescent="0.25">
      <c r="A10674" s="855"/>
      <c r="B10674" s="855"/>
      <c r="C10674" s="855"/>
      <c r="D10674" s="855"/>
      <c r="E10674" s="855"/>
      <c r="F10674" s="855"/>
      <c r="G10674" s="202"/>
    </row>
    <row r="10675" spans="1:7" s="172" customFormat="1" ht="15" customHeight="1" x14ac:dyDescent="0.25">
      <c r="A10675" s="855"/>
      <c r="B10675" s="855"/>
      <c r="C10675" s="855"/>
      <c r="D10675" s="855"/>
      <c r="E10675" s="855"/>
      <c r="F10675" s="855"/>
      <c r="G10675" s="202"/>
    </row>
    <row r="10676" spans="1:7" s="172" customFormat="1" ht="15" customHeight="1" x14ac:dyDescent="0.25">
      <c r="A10676" s="855"/>
      <c r="B10676" s="855"/>
      <c r="C10676" s="855"/>
      <c r="D10676" s="855"/>
      <c r="E10676" s="855"/>
      <c r="F10676" s="855"/>
      <c r="G10676" s="202"/>
    </row>
    <row r="10677" spans="1:7" s="172" customFormat="1" ht="15" customHeight="1" x14ac:dyDescent="0.25">
      <c r="A10677" s="855"/>
      <c r="B10677" s="855"/>
      <c r="C10677" s="855"/>
      <c r="D10677" s="855"/>
      <c r="E10677" s="855"/>
      <c r="F10677" s="855"/>
      <c r="G10677" s="202"/>
    </row>
    <row r="10678" spans="1:7" s="172" customFormat="1" ht="15" customHeight="1" x14ac:dyDescent="0.25">
      <c r="A10678" s="855"/>
      <c r="B10678" s="855"/>
      <c r="C10678" s="855"/>
      <c r="D10678" s="855"/>
      <c r="E10678" s="855"/>
      <c r="F10678" s="855"/>
      <c r="G10678" s="202"/>
    </row>
    <row r="10679" spans="1:7" s="172" customFormat="1" ht="15" customHeight="1" x14ac:dyDescent="0.25">
      <c r="A10679" s="855"/>
      <c r="B10679" s="855"/>
      <c r="C10679" s="855"/>
      <c r="D10679" s="855"/>
      <c r="E10679" s="855"/>
      <c r="F10679" s="855"/>
      <c r="G10679" s="202"/>
    </row>
    <row r="10680" spans="1:7" s="172" customFormat="1" ht="15" customHeight="1" x14ac:dyDescent="0.25">
      <c r="A10680" s="855"/>
      <c r="B10680" s="855"/>
      <c r="C10680" s="855"/>
      <c r="D10680" s="855"/>
      <c r="E10680" s="855"/>
      <c r="F10680" s="855"/>
      <c r="G10680" s="202"/>
    </row>
    <row r="10681" spans="1:7" s="172" customFormat="1" ht="15" customHeight="1" x14ac:dyDescent="0.25">
      <c r="A10681" s="855"/>
      <c r="B10681" s="855"/>
      <c r="C10681" s="855"/>
      <c r="D10681" s="855"/>
      <c r="E10681" s="855"/>
      <c r="F10681" s="855"/>
      <c r="G10681" s="202"/>
    </row>
    <row r="10682" spans="1:7" s="172" customFormat="1" ht="15" customHeight="1" x14ac:dyDescent="0.25">
      <c r="A10682" s="855"/>
      <c r="B10682" s="855"/>
      <c r="C10682" s="855"/>
      <c r="D10682" s="855"/>
      <c r="E10682" s="855"/>
      <c r="F10682" s="855"/>
      <c r="G10682" s="202"/>
    </row>
    <row r="10683" spans="1:7" s="172" customFormat="1" ht="15" customHeight="1" x14ac:dyDescent="0.25">
      <c r="A10683" s="855"/>
      <c r="B10683" s="855"/>
      <c r="C10683" s="855"/>
      <c r="D10683" s="855"/>
      <c r="E10683" s="855"/>
      <c r="F10683" s="855"/>
      <c r="G10683" s="202"/>
    </row>
    <row r="10684" spans="1:7" s="172" customFormat="1" ht="15" customHeight="1" x14ac:dyDescent="0.25">
      <c r="A10684" s="855"/>
      <c r="B10684" s="855"/>
      <c r="C10684" s="855"/>
      <c r="D10684" s="855"/>
      <c r="E10684" s="855"/>
      <c r="F10684" s="855"/>
      <c r="G10684" s="202"/>
    </row>
    <row r="10685" spans="1:7" s="172" customFormat="1" ht="15" customHeight="1" x14ac:dyDescent="0.25">
      <c r="A10685" s="855"/>
      <c r="B10685" s="855"/>
      <c r="C10685" s="855"/>
      <c r="D10685" s="855"/>
      <c r="E10685" s="855"/>
      <c r="F10685" s="855"/>
      <c r="G10685" s="202"/>
    </row>
    <row r="10686" spans="1:7" s="172" customFormat="1" ht="15" customHeight="1" x14ac:dyDescent="0.25">
      <c r="A10686" s="855"/>
      <c r="B10686" s="855"/>
      <c r="C10686" s="855"/>
      <c r="D10686" s="855"/>
      <c r="E10686" s="855"/>
      <c r="F10686" s="855"/>
      <c r="G10686" s="202"/>
    </row>
    <row r="10687" spans="1:7" s="172" customFormat="1" ht="15" customHeight="1" x14ac:dyDescent="0.25">
      <c r="A10687" s="855"/>
      <c r="B10687" s="855"/>
      <c r="C10687" s="855"/>
      <c r="D10687" s="855"/>
      <c r="E10687" s="855"/>
      <c r="F10687" s="855"/>
      <c r="G10687" s="202"/>
    </row>
    <row r="10688" spans="1:7" s="172" customFormat="1" ht="15" customHeight="1" x14ac:dyDescent="0.25">
      <c r="A10688" s="855"/>
      <c r="B10688" s="855"/>
      <c r="C10688" s="855"/>
      <c r="D10688" s="855"/>
      <c r="E10688" s="855"/>
      <c r="F10688" s="855"/>
      <c r="G10688" s="202"/>
    </row>
    <row r="10689" spans="1:7" s="172" customFormat="1" ht="15" customHeight="1" x14ac:dyDescent="0.25">
      <c r="A10689" s="855"/>
      <c r="B10689" s="855"/>
      <c r="C10689" s="855"/>
      <c r="D10689" s="855"/>
      <c r="E10689" s="855"/>
      <c r="F10689" s="855"/>
      <c r="G10689" s="202"/>
    </row>
    <row r="10690" spans="1:7" s="172" customFormat="1" ht="15" customHeight="1" x14ac:dyDescent="0.25">
      <c r="A10690" s="855"/>
      <c r="B10690" s="855"/>
      <c r="C10690" s="855"/>
      <c r="D10690" s="855"/>
      <c r="E10690" s="855"/>
      <c r="F10690" s="855"/>
      <c r="G10690" s="202"/>
    </row>
    <row r="10691" spans="1:7" s="172" customFormat="1" ht="15" customHeight="1" x14ac:dyDescent="0.25">
      <c r="A10691" s="855"/>
      <c r="B10691" s="855"/>
      <c r="C10691" s="855"/>
      <c r="D10691" s="855"/>
      <c r="E10691" s="855"/>
      <c r="F10691" s="855"/>
      <c r="G10691" s="202"/>
    </row>
    <row r="10692" spans="1:7" s="172" customFormat="1" ht="15" customHeight="1" x14ac:dyDescent="0.25">
      <c r="A10692" s="855"/>
      <c r="B10692" s="855"/>
      <c r="C10692" s="855"/>
      <c r="D10692" s="855"/>
      <c r="E10692" s="855"/>
      <c r="F10692" s="855"/>
      <c r="G10692" s="202"/>
    </row>
    <row r="10693" spans="1:7" s="172" customFormat="1" ht="15" customHeight="1" x14ac:dyDescent="0.25">
      <c r="A10693" s="855"/>
      <c r="B10693" s="855"/>
      <c r="C10693" s="855"/>
      <c r="D10693" s="855"/>
      <c r="E10693" s="855"/>
      <c r="F10693" s="855"/>
      <c r="G10693" s="202"/>
    </row>
    <row r="10694" spans="1:7" s="172" customFormat="1" ht="15" customHeight="1" x14ac:dyDescent="0.25">
      <c r="A10694" s="855"/>
      <c r="B10694" s="855"/>
      <c r="C10694" s="855"/>
      <c r="D10694" s="855"/>
      <c r="E10694" s="855"/>
      <c r="F10694" s="855"/>
      <c r="G10694" s="202"/>
    </row>
    <row r="10695" spans="1:7" s="172" customFormat="1" ht="15" customHeight="1" x14ac:dyDescent="0.25">
      <c r="A10695" s="855"/>
      <c r="B10695" s="855"/>
      <c r="C10695" s="855"/>
      <c r="D10695" s="855"/>
      <c r="E10695" s="855"/>
      <c r="F10695" s="855"/>
      <c r="G10695" s="202"/>
    </row>
    <row r="10696" spans="1:7" s="172" customFormat="1" ht="15" customHeight="1" x14ac:dyDescent="0.25">
      <c r="A10696" s="855"/>
      <c r="B10696" s="855"/>
      <c r="C10696" s="855"/>
      <c r="D10696" s="855"/>
      <c r="E10696" s="855"/>
      <c r="F10696" s="855"/>
      <c r="G10696" s="202"/>
    </row>
    <row r="10697" spans="1:7" s="172" customFormat="1" ht="15" customHeight="1" x14ac:dyDescent="0.25">
      <c r="A10697" s="855"/>
      <c r="B10697" s="855"/>
      <c r="C10697" s="855"/>
      <c r="D10697" s="855"/>
      <c r="E10697" s="855"/>
      <c r="F10697" s="855"/>
      <c r="G10697" s="202"/>
    </row>
    <row r="10698" spans="1:7" s="172" customFormat="1" ht="15" customHeight="1" x14ac:dyDescent="0.25">
      <c r="A10698" s="855"/>
      <c r="B10698" s="855"/>
      <c r="C10698" s="855"/>
      <c r="D10698" s="855"/>
      <c r="E10698" s="855"/>
      <c r="F10698" s="855"/>
      <c r="G10698" s="202"/>
    </row>
    <row r="10699" spans="1:7" s="172" customFormat="1" ht="15" customHeight="1" x14ac:dyDescent="0.25">
      <c r="A10699" s="855"/>
      <c r="B10699" s="855"/>
      <c r="C10699" s="855"/>
      <c r="D10699" s="855"/>
      <c r="E10699" s="855"/>
      <c r="F10699" s="855"/>
      <c r="G10699" s="202"/>
    </row>
    <row r="10700" spans="1:7" s="172" customFormat="1" ht="15" customHeight="1" x14ac:dyDescent="0.25">
      <c r="A10700" s="855"/>
      <c r="B10700" s="855"/>
      <c r="C10700" s="855"/>
      <c r="D10700" s="855"/>
      <c r="E10700" s="855"/>
      <c r="F10700" s="855"/>
      <c r="G10700" s="202"/>
    </row>
    <row r="10701" spans="1:7" s="172" customFormat="1" ht="15" customHeight="1" x14ac:dyDescent="0.25">
      <c r="A10701" s="855"/>
      <c r="B10701" s="855"/>
      <c r="C10701" s="855"/>
      <c r="D10701" s="855"/>
      <c r="E10701" s="855"/>
      <c r="F10701" s="855"/>
      <c r="G10701" s="202"/>
    </row>
    <row r="10702" spans="1:7" s="172" customFormat="1" ht="15" customHeight="1" x14ac:dyDescent="0.25">
      <c r="A10702" s="855"/>
      <c r="B10702" s="855"/>
      <c r="C10702" s="855"/>
      <c r="D10702" s="855"/>
      <c r="E10702" s="855"/>
      <c r="F10702" s="855"/>
      <c r="G10702" s="202"/>
    </row>
    <row r="10703" spans="1:7" s="172" customFormat="1" ht="15" customHeight="1" x14ac:dyDescent="0.25">
      <c r="A10703" s="855"/>
      <c r="B10703" s="855"/>
      <c r="C10703" s="855"/>
      <c r="D10703" s="855"/>
      <c r="E10703" s="855"/>
      <c r="F10703" s="855"/>
      <c r="G10703" s="202"/>
    </row>
    <row r="10704" spans="1:7" s="172" customFormat="1" ht="15" customHeight="1" x14ac:dyDescent="0.25">
      <c r="A10704" s="855"/>
      <c r="B10704" s="855"/>
      <c r="C10704" s="855"/>
      <c r="D10704" s="855"/>
      <c r="E10704" s="855"/>
      <c r="F10704" s="855"/>
      <c r="G10704" s="202"/>
    </row>
    <row r="10705" spans="1:7" s="172" customFormat="1" ht="15" customHeight="1" x14ac:dyDescent="0.25">
      <c r="A10705" s="855"/>
      <c r="B10705" s="855"/>
      <c r="C10705" s="855"/>
      <c r="D10705" s="855"/>
      <c r="E10705" s="855"/>
      <c r="F10705" s="855"/>
      <c r="G10705" s="202"/>
    </row>
    <row r="10706" spans="1:7" s="172" customFormat="1" ht="15" customHeight="1" x14ac:dyDescent="0.25">
      <c r="A10706" s="855"/>
      <c r="B10706" s="855"/>
      <c r="C10706" s="855"/>
      <c r="D10706" s="855"/>
      <c r="E10706" s="855"/>
      <c r="F10706" s="855"/>
      <c r="G10706" s="202"/>
    </row>
    <row r="10707" spans="1:7" s="172" customFormat="1" ht="15" customHeight="1" x14ac:dyDescent="0.25">
      <c r="A10707" s="855"/>
      <c r="B10707" s="855"/>
      <c r="C10707" s="855"/>
      <c r="D10707" s="855"/>
      <c r="E10707" s="855"/>
      <c r="F10707" s="855"/>
      <c r="G10707" s="202"/>
    </row>
    <row r="10708" spans="1:7" s="172" customFormat="1" ht="15" customHeight="1" x14ac:dyDescent="0.25">
      <c r="A10708" s="855"/>
      <c r="B10708" s="855"/>
      <c r="C10708" s="855"/>
      <c r="D10708" s="855"/>
      <c r="E10708" s="855"/>
      <c r="F10708" s="855"/>
      <c r="G10708" s="202"/>
    </row>
    <row r="10709" spans="1:7" s="172" customFormat="1" ht="15" customHeight="1" x14ac:dyDescent="0.25">
      <c r="A10709" s="855"/>
      <c r="B10709" s="855"/>
      <c r="C10709" s="855"/>
      <c r="D10709" s="855"/>
      <c r="E10709" s="855"/>
      <c r="F10709" s="855"/>
      <c r="G10709" s="202"/>
    </row>
    <row r="10710" spans="1:7" s="172" customFormat="1" ht="15" customHeight="1" x14ac:dyDescent="0.25">
      <c r="A10710" s="855"/>
      <c r="B10710" s="855"/>
      <c r="C10710" s="855"/>
      <c r="D10710" s="855"/>
      <c r="E10710" s="855"/>
      <c r="F10710" s="855"/>
      <c r="G10710" s="202"/>
    </row>
    <row r="10711" spans="1:7" s="172" customFormat="1" ht="15" customHeight="1" x14ac:dyDescent="0.25">
      <c r="A10711" s="855"/>
      <c r="B10711" s="855"/>
      <c r="C10711" s="855"/>
      <c r="D10711" s="855"/>
      <c r="E10711" s="855"/>
      <c r="F10711" s="855"/>
      <c r="G10711" s="202"/>
    </row>
    <row r="10712" spans="1:7" s="172" customFormat="1" ht="15" customHeight="1" x14ac:dyDescent="0.25">
      <c r="A10712" s="855"/>
      <c r="B10712" s="855"/>
      <c r="C10712" s="855"/>
      <c r="D10712" s="855"/>
      <c r="E10712" s="855"/>
      <c r="F10712" s="855"/>
      <c r="G10712" s="202"/>
    </row>
    <row r="10713" spans="1:7" s="172" customFormat="1" ht="15" customHeight="1" x14ac:dyDescent="0.25">
      <c r="A10713" s="855"/>
      <c r="B10713" s="855"/>
      <c r="C10713" s="855"/>
      <c r="D10713" s="855"/>
      <c r="E10713" s="855"/>
      <c r="F10713" s="855"/>
      <c r="G10713" s="202"/>
    </row>
    <row r="10714" spans="1:7" s="172" customFormat="1" ht="15" customHeight="1" x14ac:dyDescent="0.25">
      <c r="A10714" s="855"/>
      <c r="B10714" s="855"/>
      <c r="C10714" s="855"/>
      <c r="D10714" s="855"/>
      <c r="E10714" s="855"/>
      <c r="F10714" s="855"/>
      <c r="G10714" s="202"/>
    </row>
    <row r="10715" spans="1:7" s="172" customFormat="1" ht="15" customHeight="1" x14ac:dyDescent="0.25">
      <c r="A10715" s="855"/>
      <c r="B10715" s="855"/>
      <c r="C10715" s="855"/>
      <c r="D10715" s="855"/>
      <c r="E10715" s="855"/>
      <c r="F10715" s="855"/>
      <c r="G10715" s="202"/>
    </row>
    <row r="10716" spans="1:7" s="172" customFormat="1" ht="15" customHeight="1" x14ac:dyDescent="0.25">
      <c r="A10716" s="855"/>
      <c r="B10716" s="855"/>
      <c r="C10716" s="855"/>
      <c r="D10716" s="855"/>
      <c r="E10716" s="855"/>
      <c r="F10716" s="855"/>
      <c r="G10716" s="202"/>
    </row>
    <row r="10717" spans="1:7" s="172" customFormat="1" ht="15" customHeight="1" x14ac:dyDescent="0.25">
      <c r="A10717" s="855"/>
      <c r="B10717" s="855"/>
      <c r="C10717" s="855"/>
      <c r="D10717" s="855"/>
      <c r="E10717" s="855"/>
      <c r="F10717" s="855"/>
      <c r="G10717" s="202"/>
    </row>
    <row r="10718" spans="1:7" s="172" customFormat="1" ht="15" customHeight="1" x14ac:dyDescent="0.25">
      <c r="A10718" s="855"/>
      <c r="B10718" s="855"/>
      <c r="C10718" s="855"/>
      <c r="D10718" s="855"/>
      <c r="E10718" s="855"/>
      <c r="F10718" s="855"/>
      <c r="G10718" s="202"/>
    </row>
    <row r="10719" spans="1:7" s="172" customFormat="1" ht="15" customHeight="1" x14ac:dyDescent="0.25">
      <c r="A10719" s="855"/>
      <c r="B10719" s="855"/>
      <c r="C10719" s="855"/>
      <c r="D10719" s="855"/>
      <c r="E10719" s="855"/>
      <c r="F10719" s="855"/>
      <c r="G10719" s="202"/>
    </row>
    <row r="10720" spans="1:7" s="172" customFormat="1" ht="15" customHeight="1" x14ac:dyDescent="0.25">
      <c r="A10720" s="855"/>
      <c r="B10720" s="855"/>
      <c r="C10720" s="855"/>
      <c r="D10720" s="855"/>
      <c r="E10720" s="855"/>
      <c r="F10720" s="855"/>
      <c r="G10720" s="202"/>
    </row>
    <row r="10721" spans="1:7" s="172" customFormat="1" ht="15" customHeight="1" x14ac:dyDescent="0.25">
      <c r="A10721" s="855"/>
      <c r="B10721" s="855"/>
      <c r="C10721" s="855"/>
      <c r="D10721" s="855"/>
      <c r="E10721" s="855"/>
      <c r="F10721" s="855"/>
      <c r="G10721" s="202"/>
    </row>
    <row r="10722" spans="1:7" s="172" customFormat="1" ht="15" customHeight="1" x14ac:dyDescent="0.25">
      <c r="A10722" s="855"/>
      <c r="B10722" s="855"/>
      <c r="C10722" s="855"/>
      <c r="D10722" s="855"/>
      <c r="E10722" s="855"/>
      <c r="F10722" s="855"/>
      <c r="G10722" s="202"/>
    </row>
    <row r="10723" spans="1:7" s="172" customFormat="1" ht="15" customHeight="1" x14ac:dyDescent="0.25">
      <c r="A10723" s="855"/>
      <c r="B10723" s="855"/>
      <c r="C10723" s="855"/>
      <c r="D10723" s="855"/>
      <c r="E10723" s="855"/>
      <c r="F10723" s="855"/>
      <c r="G10723" s="202"/>
    </row>
    <row r="10724" spans="1:7" s="172" customFormat="1" ht="15" customHeight="1" x14ac:dyDescent="0.25">
      <c r="A10724" s="855"/>
      <c r="B10724" s="855"/>
      <c r="C10724" s="855"/>
      <c r="D10724" s="855"/>
      <c r="E10724" s="855"/>
      <c r="F10724" s="855"/>
      <c r="G10724" s="202"/>
    </row>
    <row r="10725" spans="1:7" s="172" customFormat="1" ht="15" customHeight="1" x14ac:dyDescent="0.25">
      <c r="A10725" s="855"/>
      <c r="B10725" s="855"/>
      <c r="C10725" s="855"/>
      <c r="D10725" s="855"/>
      <c r="E10725" s="855"/>
      <c r="F10725" s="855"/>
      <c r="G10725" s="202"/>
    </row>
    <row r="10726" spans="1:7" s="172" customFormat="1" ht="15" customHeight="1" x14ac:dyDescent="0.25">
      <c r="A10726" s="855"/>
      <c r="B10726" s="855"/>
      <c r="C10726" s="855"/>
      <c r="D10726" s="855"/>
      <c r="E10726" s="855"/>
      <c r="F10726" s="855"/>
      <c r="G10726" s="202"/>
    </row>
    <row r="10727" spans="1:7" s="172" customFormat="1" ht="15" customHeight="1" x14ac:dyDescent="0.25">
      <c r="A10727" s="855"/>
      <c r="B10727" s="855"/>
      <c r="C10727" s="855"/>
      <c r="D10727" s="855"/>
      <c r="E10727" s="855"/>
      <c r="F10727" s="855"/>
      <c r="G10727" s="202"/>
    </row>
    <row r="10728" spans="1:7" s="172" customFormat="1" ht="15" customHeight="1" x14ac:dyDescent="0.25">
      <c r="A10728" s="855"/>
      <c r="B10728" s="855"/>
      <c r="C10728" s="855"/>
      <c r="D10728" s="855"/>
      <c r="E10728" s="855"/>
      <c r="F10728" s="855"/>
      <c r="G10728" s="202"/>
    </row>
    <row r="10729" spans="1:7" s="172" customFormat="1" ht="15" customHeight="1" x14ac:dyDescent="0.25">
      <c r="A10729" s="855"/>
      <c r="B10729" s="855"/>
      <c r="C10729" s="855"/>
      <c r="D10729" s="855"/>
      <c r="E10729" s="855"/>
      <c r="F10729" s="855"/>
      <c r="G10729" s="202"/>
    </row>
    <row r="10730" spans="1:7" s="172" customFormat="1" ht="15" customHeight="1" x14ac:dyDescent="0.25">
      <c r="A10730" s="855"/>
      <c r="B10730" s="855"/>
      <c r="C10730" s="855"/>
      <c r="D10730" s="855"/>
      <c r="E10730" s="855"/>
      <c r="F10730" s="855"/>
      <c r="G10730" s="202"/>
    </row>
    <row r="10731" spans="1:7" s="172" customFormat="1" ht="15" customHeight="1" x14ac:dyDescent="0.25">
      <c r="A10731" s="855"/>
      <c r="B10731" s="855"/>
      <c r="C10731" s="855"/>
      <c r="D10731" s="855"/>
      <c r="E10731" s="855"/>
      <c r="F10731" s="855"/>
      <c r="G10731" s="202"/>
    </row>
    <row r="10732" spans="1:7" s="172" customFormat="1" ht="15" customHeight="1" x14ac:dyDescent="0.25">
      <c r="A10732" s="855"/>
      <c r="B10732" s="855"/>
      <c r="C10732" s="855"/>
      <c r="D10732" s="855"/>
      <c r="E10732" s="855"/>
      <c r="F10732" s="855"/>
      <c r="G10732" s="202"/>
    </row>
    <row r="10733" spans="1:7" s="172" customFormat="1" ht="15" customHeight="1" x14ac:dyDescent="0.25">
      <c r="A10733" s="855"/>
      <c r="B10733" s="855"/>
      <c r="C10733" s="855"/>
      <c r="D10733" s="855"/>
      <c r="E10733" s="855"/>
      <c r="F10733" s="855"/>
      <c r="G10733" s="202"/>
    </row>
    <row r="10734" spans="1:7" s="172" customFormat="1" ht="15" customHeight="1" x14ac:dyDescent="0.25">
      <c r="A10734" s="855"/>
      <c r="B10734" s="855"/>
      <c r="C10734" s="855"/>
      <c r="D10734" s="855"/>
      <c r="E10734" s="855"/>
      <c r="F10734" s="855"/>
      <c r="G10734" s="202"/>
    </row>
    <row r="10735" spans="1:7" s="172" customFormat="1" ht="15" customHeight="1" x14ac:dyDescent="0.25">
      <c r="A10735" s="855"/>
      <c r="B10735" s="855"/>
      <c r="C10735" s="855"/>
      <c r="D10735" s="855"/>
      <c r="E10735" s="855"/>
      <c r="F10735" s="855"/>
      <c r="G10735" s="202"/>
    </row>
    <row r="10736" spans="1:7" s="172" customFormat="1" ht="15" customHeight="1" x14ac:dyDescent="0.25">
      <c r="A10736" s="855"/>
      <c r="B10736" s="855"/>
      <c r="C10736" s="855"/>
      <c r="D10736" s="855"/>
      <c r="E10736" s="855"/>
      <c r="F10736" s="855"/>
      <c r="G10736" s="202"/>
    </row>
    <row r="10737" spans="1:7" s="172" customFormat="1" ht="15" customHeight="1" x14ac:dyDescent="0.25">
      <c r="A10737" s="855"/>
      <c r="B10737" s="855"/>
      <c r="C10737" s="855"/>
      <c r="D10737" s="855"/>
      <c r="E10737" s="855"/>
      <c r="F10737" s="855"/>
      <c r="G10737" s="202"/>
    </row>
    <row r="10738" spans="1:7" s="172" customFormat="1" ht="15" customHeight="1" x14ac:dyDescent="0.25">
      <c r="A10738" s="855"/>
      <c r="B10738" s="855"/>
      <c r="C10738" s="855"/>
      <c r="D10738" s="855"/>
      <c r="E10738" s="855"/>
      <c r="F10738" s="855"/>
      <c r="G10738" s="202"/>
    </row>
    <row r="10739" spans="1:7" s="172" customFormat="1" ht="15" customHeight="1" x14ac:dyDescent="0.25">
      <c r="A10739" s="855"/>
      <c r="B10739" s="855"/>
      <c r="C10739" s="855"/>
      <c r="D10739" s="855"/>
      <c r="E10739" s="855"/>
      <c r="F10739" s="855"/>
      <c r="G10739" s="202"/>
    </row>
    <row r="10740" spans="1:7" s="172" customFormat="1" ht="15" customHeight="1" x14ac:dyDescent="0.25">
      <c r="A10740" s="855"/>
      <c r="B10740" s="855"/>
      <c r="C10740" s="855"/>
      <c r="D10740" s="855"/>
      <c r="E10740" s="855"/>
      <c r="F10740" s="855"/>
      <c r="G10740" s="202"/>
    </row>
    <row r="10741" spans="1:7" s="172" customFormat="1" ht="15" customHeight="1" x14ac:dyDescent="0.25">
      <c r="A10741" s="855"/>
      <c r="B10741" s="855"/>
      <c r="C10741" s="855"/>
      <c r="D10741" s="855"/>
      <c r="E10741" s="855"/>
      <c r="F10741" s="855"/>
      <c r="G10741" s="202"/>
    </row>
    <row r="10742" spans="1:7" s="172" customFormat="1" ht="15" customHeight="1" x14ac:dyDescent="0.25">
      <c r="A10742" s="855"/>
      <c r="B10742" s="855"/>
      <c r="C10742" s="855"/>
      <c r="D10742" s="855"/>
      <c r="E10742" s="855"/>
      <c r="F10742" s="855"/>
      <c r="G10742" s="202"/>
    </row>
    <row r="10743" spans="1:7" s="172" customFormat="1" ht="15" customHeight="1" x14ac:dyDescent="0.25">
      <c r="A10743" s="855"/>
      <c r="B10743" s="855"/>
      <c r="C10743" s="855"/>
      <c r="D10743" s="855"/>
      <c r="E10743" s="855"/>
      <c r="F10743" s="855"/>
      <c r="G10743" s="202"/>
    </row>
    <row r="10744" spans="1:7" s="172" customFormat="1" ht="15" customHeight="1" x14ac:dyDescent="0.25">
      <c r="A10744" s="856"/>
      <c r="B10744" s="856"/>
      <c r="C10744" s="856"/>
      <c r="D10744" s="856"/>
      <c r="E10744" s="856"/>
      <c r="F10744" s="856"/>
      <c r="G10744" s="202"/>
    </row>
    <row r="10745" spans="1:7" s="172" customFormat="1" ht="15" customHeight="1" x14ac:dyDescent="0.25">
      <c r="A10745" s="856"/>
      <c r="B10745" s="856"/>
      <c r="C10745" s="856"/>
      <c r="D10745" s="856"/>
      <c r="E10745" s="856"/>
      <c r="F10745" s="856"/>
      <c r="G10745" s="202"/>
    </row>
    <row r="10746" spans="1:7" s="172" customFormat="1" ht="15" customHeight="1" x14ac:dyDescent="0.25">
      <c r="A10746" s="856"/>
      <c r="B10746" s="856"/>
      <c r="C10746" s="856"/>
      <c r="D10746" s="856"/>
      <c r="E10746" s="856"/>
      <c r="F10746" s="856"/>
      <c r="G10746" s="202"/>
    </row>
    <row r="10747" spans="1:7" s="172" customFormat="1" ht="15" customHeight="1" x14ac:dyDescent="0.25">
      <c r="A10747" s="856"/>
      <c r="B10747" s="856"/>
      <c r="C10747" s="856"/>
      <c r="D10747" s="856"/>
      <c r="E10747" s="856"/>
      <c r="F10747" s="856"/>
      <c r="G10747" s="202"/>
    </row>
    <row r="10748" spans="1:7" s="172" customFormat="1" ht="15" customHeight="1" x14ac:dyDescent="0.25">
      <c r="A10748" s="856"/>
      <c r="B10748" s="856"/>
      <c r="C10748" s="856"/>
      <c r="D10748" s="856"/>
      <c r="E10748" s="856"/>
      <c r="F10748" s="856"/>
      <c r="G10748" s="202"/>
    </row>
    <row r="10749" spans="1:7" s="172" customFormat="1" ht="15" customHeight="1" x14ac:dyDescent="0.25">
      <c r="A10749" s="856"/>
      <c r="B10749" s="856"/>
      <c r="C10749" s="856"/>
      <c r="D10749" s="856"/>
      <c r="E10749" s="856"/>
      <c r="F10749" s="856"/>
      <c r="G10749" s="202"/>
    </row>
    <row r="10750" spans="1:7" s="172" customFormat="1" ht="15" customHeight="1" x14ac:dyDescent="0.25">
      <c r="A10750" s="856"/>
      <c r="B10750" s="856"/>
      <c r="C10750" s="856"/>
      <c r="D10750" s="856"/>
      <c r="E10750" s="856"/>
      <c r="F10750" s="856"/>
      <c r="G10750" s="202"/>
    </row>
    <row r="10751" spans="1:7" s="172" customFormat="1" ht="15" customHeight="1" x14ac:dyDescent="0.25">
      <c r="A10751" s="856"/>
      <c r="B10751" s="856"/>
      <c r="C10751" s="856"/>
      <c r="D10751" s="856"/>
      <c r="E10751" s="856"/>
      <c r="F10751" s="856"/>
      <c r="G10751" s="202"/>
    </row>
    <row r="10752" spans="1:7" s="172" customFormat="1" ht="15" customHeight="1" x14ac:dyDescent="0.25">
      <c r="A10752" s="856"/>
      <c r="B10752" s="856"/>
      <c r="C10752" s="856"/>
      <c r="D10752" s="856"/>
      <c r="E10752" s="856"/>
      <c r="F10752" s="856"/>
      <c r="G10752" s="202"/>
    </row>
    <row r="10753" spans="1:7" s="172" customFormat="1" ht="15" customHeight="1" x14ac:dyDescent="0.25">
      <c r="A10753" s="856"/>
      <c r="B10753" s="856"/>
      <c r="C10753" s="856"/>
      <c r="D10753" s="856"/>
      <c r="E10753" s="856"/>
      <c r="F10753" s="856"/>
      <c r="G10753" s="202"/>
    </row>
    <row r="10754" spans="1:7" s="172" customFormat="1" ht="15" customHeight="1" x14ac:dyDescent="0.25">
      <c r="A10754" s="856"/>
      <c r="B10754" s="856"/>
      <c r="C10754" s="856"/>
      <c r="D10754" s="856"/>
      <c r="E10754" s="856"/>
      <c r="F10754" s="856"/>
      <c r="G10754" s="202"/>
    </row>
    <row r="10755" spans="1:7" s="172" customFormat="1" ht="15" customHeight="1" x14ac:dyDescent="0.25">
      <c r="A10755" s="856"/>
      <c r="B10755" s="856"/>
      <c r="C10755" s="856"/>
      <c r="D10755" s="856"/>
      <c r="E10755" s="856"/>
      <c r="F10755" s="856"/>
      <c r="G10755" s="202"/>
    </row>
    <row r="10756" spans="1:7" s="172" customFormat="1" ht="15" customHeight="1" x14ac:dyDescent="0.25">
      <c r="A10756" s="856"/>
      <c r="B10756" s="856"/>
      <c r="C10756" s="856"/>
      <c r="D10756" s="856"/>
      <c r="E10756" s="856"/>
      <c r="F10756" s="856"/>
      <c r="G10756" s="202"/>
    </row>
    <row r="10757" spans="1:7" s="172" customFormat="1" ht="15" customHeight="1" x14ac:dyDescent="0.25">
      <c r="A10757" s="856"/>
      <c r="B10757" s="856"/>
      <c r="C10757" s="856"/>
      <c r="D10757" s="856"/>
      <c r="E10757" s="856"/>
      <c r="F10757" s="856"/>
      <c r="G10757" s="202"/>
    </row>
    <row r="10758" spans="1:7" s="172" customFormat="1" ht="15" customHeight="1" x14ac:dyDescent="0.25">
      <c r="A10758" s="856"/>
      <c r="B10758" s="856"/>
      <c r="C10758" s="856"/>
      <c r="D10758" s="856"/>
      <c r="E10758" s="856"/>
      <c r="F10758" s="856"/>
      <c r="G10758" s="202"/>
    </row>
    <row r="10759" spans="1:7" s="172" customFormat="1" ht="15" customHeight="1" x14ac:dyDescent="0.25">
      <c r="A10759" s="856"/>
      <c r="B10759" s="856"/>
      <c r="C10759" s="856"/>
      <c r="D10759" s="856"/>
      <c r="E10759" s="856"/>
      <c r="F10759" s="856"/>
      <c r="G10759" s="202"/>
    </row>
    <row r="10760" spans="1:7" s="172" customFormat="1" ht="15" customHeight="1" x14ac:dyDescent="0.25">
      <c r="A10760" s="856"/>
      <c r="B10760" s="856"/>
      <c r="C10760" s="856"/>
      <c r="D10760" s="856"/>
      <c r="E10760" s="856"/>
      <c r="F10760" s="856"/>
      <c r="G10760" s="202"/>
    </row>
    <row r="10761" spans="1:7" s="172" customFormat="1" ht="15" customHeight="1" x14ac:dyDescent="0.25">
      <c r="A10761" s="856"/>
      <c r="B10761" s="856"/>
      <c r="C10761" s="856"/>
      <c r="D10761" s="856"/>
      <c r="E10761" s="856"/>
      <c r="F10761" s="856"/>
      <c r="G10761" s="202"/>
    </row>
    <row r="10762" spans="1:7" s="172" customFormat="1" ht="15" customHeight="1" x14ac:dyDescent="0.25">
      <c r="A10762" s="856"/>
      <c r="B10762" s="856"/>
      <c r="C10762" s="856"/>
      <c r="D10762" s="856"/>
      <c r="E10762" s="856"/>
      <c r="F10762" s="856"/>
      <c r="G10762" s="202"/>
    </row>
    <row r="10763" spans="1:7" s="172" customFormat="1" ht="15" customHeight="1" x14ac:dyDescent="0.25">
      <c r="A10763" s="856"/>
      <c r="B10763" s="856"/>
      <c r="C10763" s="856"/>
      <c r="D10763" s="856"/>
      <c r="E10763" s="856"/>
      <c r="F10763" s="856"/>
      <c r="G10763" s="202"/>
    </row>
    <row r="10764" spans="1:7" s="172" customFormat="1" ht="15" customHeight="1" x14ac:dyDescent="0.25">
      <c r="A10764" s="856"/>
      <c r="B10764" s="856"/>
      <c r="C10764" s="856"/>
      <c r="D10764" s="856"/>
      <c r="E10764" s="856"/>
      <c r="F10764" s="856"/>
      <c r="G10764" s="202"/>
    </row>
    <row r="10765" spans="1:7" s="172" customFormat="1" ht="15" customHeight="1" x14ac:dyDescent="0.25">
      <c r="A10765" s="856"/>
      <c r="B10765" s="856"/>
      <c r="C10765" s="856"/>
      <c r="D10765" s="856"/>
      <c r="E10765" s="856"/>
      <c r="F10765" s="856"/>
      <c r="G10765" s="202"/>
    </row>
    <row r="10766" spans="1:7" s="172" customFormat="1" ht="15" customHeight="1" x14ac:dyDescent="0.25">
      <c r="A10766" s="856"/>
      <c r="B10766" s="856"/>
      <c r="C10766" s="856"/>
      <c r="D10766" s="856"/>
      <c r="E10766" s="856"/>
      <c r="F10766" s="856"/>
      <c r="G10766" s="202"/>
    </row>
    <row r="10767" spans="1:7" s="172" customFormat="1" ht="15" customHeight="1" x14ac:dyDescent="0.25">
      <c r="A10767" s="856"/>
      <c r="B10767" s="856"/>
      <c r="C10767" s="856"/>
      <c r="D10767" s="856"/>
      <c r="E10767" s="856"/>
      <c r="F10767" s="856"/>
      <c r="G10767" s="202"/>
    </row>
    <row r="10768" spans="1:7" s="172" customFormat="1" ht="15" customHeight="1" x14ac:dyDescent="0.25">
      <c r="A10768" s="856"/>
      <c r="B10768" s="856"/>
      <c r="C10768" s="856"/>
      <c r="D10768" s="856"/>
      <c r="E10768" s="856"/>
      <c r="F10768" s="856"/>
      <c r="G10768" s="202"/>
    </row>
    <row r="10769" spans="1:7" s="172" customFormat="1" ht="15" customHeight="1" x14ac:dyDescent="0.25">
      <c r="A10769" s="856"/>
      <c r="B10769" s="856"/>
      <c r="C10769" s="856"/>
      <c r="D10769" s="856"/>
      <c r="E10769" s="856"/>
      <c r="F10769" s="856"/>
      <c r="G10769" s="202"/>
    </row>
    <row r="10770" spans="1:7" s="172" customFormat="1" ht="15" customHeight="1" x14ac:dyDescent="0.25">
      <c r="A10770" s="856"/>
      <c r="B10770" s="856"/>
      <c r="C10770" s="856"/>
      <c r="D10770" s="856"/>
      <c r="E10770" s="856"/>
      <c r="F10770" s="856"/>
      <c r="G10770" s="202"/>
    </row>
    <row r="10771" spans="1:7" s="172" customFormat="1" ht="15" customHeight="1" x14ac:dyDescent="0.25">
      <c r="A10771" s="856"/>
      <c r="B10771" s="856"/>
      <c r="C10771" s="856"/>
      <c r="D10771" s="856"/>
      <c r="E10771" s="856"/>
      <c r="F10771" s="856"/>
      <c r="G10771" s="202"/>
    </row>
    <row r="10772" spans="1:7" s="172" customFormat="1" ht="15" customHeight="1" x14ac:dyDescent="0.25">
      <c r="A10772" s="856"/>
      <c r="B10772" s="856"/>
      <c r="C10772" s="856"/>
      <c r="D10772" s="856"/>
      <c r="E10772" s="856"/>
      <c r="F10772" s="856"/>
      <c r="G10772" s="202"/>
    </row>
    <row r="10773" spans="1:7" s="172" customFormat="1" ht="15" customHeight="1" x14ac:dyDescent="0.25">
      <c r="A10773" s="856"/>
      <c r="B10773" s="856"/>
      <c r="C10773" s="856"/>
      <c r="D10773" s="856"/>
      <c r="E10773" s="856"/>
      <c r="F10773" s="856"/>
      <c r="G10773" s="202"/>
    </row>
    <row r="10774" spans="1:7" s="172" customFormat="1" ht="15" customHeight="1" x14ac:dyDescent="0.25">
      <c r="A10774" s="856"/>
      <c r="B10774" s="856"/>
      <c r="C10774" s="856"/>
      <c r="D10774" s="856"/>
      <c r="E10774" s="856"/>
      <c r="F10774" s="856"/>
      <c r="G10774" s="202"/>
    </row>
    <row r="10775" spans="1:7" s="172" customFormat="1" ht="15" customHeight="1" x14ac:dyDescent="0.25">
      <c r="A10775" s="856"/>
      <c r="B10775" s="856"/>
      <c r="C10775" s="856"/>
      <c r="D10775" s="856"/>
      <c r="E10775" s="856"/>
      <c r="F10775" s="856"/>
      <c r="G10775" s="202"/>
    </row>
    <row r="10776" spans="1:7" s="172" customFormat="1" ht="15" customHeight="1" x14ac:dyDescent="0.25">
      <c r="A10776" s="856"/>
      <c r="B10776" s="856"/>
      <c r="C10776" s="856"/>
      <c r="D10776" s="856"/>
      <c r="E10776" s="856"/>
      <c r="F10776" s="856"/>
      <c r="G10776" s="202"/>
    </row>
    <row r="10777" spans="1:7" s="172" customFormat="1" ht="15" customHeight="1" x14ac:dyDescent="0.25">
      <c r="A10777" s="856"/>
      <c r="B10777" s="856"/>
      <c r="C10777" s="856"/>
      <c r="D10777" s="856"/>
      <c r="E10777" s="856"/>
      <c r="F10777" s="856"/>
      <c r="G10777" s="202"/>
    </row>
    <row r="10778" spans="1:7" s="172" customFormat="1" ht="15" customHeight="1" x14ac:dyDescent="0.25">
      <c r="A10778" s="856"/>
      <c r="B10778" s="856"/>
      <c r="C10778" s="856"/>
      <c r="D10778" s="856"/>
      <c r="E10778" s="856"/>
      <c r="F10778" s="856"/>
      <c r="G10778" s="202"/>
    </row>
    <row r="10779" spans="1:7" s="172" customFormat="1" ht="15" customHeight="1" x14ac:dyDescent="0.25">
      <c r="A10779" s="856"/>
      <c r="B10779" s="856"/>
      <c r="C10779" s="856"/>
      <c r="D10779" s="856"/>
      <c r="E10779" s="856"/>
      <c r="F10779" s="856"/>
      <c r="G10779" s="202"/>
    </row>
    <row r="10780" spans="1:7" s="172" customFormat="1" ht="15" customHeight="1" x14ac:dyDescent="0.25">
      <c r="A10780" s="856"/>
      <c r="B10780" s="856"/>
      <c r="C10780" s="856"/>
      <c r="D10780" s="856"/>
      <c r="E10780" s="856"/>
      <c r="F10780" s="856"/>
      <c r="G10780" s="202"/>
    </row>
    <row r="10781" spans="1:7" s="172" customFormat="1" ht="15" customHeight="1" x14ac:dyDescent="0.25">
      <c r="A10781" s="856"/>
      <c r="B10781" s="856"/>
      <c r="C10781" s="856"/>
      <c r="D10781" s="856"/>
      <c r="E10781" s="856"/>
      <c r="F10781" s="856"/>
      <c r="G10781" s="202"/>
    </row>
    <row r="10782" spans="1:7" s="172" customFormat="1" ht="15" customHeight="1" x14ac:dyDescent="0.25">
      <c r="A10782" s="856"/>
      <c r="B10782" s="856"/>
      <c r="C10782" s="856"/>
      <c r="D10782" s="856"/>
      <c r="E10782" s="856"/>
      <c r="F10782" s="856"/>
      <c r="G10782" s="202"/>
    </row>
    <row r="10783" spans="1:7" s="172" customFormat="1" ht="15" customHeight="1" x14ac:dyDescent="0.25">
      <c r="A10783" s="856"/>
      <c r="B10783" s="856"/>
      <c r="C10783" s="856"/>
      <c r="D10783" s="856"/>
      <c r="E10783" s="856"/>
      <c r="F10783" s="856"/>
      <c r="G10783" s="202"/>
    </row>
    <row r="10784" spans="1:7" s="172" customFormat="1" ht="15" customHeight="1" x14ac:dyDescent="0.25">
      <c r="A10784" s="856"/>
      <c r="B10784" s="856"/>
      <c r="C10784" s="856"/>
      <c r="D10784" s="856"/>
      <c r="E10784" s="856"/>
      <c r="F10784" s="856"/>
      <c r="G10784" s="202"/>
    </row>
    <row r="10785" spans="1:7" s="172" customFormat="1" ht="15" customHeight="1" x14ac:dyDescent="0.25">
      <c r="A10785" s="856"/>
      <c r="B10785" s="856"/>
      <c r="C10785" s="856"/>
      <c r="D10785" s="856"/>
      <c r="E10785" s="856"/>
      <c r="F10785" s="856"/>
      <c r="G10785" s="202"/>
    </row>
    <row r="10786" spans="1:7" s="172" customFormat="1" ht="15" customHeight="1" x14ac:dyDescent="0.25">
      <c r="A10786" s="856"/>
      <c r="B10786" s="856"/>
      <c r="C10786" s="856"/>
      <c r="D10786" s="856"/>
      <c r="E10786" s="856"/>
      <c r="F10786" s="856"/>
      <c r="G10786" s="202"/>
    </row>
    <row r="10787" spans="1:7" s="172" customFormat="1" ht="15" customHeight="1" x14ac:dyDescent="0.25">
      <c r="A10787" s="856"/>
      <c r="B10787" s="856"/>
      <c r="C10787" s="856"/>
      <c r="D10787" s="856"/>
      <c r="E10787" s="856"/>
      <c r="F10787" s="856"/>
      <c r="G10787" s="202"/>
    </row>
    <row r="10788" spans="1:7" s="172" customFormat="1" ht="15" customHeight="1" x14ac:dyDescent="0.25">
      <c r="A10788" s="856"/>
      <c r="B10788" s="856"/>
      <c r="C10788" s="856"/>
      <c r="D10788" s="856"/>
      <c r="E10788" s="856"/>
      <c r="F10788" s="856"/>
      <c r="G10788" s="202"/>
    </row>
    <row r="10789" spans="1:7" s="172" customFormat="1" ht="15" customHeight="1" x14ac:dyDescent="0.25">
      <c r="A10789" s="856"/>
      <c r="B10789" s="856"/>
      <c r="C10789" s="856"/>
      <c r="D10789" s="856"/>
      <c r="E10789" s="856"/>
      <c r="F10789" s="856"/>
      <c r="G10789" s="202"/>
    </row>
    <row r="10790" spans="1:7" s="172" customFormat="1" ht="15" customHeight="1" x14ac:dyDescent="0.25">
      <c r="A10790" s="856"/>
      <c r="B10790" s="856"/>
      <c r="C10790" s="856"/>
      <c r="D10790" s="856"/>
      <c r="E10790" s="856"/>
      <c r="F10790" s="856"/>
      <c r="G10790" s="202"/>
    </row>
    <row r="10791" spans="1:7" s="172" customFormat="1" ht="15" customHeight="1" x14ac:dyDescent="0.25">
      <c r="A10791" s="856"/>
      <c r="B10791" s="856"/>
      <c r="C10791" s="856"/>
      <c r="D10791" s="856"/>
      <c r="E10791" s="856"/>
      <c r="F10791" s="856"/>
      <c r="G10791" s="202"/>
    </row>
    <row r="10792" spans="1:7" s="172" customFormat="1" ht="15" customHeight="1" x14ac:dyDescent="0.25">
      <c r="A10792" s="856"/>
      <c r="B10792" s="856"/>
      <c r="C10792" s="856"/>
      <c r="D10792" s="856"/>
      <c r="E10792" s="856"/>
      <c r="F10792" s="856"/>
      <c r="G10792" s="202"/>
    </row>
    <row r="10793" spans="1:7" s="172" customFormat="1" ht="15" customHeight="1" x14ac:dyDescent="0.25">
      <c r="A10793" s="856"/>
      <c r="B10793" s="856"/>
      <c r="C10793" s="856"/>
      <c r="D10793" s="856"/>
      <c r="E10793" s="856"/>
      <c r="F10793" s="856"/>
      <c r="G10793" s="202"/>
    </row>
    <row r="10794" spans="1:7" s="172" customFormat="1" ht="15" customHeight="1" x14ac:dyDescent="0.25">
      <c r="A10794" s="856"/>
      <c r="B10794" s="856"/>
      <c r="C10794" s="856"/>
      <c r="D10794" s="856"/>
      <c r="E10794" s="856"/>
      <c r="F10794" s="856"/>
      <c r="G10794" s="202"/>
    </row>
    <row r="10795" spans="1:7" s="172" customFormat="1" ht="15" customHeight="1" x14ac:dyDescent="0.25">
      <c r="A10795" s="856"/>
      <c r="B10795" s="856"/>
      <c r="C10795" s="856"/>
      <c r="D10795" s="856"/>
      <c r="E10795" s="856"/>
      <c r="F10795" s="856"/>
      <c r="G10795" s="202"/>
    </row>
    <row r="10796" spans="1:7" s="172" customFormat="1" ht="15" customHeight="1" x14ac:dyDescent="0.25">
      <c r="A10796" s="856"/>
      <c r="B10796" s="856"/>
      <c r="C10796" s="856"/>
      <c r="D10796" s="856"/>
      <c r="E10796" s="856"/>
      <c r="F10796" s="856"/>
      <c r="G10796" s="202"/>
    </row>
    <row r="10797" spans="1:7" s="172" customFormat="1" ht="15" customHeight="1" x14ac:dyDescent="0.25">
      <c r="A10797" s="856"/>
      <c r="B10797" s="856"/>
      <c r="C10797" s="856"/>
      <c r="D10797" s="856"/>
      <c r="E10797" s="856"/>
      <c r="F10797" s="856"/>
      <c r="G10797" s="202"/>
    </row>
    <row r="10798" spans="1:7" s="172" customFormat="1" ht="15" customHeight="1" x14ac:dyDescent="0.25">
      <c r="A10798" s="856"/>
      <c r="B10798" s="856"/>
      <c r="C10798" s="856"/>
      <c r="D10798" s="856"/>
      <c r="E10798" s="856"/>
      <c r="F10798" s="856"/>
      <c r="G10798" s="202"/>
    </row>
    <row r="10799" spans="1:7" s="172" customFormat="1" ht="15" customHeight="1" x14ac:dyDescent="0.25">
      <c r="A10799" s="856"/>
      <c r="B10799" s="856"/>
      <c r="C10799" s="856"/>
      <c r="D10799" s="856"/>
      <c r="E10799" s="856"/>
      <c r="F10799" s="856"/>
      <c r="G10799" s="202"/>
    </row>
    <row r="10800" spans="1:7" s="172" customFormat="1" ht="15" customHeight="1" x14ac:dyDescent="0.25">
      <c r="A10800" s="856"/>
      <c r="B10800" s="856"/>
      <c r="C10800" s="856"/>
      <c r="D10800" s="856"/>
      <c r="E10800" s="856"/>
      <c r="F10800" s="856"/>
      <c r="G10800" s="202"/>
    </row>
    <row r="10801" spans="1:7" s="172" customFormat="1" ht="15" customHeight="1" x14ac:dyDescent="0.25">
      <c r="A10801" s="856"/>
      <c r="B10801" s="856"/>
      <c r="C10801" s="856"/>
      <c r="D10801" s="856"/>
      <c r="E10801" s="856"/>
      <c r="F10801" s="856"/>
      <c r="G10801" s="202"/>
    </row>
    <row r="10802" spans="1:7" s="172" customFormat="1" ht="15" customHeight="1" x14ac:dyDescent="0.25">
      <c r="A10802" s="856"/>
      <c r="B10802" s="856"/>
      <c r="C10802" s="856"/>
      <c r="D10802" s="856"/>
      <c r="E10802" s="856"/>
      <c r="F10802" s="856"/>
      <c r="G10802" s="11"/>
    </row>
    <row r="10803" spans="1:7" s="172" customFormat="1" ht="15" customHeight="1" x14ac:dyDescent="0.25">
      <c r="A10803" s="856"/>
      <c r="B10803" s="856"/>
      <c r="C10803" s="856"/>
      <c r="D10803" s="856"/>
      <c r="E10803" s="856"/>
      <c r="F10803" s="856"/>
      <c r="G10803" s="11"/>
    </row>
    <row r="10804" spans="1:7" s="172" customFormat="1" ht="15" customHeight="1" x14ac:dyDescent="0.25">
      <c r="A10804" s="856"/>
      <c r="B10804" s="856"/>
      <c r="C10804" s="856"/>
      <c r="D10804" s="856"/>
      <c r="E10804" s="856"/>
      <c r="F10804" s="856"/>
      <c r="G10804" s="11"/>
    </row>
    <row r="10805" spans="1:7" s="172" customFormat="1" ht="15" customHeight="1" x14ac:dyDescent="0.25">
      <c r="A10805" s="856"/>
      <c r="B10805" s="856"/>
      <c r="C10805" s="856"/>
      <c r="D10805" s="856"/>
      <c r="E10805" s="856"/>
      <c r="F10805" s="856"/>
      <c r="G10805" s="11"/>
    </row>
    <row r="10806" spans="1:7" s="172" customFormat="1" ht="15" customHeight="1" x14ac:dyDescent="0.25">
      <c r="A10806" s="856"/>
      <c r="B10806" s="856"/>
      <c r="C10806" s="856"/>
      <c r="D10806" s="856"/>
      <c r="E10806" s="856"/>
      <c r="F10806" s="856"/>
      <c r="G10806" s="11"/>
    </row>
    <row r="10807" spans="1:7" s="172" customFormat="1" ht="15" customHeight="1" x14ac:dyDescent="0.25">
      <c r="A10807" s="856"/>
      <c r="B10807" s="856"/>
      <c r="C10807" s="856"/>
      <c r="D10807" s="856"/>
      <c r="E10807" s="856"/>
      <c r="F10807" s="856"/>
      <c r="G10807" s="11"/>
    </row>
    <row r="10808" spans="1:7" s="172" customFormat="1" ht="15" customHeight="1" x14ac:dyDescent="0.25">
      <c r="A10808" s="856"/>
      <c r="B10808" s="856"/>
      <c r="C10808" s="856"/>
      <c r="D10808" s="856"/>
      <c r="E10808" s="856"/>
      <c r="F10808" s="856"/>
      <c r="G10808" s="11"/>
    </row>
    <row r="10809" spans="1:7" s="172" customFormat="1" ht="15" customHeight="1" x14ac:dyDescent="0.25">
      <c r="A10809" s="856"/>
      <c r="B10809" s="856"/>
      <c r="C10809" s="856"/>
      <c r="D10809" s="856"/>
      <c r="E10809" s="856"/>
      <c r="F10809" s="856"/>
      <c r="G10809" s="11"/>
    </row>
    <row r="10810" spans="1:7" s="172" customFormat="1" ht="15" customHeight="1" x14ac:dyDescent="0.25">
      <c r="A10810" s="856"/>
      <c r="B10810" s="856"/>
      <c r="C10810" s="856"/>
      <c r="D10810" s="856"/>
      <c r="E10810" s="856"/>
      <c r="F10810" s="856"/>
      <c r="G10810" s="11"/>
    </row>
    <row r="10811" spans="1:7" s="172" customFormat="1" ht="15" customHeight="1" x14ac:dyDescent="0.25">
      <c r="A10811" s="856"/>
      <c r="B10811" s="856"/>
      <c r="C10811" s="856"/>
      <c r="D10811" s="856"/>
      <c r="E10811" s="856"/>
      <c r="F10811" s="856"/>
      <c r="G10811" s="11"/>
    </row>
    <row r="10812" spans="1:7" s="172" customFormat="1" ht="15" customHeight="1" x14ac:dyDescent="0.25">
      <c r="A10812" s="856"/>
      <c r="B10812" s="856"/>
      <c r="C10812" s="856"/>
      <c r="D10812" s="856"/>
      <c r="E10812" s="856"/>
      <c r="F10812" s="856"/>
      <c r="G10812" s="11"/>
    </row>
    <row r="10813" spans="1:7" s="172" customFormat="1" ht="15" customHeight="1" x14ac:dyDescent="0.25">
      <c r="A10813" s="856"/>
      <c r="B10813" s="856"/>
      <c r="C10813" s="856"/>
      <c r="D10813" s="856"/>
      <c r="E10813" s="856"/>
      <c r="F10813" s="856"/>
      <c r="G10813" s="11"/>
    </row>
  </sheetData>
  <autoFilter ref="A2:F10588"/>
  <mergeCells count="2">
    <mergeCell ref="A1:F1"/>
    <mergeCell ref="A10590:C10590"/>
  </mergeCells>
  <pageMargins left="0.7" right="0.7" top="0.75" bottom="0.75" header="0.3" footer="0.3"/>
  <pageSetup paperSize="9" scale="8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416"/>
  <sheetViews>
    <sheetView zoomScale="70" zoomScaleNormal="70" workbookViewId="0">
      <pane ySplit="7" topLeftCell="A137" activePane="bottomLeft" state="frozen"/>
      <selection pane="bottomLeft" activeCell="G164" sqref="G164:M164"/>
    </sheetView>
  </sheetViews>
  <sheetFormatPr defaultRowHeight="15.75" x14ac:dyDescent="0.25"/>
  <cols>
    <col min="1" max="1" width="30.7109375" style="301" customWidth="1"/>
    <col min="2" max="6" width="5.7109375" style="301" customWidth="1"/>
    <col min="7" max="9" width="20.7109375" style="301" customWidth="1"/>
    <col min="10" max="10" width="11.5703125" style="336" customWidth="1"/>
    <col min="11" max="12" width="10.7109375" style="336" customWidth="1"/>
    <col min="13" max="13" width="10.7109375" style="337" customWidth="1"/>
    <col min="14" max="16" width="20.7109375" style="301" customWidth="1"/>
    <col min="17" max="17" width="10.7109375" style="301" customWidth="1"/>
    <col min="18" max="18" width="10.7109375" style="336" customWidth="1"/>
    <col min="19" max="19" width="10.7109375" style="301" customWidth="1"/>
    <col min="20" max="20" width="10.7109375" style="336" customWidth="1"/>
    <col min="21" max="16384" width="9.140625" style="301"/>
  </cols>
  <sheetData>
    <row r="1" spans="1:21" ht="15.75" customHeight="1" x14ac:dyDescent="0.25">
      <c r="A1" s="1049" t="s">
        <v>18526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1" ht="15.75" customHeight="1" x14ac:dyDescent="0.25">
      <c r="A2" s="1019" t="s">
        <v>244</v>
      </c>
      <c r="B2" s="1020" t="s">
        <v>1136</v>
      </c>
      <c r="C2" s="1021"/>
      <c r="D2" s="1021"/>
      <c r="E2" s="1021"/>
      <c r="F2" s="1022"/>
      <c r="G2" s="1041" t="s">
        <v>1187</v>
      </c>
      <c r="H2" s="1033"/>
      <c r="I2" s="1033"/>
      <c r="J2" s="1033"/>
      <c r="K2" s="1033"/>
      <c r="L2" s="1033"/>
      <c r="M2" s="1033"/>
      <c r="N2" s="1033" t="s">
        <v>1668</v>
      </c>
      <c r="O2" s="1033"/>
      <c r="P2" s="1033"/>
      <c r="Q2" s="1033"/>
      <c r="R2" s="1033"/>
      <c r="S2" s="1033"/>
      <c r="T2" s="1033"/>
    </row>
    <row r="3" spans="1:21" ht="15" customHeight="1" x14ac:dyDescent="0.25">
      <c r="A3" s="1019"/>
      <c r="B3" s="1023"/>
      <c r="C3" s="1024"/>
      <c r="D3" s="1024"/>
      <c r="E3" s="1024"/>
      <c r="F3" s="1025"/>
      <c r="G3" s="1040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1" x14ac:dyDescent="0.25">
      <c r="A4" s="1019"/>
      <c r="B4" s="1023"/>
      <c r="C4" s="1024"/>
      <c r="D4" s="1024"/>
      <c r="E4" s="1024"/>
      <c r="F4" s="1025"/>
      <c r="G4" s="1041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1" ht="15.75" customHeight="1" x14ac:dyDescent="0.25">
      <c r="A5" s="1019"/>
      <c r="B5" s="1023"/>
      <c r="C5" s="1024"/>
      <c r="D5" s="1024"/>
      <c r="E5" s="1024"/>
      <c r="F5" s="1025"/>
      <c r="G5" s="1007" t="s">
        <v>1189</v>
      </c>
      <c r="H5" s="1007" t="s">
        <v>1190</v>
      </c>
      <c r="I5" s="1007" t="s">
        <v>1191</v>
      </c>
      <c r="J5" s="205" t="s">
        <v>19510</v>
      </c>
      <c r="K5" s="205" t="s">
        <v>19511</v>
      </c>
      <c r="L5" s="1009" t="s">
        <v>1193</v>
      </c>
      <c r="M5" s="1011" t="s">
        <v>1194</v>
      </c>
      <c r="N5" s="1007" t="s">
        <v>1189</v>
      </c>
      <c r="O5" s="1007" t="s">
        <v>1190</v>
      </c>
      <c r="P5" s="1007" t="s">
        <v>1191</v>
      </c>
      <c r="Q5" s="543" t="s">
        <v>19510</v>
      </c>
      <c r="R5" s="543" t="s">
        <v>19511</v>
      </c>
      <c r="S5" s="1007" t="s">
        <v>1193</v>
      </c>
      <c r="T5" s="1011" t="s">
        <v>1194</v>
      </c>
    </row>
    <row r="6" spans="1:21" x14ac:dyDescent="0.25">
      <c r="A6" s="1019"/>
      <c r="B6" s="1026"/>
      <c r="C6" s="1027"/>
      <c r="D6" s="1027"/>
      <c r="E6" s="1027"/>
      <c r="F6" s="1028"/>
      <c r="G6" s="1008"/>
      <c r="H6" s="1008"/>
      <c r="I6" s="1008"/>
      <c r="J6" s="205" t="s">
        <v>1192</v>
      </c>
      <c r="K6" s="205" t="s">
        <v>1192</v>
      </c>
      <c r="L6" s="1010"/>
      <c r="M6" s="1012"/>
      <c r="N6" s="1008"/>
      <c r="O6" s="1008"/>
      <c r="P6" s="1008"/>
      <c r="Q6" s="205" t="s">
        <v>1192</v>
      </c>
      <c r="R6" s="205" t="s">
        <v>1192</v>
      </c>
      <c r="S6" s="1008"/>
      <c r="T6" s="1012"/>
      <c r="U6" s="471"/>
    </row>
    <row r="7" spans="1:21" ht="15" customHeight="1" thickBot="1" x14ac:dyDescent="0.3">
      <c r="A7" s="208">
        <v>1</v>
      </c>
      <c r="B7" s="1013">
        <v>2</v>
      </c>
      <c r="C7" s="1014"/>
      <c r="D7" s="1014"/>
      <c r="E7" s="1014"/>
      <c r="F7" s="1015"/>
      <c r="G7" s="598">
        <v>3</v>
      </c>
      <c r="H7" s="208">
        <v>4</v>
      </c>
      <c r="I7" s="208">
        <v>5</v>
      </c>
      <c r="J7" s="209">
        <v>6</v>
      </c>
      <c r="K7" s="209">
        <v>7</v>
      </c>
      <c r="L7" s="209">
        <v>8</v>
      </c>
      <c r="M7" s="345">
        <v>9</v>
      </c>
      <c r="N7" s="208">
        <v>10</v>
      </c>
      <c r="O7" s="208">
        <v>11</v>
      </c>
      <c r="P7" s="208">
        <v>12</v>
      </c>
      <c r="Q7" s="208">
        <v>13</v>
      </c>
      <c r="R7" s="208">
        <v>14</v>
      </c>
      <c r="S7" s="208">
        <v>15</v>
      </c>
      <c r="T7" s="208">
        <v>16</v>
      </c>
      <c r="U7" s="471"/>
    </row>
    <row r="8" spans="1:21" ht="15" customHeight="1" x14ac:dyDescent="0.25">
      <c r="A8" s="1029" t="str">
        <f>Итоговая!C9</f>
        <v>ПС 35/10 кВ Алексейково</v>
      </c>
      <c r="B8" s="1016">
        <f>Итоговая!D9</f>
        <v>1.6</v>
      </c>
      <c r="C8" s="1005">
        <f>Итоговая!E9</f>
        <v>0</v>
      </c>
      <c r="D8" s="1005">
        <f>Итоговая!F9</f>
        <v>0</v>
      </c>
      <c r="E8" s="1005">
        <f>Итоговая!G9</f>
        <v>0</v>
      </c>
      <c r="F8" s="1006">
        <f>Итоговая!H9</f>
        <v>0</v>
      </c>
      <c r="G8" s="992" t="s">
        <v>18518</v>
      </c>
      <c r="H8" s="992"/>
      <c r="I8" s="992"/>
      <c r="J8" s="992"/>
      <c r="K8" s="992"/>
      <c r="L8" s="992"/>
      <c r="M8" s="992"/>
      <c r="N8" s="215"/>
      <c r="O8" s="215"/>
      <c r="P8" s="215"/>
      <c r="Q8" s="215"/>
      <c r="R8" s="216"/>
      <c r="S8" s="215"/>
      <c r="T8" s="217"/>
      <c r="U8" s="471"/>
    </row>
    <row r="9" spans="1:21" ht="15" customHeight="1" x14ac:dyDescent="0.25">
      <c r="A9" s="1030"/>
      <c r="B9" s="1018"/>
      <c r="C9" s="1000"/>
      <c r="D9" s="1000"/>
      <c r="E9" s="1000"/>
      <c r="F9" s="1002"/>
      <c r="G9" s="993" t="s">
        <v>2262</v>
      </c>
      <c r="H9" s="993"/>
      <c r="I9" s="993"/>
      <c r="J9" s="994">
        <f>0.042*0.9*0.6</f>
        <v>2.2679999999999999E-2</v>
      </c>
      <c r="K9" s="995"/>
      <c r="L9" s="205"/>
      <c r="M9" s="519"/>
      <c r="N9" s="223"/>
      <c r="O9" s="223"/>
      <c r="P9" s="223"/>
      <c r="Q9" s="223"/>
      <c r="R9" s="224"/>
      <c r="S9" s="223"/>
      <c r="T9" s="225"/>
      <c r="U9" s="471"/>
    </row>
    <row r="10" spans="1:21" ht="15" customHeight="1" thickBot="1" x14ac:dyDescent="0.3">
      <c r="A10" s="1031"/>
      <c r="B10" s="1017"/>
      <c r="C10" s="1001"/>
      <c r="D10" s="1001"/>
      <c r="E10" s="1001"/>
      <c r="F10" s="1003"/>
      <c r="G10" s="1032" t="s">
        <v>1199</v>
      </c>
      <c r="H10" s="1032"/>
      <c r="I10" s="1032"/>
      <c r="J10" s="544"/>
      <c r="K10" s="247">
        <f>SUM(J9)</f>
        <v>2.2679999999999999E-2</v>
      </c>
      <c r="L10" s="544">
        <v>0.92</v>
      </c>
      <c r="M10" s="247">
        <f>K10/L10</f>
        <v>2.4652173913043477E-2</v>
      </c>
      <c r="N10" s="1032" t="s">
        <v>1199</v>
      </c>
      <c r="O10" s="1032"/>
      <c r="P10" s="1032"/>
      <c r="Q10" s="542"/>
      <c r="R10" s="247">
        <f>SUM(R8:R8)</f>
        <v>0</v>
      </c>
      <c r="S10" s="542">
        <v>0.92</v>
      </c>
      <c r="T10" s="249">
        <f>R10/S10</f>
        <v>0</v>
      </c>
      <c r="U10" s="471"/>
    </row>
    <row r="11" spans="1:21" ht="15" customHeight="1" x14ac:dyDescent="0.25">
      <c r="A11" s="1029" t="str">
        <f>Итоговая!C10</f>
        <v xml:space="preserve">ПС 35/10 кВ Беляницы </v>
      </c>
      <c r="B11" s="1016">
        <f>Итоговая!D10</f>
        <v>1.6</v>
      </c>
      <c r="C11" s="1005">
        <f>Итоговая!E10</f>
        <v>0</v>
      </c>
      <c r="D11" s="1005">
        <f>Итоговая!F10</f>
        <v>0</v>
      </c>
      <c r="E11" s="1005">
        <f>Итоговая!G10</f>
        <v>0</v>
      </c>
      <c r="F11" s="1006">
        <f>Итоговая!H10</f>
        <v>0</v>
      </c>
      <c r="G11" s="992" t="s">
        <v>18518</v>
      </c>
      <c r="H11" s="992"/>
      <c r="I11" s="992"/>
      <c r="J11" s="992"/>
      <c r="K11" s="992"/>
      <c r="L11" s="992"/>
      <c r="M11" s="992"/>
      <c r="N11" s="215"/>
      <c r="O11" s="215"/>
      <c r="P11" s="215"/>
      <c r="Q11" s="215"/>
      <c r="R11" s="216"/>
      <c r="S11" s="215"/>
      <c r="T11" s="217"/>
      <c r="U11" s="471"/>
    </row>
    <row r="12" spans="1:21" ht="15" customHeight="1" x14ac:dyDescent="0.25">
      <c r="A12" s="1030"/>
      <c r="B12" s="1018"/>
      <c r="C12" s="1000"/>
      <c r="D12" s="1000"/>
      <c r="E12" s="1000"/>
      <c r="F12" s="1002"/>
      <c r="G12" s="993" t="s">
        <v>2262</v>
      </c>
      <c r="H12" s="993"/>
      <c r="I12" s="993"/>
      <c r="J12" s="994">
        <f>0.018*0.9*0.6</f>
        <v>9.7199999999999995E-3</v>
      </c>
      <c r="K12" s="995"/>
      <c r="L12" s="205"/>
      <c r="M12" s="519"/>
      <c r="N12" s="223"/>
      <c r="O12" s="223"/>
      <c r="P12" s="223"/>
      <c r="Q12" s="223"/>
      <c r="R12" s="224"/>
      <c r="S12" s="223"/>
      <c r="T12" s="225"/>
      <c r="U12" s="471"/>
    </row>
    <row r="13" spans="1:21" ht="15" customHeight="1" thickBot="1" x14ac:dyDescent="0.3">
      <c r="A13" s="1031"/>
      <c r="B13" s="1017"/>
      <c r="C13" s="1001"/>
      <c r="D13" s="1001"/>
      <c r="E13" s="1001"/>
      <c r="F13" s="1003"/>
      <c r="G13" s="1032" t="s">
        <v>1199</v>
      </c>
      <c r="H13" s="1032"/>
      <c r="I13" s="1032"/>
      <c r="J13" s="544"/>
      <c r="K13" s="247">
        <f>SUM(J12)</f>
        <v>9.7199999999999995E-3</v>
      </c>
      <c r="L13" s="544">
        <v>0.92</v>
      </c>
      <c r="M13" s="247">
        <f>K13/L13</f>
        <v>1.0565217391304347E-2</v>
      </c>
      <c r="N13" s="1032" t="s">
        <v>1199</v>
      </c>
      <c r="O13" s="1032"/>
      <c r="P13" s="1032"/>
      <c r="Q13" s="542"/>
      <c r="R13" s="247">
        <f>SUM(R11:R11)</f>
        <v>0</v>
      </c>
      <c r="S13" s="542">
        <v>0.92</v>
      </c>
      <c r="T13" s="249">
        <f>R13/S13</f>
        <v>0</v>
      </c>
      <c r="U13" s="471"/>
    </row>
    <row r="14" spans="1:21" ht="15" customHeight="1" x14ac:dyDescent="0.25">
      <c r="A14" s="1029" t="str">
        <f>Итоговая!C11</f>
        <v xml:space="preserve">ПС 35/10 кВ Борисовское </v>
      </c>
      <c r="B14" s="1016">
        <f>Итоговая!D11</f>
        <v>1</v>
      </c>
      <c r="C14" s="1005">
        <f>Итоговая!E11</f>
        <v>0</v>
      </c>
      <c r="D14" s="1005">
        <f>Итоговая!F11</f>
        <v>0</v>
      </c>
      <c r="E14" s="1005">
        <f>Итоговая!G11</f>
        <v>0</v>
      </c>
      <c r="F14" s="1006">
        <f>Итоговая!H11</f>
        <v>0</v>
      </c>
      <c r="G14" s="992" t="s">
        <v>18518</v>
      </c>
      <c r="H14" s="992"/>
      <c r="I14" s="992"/>
      <c r="J14" s="992"/>
      <c r="K14" s="992"/>
      <c r="L14" s="992"/>
      <c r="M14" s="992"/>
      <c r="N14" s="215"/>
      <c r="O14" s="215"/>
      <c r="P14" s="215"/>
      <c r="Q14" s="215"/>
      <c r="R14" s="216"/>
      <c r="S14" s="215"/>
      <c r="T14" s="217"/>
      <c r="U14" s="471"/>
    </row>
    <row r="15" spans="1:21" ht="15" customHeight="1" x14ac:dyDescent="0.25">
      <c r="A15" s="1030"/>
      <c r="B15" s="1018"/>
      <c r="C15" s="1000"/>
      <c r="D15" s="1000"/>
      <c r="E15" s="1000"/>
      <c r="F15" s="1002"/>
      <c r="G15" s="993" t="s">
        <v>2262</v>
      </c>
      <c r="H15" s="993"/>
      <c r="I15" s="993"/>
      <c r="J15" s="994">
        <f>0.012*0.9</f>
        <v>1.0800000000000001E-2</v>
      </c>
      <c r="K15" s="995"/>
      <c r="L15" s="205"/>
      <c r="M15" s="519"/>
      <c r="N15" s="223"/>
      <c r="O15" s="223"/>
      <c r="P15" s="223"/>
      <c r="Q15" s="223"/>
      <c r="R15" s="224"/>
      <c r="S15" s="223"/>
      <c r="T15" s="225"/>
      <c r="U15" s="471"/>
    </row>
    <row r="16" spans="1:21" ht="15" customHeight="1" thickBot="1" x14ac:dyDescent="0.3">
      <c r="A16" s="1031"/>
      <c r="B16" s="1017"/>
      <c r="C16" s="1001"/>
      <c r="D16" s="1001"/>
      <c r="E16" s="1001"/>
      <c r="F16" s="1003"/>
      <c r="G16" s="1032" t="s">
        <v>1199</v>
      </c>
      <c r="H16" s="1032"/>
      <c r="I16" s="1032"/>
      <c r="J16" s="544"/>
      <c r="K16" s="247">
        <f>SUM(J15)</f>
        <v>1.0800000000000001E-2</v>
      </c>
      <c r="L16" s="544">
        <v>0.92</v>
      </c>
      <c r="M16" s="247">
        <f>K16/L16</f>
        <v>1.173913043478261E-2</v>
      </c>
      <c r="N16" s="1032" t="s">
        <v>1199</v>
      </c>
      <c r="O16" s="1032"/>
      <c r="P16" s="1032"/>
      <c r="Q16" s="542"/>
      <c r="R16" s="247">
        <f>SUM(R14:R14)</f>
        <v>0</v>
      </c>
      <c r="S16" s="542">
        <v>0.92</v>
      </c>
      <c r="T16" s="249">
        <f>R16/S16</f>
        <v>0</v>
      </c>
      <c r="U16" s="471"/>
    </row>
    <row r="17" spans="1:21" ht="15" customHeight="1" x14ac:dyDescent="0.25">
      <c r="A17" s="1029" t="str">
        <f>Итоговая!C12</f>
        <v xml:space="preserve">ПС 35/10 кВ Высокуша  </v>
      </c>
      <c r="B17" s="1016">
        <f>Итоговая!D12</f>
        <v>1.6</v>
      </c>
      <c r="C17" s="1005">
        <f>Итоговая!E12</f>
        <v>0</v>
      </c>
      <c r="D17" s="1005">
        <f>Итоговая!F12</f>
        <v>0</v>
      </c>
      <c r="E17" s="1005">
        <f>Итоговая!G12</f>
        <v>0</v>
      </c>
      <c r="F17" s="1006">
        <f>Итоговая!H12</f>
        <v>0</v>
      </c>
      <c r="G17" s="215"/>
      <c r="H17" s="215"/>
      <c r="I17" s="215"/>
      <c r="J17" s="216"/>
      <c r="K17" s="216"/>
      <c r="L17" s="216"/>
      <c r="M17" s="264"/>
      <c r="N17" s="215"/>
      <c r="O17" s="215"/>
      <c r="P17" s="215"/>
      <c r="Q17" s="215"/>
      <c r="R17" s="216"/>
      <c r="S17" s="215"/>
      <c r="T17" s="217"/>
      <c r="U17" s="471"/>
    </row>
    <row r="18" spans="1:21" ht="15" customHeight="1" thickBot="1" x14ac:dyDescent="0.3">
      <c r="A18" s="1031"/>
      <c r="B18" s="1017"/>
      <c r="C18" s="1001"/>
      <c r="D18" s="1001"/>
      <c r="E18" s="1001"/>
      <c r="F18" s="1003"/>
      <c r="G18" s="1032" t="s">
        <v>1199</v>
      </c>
      <c r="H18" s="1032"/>
      <c r="I18" s="1032"/>
      <c r="J18" s="544"/>
      <c r="K18" s="247">
        <f>SUM(K17:K17)</f>
        <v>0</v>
      </c>
      <c r="L18" s="544">
        <v>0.92</v>
      </c>
      <c r="M18" s="247">
        <f>K18/L18</f>
        <v>0</v>
      </c>
      <c r="N18" s="1032" t="s">
        <v>1199</v>
      </c>
      <c r="O18" s="1032"/>
      <c r="P18" s="1032"/>
      <c r="Q18" s="542"/>
      <c r="R18" s="247">
        <f>SUM(R17:R17)</f>
        <v>0</v>
      </c>
      <c r="S18" s="542">
        <v>0.92</v>
      </c>
      <c r="T18" s="249">
        <f>R18/S18</f>
        <v>0</v>
      </c>
      <c r="U18" s="471"/>
    </row>
    <row r="19" spans="1:21" ht="15" customHeight="1" x14ac:dyDescent="0.25">
      <c r="A19" s="1029" t="str">
        <f>Итоговая!C13</f>
        <v xml:space="preserve">ПС 35/10 кВ Гостиница </v>
      </c>
      <c r="B19" s="1016">
        <f>Итоговая!D13</f>
        <v>1.6</v>
      </c>
      <c r="C19" s="1005">
        <f>Итоговая!E13</f>
        <v>0</v>
      </c>
      <c r="D19" s="1005">
        <f>Итоговая!F13</f>
        <v>0</v>
      </c>
      <c r="E19" s="1005">
        <f>Итоговая!G13</f>
        <v>0</v>
      </c>
      <c r="F19" s="1006">
        <f>Итоговая!H13</f>
        <v>0</v>
      </c>
      <c r="G19" s="992" t="s">
        <v>18518</v>
      </c>
      <c r="H19" s="992"/>
      <c r="I19" s="992"/>
      <c r="J19" s="992"/>
      <c r="K19" s="992"/>
      <c r="L19" s="992"/>
      <c r="M19" s="992"/>
      <c r="N19" s="215"/>
      <c r="O19" s="215"/>
      <c r="P19" s="215"/>
      <c r="Q19" s="215"/>
      <c r="R19" s="216"/>
      <c r="S19" s="215"/>
      <c r="T19" s="217"/>
      <c r="U19" s="471"/>
    </row>
    <row r="20" spans="1:21" ht="15" customHeight="1" x14ac:dyDescent="0.25">
      <c r="A20" s="1030"/>
      <c r="B20" s="1018"/>
      <c r="C20" s="1000"/>
      <c r="D20" s="1000"/>
      <c r="E20" s="1000"/>
      <c r="F20" s="1002"/>
      <c r="G20" s="993" t="s">
        <v>2262</v>
      </c>
      <c r="H20" s="993"/>
      <c r="I20" s="993"/>
      <c r="J20" s="994">
        <f>0.005*0.9</f>
        <v>4.5000000000000005E-3</v>
      </c>
      <c r="K20" s="995"/>
      <c r="L20" s="205"/>
      <c r="M20" s="519"/>
      <c r="N20" s="223"/>
      <c r="O20" s="223"/>
      <c r="P20" s="223"/>
      <c r="Q20" s="223"/>
      <c r="R20" s="224"/>
      <c r="S20" s="223"/>
      <c r="T20" s="225"/>
      <c r="U20" s="471"/>
    </row>
    <row r="21" spans="1:21" ht="15" customHeight="1" thickBot="1" x14ac:dyDescent="0.3">
      <c r="A21" s="1031"/>
      <c r="B21" s="1017"/>
      <c r="C21" s="1001"/>
      <c r="D21" s="1001"/>
      <c r="E21" s="1001"/>
      <c r="F21" s="1003"/>
      <c r="G21" s="1032" t="s">
        <v>1199</v>
      </c>
      <c r="H21" s="1032"/>
      <c r="I21" s="1032"/>
      <c r="J21" s="544"/>
      <c r="K21" s="247">
        <f>SUM(K19:K20)</f>
        <v>0</v>
      </c>
      <c r="L21" s="544">
        <v>0.92</v>
      </c>
      <c r="M21" s="247">
        <f>K21/L21</f>
        <v>0</v>
      </c>
      <c r="N21" s="1032" t="s">
        <v>1199</v>
      </c>
      <c r="O21" s="1032"/>
      <c r="P21" s="1032"/>
      <c r="Q21" s="542"/>
      <c r="R21" s="247">
        <f>SUM(R19:R19)</f>
        <v>0</v>
      </c>
      <c r="S21" s="542">
        <v>0.92</v>
      </c>
      <c r="T21" s="249">
        <f>R21/S21</f>
        <v>0</v>
      </c>
      <c r="U21" s="471"/>
    </row>
    <row r="22" spans="1:21" ht="15" customHeight="1" x14ac:dyDescent="0.25">
      <c r="A22" s="1029" t="str">
        <f>Итоговая!C14</f>
        <v xml:space="preserve">ПС  35/10 кВ Григорово </v>
      </c>
      <c r="B22" s="1016">
        <f>Итоговая!D14</f>
        <v>2.5</v>
      </c>
      <c r="C22" s="1005">
        <f>Итоговая!E14</f>
        <v>0</v>
      </c>
      <c r="D22" s="1005">
        <f>Итоговая!F14</f>
        <v>0</v>
      </c>
      <c r="E22" s="1005">
        <f>Итоговая!G14</f>
        <v>0</v>
      </c>
      <c r="F22" s="1006">
        <f>Итоговая!H14</f>
        <v>0</v>
      </c>
      <c r="G22" s="992" t="s">
        <v>18518</v>
      </c>
      <c r="H22" s="992"/>
      <c r="I22" s="992"/>
      <c r="J22" s="992"/>
      <c r="K22" s="992"/>
      <c r="L22" s="992"/>
      <c r="M22" s="992"/>
      <c r="N22" s="215"/>
      <c r="O22" s="215"/>
      <c r="P22" s="215"/>
      <c r="Q22" s="215"/>
      <c r="R22" s="216"/>
      <c r="S22" s="215"/>
      <c r="T22" s="472"/>
      <c r="U22" s="471"/>
    </row>
    <row r="23" spans="1:21" ht="15" customHeight="1" x14ac:dyDescent="0.25">
      <c r="A23" s="1030"/>
      <c r="B23" s="1018"/>
      <c r="C23" s="1000"/>
      <c r="D23" s="1000"/>
      <c r="E23" s="1000"/>
      <c r="F23" s="1002"/>
      <c r="G23" s="993" t="s">
        <v>2262</v>
      </c>
      <c r="H23" s="993"/>
      <c r="I23" s="993"/>
      <c r="J23" s="994">
        <f>0.106*0.9*0.6</f>
        <v>5.7239999999999999E-2</v>
      </c>
      <c r="K23" s="995"/>
      <c r="L23" s="205"/>
      <c r="M23" s="519"/>
      <c r="N23" s="543"/>
      <c r="O23" s="543"/>
      <c r="P23" s="543"/>
      <c r="Q23" s="543"/>
      <c r="R23" s="205"/>
      <c r="S23" s="543"/>
      <c r="T23" s="295"/>
      <c r="U23" s="471"/>
    </row>
    <row r="24" spans="1:21" ht="15" customHeight="1" thickBot="1" x14ac:dyDescent="0.3">
      <c r="A24" s="1031"/>
      <c r="B24" s="1017"/>
      <c r="C24" s="1001"/>
      <c r="D24" s="1001"/>
      <c r="E24" s="1001"/>
      <c r="F24" s="1003"/>
      <c r="G24" s="1032" t="s">
        <v>1199</v>
      </c>
      <c r="H24" s="1032"/>
      <c r="I24" s="1032"/>
      <c r="J24" s="544"/>
      <c r="K24" s="247">
        <f>SUM(J23)</f>
        <v>5.7239999999999999E-2</v>
      </c>
      <c r="L24" s="544">
        <v>0.92</v>
      </c>
      <c r="M24" s="247">
        <f>K24/L24</f>
        <v>6.2217391304347822E-2</v>
      </c>
      <c r="N24" s="1032" t="s">
        <v>1199</v>
      </c>
      <c r="O24" s="1032"/>
      <c r="P24" s="1032"/>
      <c r="Q24" s="542"/>
      <c r="R24" s="247">
        <f>SUM(R22:R22)</f>
        <v>0</v>
      </c>
      <c r="S24" s="542">
        <v>0.92</v>
      </c>
      <c r="T24" s="249">
        <f>R24/S24</f>
        <v>0</v>
      </c>
      <c r="U24" s="471"/>
    </row>
    <row r="25" spans="1:21" ht="15" customHeight="1" x14ac:dyDescent="0.25">
      <c r="A25" s="1029" t="str">
        <f>Итоговая!C15</f>
        <v xml:space="preserve">ПС 35/10 кВ Деледино </v>
      </c>
      <c r="B25" s="1016">
        <f>Итоговая!D15</f>
        <v>4</v>
      </c>
      <c r="C25" s="1005">
        <f>Итоговая!E15</f>
        <v>0</v>
      </c>
      <c r="D25" s="1005">
        <f>Итоговая!F15</f>
        <v>0</v>
      </c>
      <c r="E25" s="1005">
        <f>Итоговая!G15</f>
        <v>0</v>
      </c>
      <c r="F25" s="1006">
        <f>Итоговая!H15</f>
        <v>0</v>
      </c>
      <c r="G25" s="215"/>
      <c r="H25" s="215"/>
      <c r="I25" s="215"/>
      <c r="J25" s="216"/>
      <c r="K25" s="216"/>
      <c r="L25" s="216"/>
      <c r="M25" s="264"/>
      <c r="N25" s="215"/>
      <c r="O25" s="215"/>
      <c r="P25" s="215"/>
      <c r="Q25" s="215"/>
      <c r="R25" s="216"/>
      <c r="S25" s="215"/>
      <c r="T25" s="217"/>
      <c r="U25" s="471"/>
    </row>
    <row r="26" spans="1:21" ht="15" customHeight="1" thickBot="1" x14ac:dyDescent="0.3">
      <c r="A26" s="1031"/>
      <c r="B26" s="1017"/>
      <c r="C26" s="1001"/>
      <c r="D26" s="1001"/>
      <c r="E26" s="1001"/>
      <c r="F26" s="1003"/>
      <c r="G26" s="1032" t="s">
        <v>1199</v>
      </c>
      <c r="H26" s="1032"/>
      <c r="I26" s="1032"/>
      <c r="J26" s="544"/>
      <c r="K26" s="247">
        <f>SUM(K25:K25)</f>
        <v>0</v>
      </c>
      <c r="L26" s="544">
        <v>0.92</v>
      </c>
      <c r="M26" s="247">
        <f>K26/L26</f>
        <v>0</v>
      </c>
      <c r="N26" s="1032" t="s">
        <v>1199</v>
      </c>
      <c r="O26" s="1032"/>
      <c r="P26" s="1032"/>
      <c r="Q26" s="542"/>
      <c r="R26" s="247">
        <f>SUM(R25:R25)</f>
        <v>0</v>
      </c>
      <c r="S26" s="542">
        <v>0.92</v>
      </c>
      <c r="T26" s="249">
        <f>R26/S26</f>
        <v>0</v>
      </c>
      <c r="U26" s="471"/>
    </row>
    <row r="27" spans="1:21" ht="15" customHeight="1" x14ac:dyDescent="0.25">
      <c r="A27" s="1029" t="str">
        <f>Итоговая!C16</f>
        <v xml:space="preserve">ПС 35/10 кВ Зараменье </v>
      </c>
      <c r="B27" s="1016">
        <f>Итоговая!D16</f>
        <v>1.6</v>
      </c>
      <c r="C27" s="1005">
        <f>Итоговая!E16</f>
        <v>0</v>
      </c>
      <c r="D27" s="1005">
        <f>Итоговая!F16</f>
        <v>0</v>
      </c>
      <c r="E27" s="1005">
        <f>Итоговая!G16</f>
        <v>0</v>
      </c>
      <c r="F27" s="1006">
        <f>Итоговая!H16</f>
        <v>0</v>
      </c>
      <c r="G27" s="215"/>
      <c r="H27" s="215"/>
      <c r="I27" s="215"/>
      <c r="J27" s="216"/>
      <c r="K27" s="216"/>
      <c r="L27" s="216"/>
      <c r="M27" s="264"/>
      <c r="N27" s="215"/>
      <c r="O27" s="215"/>
      <c r="P27" s="215"/>
      <c r="Q27" s="215"/>
      <c r="R27" s="216"/>
      <c r="S27" s="215"/>
      <c r="T27" s="217"/>
      <c r="U27" s="471"/>
    </row>
    <row r="28" spans="1:21" ht="15" customHeight="1" thickBot="1" x14ac:dyDescent="0.3">
      <c r="A28" s="1031"/>
      <c r="B28" s="1017"/>
      <c r="C28" s="1001"/>
      <c r="D28" s="1001"/>
      <c r="E28" s="1001"/>
      <c r="F28" s="1003"/>
      <c r="G28" s="1032" t="s">
        <v>1199</v>
      </c>
      <c r="H28" s="1032"/>
      <c r="I28" s="1032"/>
      <c r="J28" s="544"/>
      <c r="K28" s="247">
        <f>SUM(K27:K27)</f>
        <v>0</v>
      </c>
      <c r="L28" s="544">
        <v>0.92</v>
      </c>
      <c r="M28" s="247">
        <f>K28/L28</f>
        <v>0</v>
      </c>
      <c r="N28" s="1032" t="s">
        <v>1199</v>
      </c>
      <c r="O28" s="1032"/>
      <c r="P28" s="1032"/>
      <c r="Q28" s="542"/>
      <c r="R28" s="247">
        <f>SUM(R27:R27)</f>
        <v>0</v>
      </c>
      <c r="S28" s="542">
        <v>0.92</v>
      </c>
      <c r="T28" s="249">
        <f>R28/S28</f>
        <v>0</v>
      </c>
      <c r="U28" s="471"/>
    </row>
    <row r="29" spans="1:21" ht="15" customHeight="1" x14ac:dyDescent="0.25">
      <c r="A29" s="1029" t="str">
        <f>Итоговая!C17</f>
        <v xml:space="preserve">ПС 35/10 кВ Зобы </v>
      </c>
      <c r="B29" s="1016">
        <f>Итоговая!D17</f>
        <v>2.5</v>
      </c>
      <c r="C29" s="1005">
        <f>Итоговая!E17</f>
        <v>0</v>
      </c>
      <c r="D29" s="1005">
        <f>Итоговая!F17</f>
        <v>0</v>
      </c>
      <c r="E29" s="1005">
        <f>Итоговая!G17</f>
        <v>0</v>
      </c>
      <c r="F29" s="1006">
        <f>Итоговая!H17</f>
        <v>0</v>
      </c>
      <c r="G29" s="992" t="s">
        <v>14933</v>
      </c>
      <c r="H29" s="992"/>
      <c r="I29" s="992"/>
      <c r="J29" s="992"/>
      <c r="K29" s="992"/>
      <c r="L29" s="992"/>
      <c r="M29" s="992"/>
      <c r="N29" s="215"/>
      <c r="O29" s="215"/>
      <c r="P29" s="215"/>
      <c r="Q29" s="215"/>
      <c r="R29" s="216"/>
      <c r="S29" s="215"/>
      <c r="T29" s="217"/>
      <c r="U29" s="471"/>
    </row>
    <row r="30" spans="1:21" ht="15" customHeight="1" x14ac:dyDescent="0.25">
      <c r="A30" s="1030"/>
      <c r="B30" s="1018"/>
      <c r="C30" s="1000"/>
      <c r="D30" s="1000"/>
      <c r="E30" s="1000"/>
      <c r="F30" s="1002"/>
      <c r="G30" s="993" t="s">
        <v>2262</v>
      </c>
      <c r="H30" s="993"/>
      <c r="I30" s="993"/>
      <c r="J30" s="993">
        <f>0.328*0.9</f>
        <v>0.29520000000000002</v>
      </c>
      <c r="K30" s="993"/>
      <c r="L30" s="205"/>
      <c r="M30" s="519"/>
      <c r="N30" s="543"/>
      <c r="O30" s="543"/>
      <c r="P30" s="543"/>
      <c r="Q30" s="543"/>
      <c r="R30" s="205"/>
      <c r="S30" s="543"/>
      <c r="T30" s="241"/>
      <c r="U30" s="471"/>
    </row>
    <row r="31" spans="1:21" ht="15" customHeight="1" x14ac:dyDescent="0.25">
      <c r="A31" s="1030"/>
      <c r="B31" s="1018"/>
      <c r="C31" s="1000"/>
      <c r="D31" s="1000"/>
      <c r="E31" s="1000"/>
      <c r="F31" s="1002"/>
      <c r="G31" s="996" t="s">
        <v>18518</v>
      </c>
      <c r="H31" s="996"/>
      <c r="I31" s="996"/>
      <c r="J31" s="996"/>
      <c r="K31" s="996"/>
      <c r="L31" s="996"/>
      <c r="M31" s="996"/>
      <c r="N31" s="716"/>
      <c r="O31" s="716"/>
      <c r="P31" s="716"/>
      <c r="Q31" s="716"/>
      <c r="R31" s="717"/>
      <c r="S31" s="716"/>
      <c r="T31" s="259"/>
      <c r="U31" s="471"/>
    </row>
    <row r="32" spans="1:21" ht="15" customHeight="1" x14ac:dyDescent="0.25">
      <c r="A32" s="1030"/>
      <c r="B32" s="1018"/>
      <c r="C32" s="1000"/>
      <c r="D32" s="1000"/>
      <c r="E32" s="1000"/>
      <c r="F32" s="1002"/>
      <c r="G32" s="993" t="s">
        <v>2262</v>
      </c>
      <c r="H32" s="993"/>
      <c r="I32" s="993"/>
      <c r="J32" s="994">
        <f>0.047*0.9*0.6</f>
        <v>2.5380000000000003E-2</v>
      </c>
      <c r="K32" s="995"/>
      <c r="L32" s="205"/>
      <c r="M32" s="519"/>
      <c r="N32" s="716"/>
      <c r="O32" s="716"/>
      <c r="P32" s="716"/>
      <c r="Q32" s="716"/>
      <c r="R32" s="717"/>
      <c r="S32" s="716"/>
      <c r="T32" s="259"/>
      <c r="U32" s="471"/>
    </row>
    <row r="33" spans="1:21" ht="15" customHeight="1" thickBot="1" x14ac:dyDescent="0.3">
      <c r="A33" s="1031"/>
      <c r="B33" s="1017"/>
      <c r="C33" s="1001"/>
      <c r="D33" s="1001"/>
      <c r="E33" s="1001"/>
      <c r="F33" s="1003"/>
      <c r="G33" s="1032" t="s">
        <v>1199</v>
      </c>
      <c r="H33" s="1032"/>
      <c r="I33" s="1032"/>
      <c r="J33" s="544"/>
      <c r="K33" s="247">
        <f>SUM(J30:K32)</f>
        <v>0.32058000000000003</v>
      </c>
      <c r="L33" s="544">
        <v>0.92</v>
      </c>
      <c r="M33" s="247">
        <f>K33/L33</f>
        <v>0.34845652173913044</v>
      </c>
      <c r="N33" s="1032" t="s">
        <v>1199</v>
      </c>
      <c r="O33" s="1032"/>
      <c r="P33" s="1032"/>
      <c r="Q33" s="542"/>
      <c r="R33" s="247">
        <f>SUM(R29:R30)</f>
        <v>0</v>
      </c>
      <c r="S33" s="542">
        <v>0.92</v>
      </c>
      <c r="T33" s="249">
        <f>R33/S33</f>
        <v>0</v>
      </c>
      <c r="U33" s="471"/>
    </row>
    <row r="34" spans="1:21" ht="15" customHeight="1" x14ac:dyDescent="0.25">
      <c r="A34" s="1029" t="str">
        <f>Итоговая!C18</f>
        <v xml:space="preserve">ПС 35/10 кВ Кой  </v>
      </c>
      <c r="B34" s="1016">
        <f>Итоговая!D18</f>
        <v>1.8</v>
      </c>
      <c r="C34" s="1005">
        <f>Итоговая!E18</f>
        <v>0</v>
      </c>
      <c r="D34" s="1005">
        <f>Итоговая!F18</f>
        <v>0</v>
      </c>
      <c r="E34" s="1005">
        <f>Итоговая!G18</f>
        <v>0</v>
      </c>
      <c r="F34" s="1006">
        <f>Итоговая!H18</f>
        <v>0</v>
      </c>
      <c r="G34" s="215"/>
      <c r="H34" s="215"/>
      <c r="I34" s="215"/>
      <c r="J34" s="216"/>
      <c r="K34" s="216"/>
      <c r="L34" s="216"/>
      <c r="M34" s="264"/>
      <c r="N34" s="215"/>
      <c r="O34" s="215"/>
      <c r="P34" s="215"/>
      <c r="Q34" s="215"/>
      <c r="R34" s="216"/>
      <c r="S34" s="215"/>
      <c r="T34" s="217"/>
      <c r="U34" s="471"/>
    </row>
    <row r="35" spans="1:21" ht="15" customHeight="1" thickBot="1" x14ac:dyDescent="0.3">
      <c r="A35" s="1031"/>
      <c r="B35" s="1017"/>
      <c r="C35" s="1001"/>
      <c r="D35" s="1001"/>
      <c r="E35" s="1001"/>
      <c r="F35" s="1003"/>
      <c r="G35" s="1032" t="s">
        <v>1199</v>
      </c>
      <c r="H35" s="1032"/>
      <c r="I35" s="1032"/>
      <c r="J35" s="544"/>
      <c r="K35" s="247">
        <f>SUM(K34:K34)</f>
        <v>0</v>
      </c>
      <c r="L35" s="544">
        <v>0.92</v>
      </c>
      <c r="M35" s="247">
        <f>K35/L35</f>
        <v>0</v>
      </c>
      <c r="N35" s="1032" t="s">
        <v>1199</v>
      </c>
      <c r="O35" s="1032"/>
      <c r="P35" s="1032"/>
      <c r="Q35" s="542"/>
      <c r="R35" s="247">
        <f>SUM(R34:R34)</f>
        <v>0</v>
      </c>
      <c r="S35" s="542">
        <v>0.92</v>
      </c>
      <c r="T35" s="249">
        <f>R35/S35</f>
        <v>0</v>
      </c>
      <c r="U35" s="471"/>
    </row>
    <row r="36" spans="1:21" s="475" customFormat="1" ht="15" customHeight="1" x14ac:dyDescent="0.25">
      <c r="A36" s="1029" t="str">
        <f>Итоговая!C19</f>
        <v xml:space="preserve">ПС 35/10 кВ Ладожское  </v>
      </c>
      <c r="B36" s="1016">
        <f>Итоговая!D19</f>
        <v>1.6</v>
      </c>
      <c r="C36" s="1005">
        <f>Итоговая!E19</f>
        <v>0</v>
      </c>
      <c r="D36" s="1005">
        <f>Итоговая!F19</f>
        <v>0</v>
      </c>
      <c r="E36" s="1005">
        <f>Итоговая!G19</f>
        <v>0</v>
      </c>
      <c r="F36" s="1006">
        <f>Итоговая!H19</f>
        <v>0</v>
      </c>
      <c r="G36" s="992" t="s">
        <v>1287</v>
      </c>
      <c r="H36" s="992"/>
      <c r="I36" s="992"/>
      <c r="J36" s="992"/>
      <c r="K36" s="992"/>
      <c r="L36" s="992"/>
      <c r="M36" s="992"/>
      <c r="N36" s="444"/>
      <c r="O36" s="444"/>
      <c r="P36" s="444"/>
      <c r="Q36" s="444"/>
      <c r="R36" s="473"/>
      <c r="S36" s="444"/>
      <c r="T36" s="474"/>
      <c r="U36" s="471"/>
    </row>
    <row r="37" spans="1:21" ht="15" customHeight="1" x14ac:dyDescent="0.25">
      <c r="A37" s="1030"/>
      <c r="B37" s="1018"/>
      <c r="C37" s="1000"/>
      <c r="D37" s="1000"/>
      <c r="E37" s="1000"/>
      <c r="F37" s="1002"/>
      <c r="G37" s="543" t="s">
        <v>1217</v>
      </c>
      <c r="H37" s="543" t="s">
        <v>1218</v>
      </c>
      <c r="I37" s="543" t="s">
        <v>1219</v>
      </c>
      <c r="J37" s="205"/>
      <c r="K37" s="205">
        <v>0.1</v>
      </c>
      <c r="L37" s="205"/>
      <c r="M37" s="519"/>
      <c r="N37" s="272"/>
      <c r="O37" s="272"/>
      <c r="P37" s="272"/>
      <c r="Q37" s="272"/>
      <c r="R37" s="273"/>
      <c r="S37" s="272"/>
      <c r="T37" s="476"/>
      <c r="U37" s="471"/>
    </row>
    <row r="38" spans="1:21" ht="15" customHeight="1" thickBot="1" x14ac:dyDescent="0.3">
      <c r="A38" s="1031"/>
      <c r="B38" s="1017"/>
      <c r="C38" s="1001"/>
      <c r="D38" s="1001"/>
      <c r="E38" s="1001"/>
      <c r="F38" s="1003"/>
      <c r="G38" s="1032" t="s">
        <v>1199</v>
      </c>
      <c r="H38" s="1032"/>
      <c r="I38" s="1032"/>
      <c r="J38" s="544"/>
      <c r="K38" s="247">
        <f>SUM(0)</f>
        <v>0</v>
      </c>
      <c r="L38" s="544">
        <v>0.92</v>
      </c>
      <c r="M38" s="247">
        <f>K38/L38</f>
        <v>0</v>
      </c>
      <c r="N38" s="1032" t="s">
        <v>1199</v>
      </c>
      <c r="O38" s="1032"/>
      <c r="P38" s="1032"/>
      <c r="Q38" s="542"/>
      <c r="R38" s="247">
        <f>SUM(0)</f>
        <v>0</v>
      </c>
      <c r="S38" s="542">
        <v>0.92</v>
      </c>
      <c r="T38" s="249">
        <f>R38/S38</f>
        <v>0</v>
      </c>
      <c r="U38" s="471"/>
    </row>
    <row r="39" spans="1:21" ht="15" customHeight="1" x14ac:dyDescent="0.25">
      <c r="A39" s="1029" t="str">
        <f>Итоговая!C20</f>
        <v xml:space="preserve">ПС 35/10 кВ Литвиново </v>
      </c>
      <c r="B39" s="1016">
        <f>Итоговая!D20</f>
        <v>4</v>
      </c>
      <c r="C39" s="1005">
        <f>Итоговая!E20</f>
        <v>0</v>
      </c>
      <c r="D39" s="1005">
        <f>Итоговая!F20</f>
        <v>0</v>
      </c>
      <c r="E39" s="1005">
        <f>Итоговая!G20</f>
        <v>0</v>
      </c>
      <c r="F39" s="1006">
        <f>Итоговая!H20</f>
        <v>0</v>
      </c>
      <c r="G39" s="215"/>
      <c r="H39" s="215"/>
      <c r="I39" s="215"/>
      <c r="J39" s="216"/>
      <c r="K39" s="216"/>
      <c r="L39" s="216"/>
      <c r="M39" s="264"/>
      <c r="N39" s="215"/>
      <c r="O39" s="215"/>
      <c r="P39" s="215"/>
      <c r="Q39" s="215"/>
      <c r="R39" s="216"/>
      <c r="S39" s="215"/>
      <c r="T39" s="217"/>
      <c r="U39" s="471"/>
    </row>
    <row r="40" spans="1:21" ht="15" customHeight="1" thickBot="1" x14ac:dyDescent="0.3">
      <c r="A40" s="1031"/>
      <c r="B40" s="1017"/>
      <c r="C40" s="1001"/>
      <c r="D40" s="1001"/>
      <c r="E40" s="1001"/>
      <c r="F40" s="1003"/>
      <c r="G40" s="1032" t="s">
        <v>1199</v>
      </c>
      <c r="H40" s="1032"/>
      <c r="I40" s="1032"/>
      <c r="J40" s="544"/>
      <c r="K40" s="247">
        <f>SUM(K39:K39)</f>
        <v>0</v>
      </c>
      <c r="L40" s="544">
        <v>0.92</v>
      </c>
      <c r="M40" s="247">
        <f>K40/L40</f>
        <v>0</v>
      </c>
      <c r="N40" s="1032" t="s">
        <v>1199</v>
      </c>
      <c r="O40" s="1032"/>
      <c r="P40" s="1032"/>
      <c r="Q40" s="542"/>
      <c r="R40" s="247">
        <f>SUM(R39:R39)</f>
        <v>0</v>
      </c>
      <c r="S40" s="542">
        <v>0.92</v>
      </c>
      <c r="T40" s="249">
        <f>R40/S40</f>
        <v>0</v>
      </c>
      <c r="U40" s="471"/>
    </row>
    <row r="41" spans="1:21" ht="15" customHeight="1" x14ac:dyDescent="0.25">
      <c r="A41" s="1029" t="str">
        <f>Итоговая!C21</f>
        <v xml:space="preserve">ПС 35/10 кВ Лощемля  </v>
      </c>
      <c r="B41" s="1016">
        <f>Итоговая!D21</f>
        <v>2.5</v>
      </c>
      <c r="C41" s="1005">
        <f>Итоговая!E21</f>
        <v>0</v>
      </c>
      <c r="D41" s="1005">
        <f>Итоговая!F21</f>
        <v>0</v>
      </c>
      <c r="E41" s="1005">
        <f>Итоговая!G21</f>
        <v>0</v>
      </c>
      <c r="F41" s="1006">
        <f>Итоговая!H21</f>
        <v>0</v>
      </c>
      <c r="G41" s="215"/>
      <c r="H41" s="215"/>
      <c r="I41" s="215"/>
      <c r="J41" s="216"/>
      <c r="K41" s="216"/>
      <c r="L41" s="216"/>
      <c r="M41" s="264"/>
      <c r="N41" s="215"/>
      <c r="O41" s="215"/>
      <c r="P41" s="215"/>
      <c r="Q41" s="215"/>
      <c r="R41" s="216"/>
      <c r="S41" s="215"/>
      <c r="T41" s="217"/>
      <c r="U41" s="471"/>
    </row>
    <row r="42" spans="1:21" ht="15" customHeight="1" thickBot="1" x14ac:dyDescent="0.3">
      <c r="A42" s="1031"/>
      <c r="B42" s="1017"/>
      <c r="C42" s="1001"/>
      <c r="D42" s="1001"/>
      <c r="E42" s="1001"/>
      <c r="F42" s="1003"/>
      <c r="G42" s="1032" t="s">
        <v>1199</v>
      </c>
      <c r="H42" s="1032"/>
      <c r="I42" s="1032"/>
      <c r="J42" s="544"/>
      <c r="K42" s="247">
        <f>SUM(K41:K41)</f>
        <v>0</v>
      </c>
      <c r="L42" s="544">
        <v>0.92</v>
      </c>
      <c r="M42" s="247">
        <f>K42/L42</f>
        <v>0</v>
      </c>
      <c r="N42" s="1032" t="s">
        <v>1199</v>
      </c>
      <c r="O42" s="1032"/>
      <c r="P42" s="1032"/>
      <c r="Q42" s="542"/>
      <c r="R42" s="247">
        <f>SUM(R41:R41)</f>
        <v>0</v>
      </c>
      <c r="S42" s="542">
        <v>0.92</v>
      </c>
      <c r="T42" s="249">
        <f>R42/S42</f>
        <v>0</v>
      </c>
      <c r="U42" s="471"/>
    </row>
    <row r="43" spans="1:21" ht="15" customHeight="1" x14ac:dyDescent="0.25">
      <c r="A43" s="1029" t="str">
        <f>Итоговая!C22</f>
        <v xml:space="preserve">ПС 35/10 кВ Любегощи </v>
      </c>
      <c r="B43" s="1016">
        <f>Итоговая!D22</f>
        <v>1.8</v>
      </c>
      <c r="C43" s="1005">
        <f>Итоговая!E22</f>
        <v>0</v>
      </c>
      <c r="D43" s="1005">
        <f>Итоговая!F22</f>
        <v>0</v>
      </c>
      <c r="E43" s="1005">
        <f>Итоговая!G22</f>
        <v>0</v>
      </c>
      <c r="F43" s="1006">
        <f>Итоговая!H22</f>
        <v>0</v>
      </c>
      <c r="G43" s="992" t="s">
        <v>18518</v>
      </c>
      <c r="H43" s="992"/>
      <c r="I43" s="992"/>
      <c r="J43" s="992"/>
      <c r="K43" s="992"/>
      <c r="L43" s="992"/>
      <c r="M43" s="992"/>
      <c r="N43" s="215"/>
      <c r="O43" s="215"/>
      <c r="P43" s="215"/>
      <c r="Q43" s="215"/>
      <c r="R43" s="216"/>
      <c r="S43" s="215"/>
      <c r="T43" s="217"/>
      <c r="U43" s="471"/>
    </row>
    <row r="44" spans="1:21" ht="15" customHeight="1" x14ac:dyDescent="0.25">
      <c r="A44" s="1030"/>
      <c r="B44" s="1018"/>
      <c r="C44" s="1000"/>
      <c r="D44" s="1000"/>
      <c r="E44" s="1000"/>
      <c r="F44" s="1002"/>
      <c r="G44" s="993" t="s">
        <v>2262</v>
      </c>
      <c r="H44" s="993"/>
      <c r="I44" s="993"/>
      <c r="J44" s="994">
        <f>0.015*0.9</f>
        <v>1.35E-2</v>
      </c>
      <c r="K44" s="995"/>
      <c r="L44" s="205"/>
      <c r="M44" s="519"/>
      <c r="N44" s="223"/>
      <c r="O44" s="223"/>
      <c r="P44" s="223"/>
      <c r="Q44" s="223"/>
      <c r="R44" s="224"/>
      <c r="S44" s="223"/>
      <c r="T44" s="225"/>
      <c r="U44" s="471"/>
    </row>
    <row r="45" spans="1:21" ht="15" customHeight="1" thickBot="1" x14ac:dyDescent="0.3">
      <c r="A45" s="1031"/>
      <c r="B45" s="1017"/>
      <c r="C45" s="1001"/>
      <c r="D45" s="1001"/>
      <c r="E45" s="1001"/>
      <c r="F45" s="1003"/>
      <c r="G45" s="1032" t="s">
        <v>1199</v>
      </c>
      <c r="H45" s="1032"/>
      <c r="I45" s="1032"/>
      <c r="J45" s="544"/>
      <c r="K45" s="247">
        <f>SUM(J44)</f>
        <v>1.35E-2</v>
      </c>
      <c r="L45" s="544">
        <v>0.92</v>
      </c>
      <c r="M45" s="247">
        <f>K45/L45</f>
        <v>1.4673913043478259E-2</v>
      </c>
      <c r="N45" s="1032" t="s">
        <v>1199</v>
      </c>
      <c r="O45" s="1032"/>
      <c r="P45" s="1032"/>
      <c r="Q45" s="542"/>
      <c r="R45" s="247">
        <f>SUM(R43:R43)</f>
        <v>0</v>
      </c>
      <c r="S45" s="542">
        <v>0.92</v>
      </c>
      <c r="T45" s="249">
        <f>R45/S45</f>
        <v>0</v>
      </c>
      <c r="U45" s="471"/>
    </row>
    <row r="46" spans="1:21" ht="15" customHeight="1" x14ac:dyDescent="0.25">
      <c r="A46" s="1029" t="str">
        <f>Итоговая!C23</f>
        <v xml:space="preserve">ПС 35/10 кВ Мартыново </v>
      </c>
      <c r="B46" s="1016">
        <f>Итоговая!D23</f>
        <v>1.6</v>
      </c>
      <c r="C46" s="1005">
        <f>Итоговая!E23</f>
        <v>0</v>
      </c>
      <c r="D46" s="1005">
        <f>Итоговая!F23</f>
        <v>0</v>
      </c>
      <c r="E46" s="1005">
        <f>Итоговая!G23</f>
        <v>0</v>
      </c>
      <c r="F46" s="1006">
        <f>Итоговая!H23</f>
        <v>0</v>
      </c>
      <c r="G46" s="215"/>
      <c r="H46" s="215"/>
      <c r="I46" s="215"/>
      <c r="J46" s="216"/>
      <c r="K46" s="216"/>
      <c r="L46" s="216"/>
      <c r="M46" s="264"/>
      <c r="N46" s="215"/>
      <c r="O46" s="215"/>
      <c r="P46" s="215"/>
      <c r="Q46" s="215"/>
      <c r="R46" s="216"/>
      <c r="S46" s="215"/>
      <c r="T46" s="217"/>
      <c r="U46" s="471"/>
    </row>
    <row r="47" spans="1:21" ht="15" customHeight="1" thickBot="1" x14ac:dyDescent="0.3">
      <c r="A47" s="1031"/>
      <c r="B47" s="1017"/>
      <c r="C47" s="1001"/>
      <c r="D47" s="1001"/>
      <c r="E47" s="1001"/>
      <c r="F47" s="1003"/>
      <c r="G47" s="1032" t="s">
        <v>1199</v>
      </c>
      <c r="H47" s="1032"/>
      <c r="I47" s="1032"/>
      <c r="J47" s="544"/>
      <c r="K47" s="247">
        <f>SUM(K46:K46)</f>
        <v>0</v>
      </c>
      <c r="L47" s="544">
        <v>0.92</v>
      </c>
      <c r="M47" s="247">
        <f>K47/L47</f>
        <v>0</v>
      </c>
      <c r="N47" s="1032" t="s">
        <v>1199</v>
      </c>
      <c r="O47" s="1032"/>
      <c r="P47" s="1032"/>
      <c r="Q47" s="542"/>
      <c r="R47" s="247">
        <f>SUM(R46:R46)</f>
        <v>0</v>
      </c>
      <c r="S47" s="542">
        <v>0.92</v>
      </c>
      <c r="T47" s="249">
        <f>R47/S47</f>
        <v>0</v>
      </c>
      <c r="U47" s="471"/>
    </row>
    <row r="48" spans="1:21" ht="15" customHeight="1" x14ac:dyDescent="0.25">
      <c r="A48" s="1029" t="str">
        <f>Итоговая!C24</f>
        <v xml:space="preserve">ПС 35/10 кВ Михайловское  </v>
      </c>
      <c r="B48" s="1016">
        <f>Итоговая!D24</f>
        <v>2.5</v>
      </c>
      <c r="C48" s="1005">
        <f>Итоговая!E24</f>
        <v>0</v>
      </c>
      <c r="D48" s="1005">
        <f>Итоговая!F24</f>
        <v>0</v>
      </c>
      <c r="E48" s="1005">
        <f>Итоговая!G24</f>
        <v>0</v>
      </c>
      <c r="F48" s="1006">
        <f>Итоговая!H24</f>
        <v>0</v>
      </c>
      <c r="G48" s="992" t="s">
        <v>18518</v>
      </c>
      <c r="H48" s="992"/>
      <c r="I48" s="992"/>
      <c r="J48" s="992"/>
      <c r="K48" s="992"/>
      <c r="L48" s="992"/>
      <c r="M48" s="992"/>
      <c r="N48" s="215"/>
      <c r="O48" s="215"/>
      <c r="P48" s="215"/>
      <c r="Q48" s="215"/>
      <c r="R48" s="216"/>
      <c r="S48" s="215"/>
      <c r="T48" s="217"/>
      <c r="U48" s="471"/>
    </row>
    <row r="49" spans="1:21" ht="15" customHeight="1" x14ac:dyDescent="0.25">
      <c r="A49" s="1030"/>
      <c r="B49" s="1018"/>
      <c r="C49" s="1000"/>
      <c r="D49" s="1000"/>
      <c r="E49" s="1000"/>
      <c r="F49" s="1002"/>
      <c r="G49" s="993" t="s">
        <v>2262</v>
      </c>
      <c r="H49" s="993"/>
      <c r="I49" s="993"/>
      <c r="J49" s="994">
        <f>0.012*0.9</f>
        <v>1.0800000000000001E-2</v>
      </c>
      <c r="K49" s="995"/>
      <c r="L49" s="205"/>
      <c r="M49" s="519"/>
      <c r="N49" s="223"/>
      <c r="O49" s="223"/>
      <c r="P49" s="223"/>
      <c r="Q49" s="223"/>
      <c r="R49" s="224"/>
      <c r="S49" s="223"/>
      <c r="T49" s="225"/>
      <c r="U49" s="471"/>
    </row>
    <row r="50" spans="1:21" ht="15" customHeight="1" thickBot="1" x14ac:dyDescent="0.3">
      <c r="A50" s="1031"/>
      <c r="B50" s="1017"/>
      <c r="C50" s="1001"/>
      <c r="D50" s="1001"/>
      <c r="E50" s="1001"/>
      <c r="F50" s="1003"/>
      <c r="G50" s="1032" t="s">
        <v>1199</v>
      </c>
      <c r="H50" s="1032"/>
      <c r="I50" s="1032"/>
      <c r="J50" s="544"/>
      <c r="K50" s="247">
        <f>SUM(J49)</f>
        <v>1.0800000000000001E-2</v>
      </c>
      <c r="L50" s="544">
        <v>0.92</v>
      </c>
      <c r="M50" s="247">
        <f>K50/L50</f>
        <v>1.173913043478261E-2</v>
      </c>
      <c r="N50" s="1032" t="s">
        <v>1199</v>
      </c>
      <c r="O50" s="1032"/>
      <c r="P50" s="1032"/>
      <c r="Q50" s="542"/>
      <c r="R50" s="247">
        <f>SUM(R48:R48)</f>
        <v>0</v>
      </c>
      <c r="S50" s="542">
        <v>0.92</v>
      </c>
      <c r="T50" s="249">
        <f>R50/S50</f>
        <v>0</v>
      </c>
      <c r="U50" s="471"/>
    </row>
    <row r="51" spans="1:21" ht="15" customHeight="1" x14ac:dyDescent="0.25">
      <c r="A51" s="1029" t="str">
        <f>Итоговая!C25</f>
        <v xml:space="preserve">ПС 35/10 кВ Морозово  </v>
      </c>
      <c r="B51" s="1016">
        <f>Итоговая!D25</f>
        <v>2.5</v>
      </c>
      <c r="C51" s="1005">
        <f>Итоговая!E25</f>
        <v>0</v>
      </c>
      <c r="D51" s="1005">
        <f>Итоговая!F25</f>
        <v>0</v>
      </c>
      <c r="E51" s="1005">
        <f>Итоговая!G25</f>
        <v>0</v>
      </c>
      <c r="F51" s="1006">
        <f>Итоговая!H25</f>
        <v>0</v>
      </c>
      <c r="G51" s="215"/>
      <c r="H51" s="215"/>
      <c r="I51" s="215"/>
      <c r="J51" s="216"/>
      <c r="K51" s="216"/>
      <c r="L51" s="216"/>
      <c r="M51" s="264"/>
      <c r="N51" s="215"/>
      <c r="O51" s="215"/>
      <c r="P51" s="215"/>
      <c r="Q51" s="215"/>
      <c r="R51" s="216"/>
      <c r="S51" s="215"/>
      <c r="T51" s="217"/>
      <c r="U51" s="471"/>
    </row>
    <row r="52" spans="1:21" ht="15" customHeight="1" thickBot="1" x14ac:dyDescent="0.3">
      <c r="A52" s="1031"/>
      <c r="B52" s="1017"/>
      <c r="C52" s="1001"/>
      <c r="D52" s="1001"/>
      <c r="E52" s="1001"/>
      <c r="F52" s="1003"/>
      <c r="G52" s="1032" t="s">
        <v>1199</v>
      </c>
      <c r="H52" s="1032"/>
      <c r="I52" s="1032"/>
      <c r="J52" s="544"/>
      <c r="K52" s="247">
        <f>SUM(K51:K51)</f>
        <v>0</v>
      </c>
      <c r="L52" s="544">
        <v>0.92</v>
      </c>
      <c r="M52" s="247">
        <f>K52/L52</f>
        <v>0</v>
      </c>
      <c r="N52" s="1032" t="s">
        <v>1199</v>
      </c>
      <c r="O52" s="1032"/>
      <c r="P52" s="1032"/>
      <c r="Q52" s="542"/>
      <c r="R52" s="247">
        <f>SUM(R51:R51)</f>
        <v>0</v>
      </c>
      <c r="S52" s="542">
        <v>0.92</v>
      </c>
      <c r="T52" s="249">
        <f>R52/S52</f>
        <v>0</v>
      </c>
      <c r="U52" s="471"/>
    </row>
    <row r="53" spans="1:21" ht="15" customHeight="1" x14ac:dyDescent="0.25">
      <c r="A53" s="1029" t="str">
        <f>Итоговая!C26</f>
        <v xml:space="preserve">ПС 35/10 кВ Поповка </v>
      </c>
      <c r="B53" s="1016">
        <f>Итоговая!D26</f>
        <v>1.6</v>
      </c>
      <c r="C53" s="1005">
        <f>Итоговая!E26</f>
        <v>0</v>
      </c>
      <c r="D53" s="1005">
        <f>Итоговая!F26</f>
        <v>0</v>
      </c>
      <c r="E53" s="1005">
        <f>Итоговая!G26</f>
        <v>0</v>
      </c>
      <c r="F53" s="1006">
        <f>Итоговая!H26</f>
        <v>0</v>
      </c>
      <c r="G53" s="215"/>
      <c r="H53" s="215"/>
      <c r="I53" s="215"/>
      <c r="J53" s="216"/>
      <c r="K53" s="216"/>
      <c r="L53" s="216"/>
      <c r="M53" s="264"/>
      <c r="N53" s="215"/>
      <c r="O53" s="215"/>
      <c r="P53" s="215"/>
      <c r="Q53" s="215"/>
      <c r="R53" s="216"/>
      <c r="S53" s="215"/>
      <c r="T53" s="217"/>
      <c r="U53" s="471"/>
    </row>
    <row r="54" spans="1:21" ht="15" customHeight="1" thickBot="1" x14ac:dyDescent="0.3">
      <c r="A54" s="1031"/>
      <c r="B54" s="1017"/>
      <c r="C54" s="1001"/>
      <c r="D54" s="1001"/>
      <c r="E54" s="1001"/>
      <c r="F54" s="1003"/>
      <c r="G54" s="1032" t="s">
        <v>1199</v>
      </c>
      <c r="H54" s="1032"/>
      <c r="I54" s="1032"/>
      <c r="J54" s="544"/>
      <c r="K54" s="247">
        <f>SUM(K53:K53)</f>
        <v>0</v>
      </c>
      <c r="L54" s="544">
        <v>0.92</v>
      </c>
      <c r="M54" s="247">
        <f>K54/L54</f>
        <v>0</v>
      </c>
      <c r="N54" s="1032" t="s">
        <v>1199</v>
      </c>
      <c r="O54" s="1032"/>
      <c r="P54" s="1032"/>
      <c r="Q54" s="542"/>
      <c r="R54" s="247">
        <f>SUM(R53:R53)</f>
        <v>0</v>
      </c>
      <c r="S54" s="542">
        <v>0.92</v>
      </c>
      <c r="T54" s="249">
        <f>R54/S54</f>
        <v>0</v>
      </c>
      <c r="U54" s="471"/>
    </row>
    <row r="55" spans="1:21" ht="15" customHeight="1" x14ac:dyDescent="0.25">
      <c r="A55" s="1029" t="str">
        <f>Итоговая!C27</f>
        <v xml:space="preserve">ПС 35/10 кВ Романцево </v>
      </c>
      <c r="B55" s="1016">
        <f>Итоговая!D27</f>
        <v>1.6</v>
      </c>
      <c r="C55" s="1005">
        <f>Итоговая!E27</f>
        <v>0</v>
      </c>
      <c r="D55" s="1005">
        <f>Итоговая!F27</f>
        <v>0</v>
      </c>
      <c r="E55" s="1005">
        <f>Итоговая!G27</f>
        <v>0</v>
      </c>
      <c r="F55" s="1006">
        <f>Итоговая!H27</f>
        <v>0</v>
      </c>
      <c r="G55" s="991" t="s">
        <v>1286</v>
      </c>
      <c r="H55" s="991"/>
      <c r="I55" s="991"/>
      <c r="J55" s="991"/>
      <c r="K55" s="991"/>
      <c r="L55" s="991"/>
      <c r="M55" s="991"/>
      <c r="N55" s="477"/>
      <c r="O55" s="477"/>
      <c r="P55" s="477"/>
      <c r="Q55" s="477"/>
      <c r="R55" s="478"/>
      <c r="S55" s="477"/>
      <c r="T55" s="479"/>
      <c r="U55" s="471"/>
    </row>
    <row r="56" spans="1:21" ht="15" customHeight="1" thickBot="1" x14ac:dyDescent="0.3">
      <c r="A56" s="1030"/>
      <c r="B56" s="1018"/>
      <c r="C56" s="1000"/>
      <c r="D56" s="1000"/>
      <c r="E56" s="1000"/>
      <c r="F56" s="1002"/>
      <c r="G56" s="596" t="s">
        <v>1200</v>
      </c>
      <c r="H56" s="596" t="s">
        <v>1201</v>
      </c>
      <c r="I56" s="596" t="s">
        <v>1202</v>
      </c>
      <c r="J56" s="286"/>
      <c r="K56" s="205">
        <v>2.1499999999999998E-2</v>
      </c>
      <c r="L56" s="205"/>
      <c r="M56" s="519"/>
      <c r="N56" s="480"/>
      <c r="O56" s="480"/>
      <c r="P56" s="480"/>
      <c r="Q56" s="480"/>
      <c r="R56" s="481"/>
      <c r="S56" s="480"/>
      <c r="T56" s="482"/>
      <c r="U56" s="471"/>
    </row>
    <row r="57" spans="1:21" ht="15" customHeight="1" x14ac:dyDescent="0.25">
      <c r="A57" s="1030"/>
      <c r="B57" s="1018"/>
      <c r="C57" s="1000"/>
      <c r="D57" s="1000"/>
      <c r="E57" s="1000"/>
      <c r="F57" s="1002"/>
      <c r="G57" s="992" t="s">
        <v>18518</v>
      </c>
      <c r="H57" s="992"/>
      <c r="I57" s="992"/>
      <c r="J57" s="992"/>
      <c r="K57" s="992"/>
      <c r="L57" s="992"/>
      <c r="M57" s="992"/>
      <c r="N57" s="483"/>
      <c r="O57" s="483"/>
      <c r="P57" s="483"/>
      <c r="Q57" s="483"/>
      <c r="R57" s="484"/>
      <c r="S57" s="483"/>
      <c r="T57" s="485"/>
      <c r="U57" s="471"/>
    </row>
    <row r="58" spans="1:21" ht="15" customHeight="1" x14ac:dyDescent="0.25">
      <c r="A58" s="1030"/>
      <c r="B58" s="1018"/>
      <c r="C58" s="1000"/>
      <c r="D58" s="1000"/>
      <c r="E58" s="1000"/>
      <c r="F58" s="1002"/>
      <c r="G58" s="993" t="s">
        <v>2262</v>
      </c>
      <c r="H58" s="993"/>
      <c r="I58" s="993"/>
      <c r="J58" s="994">
        <f>0.007*0.9</f>
        <v>6.3E-3</v>
      </c>
      <c r="K58" s="995"/>
      <c r="L58" s="205"/>
      <c r="M58" s="519"/>
      <c r="N58" s="483"/>
      <c r="O58" s="483"/>
      <c r="P58" s="483"/>
      <c r="Q58" s="483"/>
      <c r="R58" s="484"/>
      <c r="S58" s="483"/>
      <c r="T58" s="485"/>
      <c r="U58" s="471"/>
    </row>
    <row r="59" spans="1:21" ht="15" customHeight="1" thickBot="1" x14ac:dyDescent="0.3">
      <c r="A59" s="1031"/>
      <c r="B59" s="1017"/>
      <c r="C59" s="1001"/>
      <c r="D59" s="1001"/>
      <c r="E59" s="1001"/>
      <c r="F59" s="1003"/>
      <c r="G59" s="1032" t="s">
        <v>1199</v>
      </c>
      <c r="H59" s="1032"/>
      <c r="I59" s="1032"/>
      <c r="J59" s="544"/>
      <c r="K59" s="247">
        <f>SUM(J58)</f>
        <v>6.3E-3</v>
      </c>
      <c r="L59" s="544">
        <v>0.92</v>
      </c>
      <c r="M59" s="247">
        <f>K59/L59</f>
        <v>6.8478260869565214E-3</v>
      </c>
      <c r="N59" s="1032" t="s">
        <v>1199</v>
      </c>
      <c r="O59" s="1032"/>
      <c r="P59" s="1032"/>
      <c r="Q59" s="542"/>
      <c r="R59" s="247">
        <f>SUM(R55:R56)</f>
        <v>0</v>
      </c>
      <c r="S59" s="542">
        <v>0.92</v>
      </c>
      <c r="T59" s="249">
        <f>R59/S59</f>
        <v>0</v>
      </c>
      <c r="U59" s="471"/>
    </row>
    <row r="60" spans="1:21" ht="15" customHeight="1" x14ac:dyDescent="0.25">
      <c r="A60" s="1029" t="str">
        <f>Итоговая!C28</f>
        <v xml:space="preserve">ПС 35/10 кВ Старое Сандово </v>
      </c>
      <c r="B60" s="1016">
        <f>Итоговая!D28</f>
        <v>2.5</v>
      </c>
      <c r="C60" s="1005">
        <f>Итоговая!E28</f>
        <v>0</v>
      </c>
      <c r="D60" s="1005">
        <f>Итоговая!F28</f>
        <v>0</v>
      </c>
      <c r="E60" s="1005">
        <f>Итоговая!G28</f>
        <v>0</v>
      </c>
      <c r="F60" s="1006">
        <f>Итоговая!H28</f>
        <v>0</v>
      </c>
      <c r="G60" s="991"/>
      <c r="H60" s="991"/>
      <c r="I60" s="991"/>
      <c r="J60" s="991"/>
      <c r="K60" s="991"/>
      <c r="L60" s="991"/>
      <c r="M60" s="991"/>
      <c r="N60" s="991" t="s">
        <v>2011</v>
      </c>
      <c r="O60" s="991"/>
      <c r="P60" s="991"/>
      <c r="Q60" s="991"/>
      <c r="R60" s="991"/>
      <c r="S60" s="991"/>
      <c r="T60" s="991"/>
      <c r="U60" s="471"/>
    </row>
    <row r="61" spans="1:21" ht="15" customHeight="1" x14ac:dyDescent="0.25">
      <c r="A61" s="1030"/>
      <c r="B61" s="1018"/>
      <c r="C61" s="1000"/>
      <c r="D61" s="1000"/>
      <c r="E61" s="1000"/>
      <c r="F61" s="1002"/>
      <c r="G61" s="543"/>
      <c r="H61" s="543"/>
      <c r="I61" s="543"/>
      <c r="J61" s="205"/>
      <c r="K61" s="205"/>
      <c r="L61" s="205"/>
      <c r="M61" s="519"/>
      <c r="N61" s="724" t="s">
        <v>2206</v>
      </c>
      <c r="O61" s="724" t="s">
        <v>2207</v>
      </c>
      <c r="P61" s="724" t="s">
        <v>2239</v>
      </c>
      <c r="Q61" s="205"/>
      <c r="R61" s="205">
        <v>0.03</v>
      </c>
      <c r="S61" s="205"/>
      <c r="T61" s="519"/>
      <c r="U61" s="471"/>
    </row>
    <row r="62" spans="1:21" ht="15" customHeight="1" thickBot="1" x14ac:dyDescent="0.3">
      <c r="A62" s="1031"/>
      <c r="B62" s="1017"/>
      <c r="C62" s="1001"/>
      <c r="D62" s="1001"/>
      <c r="E62" s="1001"/>
      <c r="F62" s="1003"/>
      <c r="G62" s="1032" t="s">
        <v>1199</v>
      </c>
      <c r="H62" s="1032"/>
      <c r="I62" s="1032"/>
      <c r="J62" s="544"/>
      <c r="K62" s="247">
        <f>SUM(0)</f>
        <v>0</v>
      </c>
      <c r="L62" s="544">
        <v>0.92</v>
      </c>
      <c r="M62" s="247">
        <f>K62/L62</f>
        <v>0</v>
      </c>
      <c r="N62" s="1032" t="s">
        <v>1199</v>
      </c>
      <c r="O62" s="1032"/>
      <c r="P62" s="1032"/>
      <c r="Q62" s="542"/>
      <c r="R62" s="247">
        <f>SUM(R60:R60)</f>
        <v>0</v>
      </c>
      <c r="S62" s="542">
        <v>0.92</v>
      </c>
      <c r="T62" s="249">
        <f>R62/S62</f>
        <v>0</v>
      </c>
      <c r="U62" s="471"/>
    </row>
    <row r="63" spans="1:21" ht="15" customHeight="1" x14ac:dyDescent="0.25">
      <c r="A63" s="1029" t="str">
        <f>Итоговая!C29</f>
        <v xml:space="preserve">ПС 35/10 кВ Сукромны </v>
      </c>
      <c r="B63" s="1016">
        <f>Итоговая!D29</f>
        <v>1.6</v>
      </c>
      <c r="C63" s="1005">
        <f>Итоговая!E29</f>
        <v>0</v>
      </c>
      <c r="D63" s="1005">
        <f>Итоговая!F29</f>
        <v>0</v>
      </c>
      <c r="E63" s="1005">
        <f>Итоговая!G29</f>
        <v>0</v>
      </c>
      <c r="F63" s="1006">
        <f>Итоговая!H29</f>
        <v>0</v>
      </c>
      <c r="G63" s="986" t="s">
        <v>18850</v>
      </c>
      <c r="H63" s="987"/>
      <c r="I63" s="987"/>
      <c r="J63" s="987"/>
      <c r="K63" s="987"/>
      <c r="L63" s="987"/>
      <c r="M63" s="987"/>
      <c r="N63" s="215"/>
      <c r="O63" s="215"/>
      <c r="P63" s="215"/>
      <c r="Q63" s="215"/>
      <c r="R63" s="216"/>
      <c r="S63" s="215"/>
      <c r="T63" s="217"/>
      <c r="U63" s="471"/>
    </row>
    <row r="64" spans="1:21" ht="15" customHeight="1" x14ac:dyDescent="0.25">
      <c r="A64" s="1030"/>
      <c r="B64" s="1018"/>
      <c r="C64" s="1000"/>
      <c r="D64" s="1000"/>
      <c r="E64" s="1000"/>
      <c r="F64" s="1002"/>
      <c r="G64" s="993" t="s">
        <v>2262</v>
      </c>
      <c r="H64" s="993"/>
      <c r="I64" s="993"/>
      <c r="J64" s="994">
        <f>0.008*0.9</f>
        <v>7.2000000000000007E-3</v>
      </c>
      <c r="K64" s="995"/>
      <c r="L64" s="519"/>
      <c r="M64" s="519"/>
      <c r="N64" s="223"/>
      <c r="O64" s="223"/>
      <c r="P64" s="223"/>
      <c r="Q64" s="223"/>
      <c r="R64" s="224"/>
      <c r="S64" s="223"/>
      <c r="T64" s="225"/>
      <c r="U64" s="471"/>
    </row>
    <row r="65" spans="1:21" ht="15" customHeight="1" thickBot="1" x14ac:dyDescent="0.3">
      <c r="A65" s="1031"/>
      <c r="B65" s="1017"/>
      <c r="C65" s="1001"/>
      <c r="D65" s="1001"/>
      <c r="E65" s="1001"/>
      <c r="F65" s="1003"/>
      <c r="G65" s="1032" t="s">
        <v>1199</v>
      </c>
      <c r="H65" s="1032"/>
      <c r="I65" s="1032"/>
      <c r="J65" s="544"/>
      <c r="K65" s="247">
        <f>SUM(J64)</f>
        <v>7.2000000000000007E-3</v>
      </c>
      <c r="L65" s="544">
        <v>0.92</v>
      </c>
      <c r="M65" s="247">
        <f>K65/L65</f>
        <v>7.8260869565217397E-3</v>
      </c>
      <c r="N65" s="1032" t="s">
        <v>1199</v>
      </c>
      <c r="O65" s="1032"/>
      <c r="P65" s="1032"/>
      <c r="Q65" s="542"/>
      <c r="R65" s="247">
        <f>SUM(R63:R63)</f>
        <v>0</v>
      </c>
      <c r="S65" s="542">
        <v>0.92</v>
      </c>
      <c r="T65" s="249">
        <f>R65/S65</f>
        <v>0</v>
      </c>
      <c r="U65" s="471"/>
    </row>
    <row r="66" spans="1:21" ht="15" customHeight="1" x14ac:dyDescent="0.25">
      <c r="A66" s="1029" t="str">
        <f>Итоговая!C30</f>
        <v xml:space="preserve">ПС 35/10 кВ Теблеши </v>
      </c>
      <c r="B66" s="1016">
        <f>Итоговая!D30</f>
        <v>2.5</v>
      </c>
      <c r="C66" s="1005">
        <f>Итоговая!E30</f>
        <v>0</v>
      </c>
      <c r="D66" s="1005">
        <f>Итоговая!F30</f>
        <v>0</v>
      </c>
      <c r="E66" s="1005">
        <f>Итоговая!G30</f>
        <v>0</v>
      </c>
      <c r="F66" s="1006">
        <f>Итоговая!H30</f>
        <v>0</v>
      </c>
      <c r="G66" s="215"/>
      <c r="H66" s="215"/>
      <c r="I66" s="215"/>
      <c r="J66" s="216"/>
      <c r="K66" s="216"/>
      <c r="L66" s="216"/>
      <c r="M66" s="264"/>
      <c r="N66" s="215"/>
      <c r="O66" s="215"/>
      <c r="P66" s="215"/>
      <c r="Q66" s="215"/>
      <c r="R66" s="216"/>
      <c r="S66" s="215"/>
      <c r="T66" s="217"/>
      <c r="U66" s="471"/>
    </row>
    <row r="67" spans="1:21" ht="15" customHeight="1" thickBot="1" x14ac:dyDescent="0.3">
      <c r="A67" s="1031"/>
      <c r="B67" s="1017"/>
      <c r="C67" s="1001"/>
      <c r="D67" s="1001"/>
      <c r="E67" s="1001"/>
      <c r="F67" s="1003"/>
      <c r="G67" s="1032" t="s">
        <v>1199</v>
      </c>
      <c r="H67" s="1032"/>
      <c r="I67" s="1032"/>
      <c r="J67" s="544"/>
      <c r="K67" s="247">
        <f>SUM(K66:K66)</f>
        <v>0</v>
      </c>
      <c r="L67" s="544">
        <v>0.92</v>
      </c>
      <c r="M67" s="247">
        <f>K67/L67</f>
        <v>0</v>
      </c>
      <c r="N67" s="1032" t="s">
        <v>1199</v>
      </c>
      <c r="O67" s="1032"/>
      <c r="P67" s="1032"/>
      <c r="Q67" s="542"/>
      <c r="R67" s="247">
        <f>SUM(R66:R66)</f>
        <v>0</v>
      </c>
      <c r="S67" s="542">
        <v>0.92</v>
      </c>
      <c r="T67" s="249">
        <f>R67/S67</f>
        <v>0</v>
      </c>
      <c r="U67" s="471"/>
    </row>
    <row r="68" spans="1:21" ht="15" customHeight="1" x14ac:dyDescent="0.25">
      <c r="A68" s="1029" t="str">
        <f>Итоговая!C31</f>
        <v xml:space="preserve">ПС 35/10 кВ Трестна </v>
      </c>
      <c r="B68" s="1016">
        <f>Итоговая!D31</f>
        <v>2.5</v>
      </c>
      <c r="C68" s="1005">
        <f>Итоговая!E31</f>
        <v>0</v>
      </c>
      <c r="D68" s="1005">
        <f>Итоговая!F31</f>
        <v>0</v>
      </c>
      <c r="E68" s="1005">
        <f>Итоговая!G31</f>
        <v>0</v>
      </c>
      <c r="F68" s="1006">
        <f>Итоговая!H31</f>
        <v>0</v>
      </c>
      <c r="G68" s="215"/>
      <c r="H68" s="215"/>
      <c r="I68" s="215"/>
      <c r="J68" s="216"/>
      <c r="K68" s="216"/>
      <c r="L68" s="216"/>
      <c r="M68" s="264"/>
      <c r="N68" s="215"/>
      <c r="O68" s="215"/>
      <c r="P68" s="215"/>
      <c r="Q68" s="215"/>
      <c r="R68" s="216"/>
      <c r="S68" s="215"/>
      <c r="T68" s="217"/>
      <c r="U68" s="471"/>
    </row>
    <row r="69" spans="1:21" ht="15" customHeight="1" thickBot="1" x14ac:dyDescent="0.3">
      <c r="A69" s="1031"/>
      <c r="B69" s="1017"/>
      <c r="C69" s="1001"/>
      <c r="D69" s="1001"/>
      <c r="E69" s="1001"/>
      <c r="F69" s="1003"/>
      <c r="G69" s="1032" t="s">
        <v>1199</v>
      </c>
      <c r="H69" s="1032"/>
      <c r="I69" s="1032"/>
      <c r="J69" s="544"/>
      <c r="K69" s="247">
        <f>SUM(K68:K68)</f>
        <v>0</v>
      </c>
      <c r="L69" s="544">
        <v>0.92</v>
      </c>
      <c r="M69" s="247">
        <f>K69/L69</f>
        <v>0</v>
      </c>
      <c r="N69" s="1032" t="s">
        <v>1199</v>
      </c>
      <c r="O69" s="1032"/>
      <c r="P69" s="1032"/>
      <c r="Q69" s="542"/>
      <c r="R69" s="247">
        <f>SUM(R68:R68)</f>
        <v>0</v>
      </c>
      <c r="S69" s="542">
        <v>0.92</v>
      </c>
      <c r="T69" s="249">
        <f>R69/S69</f>
        <v>0</v>
      </c>
      <c r="U69" s="471"/>
    </row>
    <row r="70" spans="1:21" ht="15" customHeight="1" x14ac:dyDescent="0.25">
      <c r="A70" s="1029" t="str">
        <f>Итоговая!C32</f>
        <v xml:space="preserve">ПС  35/10 кВ Фралёво </v>
      </c>
      <c r="B70" s="1016">
        <f>Итоговая!D32</f>
        <v>4</v>
      </c>
      <c r="C70" s="1005">
        <f>Итоговая!E32</f>
        <v>0</v>
      </c>
      <c r="D70" s="1005">
        <f>Итоговая!F32</f>
        <v>0</v>
      </c>
      <c r="E70" s="1005">
        <f>Итоговая!G32</f>
        <v>0</v>
      </c>
      <c r="F70" s="1006">
        <f>Итоговая!H32</f>
        <v>0</v>
      </c>
      <c r="G70" s="992"/>
      <c r="H70" s="992"/>
      <c r="I70" s="992"/>
      <c r="J70" s="992"/>
      <c r="K70" s="992"/>
      <c r="L70" s="992"/>
      <c r="M70" s="992"/>
      <c r="N70" s="992" t="s">
        <v>2290</v>
      </c>
      <c r="O70" s="992"/>
      <c r="P70" s="992"/>
      <c r="Q70" s="992"/>
      <c r="R70" s="992"/>
      <c r="S70" s="992"/>
      <c r="T70" s="992"/>
      <c r="U70" s="471"/>
    </row>
    <row r="71" spans="1:21" ht="15" customHeight="1" x14ac:dyDescent="0.25">
      <c r="A71" s="1030"/>
      <c r="B71" s="1018"/>
      <c r="C71" s="1000"/>
      <c r="D71" s="1000"/>
      <c r="E71" s="1000"/>
      <c r="F71" s="1002"/>
      <c r="G71" s="543"/>
      <c r="H71" s="543"/>
      <c r="I71" s="543"/>
      <c r="J71" s="205"/>
      <c r="K71" s="205"/>
      <c r="L71" s="205"/>
      <c r="M71" s="519"/>
      <c r="N71" s="724" t="s">
        <v>2408</v>
      </c>
      <c r="O71" s="724" t="s">
        <v>2409</v>
      </c>
      <c r="P71" s="724" t="s">
        <v>14832</v>
      </c>
      <c r="Q71" s="205"/>
      <c r="R71" s="205">
        <f>0.4*0.75</f>
        <v>0.30000000000000004</v>
      </c>
      <c r="S71" s="205"/>
      <c r="T71" s="519"/>
      <c r="U71" s="471"/>
    </row>
    <row r="72" spans="1:21" ht="15" customHeight="1" x14ac:dyDescent="0.25">
      <c r="A72" s="1030"/>
      <c r="B72" s="1018"/>
      <c r="C72" s="1000"/>
      <c r="D72" s="1000"/>
      <c r="E72" s="1000"/>
      <c r="F72" s="1002"/>
      <c r="G72" s="986" t="s">
        <v>18850</v>
      </c>
      <c r="H72" s="987"/>
      <c r="I72" s="987"/>
      <c r="J72" s="987"/>
      <c r="K72" s="987"/>
      <c r="L72" s="987"/>
      <c r="M72" s="987"/>
      <c r="N72" s="557"/>
      <c r="O72" s="557"/>
      <c r="P72" s="557"/>
      <c r="Q72" s="557"/>
      <c r="R72" s="230"/>
      <c r="S72" s="557"/>
      <c r="T72" s="259"/>
      <c r="U72" s="471"/>
    </row>
    <row r="73" spans="1:21" ht="15" customHeight="1" x14ac:dyDescent="0.25">
      <c r="A73" s="1030"/>
      <c r="B73" s="1018"/>
      <c r="C73" s="1000"/>
      <c r="D73" s="1000"/>
      <c r="E73" s="1000"/>
      <c r="F73" s="1002"/>
      <c r="G73" s="993" t="s">
        <v>2262</v>
      </c>
      <c r="H73" s="993"/>
      <c r="I73" s="993"/>
      <c r="J73" s="994">
        <f>0.071*0.9*0.6</f>
        <v>3.8339999999999999E-2</v>
      </c>
      <c r="K73" s="995"/>
      <c r="L73" s="519"/>
      <c r="M73" s="519"/>
      <c r="N73" s="557"/>
      <c r="O73" s="557"/>
      <c r="P73" s="557"/>
      <c r="Q73" s="557"/>
      <c r="R73" s="230"/>
      <c r="S73" s="557"/>
      <c r="T73" s="259"/>
      <c r="U73" s="471"/>
    </row>
    <row r="74" spans="1:21" ht="15" customHeight="1" thickBot="1" x14ac:dyDescent="0.3">
      <c r="A74" s="1031"/>
      <c r="B74" s="1017"/>
      <c r="C74" s="1001"/>
      <c r="D74" s="1001"/>
      <c r="E74" s="1001"/>
      <c r="F74" s="1003"/>
      <c r="G74" s="1032" t="s">
        <v>1199</v>
      </c>
      <c r="H74" s="1032"/>
      <c r="I74" s="1032"/>
      <c r="J74" s="544"/>
      <c r="K74" s="247">
        <f>SUM(J73)</f>
        <v>3.8339999999999999E-2</v>
      </c>
      <c r="L74" s="544">
        <v>0.92</v>
      </c>
      <c r="M74" s="247">
        <f>K74/L74</f>
        <v>4.1673913043478256E-2</v>
      </c>
      <c r="N74" s="1032" t="s">
        <v>1199</v>
      </c>
      <c r="O74" s="1032"/>
      <c r="P74" s="1032"/>
      <c r="Q74" s="542"/>
      <c r="R74" s="247">
        <f>SUM(R70:R70)</f>
        <v>0</v>
      </c>
      <c r="S74" s="542">
        <v>0.92</v>
      </c>
      <c r="T74" s="249">
        <f>R74/S74</f>
        <v>0</v>
      </c>
      <c r="U74" s="471"/>
    </row>
    <row r="75" spans="1:21" s="475" customFormat="1" ht="15" customHeight="1" x14ac:dyDescent="0.25">
      <c r="A75" s="1029" t="str">
        <f>Итоговая!C33</f>
        <v xml:space="preserve">ПС 35/10 кВ Чамерово </v>
      </c>
      <c r="B75" s="1016">
        <f>Итоговая!D33</f>
        <v>1.8</v>
      </c>
      <c r="C75" s="1005">
        <f>Итоговая!E33</f>
        <v>0</v>
      </c>
      <c r="D75" s="1005">
        <f>Итоговая!F33</f>
        <v>0</v>
      </c>
      <c r="E75" s="1005">
        <f>Итоговая!G33</f>
        <v>0</v>
      </c>
      <c r="F75" s="1006">
        <f>Итоговая!H33</f>
        <v>0</v>
      </c>
      <c r="G75" s="992" t="s">
        <v>1288</v>
      </c>
      <c r="H75" s="992"/>
      <c r="I75" s="992"/>
      <c r="J75" s="992"/>
      <c r="K75" s="992"/>
      <c r="L75" s="992"/>
      <c r="M75" s="992"/>
      <c r="N75" s="444"/>
      <c r="O75" s="444"/>
      <c r="P75" s="444"/>
      <c r="Q75" s="444"/>
      <c r="R75" s="473"/>
      <c r="S75" s="444"/>
      <c r="T75" s="474"/>
      <c r="U75" s="471"/>
    </row>
    <row r="76" spans="1:21" ht="15" customHeight="1" x14ac:dyDescent="0.25">
      <c r="A76" s="1030"/>
      <c r="B76" s="1018"/>
      <c r="C76" s="1000"/>
      <c r="D76" s="1000"/>
      <c r="E76" s="1000"/>
      <c r="F76" s="1002"/>
      <c r="G76" s="543" t="s">
        <v>1203</v>
      </c>
      <c r="H76" s="543" t="s">
        <v>1204</v>
      </c>
      <c r="I76" s="543" t="s">
        <v>1205</v>
      </c>
      <c r="J76" s="205"/>
      <c r="K76" s="205">
        <v>4.4999999999999998E-2</v>
      </c>
      <c r="L76" s="205"/>
      <c r="M76" s="519"/>
      <c r="N76" s="272"/>
      <c r="O76" s="272"/>
      <c r="P76" s="272"/>
      <c r="Q76" s="272"/>
      <c r="R76" s="273"/>
      <c r="S76" s="272"/>
      <c r="T76" s="476"/>
      <c r="U76" s="471"/>
    </row>
    <row r="77" spans="1:21" ht="15" customHeight="1" x14ac:dyDescent="0.25">
      <c r="A77" s="1030"/>
      <c r="B77" s="1018"/>
      <c r="C77" s="1000"/>
      <c r="D77" s="1000"/>
      <c r="E77" s="1000"/>
      <c r="F77" s="1002"/>
      <c r="G77" s="996" t="s">
        <v>1287</v>
      </c>
      <c r="H77" s="996"/>
      <c r="I77" s="996"/>
      <c r="J77" s="996"/>
      <c r="K77" s="996"/>
      <c r="L77" s="996"/>
      <c r="M77" s="996"/>
      <c r="N77" s="272"/>
      <c r="O77" s="272"/>
      <c r="P77" s="272"/>
      <c r="Q77" s="272"/>
      <c r="R77" s="273"/>
      <c r="S77" s="272"/>
      <c r="T77" s="476"/>
      <c r="U77" s="471"/>
    </row>
    <row r="78" spans="1:21" ht="15" customHeight="1" x14ac:dyDescent="0.25">
      <c r="A78" s="1030"/>
      <c r="B78" s="1018"/>
      <c r="C78" s="1000"/>
      <c r="D78" s="1000"/>
      <c r="E78" s="1000"/>
      <c r="F78" s="1002"/>
      <c r="G78" s="543" t="s">
        <v>1206</v>
      </c>
      <c r="H78" s="543" t="s">
        <v>1207</v>
      </c>
      <c r="I78" s="543" t="s">
        <v>1208</v>
      </c>
      <c r="J78" s="205"/>
      <c r="K78" s="205">
        <v>0.2</v>
      </c>
      <c r="L78" s="205"/>
      <c r="M78" s="519"/>
      <c r="N78" s="272"/>
      <c r="O78" s="272"/>
      <c r="P78" s="272"/>
      <c r="Q78" s="272"/>
      <c r="R78" s="273"/>
      <c r="S78" s="272"/>
      <c r="T78" s="476"/>
      <c r="U78" s="471"/>
    </row>
    <row r="79" spans="1:21" ht="15" customHeight="1" x14ac:dyDescent="0.25">
      <c r="A79" s="1030"/>
      <c r="B79" s="1018"/>
      <c r="C79" s="1000"/>
      <c r="D79" s="1000"/>
      <c r="E79" s="1000"/>
      <c r="F79" s="1002"/>
      <c r="G79" s="996" t="s">
        <v>2290</v>
      </c>
      <c r="H79" s="996"/>
      <c r="I79" s="996"/>
      <c r="J79" s="996"/>
      <c r="K79" s="996"/>
      <c r="L79" s="996"/>
      <c r="M79" s="996"/>
      <c r="N79" s="272"/>
      <c r="O79" s="272"/>
      <c r="P79" s="272"/>
      <c r="Q79" s="272"/>
      <c r="R79" s="273"/>
      <c r="S79" s="272"/>
      <c r="T79" s="476"/>
      <c r="U79" s="471"/>
    </row>
    <row r="80" spans="1:21" ht="15" customHeight="1" x14ac:dyDescent="0.25">
      <c r="A80" s="1030"/>
      <c r="B80" s="1018"/>
      <c r="C80" s="1000"/>
      <c r="D80" s="1000"/>
      <c r="E80" s="1000"/>
      <c r="F80" s="1002"/>
      <c r="G80" s="543" t="s">
        <v>2352</v>
      </c>
      <c r="H80" s="543" t="s">
        <v>2353</v>
      </c>
      <c r="I80" s="543" t="s">
        <v>13392</v>
      </c>
      <c r="J80" s="205"/>
      <c r="K80" s="205">
        <f>0.075*0.75</f>
        <v>5.6249999999999994E-2</v>
      </c>
      <c r="L80" s="205"/>
      <c r="M80" s="519"/>
      <c r="N80" s="272"/>
      <c r="O80" s="272"/>
      <c r="P80" s="272"/>
      <c r="Q80" s="272"/>
      <c r="R80" s="273"/>
      <c r="S80" s="272"/>
      <c r="T80" s="476"/>
      <c r="U80" s="471"/>
    </row>
    <row r="81" spans="1:21" ht="15" customHeight="1" x14ac:dyDescent="0.25">
      <c r="A81" s="1030"/>
      <c r="B81" s="1018"/>
      <c r="C81" s="1000"/>
      <c r="D81" s="1000"/>
      <c r="E81" s="1000"/>
      <c r="F81" s="1002"/>
      <c r="G81" s="986" t="s">
        <v>18850</v>
      </c>
      <c r="H81" s="987"/>
      <c r="I81" s="987"/>
      <c r="J81" s="987"/>
      <c r="K81" s="987"/>
      <c r="L81" s="987"/>
      <c r="M81" s="987"/>
      <c r="N81" s="292"/>
      <c r="O81" s="292"/>
      <c r="P81" s="292"/>
      <c r="Q81" s="292"/>
      <c r="R81" s="448"/>
      <c r="S81" s="292"/>
      <c r="T81" s="486"/>
      <c r="U81" s="471"/>
    </row>
    <row r="82" spans="1:21" ht="15" customHeight="1" x14ac:dyDescent="0.25">
      <c r="A82" s="1030"/>
      <c r="B82" s="1018"/>
      <c r="C82" s="1000"/>
      <c r="D82" s="1000"/>
      <c r="E82" s="1000"/>
      <c r="F82" s="1002"/>
      <c r="G82" s="993" t="s">
        <v>2262</v>
      </c>
      <c r="H82" s="993"/>
      <c r="I82" s="993"/>
      <c r="J82" s="994">
        <f>0.159*0.9*0.6</f>
        <v>8.5860000000000006E-2</v>
      </c>
      <c r="K82" s="995"/>
      <c r="L82" s="519"/>
      <c r="M82" s="519"/>
      <c r="N82" s="292"/>
      <c r="O82" s="292"/>
      <c r="P82" s="292"/>
      <c r="Q82" s="292"/>
      <c r="R82" s="448"/>
      <c r="S82" s="292"/>
      <c r="T82" s="486"/>
      <c r="U82" s="471"/>
    </row>
    <row r="83" spans="1:21" ht="15" customHeight="1" thickBot="1" x14ac:dyDescent="0.3">
      <c r="A83" s="1031"/>
      <c r="B83" s="1017"/>
      <c r="C83" s="1001"/>
      <c r="D83" s="1001"/>
      <c r="E83" s="1001"/>
      <c r="F83" s="1003"/>
      <c r="G83" s="1032" t="s">
        <v>1199</v>
      </c>
      <c r="H83" s="1032"/>
      <c r="I83" s="1032"/>
      <c r="J83" s="544"/>
      <c r="K83" s="247">
        <f>SUM(J82)</f>
        <v>8.5860000000000006E-2</v>
      </c>
      <c r="L83" s="544">
        <v>0.92</v>
      </c>
      <c r="M83" s="247">
        <f>K83/L83</f>
        <v>9.3326086956521739E-2</v>
      </c>
      <c r="N83" s="1032" t="s">
        <v>1199</v>
      </c>
      <c r="O83" s="1032"/>
      <c r="P83" s="1032"/>
      <c r="Q83" s="542"/>
      <c r="R83" s="247">
        <f>SUM(0)</f>
        <v>0</v>
      </c>
      <c r="S83" s="542">
        <v>0.92</v>
      </c>
      <c r="T83" s="249">
        <f>R83/S83</f>
        <v>0</v>
      </c>
      <c r="U83" s="471"/>
    </row>
    <row r="84" spans="1:21" ht="15" customHeight="1" x14ac:dyDescent="0.25">
      <c r="A84" s="1029" t="str">
        <f>Итоговая!C34</f>
        <v xml:space="preserve">ПС 110/10 кВ Ахматово </v>
      </c>
      <c r="B84" s="1016">
        <f>Итоговая!D34</f>
        <v>2.5</v>
      </c>
      <c r="C84" s="1005">
        <f>Итоговая!E34</f>
        <v>0</v>
      </c>
      <c r="D84" s="1005">
        <f>Итоговая!F34</f>
        <v>0</v>
      </c>
      <c r="E84" s="1005">
        <f>Итоговая!G34</f>
        <v>0</v>
      </c>
      <c r="F84" s="1006">
        <f>Итоговая!H34</f>
        <v>0</v>
      </c>
      <c r="G84" s="215"/>
      <c r="H84" s="215"/>
      <c r="I84" s="215"/>
      <c r="J84" s="216"/>
      <c r="K84" s="216"/>
      <c r="L84" s="216"/>
      <c r="M84" s="264"/>
      <c r="N84" s="215"/>
      <c r="O84" s="215"/>
      <c r="P84" s="215"/>
      <c r="Q84" s="215"/>
      <c r="R84" s="216"/>
      <c r="S84" s="215"/>
      <c r="T84" s="217"/>
      <c r="U84" s="471"/>
    </row>
    <row r="85" spans="1:21" ht="15" customHeight="1" thickBot="1" x14ac:dyDescent="0.3">
      <c r="A85" s="1031"/>
      <c r="B85" s="1017"/>
      <c r="C85" s="1001"/>
      <c r="D85" s="1001"/>
      <c r="E85" s="1001"/>
      <c r="F85" s="1003"/>
      <c r="G85" s="1032" t="s">
        <v>1199</v>
      </c>
      <c r="H85" s="1032"/>
      <c r="I85" s="1032"/>
      <c r="J85" s="544"/>
      <c r="K85" s="247">
        <f>SUM(K84:K84)</f>
        <v>0</v>
      </c>
      <c r="L85" s="544">
        <v>0.92</v>
      </c>
      <c r="M85" s="247">
        <f>K85/L85</f>
        <v>0</v>
      </c>
      <c r="N85" s="1032" t="s">
        <v>1199</v>
      </c>
      <c r="O85" s="1032"/>
      <c r="P85" s="1032"/>
      <c r="Q85" s="542"/>
      <c r="R85" s="247">
        <f>SUM(R84:R84)</f>
        <v>0</v>
      </c>
      <c r="S85" s="542">
        <v>0.92</v>
      </c>
      <c r="T85" s="249">
        <f>R85/S85</f>
        <v>0</v>
      </c>
      <c r="U85" s="471"/>
    </row>
    <row r="86" spans="1:21" ht="15" customHeight="1" x14ac:dyDescent="0.25">
      <c r="A86" s="1029" t="str">
        <f>Итоговая!C35</f>
        <v xml:space="preserve">ПС 110/10 кВ Кладово </v>
      </c>
      <c r="B86" s="1016">
        <f>Итоговая!D35</f>
        <v>6.3</v>
      </c>
      <c r="C86" s="1005">
        <f>Итоговая!E35</f>
        <v>0</v>
      </c>
      <c r="D86" s="1005">
        <f>Итоговая!F35</f>
        <v>0</v>
      </c>
      <c r="E86" s="1005">
        <f>Итоговая!G35</f>
        <v>0</v>
      </c>
      <c r="F86" s="1006">
        <f>Итоговая!H35</f>
        <v>0</v>
      </c>
      <c r="G86" s="986" t="s">
        <v>18850</v>
      </c>
      <c r="H86" s="987"/>
      <c r="I86" s="987"/>
      <c r="J86" s="987"/>
      <c r="K86" s="987"/>
      <c r="L86" s="987"/>
      <c r="M86" s="987"/>
      <c r="N86" s="215"/>
      <c r="O86" s="215"/>
      <c r="P86" s="215"/>
      <c r="Q86" s="215"/>
      <c r="R86" s="264"/>
      <c r="S86" s="215"/>
      <c r="T86" s="217"/>
      <c r="U86" s="471"/>
    </row>
    <row r="87" spans="1:21" ht="15" customHeight="1" x14ac:dyDescent="0.25">
      <c r="A87" s="1030"/>
      <c r="B87" s="1018"/>
      <c r="C87" s="1000"/>
      <c r="D87" s="1000"/>
      <c r="E87" s="1000"/>
      <c r="F87" s="1002"/>
      <c r="G87" s="993" t="s">
        <v>2262</v>
      </c>
      <c r="H87" s="993"/>
      <c r="I87" s="993"/>
      <c r="J87" s="994">
        <f>0.046*0.9*0.6</f>
        <v>2.4839999999999997E-2</v>
      </c>
      <c r="K87" s="995"/>
      <c r="L87" s="519"/>
      <c r="M87" s="519"/>
      <c r="N87" s="223"/>
      <c r="O87" s="223"/>
      <c r="P87" s="223"/>
      <c r="Q87" s="223"/>
      <c r="R87" s="376"/>
      <c r="S87" s="223"/>
      <c r="T87" s="225"/>
      <c r="U87" s="471"/>
    </row>
    <row r="88" spans="1:21" ht="15" customHeight="1" thickBot="1" x14ac:dyDescent="0.3">
      <c r="A88" s="1031"/>
      <c r="B88" s="1017"/>
      <c r="C88" s="1001"/>
      <c r="D88" s="1001"/>
      <c r="E88" s="1001"/>
      <c r="F88" s="1003"/>
      <c r="G88" s="1032" t="s">
        <v>1199</v>
      </c>
      <c r="H88" s="1032"/>
      <c r="I88" s="1032"/>
      <c r="J88" s="544"/>
      <c r="K88" s="247">
        <f>SUM(J87)</f>
        <v>2.4839999999999997E-2</v>
      </c>
      <c r="L88" s="544">
        <v>0.92</v>
      </c>
      <c r="M88" s="247">
        <f>K88/L88</f>
        <v>2.6999999999999996E-2</v>
      </c>
      <c r="N88" s="1032" t="s">
        <v>1199</v>
      </c>
      <c r="O88" s="1032"/>
      <c r="P88" s="1032"/>
      <c r="Q88" s="542"/>
      <c r="R88" s="247">
        <f>SUM(R86:R86)</f>
        <v>0</v>
      </c>
      <c r="S88" s="542">
        <v>0.92</v>
      </c>
      <c r="T88" s="249">
        <f>R88/S88</f>
        <v>0</v>
      </c>
      <c r="U88" s="471"/>
    </row>
    <row r="89" spans="1:21" ht="15" customHeight="1" x14ac:dyDescent="0.25">
      <c r="A89" s="1029" t="str">
        <f>Итоговая!C36</f>
        <v xml:space="preserve">ПС 110/10 кВ Лаптиха </v>
      </c>
      <c r="B89" s="1016">
        <f>Итоговая!D36</f>
        <v>2.5</v>
      </c>
      <c r="C89" s="1005">
        <f>Итоговая!E36</f>
        <v>0</v>
      </c>
      <c r="D89" s="1005">
        <f>Итоговая!F36</f>
        <v>0</v>
      </c>
      <c r="E89" s="1005">
        <f>Итоговая!G36</f>
        <v>0</v>
      </c>
      <c r="F89" s="1006">
        <f>Итоговая!H36</f>
        <v>0</v>
      </c>
      <c r="G89" s="986" t="s">
        <v>18850</v>
      </c>
      <c r="H89" s="987"/>
      <c r="I89" s="987"/>
      <c r="J89" s="987"/>
      <c r="K89" s="987"/>
      <c r="L89" s="987"/>
      <c r="M89" s="987"/>
      <c r="N89" s="215"/>
      <c r="O89" s="215"/>
      <c r="P89" s="215"/>
      <c r="Q89" s="215"/>
      <c r="R89" s="216"/>
      <c r="S89" s="215"/>
      <c r="T89" s="217"/>
      <c r="U89" s="471"/>
    </row>
    <row r="90" spans="1:21" ht="15" customHeight="1" x14ac:dyDescent="0.25">
      <c r="A90" s="1030"/>
      <c r="B90" s="1018"/>
      <c r="C90" s="1000"/>
      <c r="D90" s="1000"/>
      <c r="E90" s="1000"/>
      <c r="F90" s="1002"/>
      <c r="G90" s="993" t="s">
        <v>2262</v>
      </c>
      <c r="H90" s="993"/>
      <c r="I90" s="993"/>
      <c r="J90" s="994">
        <f>0.046*0.9*0.6</f>
        <v>2.4839999999999997E-2</v>
      </c>
      <c r="K90" s="995"/>
      <c r="L90" s="519"/>
      <c r="M90" s="519"/>
      <c r="N90" s="223"/>
      <c r="O90" s="223"/>
      <c r="P90" s="223"/>
      <c r="Q90" s="223"/>
      <c r="R90" s="224"/>
      <c r="S90" s="223"/>
      <c r="T90" s="225"/>
      <c r="U90" s="471"/>
    </row>
    <row r="91" spans="1:21" ht="15" customHeight="1" thickBot="1" x14ac:dyDescent="0.3">
      <c r="A91" s="1031"/>
      <c r="B91" s="1017"/>
      <c r="C91" s="1001"/>
      <c r="D91" s="1001"/>
      <c r="E91" s="1001"/>
      <c r="F91" s="1003"/>
      <c r="G91" s="1032" t="s">
        <v>1199</v>
      </c>
      <c r="H91" s="1032"/>
      <c r="I91" s="1032"/>
      <c r="J91" s="544"/>
      <c r="K91" s="247">
        <f>SUM(J90)</f>
        <v>2.4839999999999997E-2</v>
      </c>
      <c r="L91" s="544">
        <v>0.92</v>
      </c>
      <c r="M91" s="247">
        <f>K91/L91</f>
        <v>2.6999999999999996E-2</v>
      </c>
      <c r="N91" s="1032" t="s">
        <v>1199</v>
      </c>
      <c r="O91" s="1032"/>
      <c r="P91" s="1032"/>
      <c r="Q91" s="542"/>
      <c r="R91" s="247">
        <f>SUM(R89:R89)</f>
        <v>0</v>
      </c>
      <c r="S91" s="542">
        <v>0.92</v>
      </c>
      <c r="T91" s="249">
        <f>R91/S91</f>
        <v>0</v>
      </c>
      <c r="U91" s="471"/>
    </row>
    <row r="92" spans="1:21" s="475" customFormat="1" ht="15" customHeight="1" x14ac:dyDescent="0.25">
      <c r="A92" s="1029" t="str">
        <f>Итоговая!C37</f>
        <v xml:space="preserve">ПС 110/10 кВ Малышево </v>
      </c>
      <c r="B92" s="1016">
        <f>Итоговая!D37</f>
        <v>2.5</v>
      </c>
      <c r="C92" s="1005">
        <f>Итоговая!E37</f>
        <v>0</v>
      </c>
      <c r="D92" s="1005">
        <f>Итоговая!F37</f>
        <v>0</v>
      </c>
      <c r="E92" s="1005">
        <f>Итоговая!G37</f>
        <v>0</v>
      </c>
      <c r="F92" s="1006">
        <f>Итоговая!H37</f>
        <v>0</v>
      </c>
      <c r="G92" s="992" t="s">
        <v>1287</v>
      </c>
      <c r="H92" s="992"/>
      <c r="I92" s="992"/>
      <c r="J92" s="992"/>
      <c r="K92" s="992"/>
      <c r="L92" s="992"/>
      <c r="M92" s="992"/>
      <c r="N92" s="444"/>
      <c r="O92" s="444"/>
      <c r="P92" s="444"/>
      <c r="Q92" s="444"/>
      <c r="R92" s="473"/>
      <c r="S92" s="444"/>
      <c r="T92" s="474"/>
      <c r="U92" s="471"/>
    </row>
    <row r="93" spans="1:21" ht="15" customHeight="1" x14ac:dyDescent="0.25">
      <c r="A93" s="1030"/>
      <c r="B93" s="1018"/>
      <c r="C93" s="1000"/>
      <c r="D93" s="1000"/>
      <c r="E93" s="1000"/>
      <c r="F93" s="1002"/>
      <c r="G93" s="543" t="s">
        <v>1223</v>
      </c>
      <c r="H93" s="543" t="s">
        <v>1224</v>
      </c>
      <c r="I93" s="543" t="s">
        <v>1225</v>
      </c>
      <c r="J93" s="205"/>
      <c r="K93" s="205">
        <f>0.025*0.75</f>
        <v>1.8750000000000003E-2</v>
      </c>
      <c r="L93" s="205"/>
      <c r="M93" s="519"/>
      <c r="N93" s="272"/>
      <c r="O93" s="272"/>
      <c r="P93" s="272"/>
      <c r="Q93" s="272"/>
      <c r="R93" s="273"/>
      <c r="S93" s="272"/>
      <c r="T93" s="476"/>
      <c r="U93" s="471"/>
    </row>
    <row r="94" spans="1:21" ht="15" customHeight="1" x14ac:dyDescent="0.25">
      <c r="A94" s="1030"/>
      <c r="B94" s="1018"/>
      <c r="C94" s="1000"/>
      <c r="D94" s="1000"/>
      <c r="E94" s="1000"/>
      <c r="F94" s="1002"/>
      <c r="G94" s="986" t="s">
        <v>18850</v>
      </c>
      <c r="H94" s="987"/>
      <c r="I94" s="987"/>
      <c r="J94" s="987"/>
      <c r="K94" s="987"/>
      <c r="L94" s="987"/>
      <c r="M94" s="987"/>
      <c r="N94" s="292"/>
      <c r="O94" s="292"/>
      <c r="P94" s="292"/>
      <c r="Q94" s="292"/>
      <c r="R94" s="448"/>
      <c r="S94" s="292"/>
      <c r="T94" s="486"/>
      <c r="U94" s="471"/>
    </row>
    <row r="95" spans="1:21" ht="15" customHeight="1" x14ac:dyDescent="0.25">
      <c r="A95" s="1030"/>
      <c r="B95" s="1018"/>
      <c r="C95" s="1000"/>
      <c r="D95" s="1000"/>
      <c r="E95" s="1000"/>
      <c r="F95" s="1002"/>
      <c r="G95" s="302" t="s">
        <v>19624</v>
      </c>
      <c r="H95" s="370" t="s">
        <v>19625</v>
      </c>
      <c r="I95" s="370" t="s">
        <v>19626</v>
      </c>
      <c r="J95" s="370">
        <f>0.02*0.9</f>
        <v>1.8000000000000002E-2</v>
      </c>
      <c r="K95" s="370"/>
      <c r="L95" s="370"/>
      <c r="M95" s="370"/>
      <c r="N95" s="292"/>
      <c r="O95" s="292"/>
      <c r="P95" s="292"/>
      <c r="Q95" s="292"/>
      <c r="R95" s="448"/>
      <c r="S95" s="292"/>
      <c r="T95" s="486"/>
      <c r="U95" s="471"/>
    </row>
    <row r="96" spans="1:21" ht="15" customHeight="1" x14ac:dyDescent="0.25">
      <c r="A96" s="1030"/>
      <c r="B96" s="1018"/>
      <c r="C96" s="1000"/>
      <c r="D96" s="1000"/>
      <c r="E96" s="1000"/>
      <c r="F96" s="1002"/>
      <c r="G96" s="993" t="s">
        <v>2262</v>
      </c>
      <c r="H96" s="993"/>
      <c r="I96" s="993"/>
      <c r="J96" s="994">
        <f>0.031*0.9*0.6</f>
        <v>1.6740000000000001E-2</v>
      </c>
      <c r="K96" s="995"/>
      <c r="L96" s="519"/>
      <c r="M96" s="519"/>
      <c r="N96" s="292"/>
      <c r="O96" s="292"/>
      <c r="P96" s="292"/>
      <c r="Q96" s="292"/>
      <c r="R96" s="448"/>
      <c r="S96" s="292"/>
      <c r="T96" s="486"/>
      <c r="U96" s="471"/>
    </row>
    <row r="97" spans="1:21" ht="15" customHeight="1" thickBot="1" x14ac:dyDescent="0.3">
      <c r="A97" s="1031"/>
      <c r="B97" s="1017"/>
      <c r="C97" s="1001"/>
      <c r="D97" s="1001"/>
      <c r="E97" s="1001"/>
      <c r="F97" s="1003"/>
      <c r="G97" s="1032" t="s">
        <v>1199</v>
      </c>
      <c r="H97" s="1032"/>
      <c r="I97" s="1032"/>
      <c r="J97" s="544"/>
      <c r="K97" s="247">
        <f>SUM(J95:K96)</f>
        <v>3.4740000000000007E-2</v>
      </c>
      <c r="L97" s="544">
        <v>0.92</v>
      </c>
      <c r="M97" s="247">
        <f>K97/L97</f>
        <v>3.7760869565217396E-2</v>
      </c>
      <c r="N97" s="1032" t="s">
        <v>1199</v>
      </c>
      <c r="O97" s="1032"/>
      <c r="P97" s="1032"/>
      <c r="Q97" s="542"/>
      <c r="R97" s="247">
        <f>SUM(0)</f>
        <v>0</v>
      </c>
      <c r="S97" s="542">
        <v>0.92</v>
      </c>
      <c r="T97" s="249">
        <f>R97/S97</f>
        <v>0</v>
      </c>
      <c r="U97" s="471"/>
    </row>
    <row r="98" spans="1:21" ht="15" customHeight="1" x14ac:dyDescent="0.25">
      <c r="A98" s="1029" t="str">
        <f>Итоговая!C38</f>
        <v xml:space="preserve">ПС 110/10 кВ Старт </v>
      </c>
      <c r="B98" s="1016">
        <f>Итоговая!D38</f>
        <v>16</v>
      </c>
      <c r="C98" s="1005">
        <f>Итоговая!E38</f>
        <v>0</v>
      </c>
      <c r="D98" s="1005">
        <f>Итоговая!F38</f>
        <v>0</v>
      </c>
      <c r="E98" s="1005">
        <f>Итоговая!G38</f>
        <v>0</v>
      </c>
      <c r="F98" s="1006">
        <f>Итоговая!H38</f>
        <v>0</v>
      </c>
      <c r="G98" s="992" t="s">
        <v>1286</v>
      </c>
      <c r="H98" s="992"/>
      <c r="I98" s="992"/>
      <c r="J98" s="992"/>
      <c r="K98" s="992"/>
      <c r="L98" s="992"/>
      <c r="M98" s="992"/>
      <c r="N98" s="444"/>
      <c r="O98" s="444"/>
      <c r="P98" s="444"/>
      <c r="Q98" s="444"/>
      <c r="R98" s="473"/>
      <c r="S98" s="444"/>
      <c r="T98" s="474"/>
      <c r="U98" s="471"/>
    </row>
    <row r="99" spans="1:21" ht="15" customHeight="1" x14ac:dyDescent="0.25">
      <c r="A99" s="1030"/>
      <c r="B99" s="1018"/>
      <c r="C99" s="1000"/>
      <c r="D99" s="1000"/>
      <c r="E99" s="1000"/>
      <c r="F99" s="1002"/>
      <c r="G99" s="543" t="s">
        <v>1196</v>
      </c>
      <c r="H99" s="543" t="s">
        <v>1197</v>
      </c>
      <c r="I99" s="543" t="s">
        <v>1198</v>
      </c>
      <c r="J99" s="205"/>
      <c r="K99" s="205">
        <v>0.03</v>
      </c>
      <c r="L99" s="205"/>
      <c r="M99" s="519"/>
      <c r="N99" s="548"/>
      <c r="O99" s="548"/>
      <c r="P99" s="548"/>
      <c r="Q99" s="548"/>
      <c r="R99" s="519"/>
      <c r="S99" s="548"/>
      <c r="T99" s="241"/>
      <c r="U99" s="471"/>
    </row>
    <row r="100" spans="1:21" ht="15" customHeight="1" x14ac:dyDescent="0.25">
      <c r="A100" s="1030"/>
      <c r="B100" s="1018"/>
      <c r="C100" s="1000"/>
      <c r="D100" s="1000"/>
      <c r="E100" s="1000"/>
      <c r="F100" s="1002"/>
      <c r="G100" s="986" t="s">
        <v>2315</v>
      </c>
      <c r="H100" s="987"/>
      <c r="I100" s="987"/>
      <c r="J100" s="987"/>
      <c r="K100" s="987"/>
      <c r="L100" s="987"/>
      <c r="M100" s="987"/>
      <c r="N100" s="548"/>
      <c r="O100" s="548"/>
      <c r="P100" s="548"/>
      <c r="Q100" s="548"/>
      <c r="R100" s="519"/>
      <c r="S100" s="548"/>
      <c r="T100" s="241"/>
      <c r="U100" s="471"/>
    </row>
    <row r="101" spans="1:21" ht="15" customHeight="1" x14ac:dyDescent="0.25">
      <c r="A101" s="1030"/>
      <c r="B101" s="1018"/>
      <c r="C101" s="1000"/>
      <c r="D101" s="1000"/>
      <c r="E101" s="1000"/>
      <c r="F101" s="1002"/>
      <c r="G101" s="543" t="s">
        <v>2280</v>
      </c>
      <c r="H101" s="543" t="s">
        <v>2281</v>
      </c>
      <c r="I101" s="543" t="s">
        <v>2322</v>
      </c>
      <c r="J101" s="205"/>
      <c r="K101" s="205">
        <f>(0.1-0.015)*0.75</f>
        <v>6.3750000000000001E-2</v>
      </c>
      <c r="L101" s="205"/>
      <c r="M101" s="519"/>
      <c r="N101" s="548"/>
      <c r="O101" s="548"/>
      <c r="P101" s="548"/>
      <c r="Q101" s="548"/>
      <c r="R101" s="519"/>
      <c r="S101" s="548"/>
      <c r="T101" s="241"/>
      <c r="U101" s="471"/>
    </row>
    <row r="102" spans="1:21" ht="15" customHeight="1" x14ac:dyDescent="0.25">
      <c r="A102" s="1030"/>
      <c r="B102" s="1018"/>
      <c r="C102" s="1000"/>
      <c r="D102" s="1000"/>
      <c r="E102" s="1000"/>
      <c r="F102" s="1002"/>
      <c r="G102" s="986" t="s">
        <v>18850</v>
      </c>
      <c r="H102" s="987"/>
      <c r="I102" s="987"/>
      <c r="J102" s="987"/>
      <c r="K102" s="987"/>
      <c r="L102" s="987"/>
      <c r="M102" s="987"/>
      <c r="N102" s="269"/>
      <c r="O102" s="269"/>
      <c r="P102" s="269"/>
      <c r="Q102" s="269"/>
      <c r="R102" s="594"/>
      <c r="S102" s="269"/>
      <c r="T102" s="259"/>
      <c r="U102" s="471"/>
    </row>
    <row r="103" spans="1:21" ht="15" customHeight="1" x14ac:dyDescent="0.25">
      <c r="A103" s="1030"/>
      <c r="B103" s="1018"/>
      <c r="C103" s="1000"/>
      <c r="D103" s="1000"/>
      <c r="E103" s="1000"/>
      <c r="F103" s="1002"/>
      <c r="G103" s="993" t="s">
        <v>2262</v>
      </c>
      <c r="H103" s="993"/>
      <c r="I103" s="993"/>
      <c r="J103" s="994">
        <f>0.078*0.9*0.6</f>
        <v>4.2119999999999998E-2</v>
      </c>
      <c r="K103" s="995"/>
      <c r="L103" s="519"/>
      <c r="M103" s="519"/>
      <c r="N103" s="269"/>
      <c r="O103" s="269"/>
      <c r="P103" s="269"/>
      <c r="Q103" s="269"/>
      <c r="R103" s="594"/>
      <c r="S103" s="269"/>
      <c r="T103" s="259"/>
      <c r="U103" s="471"/>
    </row>
    <row r="104" spans="1:21" ht="15" customHeight="1" thickBot="1" x14ac:dyDescent="0.3">
      <c r="A104" s="1031"/>
      <c r="B104" s="1017"/>
      <c r="C104" s="1001"/>
      <c r="D104" s="1001"/>
      <c r="E104" s="1001"/>
      <c r="F104" s="1003"/>
      <c r="G104" s="1032" t="s">
        <v>1199</v>
      </c>
      <c r="H104" s="1032"/>
      <c r="I104" s="1032"/>
      <c r="J104" s="544"/>
      <c r="K104" s="247">
        <f>SUM(J102:K103)</f>
        <v>4.2119999999999998E-2</v>
      </c>
      <c r="L104" s="544">
        <v>0.92</v>
      </c>
      <c r="M104" s="247">
        <f>K104/L104</f>
        <v>4.578260869565217E-2</v>
      </c>
      <c r="N104" s="1032" t="s">
        <v>1199</v>
      </c>
      <c r="O104" s="1032"/>
      <c r="P104" s="1032"/>
      <c r="Q104" s="542"/>
      <c r="R104" s="247">
        <f>SUM(R99:R99)</f>
        <v>0</v>
      </c>
      <c r="S104" s="542">
        <v>0.92</v>
      </c>
      <c r="T104" s="249">
        <f>R104/S104</f>
        <v>0</v>
      </c>
      <c r="U104" s="471"/>
    </row>
    <row r="105" spans="1:21" ht="15" customHeight="1" x14ac:dyDescent="0.25">
      <c r="A105" s="1029" t="str">
        <f>Итоговая!C39</f>
        <v xml:space="preserve">ПС 110/35 кВ Рассвет </v>
      </c>
      <c r="B105" s="1016">
        <f>Итоговая!D39</f>
        <v>10</v>
      </c>
      <c r="C105" s="1005">
        <f>Итоговая!E39</f>
        <v>0</v>
      </c>
      <c r="D105" s="1005">
        <f>Итоговая!F39</f>
        <v>0</v>
      </c>
      <c r="E105" s="1005">
        <f>Итоговая!G39</f>
        <v>0</v>
      </c>
      <c r="F105" s="1006">
        <f>Итоговая!H39</f>
        <v>0</v>
      </c>
      <c r="G105" s="215"/>
      <c r="H105" s="215"/>
      <c r="I105" s="215"/>
      <c r="J105" s="216"/>
      <c r="K105" s="216"/>
      <c r="L105" s="216"/>
      <c r="M105" s="264"/>
      <c r="N105" s="215"/>
      <c r="O105" s="215"/>
      <c r="P105" s="215"/>
      <c r="Q105" s="215"/>
      <c r="R105" s="216"/>
      <c r="S105" s="215"/>
      <c r="T105" s="217"/>
      <c r="U105" s="471"/>
    </row>
    <row r="106" spans="1:21" ht="15" customHeight="1" thickBot="1" x14ac:dyDescent="0.3">
      <c r="A106" s="1031"/>
      <c r="B106" s="1017"/>
      <c r="C106" s="1001"/>
      <c r="D106" s="1001"/>
      <c r="E106" s="1001"/>
      <c r="F106" s="1003"/>
      <c r="G106" s="1032" t="s">
        <v>1199</v>
      </c>
      <c r="H106" s="1032"/>
      <c r="I106" s="1032"/>
      <c r="J106" s="544"/>
      <c r="K106" s="247">
        <f>SUM(K105:K105)</f>
        <v>0</v>
      </c>
      <c r="L106" s="544">
        <v>0.92</v>
      </c>
      <c r="M106" s="247">
        <f>K106/L106</f>
        <v>0</v>
      </c>
      <c r="N106" s="1032" t="s">
        <v>1199</v>
      </c>
      <c r="O106" s="1032"/>
      <c r="P106" s="1032"/>
      <c r="Q106" s="542"/>
      <c r="R106" s="247">
        <f>SUM(R105:R105)</f>
        <v>0</v>
      </c>
      <c r="S106" s="542">
        <v>0.92</v>
      </c>
      <c r="T106" s="249">
        <f>R106/S106</f>
        <v>0</v>
      </c>
      <c r="U106" s="471"/>
    </row>
    <row r="107" spans="1:21" ht="15" customHeight="1" x14ac:dyDescent="0.25">
      <c r="A107" s="1029" t="str">
        <f>Итоговая!C40</f>
        <v xml:space="preserve">ПС 110/35/10 кВ Иваново </v>
      </c>
      <c r="B107" s="1016">
        <f>Итоговая!D40</f>
        <v>6.3</v>
      </c>
      <c r="C107" s="1005">
        <f>Итоговая!E40</f>
        <v>0</v>
      </c>
      <c r="D107" s="1005">
        <f>Итоговая!F40</f>
        <v>0</v>
      </c>
      <c r="E107" s="1005">
        <f>Итоговая!G40</f>
        <v>0</v>
      </c>
      <c r="F107" s="1006">
        <f>Итоговая!H40</f>
        <v>0</v>
      </c>
      <c r="G107" s="986" t="s">
        <v>18850</v>
      </c>
      <c r="H107" s="987"/>
      <c r="I107" s="987"/>
      <c r="J107" s="987"/>
      <c r="K107" s="987"/>
      <c r="L107" s="987"/>
      <c r="M107" s="987"/>
      <c r="N107" s="215"/>
      <c r="O107" s="215"/>
      <c r="P107" s="215"/>
      <c r="Q107" s="215"/>
      <c r="R107" s="216"/>
      <c r="S107" s="215"/>
      <c r="T107" s="217"/>
      <c r="U107" s="471"/>
    </row>
    <row r="108" spans="1:21" ht="15" customHeight="1" x14ac:dyDescent="0.25">
      <c r="A108" s="1030"/>
      <c r="B108" s="1018"/>
      <c r="C108" s="1000"/>
      <c r="D108" s="1000"/>
      <c r="E108" s="1000"/>
      <c r="F108" s="1002"/>
      <c r="G108" s="993" t="s">
        <v>2262</v>
      </c>
      <c r="H108" s="993"/>
      <c r="I108" s="993"/>
      <c r="J108" s="994">
        <f>0.02*0.9</f>
        <v>1.8000000000000002E-2</v>
      </c>
      <c r="K108" s="995"/>
      <c r="L108" s="519"/>
      <c r="M108" s="519"/>
      <c r="N108" s="223"/>
      <c r="O108" s="223"/>
      <c r="P108" s="223"/>
      <c r="Q108" s="223"/>
      <c r="R108" s="224"/>
      <c r="S108" s="223"/>
      <c r="T108" s="225"/>
      <c r="U108" s="471"/>
    </row>
    <row r="109" spans="1:21" ht="15" customHeight="1" thickBot="1" x14ac:dyDescent="0.3">
      <c r="A109" s="1031"/>
      <c r="B109" s="1017"/>
      <c r="C109" s="1001"/>
      <c r="D109" s="1001"/>
      <c r="E109" s="1001"/>
      <c r="F109" s="1003"/>
      <c r="G109" s="1032" t="s">
        <v>1199</v>
      </c>
      <c r="H109" s="1032"/>
      <c r="I109" s="1032"/>
      <c r="J109" s="544"/>
      <c r="K109" s="247">
        <f>SUM(J108)</f>
        <v>1.8000000000000002E-2</v>
      </c>
      <c r="L109" s="544">
        <v>0.92</v>
      </c>
      <c r="M109" s="247">
        <f>K109/L109</f>
        <v>1.9565217391304349E-2</v>
      </c>
      <c r="N109" s="1032" t="s">
        <v>1199</v>
      </c>
      <c r="O109" s="1032"/>
      <c r="P109" s="1032"/>
      <c r="Q109" s="542"/>
      <c r="R109" s="247">
        <f>SUM(R107:R107)</f>
        <v>0</v>
      </c>
      <c r="S109" s="542">
        <v>0.92</v>
      </c>
      <c r="T109" s="249">
        <f>R109/S109</f>
        <v>0</v>
      </c>
      <c r="U109" s="471"/>
    </row>
    <row r="110" spans="1:21" ht="15" customHeight="1" x14ac:dyDescent="0.25">
      <c r="A110" s="1029" t="str">
        <f>Итоговая!C43</f>
        <v xml:space="preserve">ПС 110/35/10 кВ Кесьма </v>
      </c>
      <c r="B110" s="1016">
        <f>Итоговая!D43</f>
        <v>6.3</v>
      </c>
      <c r="C110" s="1005">
        <f>Итоговая!E43</f>
        <v>0</v>
      </c>
      <c r="D110" s="1005">
        <f>Итоговая!F43</f>
        <v>0</v>
      </c>
      <c r="E110" s="1005">
        <f>Итоговая!G43</f>
        <v>0</v>
      </c>
      <c r="F110" s="1006">
        <f>Итоговая!H43</f>
        <v>0</v>
      </c>
      <c r="G110" s="986" t="s">
        <v>18850</v>
      </c>
      <c r="H110" s="987"/>
      <c r="I110" s="987"/>
      <c r="J110" s="987"/>
      <c r="K110" s="987"/>
      <c r="L110" s="987"/>
      <c r="M110" s="987"/>
      <c r="N110" s="215"/>
      <c r="O110" s="215"/>
      <c r="P110" s="215"/>
      <c r="Q110" s="215"/>
      <c r="R110" s="216"/>
      <c r="S110" s="215"/>
      <c r="T110" s="217"/>
      <c r="U110" s="471"/>
    </row>
    <row r="111" spans="1:21" ht="15" customHeight="1" x14ac:dyDescent="0.25">
      <c r="A111" s="1030"/>
      <c r="B111" s="1018"/>
      <c r="C111" s="1000"/>
      <c r="D111" s="1000"/>
      <c r="E111" s="1000"/>
      <c r="F111" s="1002"/>
      <c r="G111" s="993" t="s">
        <v>2262</v>
      </c>
      <c r="H111" s="993"/>
      <c r="I111" s="993"/>
      <c r="J111" s="994">
        <f>0.015*0.9*0.6</f>
        <v>8.0999999999999996E-3</v>
      </c>
      <c r="K111" s="995"/>
      <c r="L111" s="519"/>
      <c r="M111" s="519"/>
      <c r="N111" s="223"/>
      <c r="O111" s="223"/>
      <c r="P111" s="223"/>
      <c r="Q111" s="223"/>
      <c r="R111" s="224"/>
      <c r="S111" s="223"/>
      <c r="T111" s="225"/>
      <c r="U111" s="471"/>
    </row>
    <row r="112" spans="1:21" ht="15" customHeight="1" thickBot="1" x14ac:dyDescent="0.3">
      <c r="A112" s="1031"/>
      <c r="B112" s="1017"/>
      <c r="C112" s="1001"/>
      <c r="D112" s="1001"/>
      <c r="E112" s="1001"/>
      <c r="F112" s="1003"/>
      <c r="G112" s="1032" t="s">
        <v>1199</v>
      </c>
      <c r="H112" s="1032"/>
      <c r="I112" s="1032"/>
      <c r="J112" s="544"/>
      <c r="K112" s="247">
        <f>SUM(J111)</f>
        <v>8.0999999999999996E-3</v>
      </c>
      <c r="L112" s="544">
        <v>0.92</v>
      </c>
      <c r="M112" s="247">
        <f>K112/L112</f>
        <v>8.8043478260869563E-3</v>
      </c>
      <c r="N112" s="1032" t="s">
        <v>1199</v>
      </c>
      <c r="O112" s="1032"/>
      <c r="P112" s="1032"/>
      <c r="Q112" s="542"/>
      <c r="R112" s="247">
        <f>SUM(R110:R110)</f>
        <v>0</v>
      </c>
      <c r="S112" s="542">
        <v>0.92</v>
      </c>
      <c r="T112" s="249">
        <f>R112/S112</f>
        <v>0</v>
      </c>
      <c r="U112" s="471"/>
    </row>
    <row r="113" spans="1:21" ht="15" customHeight="1" x14ac:dyDescent="0.25">
      <c r="A113" s="1029" t="str">
        <f>Итоговая!C46</f>
        <v xml:space="preserve">ПС 110/35/10 кВ Моркины Горы </v>
      </c>
      <c r="B113" s="1016">
        <f>Итоговая!D46</f>
        <v>5.6</v>
      </c>
      <c r="C113" s="1005">
        <f>Итоговая!E46</f>
        <v>0</v>
      </c>
      <c r="D113" s="1005">
        <f>Итоговая!F46</f>
        <v>0</v>
      </c>
      <c r="E113" s="1005">
        <f>Итоговая!G46</f>
        <v>0</v>
      </c>
      <c r="F113" s="1006">
        <f>Итоговая!H46</f>
        <v>0</v>
      </c>
      <c r="G113" s="986" t="s">
        <v>18850</v>
      </c>
      <c r="H113" s="987"/>
      <c r="I113" s="987"/>
      <c r="J113" s="987"/>
      <c r="K113" s="987"/>
      <c r="L113" s="987"/>
      <c r="M113" s="987"/>
      <c r="N113" s="215"/>
      <c r="O113" s="215"/>
      <c r="P113" s="215"/>
      <c r="Q113" s="215"/>
      <c r="R113" s="216"/>
      <c r="S113" s="215"/>
      <c r="T113" s="217"/>
      <c r="U113" s="471"/>
    </row>
    <row r="114" spans="1:21" ht="15" customHeight="1" x14ac:dyDescent="0.25">
      <c r="A114" s="1030"/>
      <c r="B114" s="1018"/>
      <c r="C114" s="1000"/>
      <c r="D114" s="1000"/>
      <c r="E114" s="1000"/>
      <c r="F114" s="1002"/>
      <c r="G114" s="302" t="s">
        <v>19272</v>
      </c>
      <c r="H114" s="370" t="s">
        <v>19273</v>
      </c>
      <c r="I114" s="370" t="s">
        <v>19274</v>
      </c>
      <c r="J114" s="370">
        <f>0.14*0.9</f>
        <v>0.12600000000000003</v>
      </c>
      <c r="K114" s="370"/>
      <c r="L114" s="370"/>
      <c r="M114" s="370"/>
      <c r="N114" s="223"/>
      <c r="O114" s="223"/>
      <c r="P114" s="223"/>
      <c r="Q114" s="223"/>
      <c r="R114" s="224"/>
      <c r="S114" s="223"/>
      <c r="T114" s="225"/>
      <c r="U114" s="471"/>
    </row>
    <row r="115" spans="1:21" ht="15" customHeight="1" x14ac:dyDescent="0.25">
      <c r="A115" s="1030"/>
      <c r="B115" s="1018"/>
      <c r="C115" s="1000"/>
      <c r="D115" s="1000"/>
      <c r="E115" s="1000"/>
      <c r="F115" s="1002"/>
      <c r="G115" s="993" t="s">
        <v>2262</v>
      </c>
      <c r="H115" s="993"/>
      <c r="I115" s="993"/>
      <c r="J115" s="994">
        <f>0.087*0.9*0.6</f>
        <v>4.6979999999999994E-2</v>
      </c>
      <c r="K115" s="995"/>
      <c r="L115" s="519"/>
      <c r="M115" s="519"/>
      <c r="N115" s="223"/>
      <c r="O115" s="223"/>
      <c r="P115" s="223"/>
      <c r="Q115" s="223"/>
      <c r="R115" s="224"/>
      <c r="S115" s="223"/>
      <c r="T115" s="225"/>
      <c r="U115" s="471"/>
    </row>
    <row r="116" spans="1:21" ht="15" customHeight="1" thickBot="1" x14ac:dyDescent="0.3">
      <c r="A116" s="1031"/>
      <c r="B116" s="1017"/>
      <c r="C116" s="1001"/>
      <c r="D116" s="1001"/>
      <c r="E116" s="1001"/>
      <c r="F116" s="1003"/>
      <c r="G116" s="1032" t="s">
        <v>1199</v>
      </c>
      <c r="H116" s="1032"/>
      <c r="I116" s="1032"/>
      <c r="J116" s="544"/>
      <c r="K116" s="247">
        <f>SUM(J114:K115)</f>
        <v>0.17298000000000002</v>
      </c>
      <c r="L116" s="544">
        <v>0.92</v>
      </c>
      <c r="M116" s="247">
        <f>K116/L116</f>
        <v>0.1880217391304348</v>
      </c>
      <c r="N116" s="1032" t="s">
        <v>1199</v>
      </c>
      <c r="O116" s="1032"/>
      <c r="P116" s="1032"/>
      <c r="Q116" s="542"/>
      <c r="R116" s="247">
        <f>SUM(R113:R113)</f>
        <v>0</v>
      </c>
      <c r="S116" s="542">
        <v>0.92</v>
      </c>
      <c r="T116" s="249">
        <f>R116/S116</f>
        <v>0</v>
      </c>
      <c r="U116" s="471"/>
    </row>
    <row r="117" spans="1:21" ht="15" customHeight="1" x14ac:dyDescent="0.25">
      <c r="A117" s="1029" t="str">
        <f>Итоговая!C49</f>
        <v xml:space="preserve">ПС 110/35/10 кВ Топалки  </v>
      </c>
      <c r="B117" s="1016">
        <f>Итоговая!D49</f>
        <v>6.3</v>
      </c>
      <c r="C117" s="1005">
        <f>Итоговая!E49</f>
        <v>0</v>
      </c>
      <c r="D117" s="1005">
        <f>Итоговая!F49</f>
        <v>0</v>
      </c>
      <c r="E117" s="1005">
        <f>Итоговая!G49</f>
        <v>0</v>
      </c>
      <c r="F117" s="1006">
        <f>Итоговая!H49</f>
        <v>0</v>
      </c>
      <c r="G117" s="215"/>
      <c r="H117" s="215"/>
      <c r="I117" s="215"/>
      <c r="J117" s="216"/>
      <c r="K117" s="216"/>
      <c r="L117" s="216"/>
      <c r="M117" s="264"/>
      <c r="N117" s="215"/>
      <c r="O117" s="215"/>
      <c r="P117" s="215"/>
      <c r="Q117" s="215"/>
      <c r="R117" s="216"/>
      <c r="S117" s="215"/>
      <c r="T117" s="217"/>
      <c r="U117" s="471"/>
    </row>
    <row r="118" spans="1:21" ht="15" customHeight="1" thickBot="1" x14ac:dyDescent="0.3">
      <c r="A118" s="1031"/>
      <c r="B118" s="1017"/>
      <c r="C118" s="1001"/>
      <c r="D118" s="1001"/>
      <c r="E118" s="1001"/>
      <c r="F118" s="1003"/>
      <c r="G118" s="1032" t="s">
        <v>1199</v>
      </c>
      <c r="H118" s="1032"/>
      <c r="I118" s="1032"/>
      <c r="J118" s="544"/>
      <c r="K118" s="247">
        <f>SUM(K117:K117)</f>
        <v>0</v>
      </c>
      <c r="L118" s="544">
        <v>0.92</v>
      </c>
      <c r="M118" s="247">
        <f>K118/L118</f>
        <v>0</v>
      </c>
      <c r="N118" s="1032" t="s">
        <v>1199</v>
      </c>
      <c r="O118" s="1032"/>
      <c r="P118" s="1032"/>
      <c r="Q118" s="542"/>
      <c r="R118" s="247">
        <f>SUM(R117:R117)</f>
        <v>0</v>
      </c>
      <c r="S118" s="542">
        <v>0.92</v>
      </c>
      <c r="T118" s="249">
        <f>R118/S118</f>
        <v>0</v>
      </c>
      <c r="U118" s="471"/>
    </row>
    <row r="119" spans="1:21" ht="15" customHeight="1" x14ac:dyDescent="0.25">
      <c r="A119" s="1029" t="str">
        <f>Итоговая!C52</f>
        <v xml:space="preserve">ПС 35/10 кВ Березьё  </v>
      </c>
      <c r="B119" s="1016">
        <f>Итоговая!D52</f>
        <v>1</v>
      </c>
      <c r="C119" s="1004" t="str">
        <f>Итоговая!E52</f>
        <v>+</v>
      </c>
      <c r="D119" s="1004">
        <f>Итоговая!F52</f>
        <v>1</v>
      </c>
      <c r="E119" s="1005">
        <f>Итоговая!G52</f>
        <v>0</v>
      </c>
      <c r="F119" s="1006">
        <f>Итоговая!H52</f>
        <v>0</v>
      </c>
      <c r="G119" s="986" t="s">
        <v>18850</v>
      </c>
      <c r="H119" s="987"/>
      <c r="I119" s="987"/>
      <c r="J119" s="987"/>
      <c r="K119" s="987"/>
      <c r="L119" s="987"/>
      <c r="M119" s="987"/>
      <c r="N119" s="215"/>
      <c r="O119" s="215"/>
      <c r="P119" s="215"/>
      <c r="Q119" s="215"/>
      <c r="R119" s="216"/>
      <c r="S119" s="215"/>
      <c r="T119" s="217"/>
      <c r="U119" s="471"/>
    </row>
    <row r="120" spans="1:21" ht="15" customHeight="1" x14ac:dyDescent="0.25">
      <c r="A120" s="1030"/>
      <c r="B120" s="1018"/>
      <c r="C120" s="998"/>
      <c r="D120" s="998"/>
      <c r="E120" s="1000"/>
      <c r="F120" s="1002"/>
      <c r="G120" s="993" t="s">
        <v>2262</v>
      </c>
      <c r="H120" s="993"/>
      <c r="I120" s="993"/>
      <c r="J120" s="994">
        <f>0.008*0.9*0.6</f>
        <v>4.3200000000000001E-3</v>
      </c>
      <c r="K120" s="995"/>
      <c r="L120" s="519"/>
      <c r="M120" s="519"/>
      <c r="N120" s="223"/>
      <c r="O120" s="223"/>
      <c r="P120" s="223"/>
      <c r="Q120" s="223"/>
      <c r="R120" s="224"/>
      <c r="S120" s="223"/>
      <c r="T120" s="225"/>
      <c r="U120" s="471"/>
    </row>
    <row r="121" spans="1:21" ht="15" customHeight="1" thickBot="1" x14ac:dyDescent="0.3">
      <c r="A121" s="1031"/>
      <c r="B121" s="1017"/>
      <c r="C121" s="999"/>
      <c r="D121" s="999"/>
      <c r="E121" s="1001"/>
      <c r="F121" s="1003"/>
      <c r="G121" s="1032" t="s">
        <v>1199</v>
      </c>
      <c r="H121" s="1032"/>
      <c r="I121" s="1032"/>
      <c r="J121" s="544"/>
      <c r="K121" s="247">
        <f>SUM(J120)</f>
        <v>4.3200000000000001E-3</v>
      </c>
      <c r="L121" s="544">
        <v>0.92</v>
      </c>
      <c r="M121" s="247">
        <f>K121/L121</f>
        <v>4.6956521739130435E-3</v>
      </c>
      <c r="N121" s="1032" t="s">
        <v>1199</v>
      </c>
      <c r="O121" s="1032"/>
      <c r="P121" s="1032"/>
      <c r="Q121" s="542"/>
      <c r="R121" s="247">
        <f>SUM(R119:R119)</f>
        <v>0</v>
      </c>
      <c r="S121" s="542">
        <v>0.92</v>
      </c>
      <c r="T121" s="249">
        <f>R121/S121</f>
        <v>0</v>
      </c>
      <c r="U121" s="471"/>
    </row>
    <row r="122" spans="1:21" ht="15" customHeight="1" x14ac:dyDescent="0.25">
      <c r="A122" s="1029" t="str">
        <f>Итоговая!C53</f>
        <v xml:space="preserve">ПС 35/10 кВ Лесное </v>
      </c>
      <c r="B122" s="1016">
        <f>Итоговая!D53</f>
        <v>2.5</v>
      </c>
      <c r="C122" s="1004" t="str">
        <f>Итоговая!E53</f>
        <v>+</v>
      </c>
      <c r="D122" s="1004">
        <f>Итоговая!F53</f>
        <v>4</v>
      </c>
      <c r="E122" s="1005">
        <f>Итоговая!G53</f>
        <v>0</v>
      </c>
      <c r="F122" s="1006">
        <f>Итоговая!H53</f>
        <v>0</v>
      </c>
      <c r="G122" s="991" t="s">
        <v>1286</v>
      </c>
      <c r="H122" s="991"/>
      <c r="I122" s="991"/>
      <c r="J122" s="991"/>
      <c r="K122" s="991"/>
      <c r="L122" s="991"/>
      <c r="M122" s="991"/>
      <c r="N122" s="991" t="s">
        <v>14933</v>
      </c>
      <c r="O122" s="991"/>
      <c r="P122" s="991"/>
      <c r="Q122" s="991"/>
      <c r="R122" s="991"/>
      <c r="S122" s="991"/>
      <c r="T122" s="991"/>
      <c r="U122" s="471"/>
    </row>
    <row r="123" spans="1:21" ht="15" customHeight="1" x14ac:dyDescent="0.25">
      <c r="A123" s="1030"/>
      <c r="B123" s="1018"/>
      <c r="C123" s="998"/>
      <c r="D123" s="998"/>
      <c r="E123" s="1000"/>
      <c r="F123" s="1002"/>
      <c r="G123" s="543" t="s">
        <v>1214</v>
      </c>
      <c r="H123" s="543" t="s">
        <v>1215</v>
      </c>
      <c r="I123" s="543" t="s">
        <v>1216</v>
      </c>
      <c r="J123" s="205"/>
      <c r="K123" s="205">
        <v>0.06</v>
      </c>
      <c r="L123" s="205"/>
      <c r="M123" s="519"/>
      <c r="N123" s="543" t="s">
        <v>2244</v>
      </c>
      <c r="O123" s="543" t="s">
        <v>2245</v>
      </c>
      <c r="P123" s="205" t="s">
        <v>17448</v>
      </c>
      <c r="Q123" s="205"/>
      <c r="R123" s="205">
        <f>0.04*0.9</f>
        <v>3.6000000000000004E-2</v>
      </c>
      <c r="S123" s="543"/>
      <c r="T123" s="295"/>
      <c r="U123" s="471"/>
    </row>
    <row r="124" spans="1:21" ht="15" customHeight="1" x14ac:dyDescent="0.25">
      <c r="A124" s="1030"/>
      <c r="B124" s="1018"/>
      <c r="C124" s="998"/>
      <c r="D124" s="998"/>
      <c r="E124" s="1000"/>
      <c r="F124" s="1002"/>
      <c r="G124" s="986" t="s">
        <v>18850</v>
      </c>
      <c r="H124" s="987"/>
      <c r="I124" s="987"/>
      <c r="J124" s="987"/>
      <c r="K124" s="987"/>
      <c r="L124" s="987"/>
      <c r="M124" s="987"/>
      <c r="N124" s="548"/>
      <c r="O124" s="548"/>
      <c r="P124" s="548"/>
      <c r="Q124" s="548"/>
      <c r="R124" s="519"/>
      <c r="S124" s="548"/>
      <c r="T124" s="241"/>
      <c r="U124" s="471"/>
    </row>
    <row r="125" spans="1:21" ht="15" customHeight="1" x14ac:dyDescent="0.25">
      <c r="A125" s="1030"/>
      <c r="B125" s="1018"/>
      <c r="C125" s="998"/>
      <c r="D125" s="998"/>
      <c r="E125" s="1000"/>
      <c r="F125" s="1002"/>
      <c r="G125" s="993" t="s">
        <v>2262</v>
      </c>
      <c r="H125" s="993"/>
      <c r="I125" s="993"/>
      <c r="J125" s="994">
        <f>0.127*0.9*0.6</f>
        <v>6.8580000000000002E-2</v>
      </c>
      <c r="K125" s="995"/>
      <c r="L125" s="519"/>
      <c r="M125" s="519"/>
      <c r="N125" s="548"/>
      <c r="O125" s="548"/>
      <c r="P125" s="548"/>
      <c r="Q125" s="548"/>
      <c r="R125" s="519"/>
      <c r="S125" s="548"/>
      <c r="T125" s="241"/>
      <c r="U125" s="471"/>
    </row>
    <row r="126" spans="1:21" ht="15" customHeight="1" thickBot="1" x14ac:dyDescent="0.3">
      <c r="A126" s="1031"/>
      <c r="B126" s="1017"/>
      <c r="C126" s="999"/>
      <c r="D126" s="999"/>
      <c r="E126" s="1001"/>
      <c r="F126" s="1003"/>
      <c r="G126" s="1032" t="s">
        <v>1199</v>
      </c>
      <c r="H126" s="1032"/>
      <c r="I126" s="1032"/>
      <c r="J126" s="544"/>
      <c r="K126" s="247">
        <f>SUM(J125)</f>
        <v>6.8580000000000002E-2</v>
      </c>
      <c r="L126" s="544">
        <v>0.92</v>
      </c>
      <c r="M126" s="247">
        <f>K126/L126</f>
        <v>7.4543478260869558E-2</v>
      </c>
      <c r="N126" s="1032" t="s">
        <v>1199</v>
      </c>
      <c r="O126" s="1032"/>
      <c r="P126" s="1032"/>
      <c r="Q126" s="542"/>
      <c r="R126" s="247">
        <f>SUM(R123)</f>
        <v>3.6000000000000004E-2</v>
      </c>
      <c r="S126" s="542">
        <v>0.92</v>
      </c>
      <c r="T126" s="249">
        <f>R126/S126</f>
        <v>3.9130434782608699E-2</v>
      </c>
      <c r="U126" s="471"/>
    </row>
    <row r="127" spans="1:21" ht="15" customHeight="1" x14ac:dyDescent="0.25">
      <c r="A127" s="1029" t="str">
        <f>Итоговая!C54</f>
        <v xml:space="preserve">ПС 35/10 кВ Максатиха   </v>
      </c>
      <c r="B127" s="1016">
        <f>Итоговая!D54</f>
        <v>6.3</v>
      </c>
      <c r="C127" s="1004" t="str">
        <f>Итоговая!E54</f>
        <v>+</v>
      </c>
      <c r="D127" s="1004">
        <f>Итоговая!F54</f>
        <v>4</v>
      </c>
      <c r="E127" s="1005">
        <f>Итоговая!G54</f>
        <v>0</v>
      </c>
      <c r="F127" s="1006">
        <f>Итоговая!H54</f>
        <v>0</v>
      </c>
      <c r="G127" s="991" t="s">
        <v>1287</v>
      </c>
      <c r="H127" s="997"/>
      <c r="I127" s="997"/>
      <c r="J127" s="997"/>
      <c r="K127" s="997"/>
      <c r="L127" s="997"/>
      <c r="M127" s="997"/>
      <c r="N127" s="477"/>
      <c r="O127" s="477"/>
      <c r="P127" s="477"/>
      <c r="Q127" s="477"/>
      <c r="R127" s="478"/>
      <c r="S127" s="477"/>
      <c r="T127" s="479"/>
      <c r="U127" s="471"/>
    </row>
    <row r="128" spans="1:21" ht="15" customHeight="1" x14ac:dyDescent="0.25">
      <c r="A128" s="1030"/>
      <c r="B128" s="1018"/>
      <c r="C128" s="998"/>
      <c r="D128" s="998"/>
      <c r="E128" s="1000"/>
      <c r="F128" s="1002"/>
      <c r="G128" s="205" t="s">
        <v>63</v>
      </c>
      <c r="H128" s="205" t="s">
        <v>64</v>
      </c>
      <c r="I128" s="205" t="s">
        <v>65</v>
      </c>
      <c r="J128" s="205"/>
      <c r="K128" s="205">
        <f>50/1000</f>
        <v>0.05</v>
      </c>
      <c r="L128" s="205"/>
      <c r="M128" s="519"/>
      <c r="N128" s="480"/>
      <c r="O128" s="480"/>
      <c r="P128" s="480"/>
      <c r="Q128" s="480"/>
      <c r="R128" s="481"/>
      <c r="S128" s="480"/>
      <c r="T128" s="482"/>
      <c r="U128" s="471"/>
    </row>
    <row r="129" spans="1:21" ht="15" customHeight="1" x14ac:dyDescent="0.25">
      <c r="A129" s="1030"/>
      <c r="B129" s="1018"/>
      <c r="C129" s="998"/>
      <c r="D129" s="998"/>
      <c r="E129" s="1000"/>
      <c r="F129" s="1002"/>
      <c r="G129" s="986" t="s">
        <v>1515</v>
      </c>
      <c r="H129" s="987"/>
      <c r="I129" s="987"/>
      <c r="J129" s="987"/>
      <c r="K129" s="987"/>
      <c r="L129" s="987"/>
      <c r="M129" s="987"/>
      <c r="N129" s="480"/>
      <c r="O129" s="480"/>
      <c r="P129" s="480"/>
      <c r="Q129" s="480"/>
      <c r="R129" s="481"/>
      <c r="S129" s="480"/>
      <c r="T129" s="482"/>
      <c r="U129" s="471"/>
    </row>
    <row r="130" spans="1:21" ht="15" customHeight="1" x14ac:dyDescent="0.25">
      <c r="A130" s="1030"/>
      <c r="B130" s="1018"/>
      <c r="C130" s="998"/>
      <c r="D130" s="998"/>
      <c r="E130" s="1000"/>
      <c r="F130" s="1002"/>
      <c r="G130" s="205" t="s">
        <v>1442</v>
      </c>
      <c r="H130" s="205" t="s">
        <v>1441</v>
      </c>
      <c r="I130" s="205" t="s">
        <v>1443</v>
      </c>
      <c r="J130" s="205"/>
      <c r="K130" s="205">
        <v>0.04</v>
      </c>
      <c r="L130" s="205"/>
      <c r="M130" s="519"/>
      <c r="N130" s="480"/>
      <c r="O130" s="480"/>
      <c r="P130" s="480"/>
      <c r="Q130" s="480"/>
      <c r="R130" s="481"/>
      <c r="S130" s="480"/>
      <c r="T130" s="482"/>
      <c r="U130" s="471"/>
    </row>
    <row r="131" spans="1:21" ht="15" customHeight="1" x14ac:dyDescent="0.25">
      <c r="A131" s="1030"/>
      <c r="B131" s="1018"/>
      <c r="C131" s="998"/>
      <c r="D131" s="998"/>
      <c r="E131" s="1000"/>
      <c r="F131" s="1002"/>
      <c r="G131" s="205" t="s">
        <v>1226</v>
      </c>
      <c r="H131" s="205" t="s">
        <v>1227</v>
      </c>
      <c r="I131" s="205" t="s">
        <v>1483</v>
      </c>
      <c r="J131" s="205"/>
      <c r="K131" s="205">
        <v>0.113</v>
      </c>
      <c r="L131" s="205"/>
      <c r="M131" s="519"/>
      <c r="N131" s="480"/>
      <c r="O131" s="480"/>
      <c r="P131" s="480"/>
      <c r="Q131" s="480"/>
      <c r="R131" s="481"/>
      <c r="S131" s="480"/>
      <c r="T131" s="482"/>
      <c r="U131" s="471"/>
    </row>
    <row r="132" spans="1:21" ht="15" customHeight="1" x14ac:dyDescent="0.25">
      <c r="A132" s="1030"/>
      <c r="B132" s="1018"/>
      <c r="C132" s="998"/>
      <c r="D132" s="998"/>
      <c r="E132" s="1000"/>
      <c r="F132" s="1002"/>
      <c r="G132" s="205" t="s">
        <v>1607</v>
      </c>
      <c r="H132" s="205" t="s">
        <v>1608</v>
      </c>
      <c r="I132" s="205" t="s">
        <v>1642</v>
      </c>
      <c r="J132" s="205"/>
      <c r="K132" s="205">
        <v>4.4999999999999998E-2</v>
      </c>
      <c r="L132" s="205"/>
      <c r="M132" s="519"/>
      <c r="N132" s="480"/>
      <c r="O132" s="480"/>
      <c r="P132" s="480"/>
      <c r="Q132" s="480"/>
      <c r="R132" s="481"/>
      <c r="S132" s="480"/>
      <c r="T132" s="482"/>
      <c r="U132" s="471"/>
    </row>
    <row r="133" spans="1:21" ht="15" customHeight="1" x14ac:dyDescent="0.25">
      <c r="A133" s="1030"/>
      <c r="B133" s="1018"/>
      <c r="C133" s="998"/>
      <c r="D133" s="998"/>
      <c r="E133" s="1000"/>
      <c r="F133" s="1002"/>
      <c r="G133" s="986" t="s">
        <v>2200</v>
      </c>
      <c r="H133" s="987"/>
      <c r="I133" s="987"/>
      <c r="J133" s="987"/>
      <c r="K133" s="987"/>
      <c r="L133" s="987"/>
      <c r="M133" s="987"/>
      <c r="N133" s="480"/>
      <c r="O133" s="480"/>
      <c r="P133" s="480"/>
      <c r="Q133" s="480"/>
      <c r="R133" s="481"/>
      <c r="S133" s="480"/>
      <c r="T133" s="482"/>
      <c r="U133" s="471"/>
    </row>
    <row r="134" spans="1:21" ht="15" customHeight="1" x14ac:dyDescent="0.25">
      <c r="A134" s="1030"/>
      <c r="B134" s="1018"/>
      <c r="C134" s="998"/>
      <c r="D134" s="998"/>
      <c r="E134" s="1000"/>
      <c r="F134" s="1002"/>
      <c r="G134" s="543" t="s">
        <v>1220</v>
      </c>
      <c r="H134" s="543" t="s">
        <v>2084</v>
      </c>
      <c r="I134" s="205" t="s">
        <v>2201</v>
      </c>
      <c r="J134" s="205"/>
      <c r="K134" s="205">
        <f>0.05*0.9</f>
        <v>4.5000000000000005E-2</v>
      </c>
      <c r="L134" s="205"/>
      <c r="M134" s="519"/>
      <c r="N134" s="480"/>
      <c r="O134" s="480"/>
      <c r="P134" s="480"/>
      <c r="Q134" s="480"/>
      <c r="R134" s="481"/>
      <c r="S134" s="480"/>
      <c r="T134" s="482"/>
      <c r="U134" s="471"/>
    </row>
    <row r="135" spans="1:21" ht="15" customHeight="1" x14ac:dyDescent="0.25">
      <c r="A135" s="1030"/>
      <c r="B135" s="1018"/>
      <c r="C135" s="998"/>
      <c r="D135" s="998"/>
      <c r="E135" s="1000"/>
      <c r="F135" s="1002"/>
      <c r="G135" s="986" t="s">
        <v>2315</v>
      </c>
      <c r="H135" s="987"/>
      <c r="I135" s="987"/>
      <c r="J135" s="987"/>
      <c r="K135" s="987"/>
      <c r="L135" s="987"/>
      <c r="M135" s="987"/>
      <c r="N135" s="480"/>
      <c r="O135" s="480"/>
      <c r="P135" s="480"/>
      <c r="Q135" s="480"/>
      <c r="R135" s="481"/>
      <c r="S135" s="480"/>
      <c r="T135" s="482"/>
      <c r="U135" s="471"/>
    </row>
    <row r="136" spans="1:21" ht="15" customHeight="1" x14ac:dyDescent="0.25">
      <c r="A136" s="1030"/>
      <c r="B136" s="1018"/>
      <c r="C136" s="998"/>
      <c r="D136" s="998"/>
      <c r="E136" s="1000"/>
      <c r="F136" s="1002"/>
      <c r="G136" s="548" t="s">
        <v>2297</v>
      </c>
      <c r="H136" s="548" t="s">
        <v>17485</v>
      </c>
      <c r="I136" s="519" t="s">
        <v>2329</v>
      </c>
      <c r="J136" s="519"/>
      <c r="K136" s="519">
        <f>0.099*0.75</f>
        <v>7.425000000000001E-2</v>
      </c>
      <c r="L136" s="519"/>
      <c r="M136" s="519"/>
      <c r="N136" s="480"/>
      <c r="O136" s="480"/>
      <c r="P136" s="480"/>
      <c r="Q136" s="480"/>
      <c r="R136" s="481"/>
      <c r="S136" s="480"/>
      <c r="T136" s="482"/>
      <c r="U136" s="471"/>
    </row>
    <row r="137" spans="1:21" ht="15" customHeight="1" x14ac:dyDescent="0.25">
      <c r="A137" s="1030"/>
      <c r="B137" s="1018"/>
      <c r="C137" s="998"/>
      <c r="D137" s="998"/>
      <c r="E137" s="1000"/>
      <c r="F137" s="1002"/>
      <c r="G137" s="543" t="s">
        <v>13431</v>
      </c>
      <c r="H137" s="543" t="s">
        <v>13432</v>
      </c>
      <c r="I137" s="519" t="s">
        <v>14881</v>
      </c>
      <c r="J137" s="519"/>
      <c r="K137" s="519">
        <f>0.02*0.15</f>
        <v>3.0000000000000001E-3</v>
      </c>
      <c r="L137" s="519"/>
      <c r="M137" s="519"/>
      <c r="N137" s="480"/>
      <c r="O137" s="480"/>
      <c r="P137" s="480"/>
      <c r="Q137" s="480"/>
      <c r="R137" s="481"/>
      <c r="S137" s="480"/>
      <c r="T137" s="482"/>
      <c r="U137" s="471"/>
    </row>
    <row r="138" spans="1:21" ht="15" customHeight="1" x14ac:dyDescent="0.25">
      <c r="A138" s="1030"/>
      <c r="B138" s="1018"/>
      <c r="C138" s="998"/>
      <c r="D138" s="998"/>
      <c r="E138" s="1000"/>
      <c r="F138" s="1002"/>
      <c r="G138" s="986" t="s">
        <v>17484</v>
      </c>
      <c r="H138" s="987"/>
      <c r="I138" s="987"/>
      <c r="J138" s="987"/>
      <c r="K138" s="987"/>
      <c r="L138" s="987"/>
      <c r="M138" s="987"/>
      <c r="N138" s="480"/>
      <c r="O138" s="480"/>
      <c r="P138" s="480"/>
      <c r="Q138" s="480"/>
      <c r="R138" s="481"/>
      <c r="S138" s="480"/>
      <c r="T138" s="482"/>
      <c r="U138" s="471"/>
    </row>
    <row r="139" spans="1:21" s="475" customFormat="1" ht="15" customHeight="1" x14ac:dyDescent="0.25">
      <c r="A139" s="1030"/>
      <c r="B139" s="1018"/>
      <c r="C139" s="998"/>
      <c r="D139" s="998"/>
      <c r="E139" s="1000"/>
      <c r="F139" s="1002"/>
      <c r="G139" s="548" t="s">
        <v>1607</v>
      </c>
      <c r="H139" s="548" t="s">
        <v>17486</v>
      </c>
      <c r="I139" s="519" t="s">
        <v>17483</v>
      </c>
      <c r="J139" s="519"/>
      <c r="K139" s="519">
        <f>(0.04-0.015)*0.75</f>
        <v>1.8750000000000003E-2</v>
      </c>
      <c r="L139" s="519"/>
      <c r="M139" s="519"/>
      <c r="N139" s="480"/>
      <c r="O139" s="480"/>
      <c r="P139" s="480"/>
      <c r="Q139" s="480"/>
      <c r="R139" s="481"/>
      <c r="S139" s="480"/>
      <c r="T139" s="482"/>
      <c r="U139" s="487"/>
    </row>
    <row r="140" spans="1:21" ht="15" customHeight="1" x14ac:dyDescent="0.25">
      <c r="A140" s="1030"/>
      <c r="B140" s="1018"/>
      <c r="C140" s="998"/>
      <c r="D140" s="998"/>
      <c r="E140" s="1000"/>
      <c r="F140" s="1002"/>
      <c r="G140" s="993" t="s">
        <v>2262</v>
      </c>
      <c r="H140" s="993"/>
      <c r="I140" s="993"/>
      <c r="J140" s="994">
        <f>0.1299*0.9</f>
        <v>0.11690999999999999</v>
      </c>
      <c r="K140" s="995"/>
      <c r="L140" s="519"/>
      <c r="M140" s="519"/>
      <c r="N140" s="480"/>
      <c r="O140" s="480"/>
      <c r="P140" s="480"/>
      <c r="Q140" s="480"/>
      <c r="R140" s="481"/>
      <c r="S140" s="480"/>
      <c r="T140" s="482"/>
      <c r="U140" s="471"/>
    </row>
    <row r="141" spans="1:21" ht="15" customHeight="1" x14ac:dyDescent="0.25">
      <c r="A141" s="1030"/>
      <c r="B141" s="1018"/>
      <c r="C141" s="998"/>
      <c r="D141" s="998"/>
      <c r="E141" s="1000"/>
      <c r="F141" s="1002"/>
      <c r="G141" s="986" t="s">
        <v>18850</v>
      </c>
      <c r="H141" s="987"/>
      <c r="I141" s="987"/>
      <c r="J141" s="987"/>
      <c r="K141" s="987"/>
      <c r="L141" s="987"/>
      <c r="M141" s="987"/>
      <c r="N141" s="483"/>
      <c r="O141" s="483"/>
      <c r="P141" s="483"/>
      <c r="Q141" s="483"/>
      <c r="R141" s="484"/>
      <c r="S141" s="483"/>
      <c r="T141" s="485"/>
      <c r="U141" s="471"/>
    </row>
    <row r="142" spans="1:21" ht="15" customHeight="1" x14ac:dyDescent="0.25">
      <c r="A142" s="1030"/>
      <c r="B142" s="1018"/>
      <c r="C142" s="998"/>
      <c r="D142" s="998"/>
      <c r="E142" s="1000"/>
      <c r="F142" s="1002"/>
      <c r="G142" s="594" t="s">
        <v>18851</v>
      </c>
      <c r="H142" s="594" t="s">
        <v>18852</v>
      </c>
      <c r="I142" s="594" t="s">
        <v>19627</v>
      </c>
      <c r="J142" s="594">
        <f>0.02*0.9</f>
        <v>1.8000000000000002E-2</v>
      </c>
      <c r="K142" s="594"/>
      <c r="L142" s="594"/>
      <c r="M142" s="594"/>
      <c r="N142" s="483"/>
      <c r="O142" s="483"/>
      <c r="P142" s="483"/>
      <c r="Q142" s="483"/>
      <c r="R142" s="484"/>
      <c r="S142" s="483"/>
      <c r="T142" s="485"/>
      <c r="U142" s="471"/>
    </row>
    <row r="143" spans="1:21" ht="15" customHeight="1" x14ac:dyDescent="0.25">
      <c r="A143" s="1030"/>
      <c r="B143" s="1018"/>
      <c r="C143" s="998"/>
      <c r="D143" s="998"/>
      <c r="E143" s="1000"/>
      <c r="F143" s="1002"/>
      <c r="G143" s="594" t="s">
        <v>18855</v>
      </c>
      <c r="H143" s="594" t="s">
        <v>18856</v>
      </c>
      <c r="I143" s="594" t="s">
        <v>18857</v>
      </c>
      <c r="J143" s="594">
        <f>0.05*0.9</f>
        <v>4.5000000000000005E-2</v>
      </c>
      <c r="K143" s="594"/>
      <c r="L143" s="594"/>
      <c r="M143" s="594"/>
      <c r="N143" s="483"/>
      <c r="O143" s="483"/>
      <c r="P143" s="483"/>
      <c r="Q143" s="483"/>
      <c r="R143" s="484"/>
      <c r="S143" s="483"/>
      <c r="T143" s="485"/>
      <c r="U143" s="471"/>
    </row>
    <row r="144" spans="1:21" ht="15" customHeight="1" x14ac:dyDescent="0.25">
      <c r="A144" s="1030"/>
      <c r="B144" s="1018"/>
      <c r="C144" s="998"/>
      <c r="D144" s="998"/>
      <c r="E144" s="1000"/>
      <c r="F144" s="1002"/>
      <c r="G144" s="594" t="s">
        <v>18882</v>
      </c>
      <c r="H144" s="594" t="s">
        <v>18883</v>
      </c>
      <c r="I144" s="594" t="s">
        <v>18884</v>
      </c>
      <c r="J144" s="594">
        <f>(0.11-0.015)*0.9</f>
        <v>8.5500000000000007E-2</v>
      </c>
      <c r="K144" s="594"/>
      <c r="L144" s="594"/>
      <c r="M144" s="594"/>
      <c r="N144" s="483"/>
      <c r="O144" s="483"/>
      <c r="P144" s="483"/>
      <c r="Q144" s="483"/>
      <c r="R144" s="484"/>
      <c r="S144" s="483"/>
      <c r="T144" s="485"/>
      <c r="U144" s="471"/>
    </row>
    <row r="145" spans="1:21" ht="15" customHeight="1" x14ac:dyDescent="0.25">
      <c r="A145" s="1030"/>
      <c r="B145" s="1018"/>
      <c r="C145" s="998"/>
      <c r="D145" s="998"/>
      <c r="E145" s="1000"/>
      <c r="F145" s="1002"/>
      <c r="G145" s="993" t="s">
        <v>2262</v>
      </c>
      <c r="H145" s="993"/>
      <c r="I145" s="993"/>
      <c r="J145" s="994">
        <f>0.271*0.9*0.6</f>
        <v>0.14634000000000003</v>
      </c>
      <c r="K145" s="995"/>
      <c r="L145" s="594"/>
      <c r="M145" s="594"/>
      <c r="N145" s="483"/>
      <c r="O145" s="483"/>
      <c r="P145" s="483"/>
      <c r="Q145" s="483"/>
      <c r="R145" s="484"/>
      <c r="S145" s="483"/>
      <c r="T145" s="485"/>
      <c r="U145" s="471"/>
    </row>
    <row r="146" spans="1:21" ht="15" customHeight="1" thickBot="1" x14ac:dyDescent="0.3">
      <c r="A146" s="1031"/>
      <c r="B146" s="1017"/>
      <c r="C146" s="999"/>
      <c r="D146" s="999"/>
      <c r="E146" s="1001"/>
      <c r="F146" s="1003"/>
      <c r="G146" s="1035" t="s">
        <v>1199</v>
      </c>
      <c r="H146" s="1035"/>
      <c r="I146" s="1035"/>
      <c r="J146" s="764"/>
      <c r="K146" s="247">
        <f>SUM(J139:K145)</f>
        <v>0.43050000000000005</v>
      </c>
      <c r="L146" s="544">
        <v>0.92</v>
      </c>
      <c r="M146" s="247">
        <f>K146/L146</f>
        <v>0.4679347826086957</v>
      </c>
      <c r="N146" s="1032" t="s">
        <v>1199</v>
      </c>
      <c r="O146" s="1032"/>
      <c r="P146" s="1032"/>
      <c r="Q146" s="542"/>
      <c r="R146" s="247">
        <f>SUM(R130:R132)</f>
        <v>0</v>
      </c>
      <c r="S146" s="542">
        <v>0.92</v>
      </c>
      <c r="T146" s="249">
        <f>R146/S146</f>
        <v>0</v>
      </c>
      <c r="U146" s="471"/>
    </row>
    <row r="147" spans="1:21" ht="15" customHeight="1" x14ac:dyDescent="0.25">
      <c r="A147" s="1029" t="str">
        <f>Итоговая!C55</f>
        <v xml:space="preserve">ПС 35/10 кВ Молоково </v>
      </c>
      <c r="B147" s="1016">
        <f>Итоговая!D55</f>
        <v>4</v>
      </c>
      <c r="C147" s="1004" t="str">
        <f>Итоговая!E55</f>
        <v>+</v>
      </c>
      <c r="D147" s="1004">
        <f>Итоговая!F55</f>
        <v>2.5</v>
      </c>
      <c r="E147" s="1005">
        <f>Итоговая!G55</f>
        <v>0</v>
      </c>
      <c r="F147" s="1006">
        <f>Итоговая!H55</f>
        <v>0</v>
      </c>
      <c r="G147" s="991" t="s">
        <v>1325</v>
      </c>
      <c r="H147" s="997"/>
      <c r="I147" s="997"/>
      <c r="J147" s="997"/>
      <c r="K147" s="997"/>
      <c r="L147" s="997"/>
      <c r="M147" s="997"/>
      <c r="N147" s="991" t="s">
        <v>2010</v>
      </c>
      <c r="O147" s="997"/>
      <c r="P147" s="997"/>
      <c r="Q147" s="997"/>
      <c r="R147" s="997"/>
      <c r="S147" s="997"/>
      <c r="T147" s="997"/>
      <c r="U147" s="471"/>
    </row>
    <row r="148" spans="1:21" ht="15" customHeight="1" x14ac:dyDescent="0.25">
      <c r="A148" s="1030"/>
      <c r="B148" s="1018"/>
      <c r="C148" s="998"/>
      <c r="D148" s="998"/>
      <c r="E148" s="1000"/>
      <c r="F148" s="1002"/>
      <c r="G148" s="543" t="s">
        <v>1491</v>
      </c>
      <c r="H148" s="543" t="s">
        <v>9</v>
      </c>
      <c r="I148" s="543" t="s">
        <v>1492</v>
      </c>
      <c r="J148" s="205"/>
      <c r="K148" s="205">
        <v>2.9000000000000001E-2</v>
      </c>
      <c r="L148" s="205"/>
      <c r="M148" s="519"/>
      <c r="N148" s="548" t="s">
        <v>1795</v>
      </c>
      <c r="O148" s="543" t="s">
        <v>1796</v>
      </c>
      <c r="P148" s="543" t="s">
        <v>2174</v>
      </c>
      <c r="Q148" s="543"/>
      <c r="R148" s="519">
        <v>4.2000000000000003E-2</v>
      </c>
      <c r="S148" s="548"/>
      <c r="T148" s="241"/>
      <c r="U148" s="471"/>
    </row>
    <row r="149" spans="1:21" ht="15" customHeight="1" x14ac:dyDescent="0.25">
      <c r="A149" s="1030"/>
      <c r="B149" s="1018"/>
      <c r="C149" s="998"/>
      <c r="D149" s="998"/>
      <c r="E149" s="1000"/>
      <c r="F149" s="1002"/>
      <c r="G149" s="986" t="s">
        <v>1645</v>
      </c>
      <c r="H149" s="986"/>
      <c r="I149" s="986"/>
      <c r="J149" s="986"/>
      <c r="K149" s="986"/>
      <c r="L149" s="986"/>
      <c r="M149" s="986"/>
      <c r="N149" s="548"/>
      <c r="O149" s="548"/>
      <c r="P149" s="548"/>
      <c r="Q149" s="548"/>
      <c r="R149" s="519"/>
      <c r="S149" s="548"/>
      <c r="T149" s="241"/>
      <c r="U149" s="471"/>
    </row>
    <row r="150" spans="1:21" ht="15" customHeight="1" x14ac:dyDescent="0.25">
      <c r="A150" s="1030"/>
      <c r="B150" s="1018"/>
      <c r="C150" s="998"/>
      <c r="D150" s="998"/>
      <c r="E150" s="1000"/>
      <c r="F150" s="1002"/>
      <c r="G150" s="548" t="s">
        <v>1704</v>
      </c>
      <c r="H150" s="548" t="s">
        <v>1769</v>
      </c>
      <c r="I150" s="543" t="s">
        <v>1770</v>
      </c>
      <c r="J150" s="205"/>
      <c r="K150" s="519">
        <f>(0.05-0.03)*0.9</f>
        <v>1.8000000000000006E-2</v>
      </c>
      <c r="L150" s="205"/>
      <c r="M150" s="519"/>
      <c r="N150" s="548"/>
      <c r="O150" s="548"/>
      <c r="P150" s="548"/>
      <c r="Q150" s="548"/>
      <c r="R150" s="519"/>
      <c r="S150" s="548"/>
      <c r="T150" s="241"/>
      <c r="U150" s="471"/>
    </row>
    <row r="151" spans="1:21" ht="15" customHeight="1" x14ac:dyDescent="0.25">
      <c r="A151" s="1030"/>
      <c r="B151" s="1018"/>
      <c r="C151" s="998"/>
      <c r="D151" s="998"/>
      <c r="E151" s="1000"/>
      <c r="F151" s="1002"/>
      <c r="G151" s="986" t="s">
        <v>2290</v>
      </c>
      <c r="H151" s="986"/>
      <c r="I151" s="986"/>
      <c r="J151" s="986"/>
      <c r="K151" s="986"/>
      <c r="L151" s="986"/>
      <c r="M151" s="986"/>
      <c r="N151" s="548"/>
      <c r="O151" s="548"/>
      <c r="P151" s="548"/>
      <c r="Q151" s="548"/>
      <c r="R151" s="519"/>
      <c r="S151" s="548"/>
      <c r="T151" s="241"/>
      <c r="U151" s="471"/>
    </row>
    <row r="152" spans="1:21" ht="15" customHeight="1" x14ac:dyDescent="0.25">
      <c r="A152" s="1030"/>
      <c r="B152" s="1018"/>
      <c r="C152" s="998"/>
      <c r="D152" s="998"/>
      <c r="E152" s="1000"/>
      <c r="F152" s="1002"/>
      <c r="G152" s="548" t="s">
        <v>2302</v>
      </c>
      <c r="H152" s="543" t="s">
        <v>2367</v>
      </c>
      <c r="I152" s="548" t="s">
        <v>2411</v>
      </c>
      <c r="J152" s="519"/>
      <c r="K152" s="519">
        <f>0.03*0.9</f>
        <v>2.7E-2</v>
      </c>
      <c r="L152" s="205"/>
      <c r="M152" s="519"/>
      <c r="N152" s="548"/>
      <c r="O152" s="548"/>
      <c r="P152" s="548"/>
      <c r="Q152" s="548"/>
      <c r="R152" s="519"/>
      <c r="S152" s="548"/>
      <c r="T152" s="241"/>
      <c r="U152" s="471"/>
    </row>
    <row r="153" spans="1:21" ht="15" customHeight="1" x14ac:dyDescent="0.25">
      <c r="A153" s="1030"/>
      <c r="B153" s="1018"/>
      <c r="C153" s="998"/>
      <c r="D153" s="998"/>
      <c r="E153" s="1000"/>
      <c r="F153" s="1002"/>
      <c r="G153" s="986" t="s">
        <v>18850</v>
      </c>
      <c r="H153" s="987"/>
      <c r="I153" s="987"/>
      <c r="J153" s="987"/>
      <c r="K153" s="987"/>
      <c r="L153" s="987"/>
      <c r="M153" s="987"/>
      <c r="N153" s="548"/>
      <c r="O153" s="548"/>
      <c r="P153" s="548"/>
      <c r="Q153" s="548"/>
      <c r="R153" s="519"/>
      <c r="S153" s="548"/>
      <c r="T153" s="241"/>
      <c r="U153" s="471"/>
    </row>
    <row r="154" spans="1:21" ht="15" customHeight="1" x14ac:dyDescent="0.25">
      <c r="A154" s="1030"/>
      <c r="B154" s="1018"/>
      <c r="C154" s="998"/>
      <c r="D154" s="998"/>
      <c r="E154" s="1000"/>
      <c r="F154" s="1002"/>
      <c r="G154" s="993" t="s">
        <v>2262</v>
      </c>
      <c r="H154" s="993"/>
      <c r="I154" s="993"/>
      <c r="J154" s="994">
        <f>0.085*0.9*0.6</f>
        <v>4.5900000000000003E-2</v>
      </c>
      <c r="K154" s="995"/>
      <c r="L154" s="594"/>
      <c r="M154" s="594"/>
      <c r="N154" s="269"/>
      <c r="O154" s="269"/>
      <c r="P154" s="269"/>
      <c r="Q154" s="269"/>
      <c r="R154" s="594"/>
      <c r="S154" s="269"/>
      <c r="T154" s="259"/>
      <c r="U154" s="471"/>
    </row>
    <row r="155" spans="1:21" ht="15" customHeight="1" thickBot="1" x14ac:dyDescent="0.3">
      <c r="A155" s="1031"/>
      <c r="B155" s="1017"/>
      <c r="C155" s="999"/>
      <c r="D155" s="999"/>
      <c r="E155" s="1001"/>
      <c r="F155" s="1003"/>
      <c r="G155" s="1032" t="s">
        <v>1199</v>
      </c>
      <c r="H155" s="1032"/>
      <c r="I155" s="1032"/>
      <c r="J155" s="544"/>
      <c r="K155" s="247">
        <f>SUM(J154:J154)</f>
        <v>4.5900000000000003E-2</v>
      </c>
      <c r="L155" s="544">
        <v>0.92</v>
      </c>
      <c r="M155" s="247">
        <f>K155/L155</f>
        <v>4.9891304347826092E-2</v>
      </c>
      <c r="N155" s="1032" t="s">
        <v>1199</v>
      </c>
      <c r="O155" s="1032"/>
      <c r="P155" s="1032"/>
      <c r="Q155" s="542"/>
      <c r="R155" s="247">
        <f>SUM(R148:R150)</f>
        <v>4.2000000000000003E-2</v>
      </c>
      <c r="S155" s="542">
        <v>0.92</v>
      </c>
      <c r="T155" s="249">
        <f>R155/S155</f>
        <v>4.5652173913043478E-2</v>
      </c>
      <c r="U155" s="471"/>
    </row>
    <row r="156" spans="1:21" ht="15" customHeight="1" x14ac:dyDescent="0.25">
      <c r="A156" s="1029" t="str">
        <f>Итоговая!C56</f>
        <v>ПС 35/10 кВ Новокотово</v>
      </c>
      <c r="B156" s="1016">
        <f>Итоговая!D56</f>
        <v>2.5</v>
      </c>
      <c r="C156" s="1004" t="str">
        <f>Итоговая!E56</f>
        <v>+</v>
      </c>
      <c r="D156" s="1004">
        <f>Итоговая!F56</f>
        <v>2.5</v>
      </c>
      <c r="E156" s="1005">
        <f>Итоговая!G56</f>
        <v>0</v>
      </c>
      <c r="F156" s="1006">
        <f>Итоговая!H56</f>
        <v>0</v>
      </c>
      <c r="G156" s="215"/>
      <c r="H156" s="215"/>
      <c r="I156" s="215"/>
      <c r="J156" s="216"/>
      <c r="K156" s="216"/>
      <c r="L156" s="216"/>
      <c r="M156" s="264"/>
      <c r="N156" s="215"/>
      <c r="O156" s="215"/>
      <c r="P156" s="215"/>
      <c r="Q156" s="215"/>
      <c r="R156" s="216"/>
      <c r="S156" s="215"/>
      <c r="T156" s="217"/>
      <c r="U156" s="471"/>
    </row>
    <row r="157" spans="1:21" ht="15" customHeight="1" thickBot="1" x14ac:dyDescent="0.3">
      <c r="A157" s="1031"/>
      <c r="B157" s="1017"/>
      <c r="C157" s="999"/>
      <c r="D157" s="999"/>
      <c r="E157" s="1001"/>
      <c r="F157" s="1003"/>
      <c r="G157" s="1032" t="s">
        <v>1199</v>
      </c>
      <c r="H157" s="1032"/>
      <c r="I157" s="1032"/>
      <c r="J157" s="544"/>
      <c r="K157" s="247">
        <f>SUM(K156:K156)</f>
        <v>0</v>
      </c>
      <c r="L157" s="544">
        <v>0.92</v>
      </c>
      <c r="M157" s="247">
        <f>K157/L157</f>
        <v>0</v>
      </c>
      <c r="N157" s="1032" t="s">
        <v>1199</v>
      </c>
      <c r="O157" s="1032"/>
      <c r="P157" s="1032"/>
      <c r="Q157" s="542"/>
      <c r="R157" s="247">
        <f>SUM(R156:R156)</f>
        <v>0</v>
      </c>
      <c r="S157" s="542">
        <v>0.92</v>
      </c>
      <c r="T157" s="249">
        <f>R157/S157</f>
        <v>0</v>
      </c>
      <c r="U157" s="471"/>
    </row>
    <row r="158" spans="1:21" ht="15" customHeight="1" x14ac:dyDescent="0.25">
      <c r="A158" s="1029" t="str">
        <f>Итоговая!C57</f>
        <v xml:space="preserve">ПС 35/10 кВ Ривзавод  </v>
      </c>
      <c r="B158" s="1016">
        <f>Итоговая!D57</f>
        <v>1.6</v>
      </c>
      <c r="C158" s="1004" t="str">
        <f>Итоговая!E57</f>
        <v>+</v>
      </c>
      <c r="D158" s="1004">
        <f>Итоговая!F57</f>
        <v>2.5</v>
      </c>
      <c r="E158" s="1005">
        <f>Итоговая!G57</f>
        <v>0</v>
      </c>
      <c r="F158" s="1006">
        <f>Итоговая!H57</f>
        <v>0</v>
      </c>
      <c r="G158" s="1060" t="s">
        <v>18850</v>
      </c>
      <c r="H158" s="1061"/>
      <c r="I158" s="1061"/>
      <c r="J158" s="1061"/>
      <c r="K158" s="1061"/>
      <c r="L158" s="1061"/>
      <c r="M158" s="1061"/>
      <c r="N158" s="215"/>
      <c r="O158" s="215"/>
      <c r="P158" s="215"/>
      <c r="Q158" s="215"/>
      <c r="R158" s="216"/>
      <c r="S158" s="215"/>
      <c r="T158" s="217"/>
      <c r="U158" s="471"/>
    </row>
    <row r="159" spans="1:21" ht="15" customHeight="1" x14ac:dyDescent="0.25">
      <c r="A159" s="1030"/>
      <c r="B159" s="1018"/>
      <c r="C159" s="998"/>
      <c r="D159" s="998"/>
      <c r="E159" s="1000"/>
      <c r="F159" s="1002"/>
      <c r="G159" s="223" t="s">
        <v>18861</v>
      </c>
      <c r="H159" s="223" t="s">
        <v>18862</v>
      </c>
      <c r="I159" s="223" t="s">
        <v>18863</v>
      </c>
      <c r="J159" s="521"/>
      <c r="K159" s="521">
        <f>(0.075-0.055)*0.85</f>
        <v>1.6999999999999998E-2</v>
      </c>
      <c r="L159" s="521"/>
      <c r="M159" s="522"/>
      <c r="N159" s="223"/>
      <c r="O159" s="223"/>
      <c r="P159" s="223"/>
      <c r="Q159" s="223"/>
      <c r="R159" s="224"/>
      <c r="S159" s="223"/>
      <c r="T159" s="225"/>
      <c r="U159" s="471"/>
    </row>
    <row r="160" spans="1:21" ht="15" customHeight="1" x14ac:dyDescent="0.25">
      <c r="A160" s="1030"/>
      <c r="B160" s="1018"/>
      <c r="C160" s="998"/>
      <c r="D160" s="998"/>
      <c r="E160" s="1000"/>
      <c r="F160" s="1002"/>
      <c r="G160" s="1059" t="s">
        <v>2262</v>
      </c>
      <c r="H160" s="1059"/>
      <c r="I160" s="1059"/>
      <c r="J160" s="1044">
        <f>0.054*0.9*0.6</f>
        <v>2.9159999999999998E-2</v>
      </c>
      <c r="K160" s="1045"/>
      <c r="L160" s="347"/>
      <c r="M160" s="347"/>
      <c r="N160" s="223"/>
      <c r="O160" s="223"/>
      <c r="P160" s="223"/>
      <c r="Q160" s="223"/>
      <c r="R160" s="224"/>
      <c r="S160" s="223"/>
      <c r="T160" s="225"/>
      <c r="U160" s="471"/>
    </row>
    <row r="161" spans="1:21" ht="15" customHeight="1" x14ac:dyDescent="0.25">
      <c r="A161" s="1030"/>
      <c r="B161" s="1018"/>
      <c r="C161" s="998"/>
      <c r="D161" s="998"/>
      <c r="E161" s="1000"/>
      <c r="F161" s="1002"/>
      <c r="G161" s="986" t="s">
        <v>19795</v>
      </c>
      <c r="H161" s="987"/>
      <c r="I161" s="987"/>
      <c r="J161" s="987"/>
      <c r="K161" s="987"/>
      <c r="L161" s="987"/>
      <c r="M161" s="987"/>
      <c r="N161" s="223"/>
      <c r="O161" s="223"/>
      <c r="P161" s="223"/>
      <c r="Q161" s="223"/>
      <c r="R161" s="224"/>
      <c r="S161" s="223"/>
      <c r="T161" s="225"/>
      <c r="U161" s="471"/>
    </row>
    <row r="162" spans="1:21" ht="15" customHeight="1" x14ac:dyDescent="0.25">
      <c r="A162" s="1030"/>
      <c r="B162" s="1018"/>
      <c r="C162" s="998"/>
      <c r="D162" s="998"/>
      <c r="E162" s="1000"/>
      <c r="F162" s="1002"/>
      <c r="G162" s="519" t="s">
        <v>18882</v>
      </c>
      <c r="H162" s="519" t="s">
        <v>19796</v>
      </c>
      <c r="I162" s="519" t="s">
        <v>19797</v>
      </c>
      <c r="J162" s="374">
        <f>0.1424*0.9</f>
        <v>0.12816</v>
      </c>
      <c r="K162" s="374"/>
      <c r="L162" s="347"/>
      <c r="M162" s="347"/>
      <c r="N162" s="223"/>
      <c r="O162" s="223"/>
      <c r="P162" s="223"/>
      <c r="Q162" s="223"/>
      <c r="R162" s="224"/>
      <c r="S162" s="223"/>
      <c r="T162" s="225"/>
      <c r="U162" s="471"/>
    </row>
    <row r="163" spans="1:21" ht="15" customHeight="1" thickBot="1" x14ac:dyDescent="0.3">
      <c r="A163" s="1031"/>
      <c r="B163" s="1017"/>
      <c r="C163" s="999"/>
      <c r="D163" s="999"/>
      <c r="E163" s="1001"/>
      <c r="F163" s="1003"/>
      <c r="G163" s="1052" t="s">
        <v>1199</v>
      </c>
      <c r="H163" s="1052"/>
      <c r="I163" s="1052"/>
      <c r="J163" s="523"/>
      <c r="K163" s="488">
        <f>SUM(J159:K162)</f>
        <v>0.17431999999999997</v>
      </c>
      <c r="L163" s="523">
        <v>0.92</v>
      </c>
      <c r="M163" s="488">
        <f>K163/L163</f>
        <v>0.18947826086956518</v>
      </c>
      <c r="N163" s="1032" t="s">
        <v>1199</v>
      </c>
      <c r="O163" s="1032"/>
      <c r="P163" s="1032"/>
      <c r="Q163" s="542"/>
      <c r="R163" s="247">
        <f>SUM(R158:R158)</f>
        <v>0</v>
      </c>
      <c r="S163" s="542">
        <v>0.92</v>
      </c>
      <c r="T163" s="249">
        <f>R163/S163</f>
        <v>0</v>
      </c>
      <c r="U163" s="471"/>
    </row>
    <row r="164" spans="1:21" s="475" customFormat="1" ht="15" customHeight="1" x14ac:dyDescent="0.25">
      <c r="A164" s="1056" t="str">
        <f>Итоговая!C58</f>
        <v xml:space="preserve">ПС 35/10 кВ Сонково </v>
      </c>
      <c r="B164" s="1016">
        <f>Итоговая!D58</f>
        <v>4</v>
      </c>
      <c r="C164" s="1004" t="str">
        <f>Итоговая!E58</f>
        <v>+</v>
      </c>
      <c r="D164" s="1004">
        <f>Итоговая!F58</f>
        <v>3.2</v>
      </c>
      <c r="E164" s="1005">
        <f>Итоговая!G58</f>
        <v>0</v>
      </c>
      <c r="F164" s="1006">
        <f>Итоговая!H58</f>
        <v>0</v>
      </c>
      <c r="G164" s="992" t="s">
        <v>1290</v>
      </c>
      <c r="H164" s="992"/>
      <c r="I164" s="992"/>
      <c r="J164" s="992"/>
      <c r="K164" s="992"/>
      <c r="L164" s="992"/>
      <c r="M164" s="992"/>
      <c r="N164" s="992" t="s">
        <v>14933</v>
      </c>
      <c r="O164" s="992"/>
      <c r="P164" s="992"/>
      <c r="Q164" s="992"/>
      <c r="R164" s="992"/>
      <c r="S164" s="992"/>
      <c r="T164" s="992"/>
      <c r="U164" s="471"/>
    </row>
    <row r="165" spans="1:21" ht="15" customHeight="1" x14ac:dyDescent="0.25">
      <c r="A165" s="1057"/>
      <c r="B165" s="1018"/>
      <c r="C165" s="998"/>
      <c r="D165" s="998"/>
      <c r="E165" s="1000"/>
      <c r="F165" s="1002"/>
      <c r="G165" s="724" t="s">
        <v>1221</v>
      </c>
      <c r="H165" s="724" t="s">
        <v>1222</v>
      </c>
      <c r="I165" s="724" t="s">
        <v>1692</v>
      </c>
      <c r="J165" s="205"/>
      <c r="K165" s="205">
        <v>0.38</v>
      </c>
      <c r="L165" s="205"/>
      <c r="M165" s="519"/>
      <c r="N165" s="543" t="s">
        <v>1832</v>
      </c>
      <c r="O165" s="543" t="s">
        <v>1833</v>
      </c>
      <c r="P165" s="543" t="s">
        <v>17446</v>
      </c>
      <c r="Q165" s="543"/>
      <c r="R165" s="205">
        <v>0.05</v>
      </c>
      <c r="S165" s="272"/>
      <c r="T165" s="476"/>
      <c r="U165" s="471"/>
    </row>
    <row r="166" spans="1:21" ht="15" customHeight="1" x14ac:dyDescent="0.25">
      <c r="A166" s="1057"/>
      <c r="B166" s="1018"/>
      <c r="C166" s="998"/>
      <c r="D166" s="998"/>
      <c r="E166" s="1000"/>
      <c r="F166" s="1002"/>
      <c r="G166" s="1053"/>
      <c r="H166" s="1053"/>
      <c r="I166" s="1053"/>
      <c r="J166" s="1053"/>
      <c r="K166" s="1053"/>
      <c r="L166" s="1053"/>
      <c r="M166" s="1053"/>
      <c r="N166" s="272"/>
      <c r="O166" s="272"/>
      <c r="P166" s="272"/>
      <c r="Q166" s="272"/>
      <c r="R166" s="273"/>
      <c r="S166" s="272"/>
      <c r="T166" s="476"/>
      <c r="U166" s="471"/>
    </row>
    <row r="167" spans="1:21" ht="15" customHeight="1" x14ac:dyDescent="0.25">
      <c r="A167" s="1057"/>
      <c r="B167" s="1018"/>
      <c r="C167" s="998"/>
      <c r="D167" s="998"/>
      <c r="E167" s="1000"/>
      <c r="F167" s="1002"/>
      <c r="G167" s="996" t="s">
        <v>18518</v>
      </c>
      <c r="H167" s="996"/>
      <c r="I167" s="996"/>
      <c r="J167" s="996"/>
      <c r="K167" s="996"/>
      <c r="L167" s="996"/>
      <c r="M167" s="996"/>
      <c r="N167" s="272"/>
      <c r="O167" s="272"/>
      <c r="P167" s="272"/>
      <c r="Q167" s="272"/>
      <c r="R167" s="273"/>
      <c r="S167" s="272"/>
      <c r="T167" s="476"/>
      <c r="U167" s="471"/>
    </row>
    <row r="168" spans="1:21" ht="15" customHeight="1" x14ac:dyDescent="0.25">
      <c r="A168" s="1057"/>
      <c r="B168" s="1018"/>
      <c r="C168" s="998"/>
      <c r="D168" s="998"/>
      <c r="E168" s="1000"/>
      <c r="F168" s="1002"/>
      <c r="G168" s="993" t="s">
        <v>2262</v>
      </c>
      <c r="H168" s="993"/>
      <c r="I168" s="993"/>
      <c r="J168" s="994">
        <f>0.091*0.9*0.6</f>
        <v>4.9139999999999996E-2</v>
      </c>
      <c r="K168" s="995"/>
      <c r="L168" s="205"/>
      <c r="M168" s="519"/>
      <c r="N168" s="292"/>
      <c r="O168" s="292"/>
      <c r="P168" s="292"/>
      <c r="Q168" s="292"/>
      <c r="R168" s="448"/>
      <c r="S168" s="292"/>
      <c r="T168" s="486"/>
      <c r="U168" s="471"/>
    </row>
    <row r="169" spans="1:21" ht="15" customHeight="1" thickBot="1" x14ac:dyDescent="0.3">
      <c r="A169" s="1058"/>
      <c r="B169" s="1017"/>
      <c r="C169" s="999"/>
      <c r="D169" s="999"/>
      <c r="E169" s="1001"/>
      <c r="F169" s="1003"/>
      <c r="G169" s="1032" t="s">
        <v>1199</v>
      </c>
      <c r="H169" s="1032"/>
      <c r="I169" s="1032"/>
      <c r="J169" s="544"/>
      <c r="K169" s="247">
        <f>SUM(J168)</f>
        <v>4.9139999999999996E-2</v>
      </c>
      <c r="L169" s="544">
        <v>0.92</v>
      </c>
      <c r="M169" s="247">
        <f>K169/L169</f>
        <v>5.3413043478260862E-2</v>
      </c>
      <c r="N169" s="1032" t="s">
        <v>1199</v>
      </c>
      <c r="O169" s="1032"/>
      <c r="P169" s="1032"/>
      <c r="Q169" s="542"/>
      <c r="R169" s="247">
        <f>SUM(R165:R167)</f>
        <v>0.05</v>
      </c>
      <c r="S169" s="542">
        <v>0.92</v>
      </c>
      <c r="T169" s="249">
        <f>R169/S169</f>
        <v>5.434782608695652E-2</v>
      </c>
      <c r="U169" s="471"/>
    </row>
    <row r="170" spans="1:21" ht="15" customHeight="1" x14ac:dyDescent="0.25">
      <c r="A170" s="1042" t="str">
        <f>Итоговая!C59</f>
        <v xml:space="preserve">ПС 35/10 кВ Сулежский Борок </v>
      </c>
      <c r="B170" s="1016">
        <f>Итоговая!D59</f>
        <v>1.6</v>
      </c>
      <c r="C170" s="1004" t="str">
        <f>Итоговая!E59</f>
        <v>+</v>
      </c>
      <c r="D170" s="1004">
        <f>Итоговая!F59</f>
        <v>2.5</v>
      </c>
      <c r="E170" s="1005">
        <f>Итоговая!G59</f>
        <v>0</v>
      </c>
      <c r="F170" s="1006">
        <f>Итоговая!H59</f>
        <v>0</v>
      </c>
      <c r="G170" s="489"/>
      <c r="H170" s="215"/>
      <c r="I170" s="215"/>
      <c r="J170" s="216"/>
      <c r="K170" s="216"/>
      <c r="L170" s="216"/>
      <c r="M170" s="264"/>
      <c r="N170" s="215"/>
      <c r="O170" s="215"/>
      <c r="P170" s="215"/>
      <c r="Q170" s="215"/>
      <c r="R170" s="216"/>
      <c r="S170" s="215"/>
      <c r="T170" s="217"/>
      <c r="U170" s="471"/>
    </row>
    <row r="171" spans="1:21" ht="15" customHeight="1" x14ac:dyDescent="0.25">
      <c r="A171" s="1043"/>
      <c r="B171" s="1018"/>
      <c r="C171" s="998"/>
      <c r="D171" s="998"/>
      <c r="E171" s="1000"/>
      <c r="F171" s="1002"/>
      <c r="G171" s="1036"/>
      <c r="H171" s="1037"/>
      <c r="I171" s="1037"/>
      <c r="J171" s="262"/>
      <c r="K171" s="262"/>
      <c r="L171" s="262"/>
      <c r="M171" s="262"/>
      <c r="N171" s="1033" t="s">
        <v>1199</v>
      </c>
      <c r="O171" s="1033"/>
      <c r="P171" s="1033"/>
      <c r="Q171" s="543"/>
      <c r="R171" s="490">
        <f>SUM(R170:R170)</f>
        <v>0</v>
      </c>
      <c r="S171" s="543">
        <v>0.92</v>
      </c>
      <c r="T171" s="491">
        <f>R171/S171</f>
        <v>0</v>
      </c>
      <c r="U171" s="471"/>
    </row>
    <row r="172" spans="1:21" ht="15" customHeight="1" x14ac:dyDescent="0.25">
      <c r="A172" s="1043"/>
      <c r="B172" s="1018"/>
      <c r="C172" s="998"/>
      <c r="D172" s="998"/>
      <c r="E172" s="1000"/>
      <c r="F172" s="1002"/>
      <c r="G172" s="1036"/>
      <c r="H172" s="1037"/>
      <c r="I172" s="1037"/>
      <c r="J172" s="1037"/>
      <c r="K172" s="1037"/>
      <c r="L172" s="1037"/>
      <c r="M172" s="1037"/>
      <c r="N172" s="543"/>
      <c r="O172" s="543"/>
      <c r="P172" s="543"/>
      <c r="Q172" s="543"/>
      <c r="R172" s="205"/>
      <c r="S172" s="543"/>
      <c r="T172" s="241"/>
      <c r="U172" s="471"/>
    </row>
    <row r="173" spans="1:21" ht="15" customHeight="1" x14ac:dyDescent="0.25">
      <c r="A173" s="1043"/>
      <c r="B173" s="1018"/>
      <c r="C173" s="998"/>
      <c r="D173" s="998"/>
      <c r="E173" s="1000"/>
      <c r="F173" s="1002"/>
      <c r="G173" s="545"/>
      <c r="H173" s="546"/>
      <c r="I173" s="546"/>
      <c r="J173" s="262"/>
      <c r="K173" s="262"/>
      <c r="L173" s="262"/>
      <c r="M173" s="262"/>
      <c r="N173" s="543"/>
      <c r="O173" s="543"/>
      <c r="P173" s="543"/>
      <c r="Q173" s="543"/>
      <c r="R173" s="205"/>
      <c r="S173" s="543"/>
      <c r="T173" s="241"/>
      <c r="U173" s="471"/>
    </row>
    <row r="174" spans="1:21" ht="15" customHeight="1" x14ac:dyDescent="0.25">
      <c r="A174" s="1043"/>
      <c r="B174" s="1018"/>
      <c r="C174" s="998"/>
      <c r="D174" s="998"/>
      <c r="E174" s="1000"/>
      <c r="F174" s="1002"/>
      <c r="G174" s="545"/>
      <c r="H174" s="546"/>
      <c r="I174" s="546"/>
      <c r="J174" s="262"/>
      <c r="K174" s="262"/>
      <c r="L174" s="262"/>
      <c r="M174" s="262"/>
      <c r="N174" s="543"/>
      <c r="O174" s="543"/>
      <c r="P174" s="543"/>
      <c r="Q174" s="543"/>
      <c r="R174" s="205"/>
      <c r="S174" s="543"/>
      <c r="T174" s="241"/>
      <c r="U174" s="471"/>
    </row>
    <row r="175" spans="1:21" ht="15" customHeight="1" thickBot="1" x14ac:dyDescent="0.3">
      <c r="A175" s="1055"/>
      <c r="B175" s="1017"/>
      <c r="C175" s="999"/>
      <c r="D175" s="999"/>
      <c r="E175" s="1001"/>
      <c r="F175" s="1003"/>
      <c r="G175" s="1054" t="s">
        <v>1199</v>
      </c>
      <c r="H175" s="1032"/>
      <c r="I175" s="1032"/>
      <c r="J175" s="544"/>
      <c r="K175" s="247">
        <f>SUM(K173:K174)</f>
        <v>0</v>
      </c>
      <c r="L175" s="544">
        <v>0.92</v>
      </c>
      <c r="M175" s="247">
        <f>K175/L175</f>
        <v>0</v>
      </c>
      <c r="N175" s="1032" t="s">
        <v>1199</v>
      </c>
      <c r="O175" s="1032"/>
      <c r="P175" s="1032"/>
      <c r="Q175" s="542"/>
      <c r="R175" s="247">
        <f>SUM(R172:R174)</f>
        <v>0</v>
      </c>
      <c r="S175" s="542">
        <v>0.92</v>
      </c>
      <c r="T175" s="249">
        <f>R175/S175</f>
        <v>0</v>
      </c>
      <c r="U175" s="471"/>
    </row>
    <row r="176" spans="1:21" ht="15" customHeight="1" x14ac:dyDescent="0.25">
      <c r="A176" s="988" t="str">
        <f>Итоговая!C60</f>
        <v xml:space="preserve">ПС 110/10 кВ Шишково Дуброво </v>
      </c>
      <c r="B176" s="534">
        <f>Итоговая!D60</f>
        <v>6.3</v>
      </c>
      <c r="C176" s="537" t="str">
        <f>Итоговая!E60</f>
        <v>+</v>
      </c>
      <c r="D176" s="537">
        <f>Итоговая!F60</f>
        <v>6.3</v>
      </c>
      <c r="E176" s="540"/>
      <c r="F176" s="531"/>
      <c r="G176" s="1062" t="s">
        <v>14933</v>
      </c>
      <c r="H176" s="996"/>
      <c r="I176" s="996"/>
      <c r="J176" s="996"/>
      <c r="K176" s="996"/>
      <c r="L176" s="996"/>
      <c r="M176" s="996"/>
      <c r="N176" s="223"/>
      <c r="O176" s="223"/>
      <c r="P176" s="223"/>
      <c r="Q176" s="223"/>
      <c r="R176" s="376"/>
      <c r="S176" s="223"/>
      <c r="T176" s="225"/>
      <c r="U176" s="471"/>
    </row>
    <row r="177" spans="1:21" ht="15" customHeight="1" x14ac:dyDescent="0.25">
      <c r="A177" s="989"/>
      <c r="B177" s="534"/>
      <c r="C177" s="537"/>
      <c r="D177" s="537"/>
      <c r="E177" s="540"/>
      <c r="F177" s="531"/>
      <c r="G177" s="603" t="s">
        <v>1912</v>
      </c>
      <c r="H177" s="543" t="s">
        <v>17216</v>
      </c>
      <c r="I177" s="543" t="s">
        <v>17217</v>
      </c>
      <c r="J177" s="205"/>
      <c r="K177" s="205">
        <f>(0.6-0.095)*0.75</f>
        <v>0.37875000000000003</v>
      </c>
      <c r="L177" s="205"/>
      <c r="M177" s="519"/>
      <c r="N177" s="223"/>
      <c r="O177" s="223"/>
      <c r="P177" s="223"/>
      <c r="Q177" s="223"/>
      <c r="R177" s="376"/>
      <c r="S177" s="223"/>
      <c r="T177" s="225"/>
      <c r="U177" s="471"/>
    </row>
    <row r="178" spans="1:21" ht="15" customHeight="1" x14ac:dyDescent="0.25">
      <c r="A178" s="989"/>
      <c r="B178" s="534"/>
      <c r="C178" s="537"/>
      <c r="D178" s="537"/>
      <c r="E178" s="540"/>
      <c r="F178" s="531"/>
      <c r="G178" s="724" t="s">
        <v>1912</v>
      </c>
      <c r="H178" s="724" t="s">
        <v>17332</v>
      </c>
      <c r="I178" s="724" t="s">
        <v>17333</v>
      </c>
      <c r="J178" s="205"/>
      <c r="K178" s="205">
        <f>(2.6-0.6)*0.75</f>
        <v>1.5</v>
      </c>
      <c r="L178" s="205"/>
      <c r="M178" s="519"/>
      <c r="N178" s="223"/>
      <c r="O178" s="223"/>
      <c r="P178" s="223"/>
      <c r="Q178" s="223"/>
      <c r="R178" s="376"/>
      <c r="S178" s="223"/>
      <c r="T178" s="225"/>
      <c r="U178" s="471"/>
    </row>
    <row r="179" spans="1:21" ht="15" customHeight="1" x14ac:dyDescent="0.25">
      <c r="A179" s="989"/>
      <c r="B179" s="534"/>
      <c r="C179" s="537"/>
      <c r="D179" s="537"/>
      <c r="E179" s="540"/>
      <c r="F179" s="531"/>
      <c r="G179" s="996" t="s">
        <v>18518</v>
      </c>
      <c r="H179" s="996"/>
      <c r="I179" s="996"/>
      <c r="J179" s="996"/>
      <c r="K179" s="996"/>
      <c r="L179" s="996"/>
      <c r="M179" s="996"/>
      <c r="N179" s="223"/>
      <c r="O179" s="223"/>
      <c r="P179" s="223"/>
      <c r="Q179" s="223"/>
      <c r="R179" s="376"/>
      <c r="S179" s="223"/>
      <c r="T179" s="225"/>
      <c r="U179" s="471"/>
    </row>
    <row r="180" spans="1:21" ht="15" customHeight="1" x14ac:dyDescent="0.25">
      <c r="A180" s="989"/>
      <c r="B180" s="534"/>
      <c r="C180" s="537"/>
      <c r="D180" s="537"/>
      <c r="E180" s="540"/>
      <c r="F180" s="531"/>
      <c r="G180" s="993" t="s">
        <v>2262</v>
      </c>
      <c r="H180" s="993"/>
      <c r="I180" s="993"/>
      <c r="J180" s="994">
        <f>0.059*0.9*0.6</f>
        <v>3.1859999999999999E-2</v>
      </c>
      <c r="K180" s="995"/>
      <c r="L180" s="205"/>
      <c r="M180" s="519"/>
      <c r="N180" s="223"/>
      <c r="O180" s="223"/>
      <c r="P180" s="223"/>
      <c r="Q180" s="223"/>
      <c r="R180" s="376"/>
      <c r="S180" s="223"/>
      <c r="T180" s="225"/>
      <c r="U180" s="471"/>
    </row>
    <row r="181" spans="1:21" ht="15" customHeight="1" thickBot="1" x14ac:dyDescent="0.3">
      <c r="A181" s="990"/>
      <c r="B181" s="534"/>
      <c r="C181" s="537"/>
      <c r="D181" s="537"/>
      <c r="E181" s="540"/>
      <c r="F181" s="531"/>
      <c r="G181" s="1054" t="s">
        <v>1199</v>
      </c>
      <c r="H181" s="1032"/>
      <c r="I181" s="1032"/>
      <c r="J181" s="544"/>
      <c r="K181" s="247">
        <f>SUM(J177:K180)</f>
        <v>1.9106100000000001</v>
      </c>
      <c r="L181" s="544">
        <v>0.92</v>
      </c>
      <c r="M181" s="247">
        <f>K181/L181</f>
        <v>2.0767500000000001</v>
      </c>
      <c r="N181" s="223"/>
      <c r="O181" s="223"/>
      <c r="P181" s="223"/>
      <c r="Q181" s="223"/>
      <c r="R181" s="376"/>
      <c r="S181" s="223"/>
      <c r="T181" s="225"/>
      <c r="U181" s="471"/>
    </row>
    <row r="182" spans="1:21" ht="15" customHeight="1" x14ac:dyDescent="0.25">
      <c r="A182" s="1029" t="str">
        <f>Итоговая!C61</f>
        <v xml:space="preserve">ПС 110/35/10 кВ Весьегонск </v>
      </c>
      <c r="B182" s="1016">
        <f>Итоговая!D61</f>
        <v>6.3</v>
      </c>
      <c r="C182" s="1004" t="str">
        <f>Итоговая!E61</f>
        <v>+</v>
      </c>
      <c r="D182" s="1004">
        <f>Итоговая!F61</f>
        <v>6.3</v>
      </c>
      <c r="E182" s="1005">
        <f>Итоговая!G61</f>
        <v>0</v>
      </c>
      <c r="F182" s="1006">
        <f>Итоговая!H61</f>
        <v>0</v>
      </c>
      <c r="G182" s="992" t="s">
        <v>1288</v>
      </c>
      <c r="H182" s="992"/>
      <c r="I182" s="992"/>
      <c r="J182" s="992"/>
      <c r="K182" s="992"/>
      <c r="L182" s="992"/>
      <c r="M182" s="992"/>
      <c r="N182" s="444"/>
      <c r="O182" s="444"/>
      <c r="P182" s="444"/>
      <c r="Q182" s="444"/>
      <c r="R182" s="473"/>
      <c r="S182" s="444"/>
      <c r="T182" s="474"/>
      <c r="U182" s="471"/>
    </row>
    <row r="183" spans="1:21" ht="15" customHeight="1" x14ac:dyDescent="0.25">
      <c r="A183" s="1030"/>
      <c r="B183" s="1018"/>
      <c r="C183" s="998"/>
      <c r="D183" s="998"/>
      <c r="E183" s="1000"/>
      <c r="F183" s="1002"/>
      <c r="G183" s="543" t="s">
        <v>1209</v>
      </c>
      <c r="H183" s="543" t="s">
        <v>1210</v>
      </c>
      <c r="I183" s="543" t="s">
        <v>1211</v>
      </c>
      <c r="J183" s="205"/>
      <c r="K183" s="205">
        <v>0.02</v>
      </c>
      <c r="L183" s="205"/>
      <c r="M183" s="519"/>
      <c r="N183" s="548"/>
      <c r="O183" s="548"/>
      <c r="P183" s="548"/>
      <c r="Q183" s="548"/>
      <c r="R183" s="519"/>
      <c r="S183" s="548"/>
      <c r="T183" s="241"/>
      <c r="U183" s="471"/>
    </row>
    <row r="184" spans="1:21" ht="15" customHeight="1" thickBot="1" x14ac:dyDescent="0.3">
      <c r="A184" s="1030"/>
      <c r="B184" s="1018"/>
      <c r="C184" s="998"/>
      <c r="D184" s="998"/>
      <c r="E184" s="1000"/>
      <c r="F184" s="1002"/>
      <c r="G184" s="272"/>
      <c r="H184" s="272"/>
      <c r="I184" s="272"/>
      <c r="J184" s="273"/>
      <c r="K184" s="273"/>
      <c r="L184" s="273"/>
      <c r="M184" s="273"/>
      <c r="N184" s="548"/>
      <c r="O184" s="548"/>
      <c r="P184" s="548"/>
      <c r="Q184" s="548"/>
      <c r="R184" s="519"/>
      <c r="S184" s="548"/>
      <c r="T184" s="241"/>
      <c r="U184" s="471"/>
    </row>
    <row r="185" spans="1:21" ht="15" customHeight="1" x14ac:dyDescent="0.25">
      <c r="A185" s="1030"/>
      <c r="B185" s="1018"/>
      <c r="C185" s="998"/>
      <c r="D185" s="998"/>
      <c r="E185" s="1000"/>
      <c r="F185" s="1002"/>
      <c r="G185" s="992" t="s">
        <v>18518</v>
      </c>
      <c r="H185" s="992"/>
      <c r="I185" s="992"/>
      <c r="J185" s="992"/>
      <c r="K185" s="992"/>
      <c r="L185" s="992"/>
      <c r="M185" s="992"/>
      <c r="N185" s="548"/>
      <c r="O185" s="548"/>
      <c r="P185" s="548"/>
      <c r="Q185" s="548"/>
      <c r="R185" s="519"/>
      <c r="S185" s="548"/>
      <c r="T185" s="241"/>
      <c r="U185" s="471"/>
    </row>
    <row r="186" spans="1:21" ht="15" customHeight="1" x14ac:dyDescent="0.25">
      <c r="A186" s="1030"/>
      <c r="B186" s="1018"/>
      <c r="C186" s="998"/>
      <c r="D186" s="998"/>
      <c r="E186" s="1000"/>
      <c r="F186" s="1002"/>
      <c r="G186" s="993" t="s">
        <v>2262</v>
      </c>
      <c r="H186" s="993"/>
      <c r="I186" s="993"/>
      <c r="J186" s="994">
        <f>0.149*0.9*0.6</f>
        <v>8.045999999999999E-2</v>
      </c>
      <c r="K186" s="995"/>
      <c r="L186" s="205"/>
      <c r="M186" s="519"/>
      <c r="N186" s="548"/>
      <c r="O186" s="548"/>
      <c r="P186" s="548"/>
      <c r="Q186" s="548"/>
      <c r="R186" s="519"/>
      <c r="S186" s="548"/>
      <c r="T186" s="241"/>
      <c r="U186" s="471"/>
    </row>
    <row r="187" spans="1:21" ht="15" customHeight="1" thickBot="1" x14ac:dyDescent="0.3">
      <c r="A187" s="1031"/>
      <c r="B187" s="1017"/>
      <c r="C187" s="999"/>
      <c r="D187" s="999"/>
      <c r="E187" s="1001"/>
      <c r="F187" s="1003"/>
      <c r="G187" s="1032" t="s">
        <v>1199</v>
      </c>
      <c r="H187" s="1032"/>
      <c r="I187" s="1032"/>
      <c r="J187" s="544"/>
      <c r="K187" s="247">
        <f>SUM(J186)</f>
        <v>8.045999999999999E-2</v>
      </c>
      <c r="L187" s="544">
        <v>0.92</v>
      </c>
      <c r="M187" s="247">
        <f>K187/L187</f>
        <v>8.7456521739130419E-2</v>
      </c>
      <c r="N187" s="1032" t="s">
        <v>1199</v>
      </c>
      <c r="O187" s="1032"/>
      <c r="P187" s="1032"/>
      <c r="Q187" s="542"/>
      <c r="R187" s="247">
        <v>0</v>
      </c>
      <c r="S187" s="542">
        <v>0.92</v>
      </c>
      <c r="T187" s="249">
        <f>R187/S187</f>
        <v>0</v>
      </c>
      <c r="U187" s="471"/>
    </row>
    <row r="188" spans="1:21" ht="15" customHeight="1" x14ac:dyDescent="0.25">
      <c r="A188" s="1029" t="str">
        <f>Итоговая!C64</f>
        <v xml:space="preserve">ПС 110/35/10 кВ ДВП  </v>
      </c>
      <c r="B188" s="1016">
        <f>Итоговая!D64</f>
        <v>25</v>
      </c>
      <c r="C188" s="1004" t="str">
        <f>Итоговая!E64</f>
        <v>+</v>
      </c>
      <c r="D188" s="1004">
        <f>Итоговая!F64</f>
        <v>25</v>
      </c>
      <c r="E188" s="1005">
        <f>Итоговая!G64</f>
        <v>0</v>
      </c>
      <c r="F188" s="1006"/>
      <c r="G188" s="992" t="s">
        <v>14933</v>
      </c>
      <c r="H188" s="992"/>
      <c r="I188" s="992"/>
      <c r="J188" s="992"/>
      <c r="K188" s="992"/>
      <c r="L188" s="992"/>
      <c r="M188" s="992"/>
      <c r="N188" s="215"/>
      <c r="O188" s="215"/>
      <c r="P188" s="215"/>
      <c r="Q188" s="215"/>
      <c r="R188" s="216"/>
      <c r="S188" s="215"/>
      <c r="T188" s="217"/>
      <c r="U188" s="471"/>
    </row>
    <row r="189" spans="1:21" ht="15" customHeight="1" x14ac:dyDescent="0.25">
      <c r="A189" s="1030"/>
      <c r="B189" s="1018"/>
      <c r="C189" s="998"/>
      <c r="D189" s="998"/>
      <c r="E189" s="1000"/>
      <c r="F189" s="1002"/>
      <c r="G189" s="993" t="s">
        <v>2262</v>
      </c>
      <c r="H189" s="993"/>
      <c r="I189" s="993"/>
      <c r="J189" s="993">
        <f>0.129*0.9</f>
        <v>0.11610000000000001</v>
      </c>
      <c r="K189" s="993"/>
      <c r="L189" s="205"/>
      <c r="M189" s="519"/>
      <c r="N189" s="543"/>
      <c r="O189" s="543"/>
      <c r="P189" s="543"/>
      <c r="Q189" s="543"/>
      <c r="R189" s="205"/>
      <c r="S189" s="543"/>
      <c r="T189" s="241"/>
      <c r="U189" s="471"/>
    </row>
    <row r="190" spans="1:21" ht="15" customHeight="1" x14ac:dyDescent="0.25">
      <c r="A190" s="1030"/>
      <c r="B190" s="1018"/>
      <c r="C190" s="998"/>
      <c r="D190" s="998"/>
      <c r="E190" s="1000"/>
      <c r="F190" s="1002"/>
      <c r="G190" s="996" t="s">
        <v>18518</v>
      </c>
      <c r="H190" s="996"/>
      <c r="I190" s="996"/>
      <c r="J190" s="996"/>
      <c r="K190" s="996"/>
      <c r="L190" s="996"/>
      <c r="M190" s="996"/>
      <c r="N190" s="543"/>
      <c r="O190" s="543"/>
      <c r="P190" s="543"/>
      <c r="Q190" s="543"/>
      <c r="R190" s="205"/>
      <c r="S190" s="543"/>
      <c r="T190" s="241"/>
      <c r="U190" s="471"/>
    </row>
    <row r="191" spans="1:21" ht="15" customHeight="1" x14ac:dyDescent="0.25">
      <c r="A191" s="1030"/>
      <c r="B191" s="1018"/>
      <c r="C191" s="998"/>
      <c r="D191" s="998"/>
      <c r="E191" s="1000"/>
      <c r="F191" s="531"/>
      <c r="G191" s="993" t="s">
        <v>2262</v>
      </c>
      <c r="H191" s="993"/>
      <c r="I191" s="993"/>
      <c r="J191" s="994">
        <f>0.088*0.9*0.6</f>
        <v>4.7519999999999993E-2</v>
      </c>
      <c r="K191" s="995"/>
      <c r="L191" s="205"/>
      <c r="M191" s="519"/>
      <c r="N191" s="557"/>
      <c r="O191" s="557"/>
      <c r="P191" s="557"/>
      <c r="Q191" s="557"/>
      <c r="R191" s="230"/>
      <c r="S191" s="557"/>
      <c r="T191" s="259"/>
      <c r="U191" s="471"/>
    </row>
    <row r="192" spans="1:21" ht="15" customHeight="1" thickBot="1" x14ac:dyDescent="0.3">
      <c r="A192" s="1031"/>
      <c r="B192" s="1017"/>
      <c r="C192" s="999"/>
      <c r="D192" s="999"/>
      <c r="E192" s="1001"/>
      <c r="F192" s="492"/>
      <c r="G192" s="1032" t="s">
        <v>1199</v>
      </c>
      <c r="H192" s="1032"/>
      <c r="I192" s="1032"/>
      <c r="J192" s="544"/>
      <c r="K192" s="247">
        <f>SUM(J189:K191)</f>
        <v>0.16361999999999999</v>
      </c>
      <c r="L192" s="544">
        <v>0.92</v>
      </c>
      <c r="M192" s="247">
        <f>K192/L192</f>
        <v>0.17784782608695651</v>
      </c>
      <c r="N192" s="1032" t="s">
        <v>1199</v>
      </c>
      <c r="O192" s="1032"/>
      <c r="P192" s="1032"/>
      <c r="Q192" s="542"/>
      <c r="R192" s="247">
        <f>SUM(R188:R188)</f>
        <v>0</v>
      </c>
      <c r="S192" s="542">
        <v>0.92</v>
      </c>
      <c r="T192" s="249">
        <f>R192/S192</f>
        <v>0</v>
      </c>
      <c r="U192" s="471"/>
    </row>
    <row r="193" spans="1:21" ht="15" customHeight="1" x14ac:dyDescent="0.25">
      <c r="A193" s="1029" t="str">
        <f>Итоговая!C67</f>
        <v xml:space="preserve">ПС 110/35/10 кВ Красный Холм </v>
      </c>
      <c r="B193" s="1016">
        <f>Итоговая!D67</f>
        <v>10</v>
      </c>
      <c r="C193" s="1004" t="str">
        <f>Итоговая!E67</f>
        <v>+</v>
      </c>
      <c r="D193" s="1004">
        <f>Итоговая!F67</f>
        <v>10</v>
      </c>
      <c r="E193" s="1005">
        <f>Итоговая!G67</f>
        <v>0</v>
      </c>
      <c r="F193" s="1006">
        <f>Итоговая!H67</f>
        <v>0</v>
      </c>
      <c r="G193" s="992" t="s">
        <v>1325</v>
      </c>
      <c r="H193" s="992"/>
      <c r="I193" s="992"/>
      <c r="J193" s="992"/>
      <c r="K193" s="992"/>
      <c r="L193" s="992"/>
      <c r="M193" s="992"/>
      <c r="N193" s="992" t="s">
        <v>2010</v>
      </c>
      <c r="O193" s="992"/>
      <c r="P193" s="992"/>
      <c r="Q193" s="992"/>
      <c r="R193" s="992"/>
      <c r="S193" s="992"/>
      <c r="T193" s="992"/>
      <c r="U193" s="471"/>
    </row>
    <row r="194" spans="1:21" ht="15" customHeight="1" x14ac:dyDescent="0.25">
      <c r="A194" s="1030"/>
      <c r="B194" s="1018"/>
      <c r="C194" s="998"/>
      <c r="D194" s="998"/>
      <c r="E194" s="1000"/>
      <c r="F194" s="1002"/>
      <c r="G194" s="543" t="s">
        <v>539</v>
      </c>
      <c r="H194" s="543" t="s">
        <v>540</v>
      </c>
      <c r="I194" s="543" t="s">
        <v>1475</v>
      </c>
      <c r="J194" s="205"/>
      <c r="K194" s="205">
        <v>1.2E-2</v>
      </c>
      <c r="L194" s="205"/>
      <c r="M194" s="519"/>
      <c r="N194" s="543" t="s">
        <v>1212</v>
      </c>
      <c r="O194" s="543" t="s">
        <v>1213</v>
      </c>
      <c r="P194" s="543" t="s">
        <v>2169</v>
      </c>
      <c r="Q194" s="543"/>
      <c r="R194" s="205">
        <v>0.24</v>
      </c>
      <c r="S194" s="548"/>
      <c r="T194" s="241"/>
      <c r="U194" s="471"/>
    </row>
    <row r="195" spans="1:21" ht="15" customHeight="1" x14ac:dyDescent="0.25">
      <c r="A195" s="1030"/>
      <c r="B195" s="1018"/>
      <c r="C195" s="998"/>
      <c r="D195" s="998"/>
      <c r="E195" s="1000"/>
      <c r="F195" s="1002"/>
      <c r="G195" s="543" t="s">
        <v>1297</v>
      </c>
      <c r="H195" s="543" t="s">
        <v>1298</v>
      </c>
      <c r="I195" s="543" t="s">
        <v>1500</v>
      </c>
      <c r="J195" s="205"/>
      <c r="K195" s="205">
        <v>2.3599999999999999E-2</v>
      </c>
      <c r="L195" s="205"/>
      <c r="M195" s="519"/>
      <c r="N195" s="548"/>
      <c r="O195" s="548"/>
      <c r="P195" s="548"/>
      <c r="Q195" s="548"/>
      <c r="R195" s="519"/>
      <c r="S195" s="548"/>
      <c r="T195" s="241"/>
      <c r="U195" s="471"/>
    </row>
    <row r="196" spans="1:21" ht="15" customHeight="1" x14ac:dyDescent="0.25">
      <c r="A196" s="1030"/>
      <c r="B196" s="1018"/>
      <c r="C196" s="998"/>
      <c r="D196" s="998"/>
      <c r="E196" s="1000"/>
      <c r="F196" s="1002"/>
      <c r="G196" s="996" t="s">
        <v>1740</v>
      </c>
      <c r="H196" s="996"/>
      <c r="I196" s="996"/>
      <c r="J196" s="996"/>
      <c r="K196" s="996"/>
      <c r="L196" s="996"/>
      <c r="M196" s="996"/>
      <c r="N196" s="548"/>
      <c r="O196" s="548"/>
      <c r="P196" s="548"/>
      <c r="Q196" s="548"/>
      <c r="R196" s="519"/>
      <c r="S196" s="548"/>
      <c r="T196" s="241"/>
      <c r="U196" s="471"/>
    </row>
    <row r="197" spans="1:21" ht="15" customHeight="1" x14ac:dyDescent="0.25">
      <c r="A197" s="1030"/>
      <c r="B197" s="1018"/>
      <c r="C197" s="998"/>
      <c r="D197" s="998"/>
      <c r="E197" s="1000"/>
      <c r="F197" s="1002"/>
      <c r="G197" s="543" t="s">
        <v>1681</v>
      </c>
      <c r="H197" s="543" t="s">
        <v>1838</v>
      </c>
      <c r="I197" s="543" t="s">
        <v>1889</v>
      </c>
      <c r="J197" s="205"/>
      <c r="K197" s="205">
        <v>2.3E-2</v>
      </c>
      <c r="L197" s="205"/>
      <c r="M197" s="519"/>
      <c r="N197" s="548"/>
      <c r="O197" s="548"/>
      <c r="P197" s="548"/>
      <c r="Q197" s="548"/>
      <c r="R197" s="519"/>
      <c r="S197" s="548"/>
      <c r="T197" s="241"/>
      <c r="U197" s="471"/>
    </row>
    <row r="198" spans="1:21" ht="15" customHeight="1" x14ac:dyDescent="0.25">
      <c r="A198" s="1030"/>
      <c r="B198" s="1018"/>
      <c r="C198" s="998"/>
      <c r="D198" s="998"/>
      <c r="E198" s="1000"/>
      <c r="F198" s="1002"/>
      <c r="G198" s="996" t="s">
        <v>14978</v>
      </c>
      <c r="H198" s="996"/>
      <c r="I198" s="996"/>
      <c r="J198" s="996"/>
      <c r="K198" s="996"/>
      <c r="L198" s="996"/>
      <c r="M198" s="996"/>
      <c r="N198" s="548"/>
      <c r="O198" s="548"/>
      <c r="P198" s="548"/>
      <c r="Q198" s="548"/>
      <c r="R198" s="519"/>
      <c r="S198" s="548"/>
      <c r="T198" s="241"/>
      <c r="U198" s="471"/>
    </row>
    <row r="199" spans="1:21" s="330" customFormat="1" ht="15" customHeight="1" x14ac:dyDescent="0.25">
      <c r="A199" s="1030"/>
      <c r="B199" s="1018"/>
      <c r="C199" s="998"/>
      <c r="D199" s="998"/>
      <c r="E199" s="1000"/>
      <c r="F199" s="1002"/>
      <c r="G199" s="269" t="s">
        <v>1607</v>
      </c>
      <c r="H199" s="269" t="s">
        <v>17482</v>
      </c>
      <c r="I199" s="269" t="s">
        <v>17483</v>
      </c>
      <c r="J199" s="594"/>
      <c r="K199" s="594">
        <f>(0.04-0.015)*0.75</f>
        <v>1.8750000000000003E-2</v>
      </c>
      <c r="L199" s="594"/>
      <c r="M199" s="594"/>
      <c r="N199" s="548"/>
      <c r="O199" s="548"/>
      <c r="P199" s="548"/>
      <c r="Q199" s="548"/>
      <c r="R199" s="519"/>
      <c r="S199" s="548"/>
      <c r="T199" s="241"/>
      <c r="U199" s="471"/>
    </row>
    <row r="200" spans="1:21" s="330" customFormat="1" ht="15" customHeight="1" x14ac:dyDescent="0.25">
      <c r="A200" s="1030"/>
      <c r="B200" s="1018"/>
      <c r="C200" s="998"/>
      <c r="D200" s="998"/>
      <c r="E200" s="1000"/>
      <c r="F200" s="1000"/>
      <c r="G200" s="996" t="s">
        <v>18518</v>
      </c>
      <c r="H200" s="996"/>
      <c r="I200" s="996"/>
      <c r="J200" s="996"/>
      <c r="K200" s="996"/>
      <c r="L200" s="996"/>
      <c r="M200" s="996"/>
      <c r="N200" s="525"/>
      <c r="O200" s="269"/>
      <c r="P200" s="269"/>
      <c r="Q200" s="269"/>
      <c r="R200" s="594"/>
      <c r="S200" s="269"/>
      <c r="T200" s="259"/>
      <c r="U200" s="471"/>
    </row>
    <row r="201" spans="1:21" s="330" customFormat="1" ht="15" customHeight="1" x14ac:dyDescent="0.25">
      <c r="A201" s="1030"/>
      <c r="B201" s="1018"/>
      <c r="C201" s="998"/>
      <c r="D201" s="998"/>
      <c r="E201" s="1000"/>
      <c r="F201" s="1002"/>
      <c r="G201" s="526" t="s">
        <v>18967</v>
      </c>
      <c r="H201" s="527" t="s">
        <v>18968</v>
      </c>
      <c r="I201" s="526">
        <v>41109739</v>
      </c>
      <c r="J201" s="528"/>
      <c r="K201" s="529">
        <f>0.05*0.15</f>
        <v>7.4999999999999997E-3</v>
      </c>
      <c r="L201" s="524"/>
      <c r="M201" s="524"/>
      <c r="N201" s="269"/>
      <c r="O201" s="269"/>
      <c r="P201" s="269"/>
      <c r="Q201" s="269"/>
      <c r="R201" s="594"/>
      <c r="S201" s="269"/>
      <c r="T201" s="259"/>
      <c r="U201" s="471"/>
    </row>
    <row r="202" spans="1:21" s="330" customFormat="1" ht="15" customHeight="1" x14ac:dyDescent="0.25">
      <c r="A202" s="1030"/>
      <c r="B202" s="1018"/>
      <c r="C202" s="998"/>
      <c r="D202" s="998"/>
      <c r="E202" s="1000"/>
      <c r="F202" s="1002"/>
      <c r="G202" s="993" t="s">
        <v>2262</v>
      </c>
      <c r="H202" s="993"/>
      <c r="I202" s="993"/>
      <c r="J202" s="994">
        <f>0.157*0.9*0.6</f>
        <v>8.4780000000000008E-2</v>
      </c>
      <c r="K202" s="995"/>
      <c r="L202" s="205"/>
      <c r="M202" s="519"/>
      <c r="N202" s="269"/>
      <c r="O202" s="269"/>
      <c r="P202" s="269"/>
      <c r="Q202" s="269"/>
      <c r="R202" s="594"/>
      <c r="S202" s="269"/>
      <c r="T202" s="259"/>
      <c r="U202" s="471"/>
    </row>
    <row r="203" spans="1:21" ht="15" customHeight="1" thickBot="1" x14ac:dyDescent="0.3">
      <c r="A203" s="1031"/>
      <c r="B203" s="1017"/>
      <c r="C203" s="999"/>
      <c r="D203" s="999"/>
      <c r="E203" s="1001"/>
      <c r="F203" s="1003"/>
      <c r="G203" s="1032" t="s">
        <v>1199</v>
      </c>
      <c r="H203" s="1032"/>
      <c r="I203" s="1032"/>
      <c r="J203" s="544"/>
      <c r="K203" s="247">
        <f>SUM(J199:K202)</f>
        <v>0.11103000000000002</v>
      </c>
      <c r="L203" s="544">
        <v>0.92</v>
      </c>
      <c r="M203" s="247">
        <f>K203/L203</f>
        <v>0.12068478260869567</v>
      </c>
      <c r="N203" s="1032" t="s">
        <v>1199</v>
      </c>
      <c r="O203" s="1032"/>
      <c r="P203" s="1032"/>
      <c r="Q203" s="542"/>
      <c r="R203" s="247">
        <f>SUM(Q194:R197)</f>
        <v>0.24</v>
      </c>
      <c r="S203" s="542">
        <v>0.92</v>
      </c>
      <c r="T203" s="249">
        <f>R203/S203</f>
        <v>0.2608695652173913</v>
      </c>
      <c r="U203" s="471"/>
    </row>
    <row r="204" spans="1:21" ht="15" customHeight="1" x14ac:dyDescent="0.25">
      <c r="A204" s="1029" t="str">
        <f>Итоговая!C70</f>
        <v xml:space="preserve">ПС 110/35/10 кВ Поречье </v>
      </c>
      <c r="B204" s="1016">
        <f>Итоговая!D70</f>
        <v>6.3</v>
      </c>
      <c r="C204" s="1004" t="str">
        <f>Итоговая!E70</f>
        <v>+</v>
      </c>
      <c r="D204" s="1004">
        <f>Итоговая!F70</f>
        <v>6.3</v>
      </c>
      <c r="E204" s="1005">
        <f>Итоговая!G70</f>
        <v>0</v>
      </c>
      <c r="F204" s="1006">
        <f>Итоговая!H70</f>
        <v>0</v>
      </c>
      <c r="G204" s="215"/>
      <c r="H204" s="215"/>
      <c r="I204" s="215"/>
      <c r="J204" s="216"/>
      <c r="K204" s="216"/>
      <c r="L204" s="216"/>
      <c r="M204" s="264"/>
      <c r="N204" s="215"/>
      <c r="O204" s="215"/>
      <c r="P204" s="215"/>
      <c r="Q204" s="215"/>
      <c r="R204" s="216"/>
      <c r="S204" s="215"/>
      <c r="T204" s="217"/>
      <c r="U204" s="471"/>
    </row>
    <row r="205" spans="1:21" ht="15" customHeight="1" thickBot="1" x14ac:dyDescent="0.3">
      <c r="A205" s="1031"/>
      <c r="B205" s="1017"/>
      <c r="C205" s="999"/>
      <c r="D205" s="999"/>
      <c r="E205" s="1001"/>
      <c r="F205" s="1003"/>
      <c r="G205" s="1032" t="s">
        <v>1199</v>
      </c>
      <c r="H205" s="1032"/>
      <c r="I205" s="1032"/>
      <c r="J205" s="544"/>
      <c r="K205" s="247">
        <f>SUM(K204:K204)</f>
        <v>0</v>
      </c>
      <c r="L205" s="544">
        <v>0.92</v>
      </c>
      <c r="M205" s="247">
        <f>K205/L205</f>
        <v>0</v>
      </c>
      <c r="N205" s="1032" t="s">
        <v>1199</v>
      </c>
      <c r="O205" s="1032"/>
      <c r="P205" s="1032"/>
      <c r="Q205" s="542"/>
      <c r="R205" s="247">
        <f>SUM(R204:R204)</f>
        <v>0</v>
      </c>
      <c r="S205" s="542">
        <v>0.92</v>
      </c>
      <c r="T205" s="249">
        <f>R205/S205</f>
        <v>0</v>
      </c>
      <c r="U205" s="471"/>
    </row>
    <row r="206" spans="1:21" ht="15" customHeight="1" x14ac:dyDescent="0.25">
      <c r="A206" s="1046" t="str">
        <f>Итоговая!C73</f>
        <v xml:space="preserve">ПС 110/35/10 кВ Сандово </v>
      </c>
      <c r="B206" s="1016">
        <f>Итоговая!D73</f>
        <v>10</v>
      </c>
      <c r="C206" s="1004" t="str">
        <f>Итоговая!E73</f>
        <v>+</v>
      </c>
      <c r="D206" s="1004">
        <f>Итоговая!F73</f>
        <v>10</v>
      </c>
      <c r="E206" s="1005">
        <f>Итоговая!G73</f>
        <v>0</v>
      </c>
      <c r="F206" s="1006">
        <f>Итоговая!H73</f>
        <v>0</v>
      </c>
      <c r="G206" s="992" t="s">
        <v>18518</v>
      </c>
      <c r="H206" s="992"/>
      <c r="I206" s="992"/>
      <c r="J206" s="992"/>
      <c r="K206" s="992"/>
      <c r="L206" s="992"/>
      <c r="M206" s="992"/>
      <c r="N206" s="215"/>
      <c r="O206" s="215"/>
      <c r="P206" s="215"/>
      <c r="Q206" s="215"/>
      <c r="R206" s="216"/>
      <c r="S206" s="215"/>
      <c r="T206" s="217"/>
      <c r="U206" s="471"/>
    </row>
    <row r="207" spans="1:21" ht="15" customHeight="1" x14ac:dyDescent="0.25">
      <c r="A207" s="1047"/>
      <c r="B207" s="1018"/>
      <c r="C207" s="998"/>
      <c r="D207" s="998"/>
      <c r="E207" s="1000"/>
      <c r="F207" s="1002"/>
      <c r="G207" s="275" t="s">
        <v>19025</v>
      </c>
      <c r="H207" s="275" t="s">
        <v>19026</v>
      </c>
      <c r="I207" s="275">
        <v>41119262</v>
      </c>
      <c r="J207" s="595">
        <f>0.035*0.75</f>
        <v>2.6250000000000002E-2</v>
      </c>
      <c r="K207" s="595"/>
      <c r="L207" s="595"/>
      <c r="M207" s="595"/>
      <c r="N207" s="223"/>
      <c r="O207" s="223"/>
      <c r="P207" s="223"/>
      <c r="Q207" s="223"/>
      <c r="R207" s="224"/>
      <c r="S207" s="223"/>
      <c r="T207" s="225"/>
      <c r="U207" s="471"/>
    </row>
    <row r="208" spans="1:21" ht="15" customHeight="1" x14ac:dyDescent="0.25">
      <c r="A208" s="1047"/>
      <c r="B208" s="1018"/>
      <c r="C208" s="998"/>
      <c r="D208" s="998"/>
      <c r="E208" s="1000"/>
      <c r="F208" s="1002"/>
      <c r="G208" s="993" t="s">
        <v>2262</v>
      </c>
      <c r="H208" s="993"/>
      <c r="I208" s="993"/>
      <c r="J208" s="994">
        <f>0.012*0.9</f>
        <v>1.0800000000000001E-2</v>
      </c>
      <c r="K208" s="995"/>
      <c r="L208" s="205"/>
      <c r="M208" s="519"/>
      <c r="N208" s="223"/>
      <c r="O208" s="223"/>
      <c r="P208" s="223"/>
      <c r="Q208" s="223"/>
      <c r="R208" s="224"/>
      <c r="S208" s="223"/>
      <c r="T208" s="225"/>
      <c r="U208" s="471"/>
    </row>
    <row r="209" spans="1:21" ht="15" customHeight="1" thickBot="1" x14ac:dyDescent="0.3">
      <c r="A209" s="1048"/>
      <c r="B209" s="1017"/>
      <c r="C209" s="999"/>
      <c r="D209" s="999"/>
      <c r="E209" s="1001"/>
      <c r="F209" s="1003"/>
      <c r="G209" s="1032" t="s">
        <v>1199</v>
      </c>
      <c r="H209" s="1032"/>
      <c r="I209" s="1032"/>
      <c r="J209" s="544"/>
      <c r="K209" s="247">
        <f>SUM(J207:K208)</f>
        <v>3.705E-2</v>
      </c>
      <c r="L209" s="544">
        <v>0.92</v>
      </c>
      <c r="M209" s="247">
        <f>K209/L209</f>
        <v>4.0271739130434782E-2</v>
      </c>
      <c r="N209" s="1032" t="s">
        <v>1199</v>
      </c>
      <c r="O209" s="1032"/>
      <c r="P209" s="1032"/>
      <c r="Q209" s="542"/>
      <c r="R209" s="247">
        <f>SUM(R206:R206)</f>
        <v>0</v>
      </c>
      <c r="S209" s="542">
        <v>0.92</v>
      </c>
      <c r="T209" s="249">
        <f>R209/S209</f>
        <v>0</v>
      </c>
      <c r="U209" s="471"/>
    </row>
    <row r="210" spans="1:21" ht="15" customHeight="1" x14ac:dyDescent="0.25">
      <c r="A210" s="551" t="str">
        <f>Итоговая!C76</f>
        <v xml:space="preserve">ПС 110/35/10 кВ Шолмино </v>
      </c>
      <c r="B210" s="533">
        <f>Итоговая!D76</f>
        <v>25</v>
      </c>
      <c r="C210" s="536" t="str">
        <f>Итоговая!E76</f>
        <v>+</v>
      </c>
      <c r="D210" s="536">
        <f>Итоговая!F76</f>
        <v>25</v>
      </c>
      <c r="E210" s="539">
        <f>Итоговая!G76</f>
        <v>0</v>
      </c>
      <c r="F210" s="530">
        <f>Итоговая!H76</f>
        <v>0</v>
      </c>
      <c r="G210" s="992" t="s">
        <v>1550</v>
      </c>
      <c r="H210" s="992"/>
      <c r="I210" s="992"/>
      <c r="J210" s="992"/>
      <c r="K210" s="992"/>
      <c r="L210" s="992"/>
      <c r="M210" s="992"/>
      <c r="N210" s="477"/>
      <c r="O210" s="477"/>
      <c r="P210" s="477"/>
      <c r="Q210" s="477"/>
      <c r="R210" s="478"/>
      <c r="S210" s="477"/>
      <c r="T210" s="479"/>
      <c r="U210" s="471"/>
    </row>
    <row r="211" spans="1:21" ht="15" customHeight="1" x14ac:dyDescent="0.25">
      <c r="A211" s="549"/>
      <c r="B211" s="534"/>
      <c r="C211" s="537"/>
      <c r="D211" s="537"/>
      <c r="E211" s="540"/>
      <c r="F211" s="531"/>
      <c r="G211" s="543" t="s">
        <v>1196</v>
      </c>
      <c r="H211" s="543" t="s">
        <v>1197</v>
      </c>
      <c r="I211" s="543" t="s">
        <v>1198</v>
      </c>
      <c r="J211" s="205"/>
      <c r="K211" s="205">
        <v>0.03</v>
      </c>
      <c r="L211" s="205"/>
      <c r="M211" s="519"/>
      <c r="N211" s="590"/>
      <c r="O211" s="590"/>
      <c r="P211" s="590"/>
      <c r="Q211" s="590"/>
      <c r="R211" s="302"/>
      <c r="S211" s="590"/>
      <c r="T211" s="303"/>
      <c r="U211" s="330"/>
    </row>
    <row r="212" spans="1:21" ht="15" customHeight="1" thickBot="1" x14ac:dyDescent="0.3">
      <c r="A212" s="550"/>
      <c r="B212" s="535"/>
      <c r="C212" s="538"/>
      <c r="D212" s="538"/>
      <c r="E212" s="541"/>
      <c r="F212" s="532"/>
      <c r="G212" s="542" t="s">
        <v>1199</v>
      </c>
      <c r="H212" s="542"/>
      <c r="I212" s="542"/>
      <c r="J212" s="544"/>
      <c r="K212" s="247">
        <f>SUM(0)</f>
        <v>0</v>
      </c>
      <c r="L212" s="544">
        <v>0.92</v>
      </c>
      <c r="M212" s="247">
        <f>K212/L212</f>
        <v>0</v>
      </c>
      <c r="N212" s="542" t="s">
        <v>1199</v>
      </c>
      <c r="O212" s="542"/>
      <c r="P212" s="542"/>
      <c r="Q212" s="542"/>
      <c r="R212" s="247">
        <f>SUM(R210:R210)</f>
        <v>0</v>
      </c>
      <c r="S212" s="542">
        <v>0.92</v>
      </c>
      <c r="T212" s="249">
        <f>R212/S212</f>
        <v>0</v>
      </c>
      <c r="U212" s="471"/>
    </row>
    <row r="213" spans="1:21" s="495" customFormat="1" ht="15" customHeight="1" thickBot="1" x14ac:dyDescent="0.3">
      <c r="A213" s="1050" t="s">
        <v>18527</v>
      </c>
      <c r="B213" s="1051"/>
      <c r="C213" s="547"/>
      <c r="D213" s="547"/>
      <c r="E213" s="547"/>
      <c r="F213" s="547"/>
      <c r="G213" s="322"/>
      <c r="H213" s="587"/>
      <c r="I213" s="587"/>
      <c r="J213" s="324"/>
      <c r="K213" s="324">
        <f>K212+K209+K205+K203+K192+K187+K175+K171+K169+K163+K157+K155+K146+K126+K118+K121+K116+K112+K109+K106+K104+K97+K91+K88+K85+K83+K74+K69+K67+K65+K62+K59+K54+K52+K50+K47+K45+K42+K40+K38+K35+K33+K28+K26+K24+K21+K18+K16+K13+K10</f>
        <v>2.0735600000000005</v>
      </c>
      <c r="L213" s="324"/>
      <c r="M213" s="324">
        <f>M212+M209+M205+M203+M192+M187+M175+M171+M169+M163+M157+M155+M146+M126+M118+M121+M116+M112+M109+M106+M104+M97+M91+M88+M85+M83+M74+M69+M67+M65+M62+M59+M54+M52+M50+M47+M45+M42+M40+M38+M35+M33+M28+M26+M24+M21+M18+M16+M13+M10</f>
        <v>2.253869565217391</v>
      </c>
      <c r="N213" s="468"/>
      <c r="O213" s="468"/>
      <c r="P213" s="468"/>
      <c r="Q213" s="468"/>
      <c r="R213" s="493"/>
      <c r="S213" s="468"/>
      <c r="T213" s="494"/>
      <c r="U213" s="471"/>
    </row>
    <row r="214" spans="1:21" ht="15" customHeight="1" x14ac:dyDescent="0.25">
      <c r="G214" s="330"/>
      <c r="H214" s="330"/>
      <c r="I214" s="330"/>
      <c r="J214" s="331"/>
      <c r="K214" s="331"/>
      <c r="L214" s="331"/>
      <c r="M214" s="332"/>
      <c r="N214" s="471"/>
      <c r="O214" s="471"/>
      <c r="P214" s="471"/>
      <c r="Q214" s="471"/>
      <c r="R214" s="496"/>
      <c r="S214" s="471"/>
      <c r="T214" s="496"/>
      <c r="U214" s="471"/>
    </row>
    <row r="215" spans="1:21" x14ac:dyDescent="0.25">
      <c r="G215" s="330"/>
      <c r="H215" s="330"/>
      <c r="I215" s="330"/>
      <c r="J215" s="331"/>
      <c r="K215" s="331"/>
      <c r="L215" s="331"/>
      <c r="M215" s="332"/>
      <c r="N215" s="471"/>
      <c r="O215" s="471"/>
      <c r="P215" s="471"/>
      <c r="Q215" s="471"/>
      <c r="R215" s="496"/>
      <c r="S215" s="471"/>
      <c r="T215" s="496"/>
      <c r="U215" s="471"/>
    </row>
    <row r="216" spans="1:21" x14ac:dyDescent="0.25">
      <c r="G216" s="330"/>
      <c r="H216" s="330"/>
      <c r="I216" s="330"/>
      <c r="J216" s="331"/>
      <c r="K216" s="331"/>
      <c r="L216" s="331"/>
      <c r="M216" s="332"/>
      <c r="N216" s="471"/>
      <c r="O216" s="471"/>
      <c r="P216" s="471"/>
      <c r="Q216" s="471"/>
      <c r="R216" s="496"/>
      <c r="S216" s="471"/>
      <c r="T216" s="496"/>
      <c r="U216" s="471"/>
    </row>
    <row r="217" spans="1:21" x14ac:dyDescent="0.25">
      <c r="G217" s="330"/>
      <c r="H217" s="330"/>
      <c r="I217" s="330"/>
      <c r="J217" s="331"/>
      <c r="K217" s="331"/>
      <c r="L217" s="331"/>
      <c r="M217" s="332"/>
      <c r="N217" s="471"/>
      <c r="O217" s="471"/>
      <c r="P217" s="471"/>
      <c r="Q217" s="471"/>
      <c r="R217" s="496"/>
      <c r="S217" s="471"/>
      <c r="T217" s="496"/>
      <c r="U217" s="471"/>
    </row>
    <row r="218" spans="1:21" x14ac:dyDescent="0.25">
      <c r="G218" s="330"/>
      <c r="H218" s="330"/>
      <c r="I218" s="330"/>
      <c r="J218" s="331"/>
      <c r="K218" s="331"/>
      <c r="L218" s="331"/>
      <c r="M218" s="332"/>
      <c r="N218" s="471"/>
      <c r="O218" s="471"/>
      <c r="P218" s="471"/>
      <c r="Q218" s="471"/>
      <c r="R218" s="496"/>
      <c r="S218" s="471"/>
      <c r="T218" s="496"/>
      <c r="U218" s="471"/>
    </row>
    <row r="219" spans="1:21" x14ac:dyDescent="0.25">
      <c r="G219" s="330"/>
      <c r="H219" s="330"/>
      <c r="I219" s="330"/>
      <c r="J219" s="331"/>
      <c r="K219" s="331"/>
      <c r="L219" s="331"/>
      <c r="M219" s="332"/>
      <c r="N219" s="471"/>
      <c r="O219" s="471"/>
      <c r="P219" s="471"/>
      <c r="Q219" s="471"/>
      <c r="R219" s="496"/>
      <c r="S219" s="471"/>
      <c r="T219" s="496"/>
      <c r="U219" s="471"/>
    </row>
    <row r="220" spans="1:21" x14ac:dyDescent="0.25">
      <c r="G220" s="330"/>
      <c r="H220" s="330"/>
      <c r="I220" s="330"/>
      <c r="J220" s="331"/>
      <c r="K220" s="331"/>
      <c r="L220" s="331"/>
      <c r="M220" s="332"/>
      <c r="N220" s="471"/>
      <c r="O220" s="471"/>
      <c r="P220" s="471"/>
      <c r="Q220" s="471"/>
      <c r="R220" s="496"/>
      <c r="S220" s="471"/>
      <c r="T220" s="496"/>
      <c r="U220" s="471"/>
    </row>
    <row r="221" spans="1:21" x14ac:dyDescent="0.25">
      <c r="G221" s="330"/>
      <c r="H221" s="330"/>
      <c r="I221" s="330"/>
      <c r="J221" s="331"/>
      <c r="K221" s="331"/>
      <c r="L221" s="331"/>
      <c r="M221" s="332"/>
      <c r="N221" s="471"/>
      <c r="O221" s="471"/>
      <c r="P221" s="471"/>
      <c r="Q221" s="471"/>
      <c r="R221" s="496"/>
      <c r="S221" s="471"/>
      <c r="T221" s="496"/>
      <c r="U221" s="471"/>
    </row>
    <row r="222" spans="1:21" x14ac:dyDescent="0.25">
      <c r="G222" s="330"/>
      <c r="H222" s="330"/>
      <c r="I222" s="330"/>
      <c r="J222" s="331"/>
      <c r="K222" s="331"/>
      <c r="L222" s="331"/>
      <c r="M222" s="332"/>
      <c r="N222" s="471"/>
      <c r="O222" s="471"/>
      <c r="P222" s="471"/>
      <c r="Q222" s="471"/>
      <c r="R222" s="496"/>
      <c r="S222" s="471"/>
      <c r="T222" s="496"/>
      <c r="U222" s="471"/>
    </row>
    <row r="223" spans="1:21" x14ac:dyDescent="0.25">
      <c r="G223" s="330"/>
      <c r="H223" s="330"/>
      <c r="I223" s="330"/>
      <c r="J223" s="331"/>
      <c r="K223" s="331"/>
      <c r="L223" s="331"/>
      <c r="M223" s="332"/>
      <c r="N223" s="471"/>
      <c r="O223" s="471"/>
      <c r="P223" s="471"/>
      <c r="Q223" s="471"/>
      <c r="R223" s="496"/>
      <c r="S223" s="471"/>
      <c r="T223" s="496"/>
      <c r="U223" s="471"/>
    </row>
    <row r="224" spans="1:21" x14ac:dyDescent="0.25">
      <c r="G224" s="330"/>
      <c r="H224" s="330"/>
      <c r="I224" s="330"/>
      <c r="J224" s="331"/>
      <c r="K224" s="331"/>
      <c r="L224" s="331"/>
      <c r="M224" s="332"/>
      <c r="N224" s="471"/>
      <c r="O224" s="471"/>
      <c r="P224" s="471"/>
      <c r="Q224" s="471"/>
      <c r="R224" s="496"/>
      <c r="S224" s="471"/>
      <c r="T224" s="496"/>
      <c r="U224" s="471"/>
    </row>
    <row r="225" spans="1:21" x14ac:dyDescent="0.25">
      <c r="G225" s="330"/>
      <c r="H225" s="330"/>
      <c r="I225" s="330"/>
      <c r="J225" s="331"/>
      <c r="K225" s="331"/>
      <c r="L225" s="331"/>
      <c r="M225" s="332"/>
      <c r="N225" s="471"/>
      <c r="O225" s="471"/>
      <c r="P225" s="471"/>
      <c r="Q225" s="471"/>
      <c r="R225" s="496"/>
      <c r="S225" s="471"/>
      <c r="T225" s="496"/>
      <c r="U225" s="471"/>
    </row>
    <row r="226" spans="1:21" x14ac:dyDescent="0.25">
      <c r="G226" s="330"/>
      <c r="H226" s="330"/>
      <c r="I226" s="330"/>
      <c r="J226" s="331"/>
      <c r="K226" s="331"/>
      <c r="L226" s="331"/>
      <c r="M226" s="332"/>
      <c r="N226" s="471"/>
      <c r="O226" s="471"/>
      <c r="P226" s="471"/>
      <c r="Q226" s="471"/>
      <c r="R226" s="496"/>
      <c r="S226" s="471"/>
      <c r="T226" s="496"/>
      <c r="U226" s="471"/>
    </row>
    <row r="227" spans="1:21" x14ac:dyDescent="0.25">
      <c r="G227" s="330"/>
      <c r="H227" s="330"/>
      <c r="I227" s="330"/>
      <c r="J227" s="331"/>
      <c r="K227" s="331"/>
      <c r="L227" s="331"/>
      <c r="M227" s="332"/>
      <c r="N227" s="471"/>
      <c r="O227" s="471"/>
      <c r="P227" s="471"/>
      <c r="Q227" s="471"/>
      <c r="R227" s="496"/>
      <c r="S227" s="471"/>
      <c r="T227" s="496"/>
      <c r="U227" s="471"/>
    </row>
    <row r="228" spans="1:21" x14ac:dyDescent="0.25">
      <c r="G228" s="330"/>
      <c r="H228" s="330"/>
      <c r="I228" s="330"/>
      <c r="J228" s="331"/>
      <c r="K228" s="331"/>
      <c r="L228" s="331"/>
      <c r="M228" s="332"/>
      <c r="N228" s="471"/>
      <c r="O228" s="471"/>
      <c r="P228" s="471"/>
      <c r="Q228" s="471"/>
      <c r="R228" s="496"/>
      <c r="S228" s="471"/>
      <c r="T228" s="496"/>
      <c r="U228" s="471"/>
    </row>
    <row r="229" spans="1:2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1"/>
      <c r="K229" s="331"/>
      <c r="L229" s="331"/>
      <c r="M229" s="332"/>
      <c r="N229" s="471"/>
      <c r="O229" s="471"/>
      <c r="P229" s="471"/>
      <c r="Q229" s="471"/>
      <c r="R229" s="496"/>
      <c r="S229" s="471"/>
      <c r="T229" s="496"/>
      <c r="U229" s="471"/>
    </row>
    <row r="230" spans="1:2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1"/>
      <c r="K230" s="331"/>
      <c r="L230" s="331"/>
      <c r="M230" s="332"/>
      <c r="N230" s="471"/>
      <c r="O230" s="471"/>
      <c r="P230" s="471"/>
      <c r="Q230" s="471"/>
      <c r="R230" s="496"/>
      <c r="S230" s="471"/>
      <c r="T230" s="496"/>
      <c r="U230" s="471"/>
    </row>
    <row r="231" spans="1:2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1"/>
      <c r="K231" s="331"/>
      <c r="L231" s="331"/>
      <c r="M231" s="332"/>
      <c r="N231" s="612"/>
    </row>
    <row r="232" spans="1:2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1"/>
      <c r="K232" s="331"/>
      <c r="L232" s="331"/>
      <c r="M232" s="332"/>
      <c r="N232" s="612"/>
    </row>
    <row r="233" spans="1:2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1"/>
      <c r="K233" s="331"/>
      <c r="L233" s="331"/>
      <c r="M233" s="332"/>
      <c r="N233" s="612"/>
    </row>
    <row r="234" spans="1:2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1"/>
      <c r="K234" s="331"/>
      <c r="L234" s="331"/>
      <c r="M234" s="332"/>
      <c r="N234" s="612"/>
    </row>
    <row r="235" spans="1:2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1"/>
      <c r="K235" s="331"/>
      <c r="L235" s="331"/>
      <c r="M235" s="332"/>
      <c r="N235" s="612"/>
    </row>
    <row r="236" spans="1:2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1"/>
      <c r="K236" s="331"/>
      <c r="L236" s="331"/>
      <c r="M236" s="332"/>
      <c r="N236" s="612"/>
    </row>
    <row r="237" spans="1:2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1"/>
      <c r="K237" s="331"/>
      <c r="L237" s="331"/>
      <c r="M237" s="332"/>
      <c r="N237" s="612"/>
    </row>
    <row r="238" spans="1:2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1"/>
      <c r="K238" s="331"/>
      <c r="L238" s="331"/>
      <c r="M238" s="331"/>
      <c r="N238" s="475"/>
    </row>
    <row r="239" spans="1:2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1"/>
      <c r="K239" s="331"/>
      <c r="L239" s="331"/>
      <c r="M239" s="331"/>
      <c r="N239" s="475"/>
    </row>
    <row r="240" spans="1:2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1"/>
      <c r="K240" s="331"/>
      <c r="L240" s="331"/>
      <c r="M240" s="331"/>
      <c r="N240" s="475"/>
    </row>
    <row r="241" spans="1:14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1"/>
      <c r="K241" s="331"/>
      <c r="L241" s="331"/>
      <c r="M241" s="331"/>
      <c r="N241" s="475"/>
    </row>
    <row r="242" spans="1:14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1"/>
      <c r="K242" s="331"/>
      <c r="L242" s="331"/>
      <c r="M242" s="331"/>
      <c r="N242" s="475"/>
    </row>
    <row r="243" spans="1:14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1"/>
      <c r="K243" s="331"/>
      <c r="L243" s="331"/>
      <c r="M243" s="331"/>
      <c r="N243" s="475"/>
    </row>
    <row r="244" spans="1:14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1"/>
      <c r="K244" s="331"/>
      <c r="L244" s="331"/>
      <c r="M244" s="331"/>
      <c r="N244" s="475"/>
    </row>
    <row r="245" spans="1:14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1"/>
      <c r="K245" s="331"/>
      <c r="L245" s="331"/>
      <c r="M245" s="331"/>
      <c r="N245" s="475"/>
    </row>
    <row r="246" spans="1:14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1"/>
      <c r="K246" s="331"/>
      <c r="L246" s="331"/>
      <c r="M246" s="331"/>
      <c r="N246" s="475"/>
    </row>
    <row r="247" spans="1:14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1"/>
      <c r="K247" s="331"/>
      <c r="L247" s="331"/>
      <c r="M247" s="331"/>
      <c r="N247" s="475"/>
    </row>
    <row r="248" spans="1:14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1"/>
      <c r="K248" s="331"/>
      <c r="L248" s="331"/>
      <c r="M248" s="331"/>
      <c r="N248" s="475"/>
    </row>
    <row r="249" spans="1:14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1"/>
      <c r="K249" s="331"/>
      <c r="L249" s="331"/>
      <c r="M249" s="331"/>
      <c r="N249" s="475"/>
    </row>
    <row r="250" spans="1:14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1"/>
      <c r="K250" s="331"/>
      <c r="L250" s="331"/>
      <c r="M250" s="331"/>
      <c r="N250" s="475"/>
    </row>
    <row r="251" spans="1:14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1"/>
      <c r="K251" s="331"/>
      <c r="L251" s="331"/>
      <c r="M251" s="331"/>
      <c r="N251" s="475"/>
    </row>
    <row r="252" spans="1:14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1"/>
      <c r="K252" s="331"/>
      <c r="L252" s="331"/>
      <c r="M252" s="331"/>
      <c r="N252" s="475"/>
    </row>
    <row r="253" spans="1:14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1"/>
      <c r="K253" s="331"/>
      <c r="L253" s="331"/>
      <c r="M253" s="331"/>
      <c r="N253" s="475"/>
    </row>
    <row r="254" spans="1:14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1"/>
      <c r="K254" s="331"/>
      <c r="L254" s="331"/>
      <c r="M254" s="331"/>
      <c r="N254" s="475"/>
    </row>
    <row r="255" spans="1:14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1"/>
      <c r="K255" s="331"/>
      <c r="L255" s="331"/>
      <c r="M255" s="331"/>
      <c r="N255" s="475"/>
    </row>
    <row r="256" spans="1:14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1"/>
      <c r="K256" s="331"/>
      <c r="L256" s="331"/>
      <c r="M256" s="331"/>
      <c r="N256" s="475"/>
    </row>
    <row r="257" spans="1:14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1"/>
      <c r="K257" s="331"/>
      <c r="L257" s="331"/>
      <c r="M257" s="331"/>
      <c r="N257" s="475"/>
    </row>
    <row r="258" spans="1:14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1"/>
      <c r="K258" s="331"/>
      <c r="L258" s="331"/>
      <c r="M258" s="331"/>
      <c r="N258" s="475"/>
    </row>
    <row r="259" spans="1:14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1"/>
      <c r="K259" s="331"/>
      <c r="L259" s="331"/>
      <c r="M259" s="331"/>
      <c r="N259" s="475"/>
    </row>
    <row r="260" spans="1:14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1"/>
      <c r="K260" s="331"/>
      <c r="L260" s="331"/>
      <c r="M260" s="331"/>
      <c r="N260" s="475"/>
    </row>
    <row r="261" spans="1:14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1"/>
      <c r="K261" s="331"/>
      <c r="L261" s="331"/>
      <c r="M261" s="331"/>
      <c r="N261" s="475"/>
    </row>
    <row r="262" spans="1:14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1"/>
      <c r="K262" s="331"/>
      <c r="L262" s="331"/>
      <c r="M262" s="331"/>
      <c r="N262" s="475"/>
    </row>
    <row r="263" spans="1:14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1"/>
      <c r="K263" s="331"/>
      <c r="L263" s="331"/>
      <c r="M263" s="331"/>
      <c r="N263" s="475"/>
    </row>
    <row r="264" spans="1:14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1"/>
      <c r="K264" s="331"/>
      <c r="L264" s="331"/>
      <c r="M264" s="331"/>
      <c r="N264" s="475"/>
    </row>
    <row r="265" spans="1:14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1"/>
      <c r="K265" s="331"/>
      <c r="L265" s="331"/>
      <c r="M265" s="331"/>
      <c r="N265" s="475"/>
    </row>
    <row r="266" spans="1:14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1"/>
      <c r="K266" s="331"/>
      <c r="L266" s="331"/>
      <c r="M266" s="331"/>
      <c r="N266" s="475"/>
    </row>
    <row r="267" spans="1:14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1"/>
      <c r="K267" s="331"/>
      <c r="L267" s="331"/>
      <c r="M267" s="331"/>
      <c r="N267" s="475"/>
    </row>
    <row r="268" spans="1:14" x14ac:dyDescent="0.25">
      <c r="A268" s="330"/>
      <c r="B268" s="330"/>
      <c r="C268" s="330"/>
      <c r="D268" s="330"/>
      <c r="E268" s="330"/>
      <c r="F268" s="330"/>
      <c r="G268" s="1039"/>
      <c r="H268" s="1039"/>
      <c r="I268" s="1039"/>
      <c r="J268" s="1039"/>
      <c r="K268" s="1039"/>
      <c r="L268" s="1039"/>
      <c r="M268" s="1039"/>
      <c r="N268" s="475"/>
    </row>
    <row r="269" spans="1:14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1"/>
      <c r="K269" s="331"/>
      <c r="L269" s="331"/>
      <c r="M269" s="331"/>
      <c r="N269" s="475"/>
    </row>
    <row r="270" spans="1:14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1"/>
      <c r="K270" s="331"/>
      <c r="L270" s="331"/>
      <c r="M270" s="331"/>
      <c r="N270" s="475"/>
    </row>
    <row r="271" spans="1:14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1"/>
      <c r="K271" s="331"/>
      <c r="L271" s="331"/>
      <c r="M271" s="331"/>
      <c r="N271" s="475"/>
    </row>
    <row r="272" spans="1:14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1"/>
      <c r="K272" s="331"/>
      <c r="L272" s="331"/>
      <c r="M272" s="331"/>
      <c r="N272" s="475"/>
    </row>
    <row r="273" spans="1:14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1"/>
      <c r="K273" s="331"/>
      <c r="L273" s="331"/>
      <c r="M273" s="331"/>
      <c r="N273" s="475"/>
    </row>
    <row r="274" spans="1:14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1"/>
      <c r="K274" s="331"/>
      <c r="L274" s="331"/>
      <c r="M274" s="331"/>
      <c r="N274" s="475"/>
    </row>
    <row r="275" spans="1:14" x14ac:dyDescent="0.25">
      <c r="A275" s="330"/>
      <c r="B275" s="330"/>
      <c r="C275" s="330"/>
      <c r="D275" s="330"/>
      <c r="E275" s="330"/>
      <c r="F275" s="330"/>
      <c r="G275" s="1038"/>
      <c r="H275" s="1038"/>
      <c r="I275" s="1038"/>
      <c r="J275" s="1038"/>
      <c r="K275" s="1038"/>
      <c r="L275" s="1038"/>
      <c r="M275" s="1038"/>
      <c r="N275" s="475"/>
    </row>
    <row r="276" spans="1:14" x14ac:dyDescent="0.25">
      <c r="A276" s="330"/>
      <c r="B276" s="330"/>
      <c r="C276" s="330"/>
      <c r="D276" s="330"/>
      <c r="E276" s="330"/>
      <c r="F276" s="330"/>
      <c r="G276" s="1039"/>
      <c r="H276" s="1039"/>
      <c r="I276" s="1039"/>
      <c r="J276" s="1039"/>
      <c r="K276" s="1039"/>
      <c r="L276" s="1039"/>
      <c r="M276" s="1039"/>
      <c r="N276" s="475"/>
    </row>
    <row r="277" spans="1:14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1"/>
      <c r="K277" s="331"/>
      <c r="L277" s="331"/>
      <c r="M277" s="331"/>
      <c r="N277" s="475"/>
    </row>
    <row r="278" spans="1:14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1"/>
      <c r="K278" s="331"/>
      <c r="L278" s="331"/>
      <c r="M278" s="331"/>
      <c r="N278" s="475"/>
    </row>
    <row r="279" spans="1:14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1"/>
      <c r="K279" s="331"/>
      <c r="L279" s="331"/>
      <c r="M279" s="331"/>
      <c r="N279" s="475"/>
    </row>
    <row r="280" spans="1:14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1"/>
      <c r="K280" s="331"/>
      <c r="L280" s="331"/>
      <c r="M280" s="331"/>
      <c r="N280" s="475"/>
    </row>
    <row r="281" spans="1:14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1"/>
      <c r="K281" s="331"/>
      <c r="L281" s="331"/>
      <c r="M281" s="331"/>
      <c r="N281" s="475"/>
    </row>
    <row r="282" spans="1:14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1"/>
      <c r="K282" s="331"/>
      <c r="L282" s="331"/>
      <c r="M282" s="331"/>
      <c r="N282" s="475"/>
    </row>
    <row r="283" spans="1:14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1"/>
      <c r="K283" s="331"/>
      <c r="L283" s="331"/>
      <c r="M283" s="331"/>
      <c r="N283" s="475"/>
    </row>
    <row r="284" spans="1:14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1"/>
      <c r="K284" s="331"/>
      <c r="L284" s="331"/>
      <c r="M284" s="331"/>
      <c r="N284" s="475"/>
    </row>
    <row r="285" spans="1:14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1"/>
      <c r="K285" s="331"/>
      <c r="L285" s="331"/>
      <c r="M285" s="331"/>
      <c r="N285" s="475"/>
    </row>
    <row r="286" spans="1:14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1"/>
      <c r="K286" s="331"/>
      <c r="L286" s="331"/>
      <c r="M286" s="331"/>
      <c r="N286" s="475"/>
    </row>
    <row r="287" spans="1:14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1"/>
      <c r="K287" s="331"/>
      <c r="L287" s="331"/>
      <c r="M287" s="331"/>
      <c r="N287" s="475"/>
    </row>
    <row r="288" spans="1:14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1"/>
      <c r="K288" s="331"/>
      <c r="L288" s="331"/>
      <c r="M288" s="331"/>
      <c r="N288" s="475"/>
    </row>
    <row r="289" spans="1:14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1"/>
      <c r="K289" s="331"/>
      <c r="L289" s="331"/>
      <c r="M289" s="331"/>
      <c r="N289" s="475"/>
    </row>
    <row r="290" spans="1:14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1"/>
      <c r="K290" s="331"/>
      <c r="L290" s="331"/>
      <c r="M290" s="331"/>
      <c r="N290" s="475"/>
    </row>
    <row r="291" spans="1:14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1"/>
      <c r="K291" s="331"/>
      <c r="L291" s="331"/>
      <c r="M291" s="331"/>
      <c r="N291" s="475"/>
    </row>
    <row r="292" spans="1:14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1"/>
      <c r="K292" s="331"/>
      <c r="L292" s="331"/>
      <c r="M292" s="331"/>
      <c r="N292" s="475"/>
    </row>
    <row r="293" spans="1:14" x14ac:dyDescent="0.25">
      <c r="A293" s="330"/>
      <c r="B293" s="330"/>
      <c r="C293" s="330"/>
      <c r="D293" s="330"/>
      <c r="E293" s="330"/>
      <c r="F293" s="330"/>
      <c r="G293" s="1039"/>
      <c r="H293" s="1039"/>
      <c r="I293" s="1039"/>
      <c r="J293" s="1039"/>
      <c r="K293" s="1039"/>
      <c r="L293" s="1039"/>
      <c r="M293" s="1039"/>
      <c r="N293" s="475"/>
    </row>
    <row r="294" spans="1:14" x14ac:dyDescent="0.25">
      <c r="A294" s="330"/>
      <c r="B294" s="330"/>
      <c r="C294" s="330"/>
      <c r="D294" s="330"/>
      <c r="E294" s="330"/>
      <c r="F294" s="330"/>
      <c r="G294" s="1038"/>
      <c r="H294" s="1038"/>
      <c r="I294" s="1038"/>
      <c r="J294" s="1038"/>
      <c r="K294" s="1038"/>
      <c r="L294" s="1038"/>
      <c r="M294" s="1038"/>
      <c r="N294" s="475"/>
    </row>
    <row r="295" spans="1:14" x14ac:dyDescent="0.25">
      <c r="A295" s="330"/>
      <c r="B295" s="330"/>
      <c r="C295" s="330"/>
      <c r="D295" s="330"/>
      <c r="E295" s="330"/>
      <c r="F295" s="330"/>
      <c r="G295" s="1039"/>
      <c r="H295" s="1039"/>
      <c r="I295" s="1039"/>
      <c r="J295" s="1039"/>
      <c r="K295" s="1039"/>
      <c r="L295" s="1039"/>
      <c r="M295" s="1039"/>
      <c r="N295" s="475"/>
    </row>
    <row r="296" spans="1:14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1"/>
      <c r="K296" s="331"/>
      <c r="L296" s="331"/>
      <c r="M296" s="331"/>
      <c r="N296" s="475"/>
    </row>
    <row r="297" spans="1:14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1"/>
      <c r="K297" s="331"/>
      <c r="L297" s="331"/>
      <c r="M297" s="331"/>
      <c r="N297" s="475"/>
    </row>
    <row r="298" spans="1:14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1"/>
      <c r="K298" s="331"/>
      <c r="L298" s="331"/>
      <c r="M298" s="331"/>
      <c r="N298" s="475"/>
    </row>
    <row r="299" spans="1:14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1"/>
      <c r="K299" s="331"/>
      <c r="L299" s="331"/>
      <c r="M299" s="331"/>
      <c r="N299" s="475"/>
    </row>
    <row r="300" spans="1:14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1"/>
      <c r="K300" s="331"/>
      <c r="L300" s="331"/>
      <c r="M300" s="331"/>
      <c r="N300" s="475"/>
    </row>
    <row r="301" spans="1:14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1"/>
      <c r="K301" s="331"/>
      <c r="L301" s="331"/>
      <c r="M301" s="331"/>
      <c r="N301" s="475"/>
    </row>
    <row r="302" spans="1:14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1"/>
      <c r="K302" s="331"/>
      <c r="L302" s="331"/>
      <c r="M302" s="331"/>
      <c r="N302" s="475"/>
    </row>
    <row r="303" spans="1:14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1"/>
      <c r="K303" s="331"/>
      <c r="L303" s="331"/>
      <c r="M303" s="331"/>
      <c r="N303" s="475"/>
    </row>
    <row r="304" spans="1:14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1"/>
      <c r="K304" s="331"/>
      <c r="L304" s="331"/>
      <c r="M304" s="331"/>
      <c r="N304" s="475"/>
    </row>
    <row r="305" spans="1:14" x14ac:dyDescent="0.25">
      <c r="A305" s="330"/>
      <c r="B305" s="330"/>
      <c r="C305" s="330"/>
      <c r="D305" s="330"/>
      <c r="E305" s="330"/>
      <c r="F305" s="330"/>
      <c r="G305" s="1039"/>
      <c r="H305" s="1039"/>
      <c r="I305" s="1039"/>
      <c r="J305" s="1039"/>
      <c r="K305" s="1039"/>
      <c r="L305" s="1039"/>
      <c r="M305" s="1039"/>
      <c r="N305" s="475"/>
    </row>
    <row r="306" spans="1:14" x14ac:dyDescent="0.25">
      <c r="A306" s="330"/>
      <c r="B306" s="330"/>
      <c r="C306" s="330"/>
      <c r="D306" s="330"/>
      <c r="E306" s="330"/>
      <c r="F306" s="330"/>
      <c r="G306" s="1038"/>
      <c r="H306" s="1038"/>
      <c r="I306" s="1038"/>
      <c r="J306" s="1038"/>
      <c r="K306" s="1038"/>
      <c r="L306" s="1038"/>
      <c r="M306" s="1038"/>
      <c r="N306" s="475"/>
    </row>
    <row r="307" spans="1:14" x14ac:dyDescent="0.25">
      <c r="A307" s="330"/>
      <c r="B307" s="330"/>
      <c r="C307" s="330"/>
      <c r="D307" s="330"/>
      <c r="E307" s="330"/>
      <c r="F307" s="330"/>
      <c r="G307" s="1039"/>
      <c r="H307" s="1039"/>
      <c r="I307" s="1039"/>
      <c r="J307" s="1039"/>
      <c r="K307" s="1039"/>
      <c r="L307" s="1039"/>
      <c r="M307" s="1039"/>
      <c r="N307" s="475"/>
    </row>
    <row r="308" spans="1:14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1"/>
      <c r="K308" s="331"/>
      <c r="L308" s="331"/>
      <c r="M308" s="331"/>
      <c r="N308" s="475"/>
    </row>
    <row r="309" spans="1:14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1"/>
      <c r="K309" s="331"/>
      <c r="L309" s="331"/>
      <c r="M309" s="331"/>
      <c r="N309" s="475"/>
    </row>
    <row r="310" spans="1:14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1"/>
      <c r="K310" s="331"/>
      <c r="L310" s="331"/>
      <c r="M310" s="331"/>
      <c r="N310" s="475"/>
    </row>
    <row r="311" spans="1:14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1"/>
      <c r="K311" s="331"/>
      <c r="L311" s="331"/>
      <c r="M311" s="331"/>
      <c r="N311" s="475"/>
    </row>
    <row r="312" spans="1:14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1"/>
      <c r="K312" s="331"/>
      <c r="L312" s="331"/>
      <c r="M312" s="331"/>
      <c r="N312" s="475"/>
    </row>
    <row r="313" spans="1:14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1"/>
      <c r="K313" s="331"/>
      <c r="L313" s="331"/>
      <c r="M313" s="331"/>
      <c r="N313" s="475"/>
    </row>
    <row r="314" spans="1:14" x14ac:dyDescent="0.25">
      <c r="A314" s="330"/>
      <c r="B314" s="330"/>
      <c r="C314" s="330"/>
      <c r="D314" s="330"/>
      <c r="E314" s="330"/>
      <c r="F314" s="330"/>
      <c r="G314" s="1039"/>
      <c r="H314" s="1039"/>
      <c r="I314" s="1039"/>
      <c r="J314" s="1039"/>
      <c r="K314" s="1039"/>
      <c r="L314" s="1039"/>
      <c r="M314" s="1039"/>
      <c r="N314" s="475"/>
    </row>
    <row r="315" spans="1:14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1"/>
      <c r="K315" s="331"/>
      <c r="L315" s="331"/>
      <c r="M315" s="331"/>
      <c r="N315" s="475"/>
    </row>
    <row r="316" spans="1:14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1"/>
      <c r="K316" s="331"/>
      <c r="L316" s="331"/>
      <c r="M316" s="331"/>
      <c r="N316" s="475"/>
    </row>
    <row r="317" spans="1:14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1"/>
      <c r="K317" s="331"/>
      <c r="L317" s="331"/>
      <c r="M317" s="331"/>
      <c r="N317" s="475"/>
    </row>
    <row r="318" spans="1:14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1"/>
      <c r="K318" s="331"/>
      <c r="L318" s="331"/>
      <c r="M318" s="331"/>
      <c r="N318" s="475"/>
    </row>
    <row r="319" spans="1:14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1"/>
      <c r="K319" s="331"/>
      <c r="L319" s="331"/>
      <c r="M319" s="331"/>
      <c r="N319" s="475"/>
    </row>
    <row r="320" spans="1:14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1"/>
      <c r="K320" s="331"/>
      <c r="L320" s="331"/>
      <c r="M320" s="331"/>
      <c r="N320" s="475"/>
    </row>
    <row r="321" spans="1:14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1"/>
      <c r="K321" s="331"/>
      <c r="L321" s="331"/>
      <c r="M321" s="331"/>
      <c r="N321" s="475"/>
    </row>
    <row r="322" spans="1:14" x14ac:dyDescent="0.25">
      <c r="A322" s="330"/>
      <c r="B322" s="330"/>
      <c r="C322" s="330"/>
      <c r="D322" s="330"/>
      <c r="E322" s="330"/>
      <c r="F322" s="330"/>
      <c r="G322" s="1038"/>
      <c r="H322" s="1038"/>
      <c r="I322" s="1038"/>
      <c r="J322" s="1038"/>
      <c r="K322" s="1038"/>
      <c r="L322" s="1038"/>
      <c r="M322" s="1038"/>
      <c r="N322" s="475"/>
    </row>
    <row r="323" spans="1:14" x14ac:dyDescent="0.25">
      <c r="A323" s="330"/>
      <c r="B323" s="330"/>
      <c r="C323" s="330"/>
      <c r="D323" s="330"/>
      <c r="E323" s="330"/>
      <c r="F323" s="330"/>
      <c r="G323" s="1039"/>
      <c r="H323" s="1039"/>
      <c r="I323" s="1039"/>
      <c r="J323" s="1039"/>
      <c r="K323" s="1039"/>
      <c r="L323" s="1039"/>
      <c r="M323" s="1039"/>
      <c r="N323" s="475"/>
    </row>
    <row r="324" spans="1:14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1"/>
      <c r="K324" s="331"/>
      <c r="L324" s="331"/>
      <c r="M324" s="331"/>
      <c r="N324" s="475"/>
    </row>
    <row r="325" spans="1:14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1"/>
      <c r="K325" s="331"/>
      <c r="L325" s="331"/>
      <c r="M325" s="331"/>
      <c r="N325" s="475"/>
    </row>
    <row r="326" spans="1:14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1"/>
      <c r="K326" s="331"/>
      <c r="L326" s="331"/>
      <c r="M326" s="331"/>
      <c r="N326" s="475"/>
    </row>
    <row r="327" spans="1:14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1"/>
      <c r="K327" s="331"/>
      <c r="L327" s="331"/>
      <c r="M327" s="331"/>
      <c r="N327" s="475"/>
    </row>
    <row r="328" spans="1:14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1"/>
      <c r="K328" s="331"/>
      <c r="L328" s="331"/>
      <c r="M328" s="331"/>
      <c r="N328" s="475"/>
    </row>
    <row r="329" spans="1:14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1"/>
      <c r="K329" s="331"/>
      <c r="L329" s="331"/>
      <c r="M329" s="331"/>
      <c r="N329" s="475"/>
    </row>
    <row r="330" spans="1:14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1"/>
      <c r="K330" s="331"/>
      <c r="L330" s="331"/>
      <c r="M330" s="331"/>
      <c r="N330" s="475"/>
    </row>
    <row r="331" spans="1:14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1"/>
      <c r="K331" s="331"/>
      <c r="L331" s="331"/>
      <c r="M331" s="331"/>
      <c r="N331" s="475"/>
    </row>
    <row r="332" spans="1:14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1"/>
      <c r="K332" s="331"/>
      <c r="L332" s="331"/>
      <c r="M332" s="331"/>
      <c r="N332" s="475"/>
    </row>
    <row r="333" spans="1:14" x14ac:dyDescent="0.25">
      <c r="A333" s="330"/>
      <c r="B333" s="330"/>
      <c r="C333" s="330"/>
      <c r="D333" s="330"/>
      <c r="E333" s="330"/>
      <c r="F333" s="330"/>
      <c r="G333" s="1039"/>
      <c r="H333" s="1039"/>
      <c r="I333" s="1039"/>
      <c r="J333" s="1039"/>
      <c r="K333" s="1039"/>
      <c r="L333" s="1039"/>
      <c r="M333" s="1039"/>
      <c r="N333" s="475"/>
    </row>
    <row r="334" spans="1:14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1"/>
      <c r="K334" s="331"/>
      <c r="L334" s="331"/>
      <c r="M334" s="331"/>
      <c r="N334" s="475"/>
    </row>
    <row r="335" spans="1:14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1"/>
      <c r="K335" s="331"/>
      <c r="L335" s="331"/>
      <c r="M335" s="331"/>
      <c r="N335" s="475"/>
    </row>
    <row r="336" spans="1:14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1"/>
      <c r="K336" s="331"/>
      <c r="L336" s="331"/>
      <c r="M336" s="331"/>
      <c r="N336" s="475"/>
    </row>
    <row r="337" spans="1:14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1"/>
      <c r="K337" s="331"/>
      <c r="L337" s="331"/>
      <c r="M337" s="331"/>
      <c r="N337" s="475"/>
    </row>
    <row r="338" spans="1:14" x14ac:dyDescent="0.25">
      <c r="A338" s="330"/>
      <c r="B338" s="330"/>
      <c r="C338" s="330"/>
      <c r="D338" s="330"/>
      <c r="E338" s="330"/>
      <c r="F338" s="330"/>
      <c r="G338" s="1038"/>
      <c r="H338" s="1038"/>
      <c r="I338" s="1038"/>
      <c r="J338" s="1038"/>
      <c r="K338" s="1038"/>
      <c r="L338" s="1038"/>
      <c r="M338" s="1038"/>
      <c r="N338" s="475"/>
    </row>
    <row r="339" spans="1:14" x14ac:dyDescent="0.25">
      <c r="A339" s="330"/>
      <c r="B339" s="330"/>
      <c r="C339" s="330"/>
      <c r="D339" s="330"/>
      <c r="E339" s="330"/>
      <c r="F339" s="330"/>
      <c r="G339" s="1039"/>
      <c r="H339" s="1039"/>
      <c r="I339" s="1039"/>
      <c r="J339" s="1039"/>
      <c r="K339" s="1039"/>
      <c r="L339" s="1039"/>
      <c r="M339" s="1039"/>
      <c r="N339" s="475"/>
    </row>
    <row r="340" spans="1:14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1"/>
      <c r="K340" s="331"/>
      <c r="L340" s="331"/>
      <c r="M340" s="331"/>
      <c r="N340" s="475"/>
    </row>
    <row r="341" spans="1:14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1"/>
      <c r="K341" s="331"/>
      <c r="L341" s="331"/>
      <c r="M341" s="331"/>
      <c r="N341" s="475"/>
    </row>
    <row r="342" spans="1:14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1"/>
      <c r="K342" s="331"/>
      <c r="L342" s="331"/>
      <c r="M342" s="331"/>
      <c r="N342" s="475"/>
    </row>
    <row r="343" spans="1:14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1"/>
      <c r="K343" s="331"/>
      <c r="L343" s="331"/>
      <c r="M343" s="331"/>
      <c r="N343" s="475"/>
    </row>
    <row r="344" spans="1:14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1"/>
      <c r="K344" s="331"/>
      <c r="L344" s="331"/>
      <c r="M344" s="331"/>
      <c r="N344" s="475"/>
    </row>
    <row r="345" spans="1:14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1"/>
      <c r="K345" s="331"/>
      <c r="L345" s="331"/>
      <c r="M345" s="331"/>
      <c r="N345" s="475"/>
    </row>
    <row r="346" spans="1:14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1"/>
      <c r="K346" s="331"/>
      <c r="L346" s="331"/>
      <c r="M346" s="331"/>
      <c r="N346" s="475"/>
    </row>
    <row r="347" spans="1:14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1"/>
      <c r="K347" s="331"/>
      <c r="L347" s="331"/>
      <c r="M347" s="331"/>
      <c r="N347" s="475"/>
    </row>
    <row r="348" spans="1:14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1"/>
      <c r="K348" s="331"/>
      <c r="L348" s="331"/>
      <c r="M348" s="331"/>
      <c r="N348" s="475"/>
    </row>
    <row r="349" spans="1:14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1"/>
      <c r="K349" s="331"/>
      <c r="L349" s="331"/>
      <c r="M349" s="331"/>
      <c r="N349" s="475"/>
    </row>
    <row r="350" spans="1:14" x14ac:dyDescent="0.25">
      <c r="A350" s="330"/>
      <c r="B350" s="330"/>
      <c r="C350" s="330"/>
      <c r="D350" s="330"/>
      <c r="E350" s="330"/>
      <c r="F350" s="330"/>
      <c r="G350" s="1039"/>
      <c r="H350" s="1039"/>
      <c r="I350" s="1039"/>
      <c r="J350" s="1039"/>
      <c r="K350" s="1039"/>
      <c r="L350" s="1039"/>
      <c r="M350" s="1039"/>
      <c r="N350" s="475"/>
    </row>
    <row r="351" spans="1:14" x14ac:dyDescent="0.25">
      <c r="A351" s="330"/>
      <c r="B351" s="330"/>
      <c r="C351" s="330"/>
      <c r="D351" s="330"/>
      <c r="E351" s="330"/>
      <c r="F351" s="330"/>
      <c r="G351" s="1038"/>
      <c r="H351" s="1038"/>
      <c r="I351" s="1038"/>
      <c r="J351" s="1038"/>
      <c r="K351" s="1038"/>
      <c r="L351" s="1038"/>
      <c r="M351" s="1038"/>
      <c r="N351" s="475"/>
    </row>
    <row r="352" spans="1:14" x14ac:dyDescent="0.25">
      <c r="A352" s="330"/>
      <c r="B352" s="330"/>
      <c r="C352" s="330"/>
      <c r="D352" s="330"/>
      <c r="E352" s="330"/>
      <c r="F352" s="330"/>
      <c r="G352" s="1039"/>
      <c r="H352" s="1039"/>
      <c r="I352" s="1039"/>
      <c r="J352" s="1039"/>
      <c r="K352" s="1039"/>
      <c r="L352" s="1039"/>
      <c r="M352" s="1039"/>
      <c r="N352" s="475"/>
    </row>
    <row r="353" spans="1:14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1"/>
      <c r="K353" s="331"/>
      <c r="L353" s="331"/>
      <c r="M353" s="331"/>
      <c r="N353" s="475"/>
    </row>
    <row r="354" spans="1:14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1"/>
      <c r="K354" s="331"/>
      <c r="L354" s="331"/>
      <c r="M354" s="331"/>
      <c r="N354" s="475"/>
    </row>
    <row r="355" spans="1:14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1"/>
      <c r="K355" s="331"/>
      <c r="L355" s="331"/>
      <c r="M355" s="331"/>
      <c r="N355" s="475"/>
    </row>
    <row r="356" spans="1:14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1"/>
      <c r="K356" s="331"/>
      <c r="L356" s="331"/>
      <c r="M356" s="331"/>
      <c r="N356" s="475"/>
    </row>
    <row r="357" spans="1:14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1"/>
      <c r="K357" s="331"/>
      <c r="L357" s="331"/>
      <c r="M357" s="331"/>
      <c r="N357" s="475"/>
    </row>
    <row r="358" spans="1:14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1"/>
      <c r="K358" s="331"/>
      <c r="L358" s="331"/>
      <c r="M358" s="331"/>
      <c r="N358" s="475"/>
    </row>
    <row r="359" spans="1:14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1"/>
      <c r="K359" s="331"/>
      <c r="L359" s="331"/>
      <c r="M359" s="331"/>
      <c r="N359" s="475"/>
    </row>
    <row r="360" spans="1:14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1"/>
      <c r="K360" s="331"/>
      <c r="L360" s="331"/>
      <c r="M360" s="331"/>
      <c r="N360" s="475"/>
    </row>
    <row r="361" spans="1:14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1"/>
      <c r="K361" s="331"/>
      <c r="L361" s="331"/>
      <c r="M361" s="331"/>
      <c r="N361" s="475"/>
    </row>
    <row r="362" spans="1:14" x14ac:dyDescent="0.25">
      <c r="A362" s="330"/>
      <c r="B362" s="330"/>
      <c r="C362" s="330"/>
      <c r="D362" s="330"/>
      <c r="E362" s="330"/>
      <c r="F362" s="330"/>
      <c r="G362" s="1039"/>
      <c r="H362" s="1039"/>
      <c r="I362" s="1039"/>
      <c r="J362" s="1039"/>
      <c r="K362" s="1039"/>
      <c r="L362" s="1039"/>
      <c r="M362" s="1039"/>
      <c r="N362" s="475"/>
    </row>
    <row r="363" spans="1:14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1"/>
      <c r="K363" s="331"/>
      <c r="L363" s="331"/>
      <c r="M363" s="331"/>
      <c r="N363" s="475"/>
    </row>
    <row r="364" spans="1:14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1"/>
      <c r="K364" s="331"/>
      <c r="L364" s="331"/>
      <c r="M364" s="331"/>
      <c r="N364" s="475"/>
    </row>
    <row r="365" spans="1:14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1"/>
      <c r="K365" s="331"/>
      <c r="L365" s="331"/>
      <c r="M365" s="331"/>
      <c r="N365" s="475"/>
    </row>
    <row r="366" spans="1:14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1"/>
      <c r="K366" s="331"/>
      <c r="L366" s="331"/>
      <c r="M366" s="331"/>
      <c r="N366" s="475"/>
    </row>
    <row r="367" spans="1:14" x14ac:dyDescent="0.25">
      <c r="A367" s="330"/>
      <c r="B367" s="330"/>
      <c r="C367" s="330"/>
      <c r="D367" s="330"/>
      <c r="E367" s="330"/>
      <c r="F367" s="330"/>
      <c r="G367" s="1038"/>
      <c r="H367" s="1038"/>
      <c r="I367" s="1038"/>
      <c r="J367" s="1038"/>
      <c r="K367" s="1038"/>
      <c r="L367" s="1038"/>
      <c r="M367" s="1038"/>
      <c r="N367" s="475"/>
    </row>
    <row r="368" spans="1:14" x14ac:dyDescent="0.25">
      <c r="A368" s="330"/>
      <c r="B368" s="330"/>
      <c r="C368" s="330"/>
      <c r="D368" s="330"/>
      <c r="E368" s="330"/>
      <c r="F368" s="330"/>
      <c r="G368" s="1039"/>
      <c r="H368" s="1039"/>
      <c r="I368" s="1039"/>
      <c r="J368" s="1039"/>
      <c r="K368" s="1039"/>
      <c r="L368" s="1039"/>
      <c r="M368" s="1039"/>
      <c r="N368" s="475"/>
    </row>
    <row r="369" spans="1:14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1"/>
      <c r="K369" s="331"/>
      <c r="L369" s="331"/>
      <c r="M369" s="331"/>
      <c r="N369" s="475"/>
    </row>
    <row r="370" spans="1:14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1"/>
      <c r="K370" s="331"/>
      <c r="L370" s="331"/>
      <c r="M370" s="331"/>
      <c r="N370" s="475"/>
    </row>
    <row r="371" spans="1:14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1"/>
      <c r="K371" s="331"/>
      <c r="L371" s="331"/>
      <c r="M371" s="331"/>
      <c r="N371" s="475"/>
    </row>
    <row r="372" spans="1:14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1"/>
      <c r="K372" s="331"/>
      <c r="L372" s="331"/>
      <c r="M372" s="331"/>
      <c r="N372" s="475"/>
    </row>
    <row r="373" spans="1:14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1"/>
      <c r="K373" s="331"/>
      <c r="L373" s="331"/>
      <c r="M373" s="331"/>
      <c r="N373" s="475"/>
    </row>
    <row r="374" spans="1:14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1"/>
      <c r="K374" s="331"/>
      <c r="L374" s="331"/>
      <c r="M374" s="331"/>
      <c r="N374" s="475"/>
    </row>
    <row r="375" spans="1:14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1"/>
      <c r="K375" s="331"/>
      <c r="L375" s="331"/>
      <c r="M375" s="331"/>
      <c r="N375" s="475"/>
    </row>
    <row r="376" spans="1:14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1"/>
      <c r="K376" s="331"/>
      <c r="L376" s="331"/>
      <c r="M376" s="331"/>
      <c r="N376" s="475"/>
    </row>
    <row r="377" spans="1:14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1"/>
      <c r="K377" s="331"/>
      <c r="L377" s="331"/>
      <c r="M377" s="331"/>
      <c r="N377" s="475"/>
    </row>
    <row r="378" spans="1:14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1"/>
      <c r="K378" s="331"/>
      <c r="L378" s="331"/>
      <c r="M378" s="331"/>
      <c r="N378" s="475"/>
    </row>
    <row r="379" spans="1:14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1"/>
      <c r="K379" s="331"/>
      <c r="L379" s="331"/>
      <c r="M379" s="331"/>
      <c r="N379" s="475"/>
    </row>
    <row r="380" spans="1:14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1"/>
      <c r="K380" s="331"/>
      <c r="L380" s="331"/>
      <c r="M380" s="331"/>
      <c r="N380" s="475"/>
    </row>
    <row r="381" spans="1:14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1"/>
      <c r="K381" s="331"/>
      <c r="L381" s="331"/>
      <c r="M381" s="331"/>
      <c r="N381" s="475"/>
    </row>
    <row r="382" spans="1:14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1"/>
      <c r="K382" s="331"/>
      <c r="L382" s="331"/>
      <c r="M382" s="331"/>
      <c r="N382" s="475"/>
    </row>
    <row r="383" spans="1:14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1"/>
      <c r="K383" s="331"/>
      <c r="L383" s="331"/>
      <c r="M383" s="331"/>
      <c r="N383" s="475"/>
    </row>
    <row r="384" spans="1:14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1"/>
      <c r="K384" s="331"/>
      <c r="L384" s="331"/>
      <c r="M384" s="331"/>
      <c r="N384" s="475"/>
    </row>
    <row r="385" spans="1:14" x14ac:dyDescent="0.25">
      <c r="A385" s="330"/>
      <c r="B385" s="330"/>
      <c r="C385" s="330"/>
      <c r="D385" s="330"/>
      <c r="E385" s="330"/>
      <c r="F385" s="330"/>
      <c r="G385" s="1039"/>
      <c r="H385" s="1039"/>
      <c r="I385" s="1039"/>
      <c r="J385" s="1039"/>
      <c r="K385" s="1039"/>
      <c r="L385" s="1039"/>
      <c r="M385" s="1039"/>
      <c r="N385" s="475"/>
    </row>
    <row r="386" spans="1:14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1"/>
      <c r="K386" s="331"/>
      <c r="L386" s="331"/>
      <c r="M386" s="331"/>
      <c r="N386" s="475"/>
    </row>
    <row r="387" spans="1:14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1"/>
      <c r="K387" s="331"/>
      <c r="L387" s="331"/>
      <c r="M387" s="331"/>
      <c r="N387" s="475"/>
    </row>
    <row r="388" spans="1:14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1"/>
      <c r="K388" s="331"/>
      <c r="L388" s="331"/>
      <c r="M388" s="331"/>
      <c r="N388" s="475"/>
    </row>
    <row r="389" spans="1:14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1"/>
      <c r="K389" s="331"/>
      <c r="L389" s="331"/>
      <c r="M389" s="331"/>
      <c r="N389" s="475"/>
    </row>
    <row r="390" spans="1:14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1"/>
      <c r="K390" s="331"/>
      <c r="L390" s="331"/>
      <c r="M390" s="331"/>
      <c r="N390" s="475"/>
    </row>
    <row r="391" spans="1:14" x14ac:dyDescent="0.25">
      <c r="G391" s="330"/>
      <c r="H391" s="330"/>
      <c r="I391" s="330"/>
      <c r="J391" s="331"/>
      <c r="K391" s="331"/>
      <c r="L391" s="331"/>
      <c r="M391" s="331"/>
      <c r="N391" s="475"/>
    </row>
    <row r="392" spans="1:14" x14ac:dyDescent="0.25">
      <c r="G392" s="330"/>
      <c r="H392" s="330"/>
      <c r="I392" s="330"/>
      <c r="J392" s="331"/>
      <c r="K392" s="331"/>
      <c r="L392" s="331"/>
      <c r="M392" s="331"/>
      <c r="N392" s="475"/>
    </row>
    <row r="393" spans="1:14" x14ac:dyDescent="0.25">
      <c r="G393" s="330"/>
      <c r="H393" s="330"/>
      <c r="I393" s="330"/>
      <c r="J393" s="331"/>
      <c r="K393" s="331"/>
      <c r="L393" s="331"/>
      <c r="M393" s="331"/>
      <c r="N393" s="475"/>
    </row>
    <row r="394" spans="1:14" x14ac:dyDescent="0.25">
      <c r="G394" s="330"/>
      <c r="H394" s="330"/>
      <c r="I394" s="330"/>
      <c r="J394" s="331"/>
      <c r="K394" s="331"/>
      <c r="L394" s="331"/>
      <c r="M394" s="331"/>
      <c r="N394" s="475"/>
    </row>
    <row r="395" spans="1:14" x14ac:dyDescent="0.25">
      <c r="G395" s="330"/>
      <c r="H395" s="330"/>
      <c r="I395" s="330"/>
      <c r="J395" s="331"/>
      <c r="K395" s="331"/>
      <c r="L395" s="331"/>
      <c r="M395" s="331"/>
      <c r="N395" s="475"/>
    </row>
    <row r="396" spans="1:14" x14ac:dyDescent="0.25">
      <c r="G396" s="330"/>
      <c r="H396" s="330"/>
      <c r="I396" s="330"/>
      <c r="J396" s="331"/>
      <c r="K396" s="331"/>
      <c r="L396" s="331"/>
      <c r="M396" s="331"/>
      <c r="N396" s="475"/>
    </row>
    <row r="397" spans="1:14" x14ac:dyDescent="0.25">
      <c r="G397" s="330"/>
      <c r="H397" s="330"/>
      <c r="I397" s="330"/>
      <c r="J397" s="331"/>
      <c r="K397" s="331"/>
      <c r="L397" s="331"/>
      <c r="M397" s="331"/>
      <c r="N397" s="475"/>
    </row>
    <row r="398" spans="1:14" x14ac:dyDescent="0.25">
      <c r="G398" s="330"/>
      <c r="H398" s="330"/>
      <c r="I398" s="330"/>
      <c r="J398" s="331"/>
      <c r="K398" s="331"/>
      <c r="L398" s="331"/>
      <c r="M398" s="332"/>
    </row>
    <row r="399" spans="1:14" x14ac:dyDescent="0.25">
      <c r="G399" s="330"/>
      <c r="H399" s="330"/>
      <c r="I399" s="330"/>
      <c r="J399" s="331"/>
      <c r="K399" s="331"/>
      <c r="L399" s="331"/>
      <c r="M399" s="332"/>
    </row>
    <row r="400" spans="1:14" x14ac:dyDescent="0.25">
      <c r="G400" s="330"/>
      <c r="H400" s="330"/>
      <c r="I400" s="330"/>
      <c r="J400" s="331"/>
      <c r="K400" s="331"/>
      <c r="L400" s="331"/>
      <c r="M400" s="332"/>
    </row>
    <row r="401" spans="7:13" x14ac:dyDescent="0.25">
      <c r="G401" s="330"/>
      <c r="H401" s="330"/>
      <c r="I401" s="330"/>
      <c r="J401" s="331"/>
      <c r="K401" s="331"/>
      <c r="L401" s="331"/>
      <c r="M401" s="332"/>
    </row>
    <row r="402" spans="7:13" x14ac:dyDescent="0.25">
      <c r="G402" s="330"/>
      <c r="H402" s="330"/>
      <c r="I402" s="330"/>
      <c r="J402" s="331"/>
      <c r="K402" s="331"/>
      <c r="L402" s="331"/>
      <c r="M402" s="332"/>
    </row>
    <row r="403" spans="7:13" x14ac:dyDescent="0.25">
      <c r="G403" s="330"/>
      <c r="H403" s="330"/>
      <c r="I403" s="330"/>
      <c r="J403" s="331"/>
      <c r="K403" s="331"/>
      <c r="L403" s="331"/>
      <c r="M403" s="332"/>
    </row>
    <row r="404" spans="7:13" x14ac:dyDescent="0.25">
      <c r="G404" s="330"/>
      <c r="H404" s="330"/>
      <c r="I404" s="330"/>
      <c r="J404" s="331"/>
      <c r="K404" s="331"/>
      <c r="L404" s="331"/>
      <c r="M404" s="332"/>
    </row>
    <row r="405" spans="7:13" x14ac:dyDescent="0.25">
      <c r="G405" s="330"/>
      <c r="H405" s="330"/>
      <c r="I405" s="330"/>
      <c r="J405" s="331"/>
      <c r="K405" s="331"/>
      <c r="L405" s="331"/>
      <c r="M405" s="332"/>
    </row>
    <row r="406" spans="7:13" x14ac:dyDescent="0.25">
      <c r="G406" s="330"/>
      <c r="H406" s="330"/>
      <c r="I406" s="330"/>
      <c r="J406" s="331"/>
      <c r="K406" s="331"/>
      <c r="L406" s="331"/>
      <c r="M406" s="332"/>
    </row>
    <row r="407" spans="7:13" x14ac:dyDescent="0.25">
      <c r="G407" s="330"/>
      <c r="H407" s="330"/>
      <c r="I407" s="330"/>
      <c r="J407" s="331"/>
      <c r="K407" s="331"/>
      <c r="L407" s="331"/>
      <c r="M407" s="332"/>
    </row>
    <row r="408" spans="7:13" x14ac:dyDescent="0.25">
      <c r="G408" s="330"/>
      <c r="H408" s="330"/>
      <c r="I408" s="330"/>
      <c r="J408" s="331"/>
      <c r="K408" s="331"/>
      <c r="L408" s="331"/>
      <c r="M408" s="332"/>
    </row>
    <row r="409" spans="7:13" x14ac:dyDescent="0.25">
      <c r="G409" s="330"/>
      <c r="H409" s="330"/>
      <c r="I409" s="330"/>
      <c r="J409" s="331"/>
      <c r="K409" s="331"/>
      <c r="L409" s="331"/>
      <c r="M409" s="332"/>
    </row>
    <row r="410" spans="7:13" x14ac:dyDescent="0.25">
      <c r="G410" s="330"/>
      <c r="H410" s="330"/>
      <c r="I410" s="330"/>
      <c r="J410" s="331"/>
      <c r="K410" s="331"/>
      <c r="L410" s="331"/>
      <c r="M410" s="332"/>
    </row>
    <row r="411" spans="7:13" x14ac:dyDescent="0.25">
      <c r="G411" s="330"/>
      <c r="H411" s="330"/>
      <c r="I411" s="330"/>
      <c r="J411" s="331"/>
      <c r="K411" s="331"/>
      <c r="L411" s="331"/>
      <c r="M411" s="332"/>
    </row>
    <row r="412" spans="7:13" x14ac:dyDescent="0.25">
      <c r="G412" s="330"/>
      <c r="H412" s="330"/>
      <c r="I412" s="330"/>
      <c r="J412" s="331"/>
      <c r="K412" s="331"/>
      <c r="L412" s="331"/>
      <c r="M412" s="332"/>
    </row>
    <row r="413" spans="7:13" x14ac:dyDescent="0.25">
      <c r="G413" s="330"/>
      <c r="H413" s="330"/>
      <c r="I413" s="330"/>
      <c r="J413" s="331"/>
      <c r="K413" s="331"/>
      <c r="L413" s="331"/>
      <c r="M413" s="332"/>
    </row>
    <row r="414" spans="7:13" x14ac:dyDescent="0.25">
      <c r="G414" s="330"/>
      <c r="H414" s="330"/>
      <c r="I414" s="330"/>
      <c r="J414" s="331"/>
      <c r="K414" s="331"/>
      <c r="L414" s="331"/>
      <c r="M414" s="332"/>
    </row>
    <row r="415" spans="7:13" x14ac:dyDescent="0.25">
      <c r="G415" s="330"/>
      <c r="H415" s="330"/>
      <c r="I415" s="330"/>
      <c r="J415" s="331"/>
      <c r="K415" s="331"/>
      <c r="L415" s="331"/>
      <c r="M415" s="332"/>
    </row>
    <row r="416" spans="7:13" x14ac:dyDescent="0.25">
      <c r="G416" s="330"/>
      <c r="H416" s="330"/>
      <c r="I416" s="330"/>
      <c r="J416" s="331"/>
      <c r="K416" s="331"/>
      <c r="L416" s="331"/>
      <c r="M416" s="332"/>
    </row>
  </sheetData>
  <mergeCells count="568">
    <mergeCell ref="J180:K180"/>
    <mergeCell ref="J186:K186"/>
    <mergeCell ref="J189:K189"/>
    <mergeCell ref="J191:K191"/>
    <mergeCell ref="J202:K202"/>
    <mergeCell ref="J208:K208"/>
    <mergeCell ref="J82:K82"/>
    <mergeCell ref="J87:K87"/>
    <mergeCell ref="J90:K90"/>
    <mergeCell ref="J96:K96"/>
    <mergeCell ref="J103:K103"/>
    <mergeCell ref="J111:K111"/>
    <mergeCell ref="J115:K115"/>
    <mergeCell ref="J125:K125"/>
    <mergeCell ref="J140:K140"/>
    <mergeCell ref="G179:M179"/>
    <mergeCell ref="G180:I180"/>
    <mergeCell ref="G181:I181"/>
    <mergeCell ref="G167:M167"/>
    <mergeCell ref="G168:I168"/>
    <mergeCell ref="G102:M102"/>
    <mergeCell ref="G103:I103"/>
    <mergeCell ref="G176:M176"/>
    <mergeCell ref="J154:K154"/>
    <mergeCell ref="J9:K9"/>
    <mergeCell ref="J15:K15"/>
    <mergeCell ref="J20:K20"/>
    <mergeCell ref="J23:K23"/>
    <mergeCell ref="J30:K30"/>
    <mergeCell ref="J44:K44"/>
    <mergeCell ref="J49:K49"/>
    <mergeCell ref="J58:K58"/>
    <mergeCell ref="J64:K64"/>
    <mergeCell ref="G63:M63"/>
    <mergeCell ref="G64:I64"/>
    <mergeCell ref="G29:M29"/>
    <mergeCell ref="G30:I30"/>
    <mergeCell ref="G33:I33"/>
    <mergeCell ref="G36:M36"/>
    <mergeCell ref="G42:I42"/>
    <mergeCell ref="G50:I50"/>
    <mergeCell ref="G54:I54"/>
    <mergeCell ref="G55:M55"/>
    <mergeCell ref="G15:I15"/>
    <mergeCell ref="G11:M11"/>
    <mergeCell ref="G12:I12"/>
    <mergeCell ref="J12:K12"/>
    <mergeCell ref="G73:I73"/>
    <mergeCell ref="G81:M81"/>
    <mergeCell ref="G82:I82"/>
    <mergeCell ref="G160:I160"/>
    <mergeCell ref="G89:M89"/>
    <mergeCell ref="G90:I90"/>
    <mergeCell ref="G124:M124"/>
    <mergeCell ref="G125:I125"/>
    <mergeCell ref="G145:I145"/>
    <mergeCell ref="G87:I87"/>
    <mergeCell ref="G158:M158"/>
    <mergeCell ref="G91:I91"/>
    <mergeCell ref="G88:I88"/>
    <mergeCell ref="J73:K73"/>
    <mergeCell ref="G83:I83"/>
    <mergeCell ref="G104:I104"/>
    <mergeCell ref="G141:M141"/>
    <mergeCell ref="G110:M110"/>
    <mergeCell ref="G111:I111"/>
    <mergeCell ref="G86:M86"/>
    <mergeCell ref="G94:M94"/>
    <mergeCell ref="G96:I96"/>
    <mergeCell ref="J145:K145"/>
    <mergeCell ref="G77:M77"/>
    <mergeCell ref="J168:K168"/>
    <mergeCell ref="G154:I154"/>
    <mergeCell ref="G113:M113"/>
    <mergeCell ref="G115:I115"/>
    <mergeCell ref="A1:T1"/>
    <mergeCell ref="A213:B213"/>
    <mergeCell ref="G164:M164"/>
    <mergeCell ref="G155:I155"/>
    <mergeCell ref="G163:I163"/>
    <mergeCell ref="G157:I157"/>
    <mergeCell ref="G166:M166"/>
    <mergeCell ref="G172:M172"/>
    <mergeCell ref="G175:I175"/>
    <mergeCell ref="G188:M188"/>
    <mergeCell ref="G189:I189"/>
    <mergeCell ref="E206:E209"/>
    <mergeCell ref="F206:F209"/>
    <mergeCell ref="A127:A146"/>
    <mergeCell ref="A158:A163"/>
    <mergeCell ref="A172:A175"/>
    <mergeCell ref="A147:A155"/>
    <mergeCell ref="A156:A157"/>
    <mergeCell ref="A164:A169"/>
    <mergeCell ref="G72:M72"/>
    <mergeCell ref="A182:A187"/>
    <mergeCell ref="A188:A192"/>
    <mergeCell ref="G295:M295"/>
    <mergeCell ref="G276:M276"/>
    <mergeCell ref="G294:M294"/>
    <mergeCell ref="G193:M193"/>
    <mergeCell ref="G198:M198"/>
    <mergeCell ref="E204:E205"/>
    <mergeCell ref="F204:F205"/>
    <mergeCell ref="E182:E187"/>
    <mergeCell ref="F182:F187"/>
    <mergeCell ref="F188:F190"/>
    <mergeCell ref="E188:E192"/>
    <mergeCell ref="E193:E203"/>
    <mergeCell ref="F193:F203"/>
    <mergeCell ref="G185:M185"/>
    <mergeCell ref="G186:I186"/>
    <mergeCell ref="G190:M190"/>
    <mergeCell ref="G191:I191"/>
    <mergeCell ref="G200:M200"/>
    <mergeCell ref="G202:I202"/>
    <mergeCell ref="G206:M206"/>
    <mergeCell ref="D193:D203"/>
    <mergeCell ref="B204:B205"/>
    <mergeCell ref="J160:K160"/>
    <mergeCell ref="G385:M385"/>
    <mergeCell ref="G368:M368"/>
    <mergeCell ref="G362:M362"/>
    <mergeCell ref="G367:M367"/>
    <mergeCell ref="A193:A203"/>
    <mergeCell ref="A206:A209"/>
    <mergeCell ref="B206:B209"/>
    <mergeCell ref="C206:C209"/>
    <mergeCell ref="D206:D209"/>
    <mergeCell ref="G208:I208"/>
    <mergeCell ref="A204:A205"/>
    <mergeCell ref="G352:M352"/>
    <mergeCell ref="G350:M350"/>
    <mergeCell ref="G333:M333"/>
    <mergeCell ref="G338:M338"/>
    <mergeCell ref="G351:M351"/>
    <mergeCell ref="G339:M339"/>
    <mergeCell ref="G323:M323"/>
    <mergeCell ref="B188:B192"/>
    <mergeCell ref="C188:C192"/>
    <mergeCell ref="D188:D192"/>
    <mergeCell ref="B193:B203"/>
    <mergeCell ref="C193:C203"/>
    <mergeCell ref="C204:C205"/>
    <mergeCell ref="D204:D205"/>
    <mergeCell ref="B60:B62"/>
    <mergeCell ref="C60:C62"/>
    <mergeCell ref="D60:D62"/>
    <mergeCell ref="B182:B187"/>
    <mergeCell ref="C182:C187"/>
    <mergeCell ref="D182:D187"/>
    <mergeCell ref="A68:A69"/>
    <mergeCell ref="C75:C83"/>
    <mergeCell ref="D75:D83"/>
    <mergeCell ref="A110:A112"/>
    <mergeCell ref="A113:A116"/>
    <mergeCell ref="A122:A126"/>
    <mergeCell ref="A117:A118"/>
    <mergeCell ref="A119:A121"/>
    <mergeCell ref="B89:B91"/>
    <mergeCell ref="C89:C91"/>
    <mergeCell ref="D89:D91"/>
    <mergeCell ref="B92:B97"/>
    <mergeCell ref="C92:C97"/>
    <mergeCell ref="D92:D97"/>
    <mergeCell ref="B98:B104"/>
    <mergeCell ref="C98:C104"/>
    <mergeCell ref="A170:A171"/>
    <mergeCell ref="B68:B69"/>
    <mergeCell ref="C127:C146"/>
    <mergeCell ref="B127:B146"/>
    <mergeCell ref="B122:B126"/>
    <mergeCell ref="C122:C126"/>
    <mergeCell ref="B117:B118"/>
    <mergeCell ref="B107:B109"/>
    <mergeCell ref="B105:B106"/>
    <mergeCell ref="C68:C69"/>
    <mergeCell ref="B113:B116"/>
    <mergeCell ref="C105:C106"/>
    <mergeCell ref="B84:B85"/>
    <mergeCell ref="C84:C85"/>
    <mergeCell ref="B70:B74"/>
    <mergeCell ref="E70:E74"/>
    <mergeCell ref="F70:F74"/>
    <mergeCell ref="B75:B83"/>
    <mergeCell ref="B170:B171"/>
    <mergeCell ref="C170:C171"/>
    <mergeCell ref="B156:B157"/>
    <mergeCell ref="C156:C157"/>
    <mergeCell ref="B158:B163"/>
    <mergeCell ref="C158:C163"/>
    <mergeCell ref="B147:B155"/>
    <mergeCell ref="D170:D171"/>
    <mergeCell ref="C147:C155"/>
    <mergeCell ref="E117:E118"/>
    <mergeCell ref="D70:D74"/>
    <mergeCell ref="E122:E126"/>
    <mergeCell ref="F122:F126"/>
    <mergeCell ref="C119:C121"/>
    <mergeCell ref="D119:D121"/>
    <mergeCell ref="E119:E121"/>
    <mergeCell ref="F119:F121"/>
    <mergeCell ref="C113:C116"/>
    <mergeCell ref="C117:C118"/>
    <mergeCell ref="D113:D116"/>
    <mergeCell ref="E113:E116"/>
    <mergeCell ref="C53:C54"/>
    <mergeCell ref="D53:D54"/>
    <mergeCell ref="E53:E54"/>
    <mergeCell ref="F53:F54"/>
    <mergeCell ref="A107:A109"/>
    <mergeCell ref="F89:F91"/>
    <mergeCell ref="F92:F97"/>
    <mergeCell ref="F98:F104"/>
    <mergeCell ref="F105:F106"/>
    <mergeCell ref="A75:A83"/>
    <mergeCell ref="A70:A74"/>
    <mergeCell ref="A84:A85"/>
    <mergeCell ref="A105:A106"/>
    <mergeCell ref="A92:A97"/>
    <mergeCell ref="A98:A104"/>
    <mergeCell ref="B86:B88"/>
    <mergeCell ref="C86:C88"/>
    <mergeCell ref="D86:D88"/>
    <mergeCell ref="E86:E88"/>
    <mergeCell ref="F86:F88"/>
    <mergeCell ref="C107:C109"/>
    <mergeCell ref="C70:C74"/>
    <mergeCell ref="D84:D85"/>
    <mergeCell ref="D98:D104"/>
    <mergeCell ref="B63:B65"/>
    <mergeCell ref="C63:C65"/>
    <mergeCell ref="D63:D65"/>
    <mergeCell ref="E63:E65"/>
    <mergeCell ref="F63:F65"/>
    <mergeCell ref="B66:B67"/>
    <mergeCell ref="C66:C67"/>
    <mergeCell ref="D66:D67"/>
    <mergeCell ref="E66:E67"/>
    <mergeCell ref="F66:F67"/>
    <mergeCell ref="G75:M75"/>
    <mergeCell ref="G79:M79"/>
    <mergeCell ref="G3:M4"/>
    <mergeCell ref="G2:M2"/>
    <mergeCell ref="G10:I10"/>
    <mergeCell ref="G24:I24"/>
    <mergeCell ref="G28:I28"/>
    <mergeCell ref="G22:M22"/>
    <mergeCell ref="G23:I23"/>
    <mergeCell ref="G16:I16"/>
    <mergeCell ref="G18:I18"/>
    <mergeCell ref="G13:I13"/>
    <mergeCell ref="G21:I21"/>
    <mergeCell ref="G26:I26"/>
    <mergeCell ref="G19:M19"/>
    <mergeCell ref="G20:I20"/>
    <mergeCell ref="G8:M8"/>
    <mergeCell ref="G9:I9"/>
    <mergeCell ref="G14:M14"/>
    <mergeCell ref="G35:I35"/>
    <mergeCell ref="G47:I47"/>
    <mergeCell ref="G45:I45"/>
    <mergeCell ref="G59:I59"/>
    <mergeCell ref="G67:I67"/>
    <mergeCell ref="G65:I65"/>
    <mergeCell ref="G62:I62"/>
    <mergeCell ref="G60:M60"/>
    <mergeCell ref="G52:I52"/>
    <mergeCell ref="G40:I40"/>
    <mergeCell ref="G38:I38"/>
    <mergeCell ref="G48:M48"/>
    <mergeCell ref="G49:I49"/>
    <mergeCell ref="G57:M57"/>
    <mergeCell ref="G58:I58"/>
    <mergeCell ref="G43:M43"/>
    <mergeCell ref="G44:I44"/>
    <mergeCell ref="N69:P69"/>
    <mergeCell ref="G322:M322"/>
    <mergeCell ref="G293:M293"/>
    <mergeCell ref="G209:I209"/>
    <mergeCell ref="G203:I203"/>
    <mergeCell ref="G275:M275"/>
    <mergeCell ref="G268:M268"/>
    <mergeCell ref="G314:M314"/>
    <mergeCell ref="G210:M210"/>
    <mergeCell ref="G205:I205"/>
    <mergeCell ref="G306:M306"/>
    <mergeCell ref="G305:M305"/>
    <mergeCell ref="G307:M307"/>
    <mergeCell ref="G116:I116"/>
    <mergeCell ref="G129:M129"/>
    <mergeCell ref="G121:I121"/>
    <mergeCell ref="G70:M70"/>
    <mergeCell ref="G135:M135"/>
    <mergeCell ref="G151:M151"/>
    <mergeCell ref="G112:I112"/>
    <mergeCell ref="G97:I97"/>
    <mergeCell ref="G92:M92"/>
    <mergeCell ref="G85:I85"/>
    <mergeCell ref="G153:M153"/>
    <mergeCell ref="N155:P155"/>
    <mergeCell ref="N203:P203"/>
    <mergeCell ref="N205:P205"/>
    <mergeCell ref="N209:P209"/>
    <mergeCell ref="N126:P126"/>
    <mergeCell ref="N83:P83"/>
    <mergeCell ref="N85:P85"/>
    <mergeCell ref="N26:P26"/>
    <mergeCell ref="N28:P28"/>
    <mergeCell ref="N112:P112"/>
    <mergeCell ref="N116:P116"/>
    <mergeCell ref="N121:P121"/>
    <mergeCell ref="N118:P118"/>
    <mergeCell ref="N50:P50"/>
    <mergeCell ref="N52:P52"/>
    <mergeCell ref="N54:P54"/>
    <mergeCell ref="N91:P91"/>
    <mergeCell ref="N59:P59"/>
    <mergeCell ref="N106:P106"/>
    <mergeCell ref="N109:P109"/>
    <mergeCell ref="N175:P175"/>
    <mergeCell ref="N62:P62"/>
    <mergeCell ref="N65:P65"/>
    <mergeCell ref="N67:P67"/>
    <mergeCell ref="N45:P45"/>
    <mergeCell ref="N47:P47"/>
    <mergeCell ref="N40:P40"/>
    <mergeCell ref="N42:P42"/>
    <mergeCell ref="N33:P33"/>
    <mergeCell ref="N35:P35"/>
    <mergeCell ref="G147:M147"/>
    <mergeCell ref="G169:I169"/>
    <mergeCell ref="G196:M196"/>
    <mergeCell ref="N97:P97"/>
    <mergeCell ref="N88:P88"/>
    <mergeCell ref="G146:I146"/>
    <mergeCell ref="G192:I192"/>
    <mergeCell ref="G133:M133"/>
    <mergeCell ref="G187:I187"/>
    <mergeCell ref="G127:M127"/>
    <mergeCell ref="G118:I118"/>
    <mergeCell ref="G182:M182"/>
    <mergeCell ref="G109:I109"/>
    <mergeCell ref="G171:I171"/>
    <mergeCell ref="N192:P192"/>
    <mergeCell ref="G149:M149"/>
    <mergeCell ref="G126:I126"/>
    <mergeCell ref="N146:P146"/>
    <mergeCell ref="N104:P104"/>
    <mergeCell ref="N74:P74"/>
    <mergeCell ref="N187:P187"/>
    <mergeCell ref="A86:A88"/>
    <mergeCell ref="A89:A91"/>
    <mergeCell ref="N2:T2"/>
    <mergeCell ref="N3:T4"/>
    <mergeCell ref="N157:P157"/>
    <mergeCell ref="N163:P163"/>
    <mergeCell ref="N169:P169"/>
    <mergeCell ref="N171:P171"/>
    <mergeCell ref="G74:I74"/>
    <mergeCell ref="G69:I69"/>
    <mergeCell ref="G98:M98"/>
    <mergeCell ref="G100:M100"/>
    <mergeCell ref="G122:M122"/>
    <mergeCell ref="G106:I106"/>
    <mergeCell ref="N10:P10"/>
    <mergeCell ref="N13:P13"/>
    <mergeCell ref="N16:P16"/>
    <mergeCell ref="N18:P18"/>
    <mergeCell ref="N21:P21"/>
    <mergeCell ref="N24:P24"/>
    <mergeCell ref="N38:P38"/>
    <mergeCell ref="A27:A28"/>
    <mergeCell ref="A29:A33"/>
    <mergeCell ref="A39:A40"/>
    <mergeCell ref="A43:A45"/>
    <mergeCell ref="A46:A47"/>
    <mergeCell ref="A48:A50"/>
    <mergeCell ref="A51:A52"/>
    <mergeCell ref="A63:A65"/>
    <mergeCell ref="A66:A67"/>
    <mergeCell ref="A34:A35"/>
    <mergeCell ref="A36:A38"/>
    <mergeCell ref="A41:A42"/>
    <mergeCell ref="A53:A54"/>
    <mergeCell ref="A55:A59"/>
    <mergeCell ref="A60:A62"/>
    <mergeCell ref="A8:A10"/>
    <mergeCell ref="A11:A13"/>
    <mergeCell ref="A14:A16"/>
    <mergeCell ref="A17:A18"/>
    <mergeCell ref="A19:A21"/>
    <mergeCell ref="A22:A24"/>
    <mergeCell ref="A25:A26"/>
    <mergeCell ref="F17:F18"/>
    <mergeCell ref="B19:B21"/>
    <mergeCell ref="C19:C21"/>
    <mergeCell ref="D19:D21"/>
    <mergeCell ref="E19:E21"/>
    <mergeCell ref="F19:F21"/>
    <mergeCell ref="B22:B24"/>
    <mergeCell ref="C22:C24"/>
    <mergeCell ref="D22:D24"/>
    <mergeCell ref="E22:E24"/>
    <mergeCell ref="F22:F24"/>
    <mergeCell ref="B14:B16"/>
    <mergeCell ref="B8:B10"/>
    <mergeCell ref="C8:C10"/>
    <mergeCell ref="D8:D10"/>
    <mergeCell ref="E8:E10"/>
    <mergeCell ref="F8:F10"/>
    <mergeCell ref="B11:B13"/>
    <mergeCell ref="C11:C13"/>
    <mergeCell ref="D11:D13"/>
    <mergeCell ref="E11:E13"/>
    <mergeCell ref="F11:F13"/>
    <mergeCell ref="B43:B45"/>
    <mergeCell ref="C43:C45"/>
    <mergeCell ref="D43:D45"/>
    <mergeCell ref="E43:E45"/>
    <mergeCell ref="F43:F45"/>
    <mergeCell ref="C14:C16"/>
    <mergeCell ref="D14:D16"/>
    <mergeCell ref="E14:E16"/>
    <mergeCell ref="F14:F16"/>
    <mergeCell ref="B17:B18"/>
    <mergeCell ref="C17:C18"/>
    <mergeCell ref="D17:D18"/>
    <mergeCell ref="E17:E18"/>
    <mergeCell ref="B25:B26"/>
    <mergeCell ref="C25:C26"/>
    <mergeCell ref="D25:D26"/>
    <mergeCell ref="E25:E26"/>
    <mergeCell ref="F25:F26"/>
    <mergeCell ref="C27:C28"/>
    <mergeCell ref="F27:F28"/>
    <mergeCell ref="B29:B33"/>
    <mergeCell ref="C29:C33"/>
    <mergeCell ref="D29:D33"/>
    <mergeCell ref="E29:E33"/>
    <mergeCell ref="F29:F33"/>
    <mergeCell ref="B39:B40"/>
    <mergeCell ref="C39:C40"/>
    <mergeCell ref="D39:D40"/>
    <mergeCell ref="E39:E40"/>
    <mergeCell ref="F39:F40"/>
    <mergeCell ref="D27:D28"/>
    <mergeCell ref="E27:E28"/>
    <mergeCell ref="B41:B42"/>
    <mergeCell ref="C41:C42"/>
    <mergeCell ref="D41:D42"/>
    <mergeCell ref="E41:E42"/>
    <mergeCell ref="F41:F42"/>
    <mergeCell ref="B55:B59"/>
    <mergeCell ref="C55:C59"/>
    <mergeCell ref="D55:D59"/>
    <mergeCell ref="B46:B47"/>
    <mergeCell ref="C46:C47"/>
    <mergeCell ref="D46:D47"/>
    <mergeCell ref="E46:E47"/>
    <mergeCell ref="F46:F47"/>
    <mergeCell ref="B48:B50"/>
    <mergeCell ref="C48:C50"/>
    <mergeCell ref="D48:D50"/>
    <mergeCell ref="E48:E50"/>
    <mergeCell ref="F48:F50"/>
    <mergeCell ref="B51:B52"/>
    <mergeCell ref="C51:C52"/>
    <mergeCell ref="D51:D52"/>
    <mergeCell ref="E51:E52"/>
    <mergeCell ref="F51:F52"/>
    <mergeCell ref="B53:B54"/>
    <mergeCell ref="E60:E62"/>
    <mergeCell ref="E89:E91"/>
    <mergeCell ref="E68:E69"/>
    <mergeCell ref="F68:F69"/>
    <mergeCell ref="D122:D126"/>
    <mergeCell ref="D68:D69"/>
    <mergeCell ref="E75:E83"/>
    <mergeCell ref="F75:F83"/>
    <mergeCell ref="B172:B175"/>
    <mergeCell ref="F147:F155"/>
    <mergeCell ref="D156:D157"/>
    <mergeCell ref="E156:E157"/>
    <mergeCell ref="F156:F157"/>
    <mergeCell ref="D158:D163"/>
    <mergeCell ref="E158:E163"/>
    <mergeCell ref="E84:E85"/>
    <mergeCell ref="F84:F85"/>
    <mergeCell ref="E92:E97"/>
    <mergeCell ref="E98:E104"/>
    <mergeCell ref="E105:E106"/>
    <mergeCell ref="F113:F116"/>
    <mergeCell ref="D105:D106"/>
    <mergeCell ref="F117:F118"/>
    <mergeCell ref="B119:B121"/>
    <mergeCell ref="S5:S6"/>
    <mergeCell ref="N193:T193"/>
    <mergeCell ref="G140:I140"/>
    <mergeCell ref="G138:M138"/>
    <mergeCell ref="A2:A6"/>
    <mergeCell ref="B2:F6"/>
    <mergeCell ref="F158:F163"/>
    <mergeCell ref="B164:B169"/>
    <mergeCell ref="C164:C169"/>
    <mergeCell ref="D164:D169"/>
    <mergeCell ref="E164:E169"/>
    <mergeCell ref="F164:F169"/>
    <mergeCell ref="D107:D109"/>
    <mergeCell ref="E107:E109"/>
    <mergeCell ref="F107:F109"/>
    <mergeCell ref="B110:B112"/>
    <mergeCell ref="C110:C112"/>
    <mergeCell ref="D110:D112"/>
    <mergeCell ref="E110:E112"/>
    <mergeCell ref="F110:F112"/>
    <mergeCell ref="F60:F62"/>
    <mergeCell ref="T5:T6"/>
    <mergeCell ref="E170:E171"/>
    <mergeCell ref="F170:F171"/>
    <mergeCell ref="E147:E155"/>
    <mergeCell ref="G5:G6"/>
    <mergeCell ref="H5:H6"/>
    <mergeCell ref="I5:I6"/>
    <mergeCell ref="L5:L6"/>
    <mergeCell ref="M5:M6"/>
    <mergeCell ref="N5:N6"/>
    <mergeCell ref="O5:O6"/>
    <mergeCell ref="P5:P6"/>
    <mergeCell ref="B7:F7"/>
    <mergeCell ref="B34:B35"/>
    <mergeCell ref="C34:C35"/>
    <mergeCell ref="D34:D35"/>
    <mergeCell ref="E34:E35"/>
    <mergeCell ref="F34:F35"/>
    <mergeCell ref="B36:B38"/>
    <mergeCell ref="C36:C38"/>
    <mergeCell ref="D36:D38"/>
    <mergeCell ref="E36:E38"/>
    <mergeCell ref="F36:F38"/>
    <mergeCell ref="B27:B28"/>
    <mergeCell ref="E55:E59"/>
    <mergeCell ref="F55:F59"/>
    <mergeCell ref="D117:D118"/>
    <mergeCell ref="G161:M161"/>
    <mergeCell ref="A176:A181"/>
    <mergeCell ref="N60:T60"/>
    <mergeCell ref="N70:T70"/>
    <mergeCell ref="G119:M119"/>
    <mergeCell ref="G120:I120"/>
    <mergeCell ref="J120:K120"/>
    <mergeCell ref="G31:M31"/>
    <mergeCell ref="G32:I32"/>
    <mergeCell ref="J32:K32"/>
    <mergeCell ref="G107:M107"/>
    <mergeCell ref="G108:I108"/>
    <mergeCell ref="J108:K108"/>
    <mergeCell ref="N122:T122"/>
    <mergeCell ref="N147:T147"/>
    <mergeCell ref="N164:T164"/>
    <mergeCell ref="C172:C175"/>
    <mergeCell ref="D172:D175"/>
    <mergeCell ref="E172:E175"/>
    <mergeCell ref="F172:F175"/>
    <mergeCell ref="D127:D146"/>
    <mergeCell ref="E127:E146"/>
    <mergeCell ref="F127:F146"/>
    <mergeCell ref="D147:D155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Y555"/>
  <sheetViews>
    <sheetView zoomScale="70" zoomScaleNormal="70" workbookViewId="0">
      <pane ySplit="7" topLeftCell="A56" activePane="bottomLeft" state="frozen"/>
      <selection pane="bottomLeft" activeCell="Q7" sqref="Q1:Q1048576"/>
    </sheetView>
  </sheetViews>
  <sheetFormatPr defaultRowHeight="15.75" x14ac:dyDescent="0.25"/>
  <cols>
    <col min="1" max="1" width="30.7109375" style="615" customWidth="1"/>
    <col min="2" max="6" width="5.7109375" style="616" customWidth="1"/>
    <col min="7" max="9" width="20.7109375" style="301" customWidth="1"/>
    <col min="10" max="10" width="12.140625" style="301" customWidth="1"/>
    <col min="11" max="11" width="10.7109375" style="336" customWidth="1"/>
    <col min="12" max="12" width="10.7109375" style="301" customWidth="1"/>
    <col min="13" max="13" width="10.7109375" style="337" customWidth="1"/>
    <col min="14" max="14" width="20.7109375" style="387" customWidth="1"/>
    <col min="15" max="16" width="20.7109375" style="386" customWidth="1"/>
    <col min="17" max="17" width="11.7109375" style="387" customWidth="1"/>
    <col min="18" max="20" width="10.7109375" style="386" customWidth="1"/>
    <col min="21" max="16384" width="9.140625" style="386"/>
  </cols>
  <sheetData>
    <row r="1" spans="1:25" ht="15" customHeight="1" x14ac:dyDescent="0.25">
      <c r="A1" s="1049" t="s">
        <v>1432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5" ht="15" customHeight="1" x14ac:dyDescent="0.25">
      <c r="A2" s="1019" t="s">
        <v>244</v>
      </c>
      <c r="B2" s="1020" t="s">
        <v>1136</v>
      </c>
      <c r="C2" s="1021"/>
      <c r="D2" s="1021"/>
      <c r="E2" s="1021"/>
      <c r="F2" s="1022"/>
      <c r="G2" s="1041" t="s">
        <v>1187</v>
      </c>
      <c r="H2" s="1033"/>
      <c r="I2" s="1033"/>
      <c r="J2" s="1033"/>
      <c r="K2" s="1033"/>
      <c r="L2" s="1033"/>
      <c r="M2" s="1033"/>
      <c r="N2" s="1033" t="s">
        <v>1668</v>
      </c>
      <c r="O2" s="1033"/>
      <c r="P2" s="1033"/>
      <c r="Q2" s="1033"/>
      <c r="R2" s="1033"/>
      <c r="S2" s="1033"/>
      <c r="T2" s="1033"/>
    </row>
    <row r="3" spans="1:25" ht="15" customHeight="1" x14ac:dyDescent="0.25">
      <c r="A3" s="1019"/>
      <c r="B3" s="1023"/>
      <c r="C3" s="1024"/>
      <c r="D3" s="1024"/>
      <c r="E3" s="1024"/>
      <c r="F3" s="1025"/>
      <c r="G3" s="1040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5" ht="15" customHeight="1" x14ac:dyDescent="0.25">
      <c r="A4" s="1019"/>
      <c r="B4" s="1023"/>
      <c r="C4" s="1024"/>
      <c r="D4" s="1024"/>
      <c r="E4" s="1024"/>
      <c r="F4" s="1025"/>
      <c r="G4" s="1041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5" ht="15" customHeight="1" x14ac:dyDescent="0.25">
      <c r="A5" s="1019"/>
      <c r="B5" s="1023"/>
      <c r="C5" s="1024"/>
      <c r="D5" s="1024"/>
      <c r="E5" s="1024"/>
      <c r="F5" s="1025"/>
      <c r="G5" s="1007" t="s">
        <v>1189</v>
      </c>
      <c r="H5" s="1007" t="s">
        <v>1195</v>
      </c>
      <c r="I5" s="1007" t="s">
        <v>1191</v>
      </c>
      <c r="J5" s="543" t="s">
        <v>19510</v>
      </c>
      <c r="K5" s="543" t="s">
        <v>19511</v>
      </c>
      <c r="L5" s="1007" t="s">
        <v>1193</v>
      </c>
      <c r="M5" s="1011" t="s">
        <v>1194</v>
      </c>
      <c r="N5" s="1007" t="s">
        <v>1189</v>
      </c>
      <c r="O5" s="1007" t="s">
        <v>1195</v>
      </c>
      <c r="P5" s="1007" t="s">
        <v>1191</v>
      </c>
      <c r="Q5" s="859" t="s">
        <v>19510</v>
      </c>
      <c r="R5" s="557" t="s">
        <v>19511</v>
      </c>
      <c r="S5" s="1007" t="s">
        <v>1193</v>
      </c>
      <c r="T5" s="1068" t="s">
        <v>1194</v>
      </c>
    </row>
    <row r="6" spans="1:25" ht="60" customHeight="1" x14ac:dyDescent="0.25">
      <c r="A6" s="1019"/>
      <c r="B6" s="1026"/>
      <c r="C6" s="1027"/>
      <c r="D6" s="1027"/>
      <c r="E6" s="1027"/>
      <c r="F6" s="1028"/>
      <c r="G6" s="1008"/>
      <c r="H6" s="1008"/>
      <c r="I6" s="1008"/>
      <c r="J6" s="205" t="s">
        <v>1192</v>
      </c>
      <c r="K6" s="205" t="s">
        <v>1192</v>
      </c>
      <c r="L6" s="1008"/>
      <c r="M6" s="1012"/>
      <c r="N6" s="1008"/>
      <c r="O6" s="1008"/>
      <c r="P6" s="1008"/>
      <c r="Q6" s="519" t="s">
        <v>1192</v>
      </c>
      <c r="R6" s="205" t="s">
        <v>1192</v>
      </c>
      <c r="S6" s="1008"/>
      <c r="T6" s="1069"/>
    </row>
    <row r="7" spans="1:25" ht="15" customHeight="1" thickBot="1" x14ac:dyDescent="0.3">
      <c r="A7" s="613">
        <v>1</v>
      </c>
      <c r="B7" s="1082">
        <v>2</v>
      </c>
      <c r="C7" s="1083"/>
      <c r="D7" s="1083"/>
      <c r="E7" s="1083"/>
      <c r="F7" s="1084"/>
      <c r="G7" s="598">
        <v>3</v>
      </c>
      <c r="H7" s="208">
        <v>4</v>
      </c>
      <c r="I7" s="208">
        <v>5</v>
      </c>
      <c r="J7" s="208">
        <v>6</v>
      </c>
      <c r="K7" s="208">
        <v>7</v>
      </c>
      <c r="L7" s="208">
        <v>8</v>
      </c>
      <c r="M7" s="210">
        <v>9</v>
      </c>
      <c r="N7" s="208">
        <v>10</v>
      </c>
      <c r="O7" s="208">
        <v>11</v>
      </c>
      <c r="P7" s="208">
        <v>12</v>
      </c>
      <c r="Q7" s="210">
        <v>13</v>
      </c>
      <c r="R7" s="208">
        <v>14</v>
      </c>
      <c r="S7" s="208">
        <v>15</v>
      </c>
      <c r="T7" s="210">
        <v>16</v>
      </c>
      <c r="U7" s="387"/>
      <c r="V7" s="387"/>
      <c r="W7" s="387"/>
      <c r="X7" s="387"/>
      <c r="Y7" s="387"/>
    </row>
    <row r="8" spans="1:25" ht="15" customHeight="1" thickBot="1" x14ac:dyDescent="0.3">
      <c r="A8" s="561" t="str">
        <f>Итоговая!C79</f>
        <v xml:space="preserve">ПС 35/6 кВ Бельский Карьер </v>
      </c>
      <c r="B8" s="563">
        <f>Итоговая!D79</f>
        <v>4</v>
      </c>
      <c r="C8" s="552"/>
      <c r="D8" s="552"/>
      <c r="E8" s="552"/>
      <c r="F8" s="555"/>
      <c r="G8" s="215"/>
      <c r="H8" s="215"/>
      <c r="I8" s="215"/>
      <c r="J8" s="215"/>
      <c r="K8" s="216"/>
      <c r="L8" s="215"/>
      <c r="M8" s="264"/>
      <c r="N8" s="215"/>
      <c r="O8" s="215"/>
      <c r="P8" s="215"/>
      <c r="Q8" s="858"/>
      <c r="R8" s="215"/>
      <c r="S8" s="215"/>
      <c r="T8" s="559"/>
      <c r="U8" s="387"/>
      <c r="V8" s="387"/>
      <c r="W8" s="387"/>
      <c r="X8" s="387"/>
      <c r="Y8" s="387"/>
    </row>
    <row r="9" spans="1:25" ht="15" customHeight="1" x14ac:dyDescent="0.25">
      <c r="A9" s="729"/>
      <c r="B9" s="720"/>
      <c r="C9" s="721"/>
      <c r="D9" s="721"/>
      <c r="E9" s="721"/>
      <c r="F9" s="722"/>
      <c r="G9" s="992" t="s">
        <v>18518</v>
      </c>
      <c r="H9" s="1063"/>
      <c r="I9" s="1063"/>
      <c r="J9" s="1063"/>
      <c r="K9" s="1063"/>
      <c r="L9" s="1063"/>
      <c r="M9" s="1063"/>
      <c r="N9" s="724"/>
      <c r="O9" s="724"/>
      <c r="P9" s="724"/>
      <c r="Q9" s="857"/>
      <c r="R9" s="724"/>
      <c r="S9" s="724"/>
      <c r="T9" s="446"/>
      <c r="U9" s="387"/>
      <c r="V9" s="387"/>
      <c r="W9" s="387"/>
      <c r="X9" s="387"/>
      <c r="Y9" s="387"/>
    </row>
    <row r="10" spans="1:25" ht="15" customHeight="1" x14ac:dyDescent="0.25">
      <c r="A10" s="729"/>
      <c r="B10" s="720"/>
      <c r="C10" s="721"/>
      <c r="D10" s="721"/>
      <c r="E10" s="721"/>
      <c r="F10" s="722"/>
      <c r="G10" s="1065" t="s">
        <v>2262</v>
      </c>
      <c r="H10" s="1065"/>
      <c r="I10" s="1065"/>
      <c r="J10" s="994">
        <f>0.003*0.9</f>
        <v>2.7000000000000001E-3</v>
      </c>
      <c r="K10" s="995"/>
      <c r="L10" s="716"/>
      <c r="M10" s="718"/>
      <c r="N10" s="724"/>
      <c r="O10" s="724"/>
      <c r="P10" s="724"/>
      <c r="Q10" s="857"/>
      <c r="R10" s="724"/>
      <c r="S10" s="724"/>
      <c r="T10" s="446"/>
      <c r="U10" s="387"/>
      <c r="V10" s="387"/>
      <c r="W10" s="387"/>
      <c r="X10" s="387"/>
      <c r="Y10" s="387"/>
    </row>
    <row r="11" spans="1:25" ht="15" customHeight="1" thickBot="1" x14ac:dyDescent="0.3">
      <c r="A11" s="346"/>
      <c r="B11" s="243"/>
      <c r="C11" s="244"/>
      <c r="D11" s="244"/>
      <c r="E11" s="244"/>
      <c r="F11" s="245"/>
      <c r="G11" s="1032" t="s">
        <v>1199</v>
      </c>
      <c r="H11" s="1032"/>
      <c r="I11" s="1032"/>
      <c r="J11" s="542"/>
      <c r="K11" s="247">
        <f>SUM(K8:K8)</f>
        <v>0</v>
      </c>
      <c r="L11" s="542">
        <v>0.92</v>
      </c>
      <c r="M11" s="247">
        <f>K11/L11</f>
        <v>0</v>
      </c>
      <c r="N11" s="1032" t="s">
        <v>1199</v>
      </c>
      <c r="O11" s="1032"/>
      <c r="P11" s="1032"/>
      <c r="Q11" s="863"/>
      <c r="R11" s="435">
        <f>SUM(R8:R8)</f>
        <v>0</v>
      </c>
      <c r="S11" s="542">
        <v>0.92</v>
      </c>
      <c r="T11" s="436">
        <f>R11/S11</f>
        <v>0</v>
      </c>
      <c r="U11" s="387"/>
      <c r="V11" s="387"/>
      <c r="W11" s="387"/>
      <c r="X11" s="387"/>
      <c r="Y11" s="387"/>
    </row>
    <row r="12" spans="1:25" ht="15" customHeight="1" x14ac:dyDescent="0.25">
      <c r="A12" s="561" t="str">
        <f>Итоговая!C80</f>
        <v xml:space="preserve">ПС 35/10 кВ Дубровка </v>
      </c>
      <c r="B12" s="563">
        <f>Итоговая!D80</f>
        <v>1.6</v>
      </c>
      <c r="C12" s="552"/>
      <c r="D12" s="552"/>
      <c r="E12" s="552"/>
      <c r="F12" s="555"/>
      <c r="G12" s="992" t="s">
        <v>18518</v>
      </c>
      <c r="H12" s="1063"/>
      <c r="I12" s="1063"/>
      <c r="J12" s="1063"/>
      <c r="K12" s="1063"/>
      <c r="L12" s="1063"/>
      <c r="M12" s="1063"/>
      <c r="N12" s="437"/>
      <c r="O12" s="437"/>
      <c r="P12" s="437"/>
      <c r="Q12" s="864"/>
      <c r="R12" s="437"/>
      <c r="S12" s="437"/>
      <c r="T12" s="438"/>
      <c r="U12" s="387"/>
      <c r="V12" s="387"/>
      <c r="W12" s="387"/>
      <c r="X12" s="387"/>
      <c r="Y12" s="387"/>
    </row>
    <row r="13" spans="1:25" ht="15" customHeight="1" x14ac:dyDescent="0.25">
      <c r="A13" s="729"/>
      <c r="B13" s="720"/>
      <c r="C13" s="721"/>
      <c r="D13" s="721"/>
      <c r="E13" s="721"/>
      <c r="F13" s="722"/>
      <c r="G13" s="1065" t="s">
        <v>2262</v>
      </c>
      <c r="H13" s="1065"/>
      <c r="I13" s="1065"/>
      <c r="J13" s="994">
        <f>0.02*0.9</f>
        <v>1.8000000000000002E-2</v>
      </c>
      <c r="K13" s="995"/>
      <c r="L13" s="716"/>
      <c r="M13" s="718"/>
      <c r="N13" s="762"/>
      <c r="O13" s="762"/>
      <c r="P13" s="762"/>
      <c r="Q13" s="865"/>
      <c r="R13" s="762"/>
      <c r="S13" s="762"/>
      <c r="T13" s="763"/>
      <c r="U13" s="387"/>
      <c r="V13" s="387"/>
      <c r="W13" s="387"/>
      <c r="X13" s="387"/>
      <c r="Y13" s="387"/>
    </row>
    <row r="14" spans="1:25" ht="15" customHeight="1" thickBot="1" x14ac:dyDescent="0.3">
      <c r="A14" s="346"/>
      <c r="B14" s="243"/>
      <c r="C14" s="244"/>
      <c r="D14" s="244"/>
      <c r="E14" s="244"/>
      <c r="F14" s="245"/>
      <c r="G14" s="1032" t="s">
        <v>1199</v>
      </c>
      <c r="H14" s="1032"/>
      <c r="I14" s="1032"/>
      <c r="J14" s="542"/>
      <c r="K14" s="247">
        <f>SUM(J13)</f>
        <v>1.8000000000000002E-2</v>
      </c>
      <c r="L14" s="542">
        <v>0.92</v>
      </c>
      <c r="M14" s="247">
        <f>K14/L14</f>
        <v>1.9565217391304349E-2</v>
      </c>
      <c r="N14" s="1032" t="s">
        <v>1199</v>
      </c>
      <c r="O14" s="1032"/>
      <c r="P14" s="1032"/>
      <c r="Q14" s="863"/>
      <c r="R14" s="435">
        <f>SUM(R12:R12)</f>
        <v>0</v>
      </c>
      <c r="S14" s="542">
        <v>0.92</v>
      </c>
      <c r="T14" s="436">
        <f>R14/S14</f>
        <v>0</v>
      </c>
      <c r="U14" s="387"/>
      <c r="V14" s="387"/>
      <c r="W14" s="387"/>
      <c r="X14" s="387"/>
      <c r="Y14" s="387"/>
    </row>
    <row r="15" spans="1:25" ht="15" customHeight="1" x14ac:dyDescent="0.25">
      <c r="A15" s="561" t="str">
        <f>Итоговая!C81</f>
        <v xml:space="preserve">ПС 35/10 кВ Жилотково </v>
      </c>
      <c r="B15" s="563">
        <f>Итоговая!D81</f>
        <v>1.8</v>
      </c>
      <c r="C15" s="552"/>
      <c r="D15" s="552"/>
      <c r="E15" s="552"/>
      <c r="F15" s="555"/>
      <c r="G15" s="992" t="s">
        <v>2011</v>
      </c>
      <c r="H15" s="1063"/>
      <c r="I15" s="1063"/>
      <c r="J15" s="1063"/>
      <c r="K15" s="1063"/>
      <c r="L15" s="1063"/>
      <c r="M15" s="1063"/>
      <c r="N15" s="215"/>
      <c r="O15" s="215"/>
      <c r="P15" s="215"/>
      <c r="Q15" s="858"/>
      <c r="R15" s="215"/>
      <c r="S15" s="215"/>
      <c r="T15" s="559"/>
      <c r="U15" s="387"/>
      <c r="V15" s="387"/>
      <c r="W15" s="387"/>
      <c r="X15" s="387"/>
      <c r="Y15" s="387"/>
    </row>
    <row r="16" spans="1:25" ht="15" customHeight="1" thickBot="1" x14ac:dyDescent="0.3">
      <c r="A16" s="562"/>
      <c r="B16" s="564"/>
      <c r="C16" s="553"/>
      <c r="D16" s="553"/>
      <c r="E16" s="553"/>
      <c r="F16" s="556"/>
      <c r="G16" s="543" t="s">
        <v>2029</v>
      </c>
      <c r="H16" s="543" t="s">
        <v>2125</v>
      </c>
      <c r="I16" s="543" t="s">
        <v>2131</v>
      </c>
      <c r="J16" s="543"/>
      <c r="K16" s="205">
        <f>0.25*0.9</f>
        <v>0.22500000000000001</v>
      </c>
      <c r="L16" s="543"/>
      <c r="M16" s="519"/>
      <c r="N16" s="543"/>
      <c r="O16" s="543"/>
      <c r="P16" s="543"/>
      <c r="Q16" s="857"/>
      <c r="R16" s="543"/>
      <c r="S16" s="543"/>
      <c r="T16" s="560"/>
      <c r="U16" s="387"/>
      <c r="V16" s="387"/>
      <c r="W16" s="387"/>
      <c r="X16" s="387"/>
      <c r="Y16" s="387"/>
    </row>
    <row r="17" spans="1:25" ht="15" customHeight="1" x14ac:dyDescent="0.25">
      <c r="A17" s="562"/>
      <c r="B17" s="564"/>
      <c r="C17" s="553"/>
      <c r="D17" s="553"/>
      <c r="E17" s="553"/>
      <c r="F17" s="556"/>
      <c r="G17" s="992" t="s">
        <v>18518</v>
      </c>
      <c r="H17" s="1063"/>
      <c r="I17" s="1063"/>
      <c r="J17" s="1063"/>
      <c r="K17" s="1063"/>
      <c r="L17" s="1063"/>
      <c r="M17" s="1063"/>
      <c r="N17" s="557"/>
      <c r="O17" s="557"/>
      <c r="P17" s="557"/>
      <c r="Q17" s="859"/>
      <c r="R17" s="557"/>
      <c r="S17" s="557"/>
      <c r="T17" s="439"/>
      <c r="U17" s="387"/>
      <c r="V17" s="387"/>
      <c r="W17" s="387"/>
      <c r="X17" s="387"/>
      <c r="Y17" s="387"/>
    </row>
    <row r="18" spans="1:25" ht="15" customHeight="1" x14ac:dyDescent="0.25">
      <c r="A18" s="562"/>
      <c r="B18" s="564"/>
      <c r="C18" s="553"/>
      <c r="D18" s="553"/>
      <c r="E18" s="553"/>
      <c r="F18" s="556"/>
      <c r="G18" s="1065" t="s">
        <v>2262</v>
      </c>
      <c r="H18" s="1065"/>
      <c r="I18" s="1065"/>
      <c r="J18" s="994">
        <f>0.003*0.9</f>
        <v>2.7000000000000001E-3</v>
      </c>
      <c r="K18" s="995"/>
      <c r="L18" s="557"/>
      <c r="M18" s="594"/>
      <c r="N18" s="557"/>
      <c r="O18" s="557"/>
      <c r="P18" s="557"/>
      <c r="Q18" s="859"/>
      <c r="R18" s="557"/>
      <c r="S18" s="557"/>
      <c r="T18" s="439"/>
      <c r="U18" s="387"/>
      <c r="V18" s="387"/>
      <c r="W18" s="387"/>
      <c r="X18" s="387"/>
      <c r="Y18" s="387"/>
    </row>
    <row r="19" spans="1:25" ht="15" customHeight="1" thickBot="1" x14ac:dyDescent="0.3">
      <c r="A19" s="346"/>
      <c r="B19" s="243"/>
      <c r="C19" s="244"/>
      <c r="D19" s="244"/>
      <c r="E19" s="244"/>
      <c r="F19" s="245"/>
      <c r="G19" s="1032" t="s">
        <v>1199</v>
      </c>
      <c r="H19" s="1032"/>
      <c r="I19" s="1032"/>
      <c r="J19" s="542"/>
      <c r="K19" s="247">
        <f>SUM(J18)</f>
        <v>2.7000000000000001E-3</v>
      </c>
      <c r="L19" s="542">
        <v>0.92</v>
      </c>
      <c r="M19" s="247">
        <f>K19/L19</f>
        <v>2.9347826086956524E-3</v>
      </c>
      <c r="N19" s="1032" t="s">
        <v>1199</v>
      </c>
      <c r="O19" s="1032"/>
      <c r="P19" s="1032"/>
      <c r="Q19" s="863"/>
      <c r="R19" s="435">
        <f>SUM(R15:R15)</f>
        <v>0</v>
      </c>
      <c r="S19" s="542">
        <v>0.92</v>
      </c>
      <c r="T19" s="436">
        <f>R19/S19</f>
        <v>0</v>
      </c>
      <c r="U19" s="387"/>
      <c r="V19" s="387"/>
      <c r="W19" s="387"/>
      <c r="X19" s="387"/>
      <c r="Y19" s="387"/>
    </row>
    <row r="20" spans="1:25" ht="15" customHeight="1" x14ac:dyDescent="0.25">
      <c r="A20" s="561" t="str">
        <f>Итоговая!C82</f>
        <v xml:space="preserve">ПС 35/10 кВ Копачево </v>
      </c>
      <c r="B20" s="563">
        <f>Итоговая!D82</f>
        <v>1.6</v>
      </c>
      <c r="C20" s="552"/>
      <c r="D20" s="552"/>
      <c r="E20" s="552"/>
      <c r="F20" s="555"/>
      <c r="G20" s="992" t="s">
        <v>2290</v>
      </c>
      <c r="H20" s="1063"/>
      <c r="I20" s="1063"/>
      <c r="J20" s="1063"/>
      <c r="K20" s="1063"/>
      <c r="L20" s="1063"/>
      <c r="M20" s="1063"/>
      <c r="N20" s="215"/>
      <c r="O20" s="215"/>
      <c r="P20" s="215"/>
      <c r="Q20" s="858"/>
      <c r="R20" s="215"/>
      <c r="S20" s="215"/>
      <c r="T20" s="559"/>
      <c r="U20" s="387"/>
      <c r="V20" s="387"/>
      <c r="W20" s="387"/>
      <c r="X20" s="387"/>
      <c r="Y20" s="387"/>
    </row>
    <row r="21" spans="1:25" ht="15" customHeight="1" x14ac:dyDescent="0.25">
      <c r="A21" s="562"/>
      <c r="B21" s="564"/>
      <c r="C21" s="553"/>
      <c r="D21" s="553"/>
      <c r="E21" s="553"/>
      <c r="F21" s="556"/>
      <c r="G21" s="543" t="s">
        <v>2311</v>
      </c>
      <c r="H21" s="543" t="s">
        <v>2312</v>
      </c>
      <c r="I21" s="543" t="s">
        <v>13391</v>
      </c>
      <c r="J21" s="543"/>
      <c r="K21" s="205">
        <f>(0.09-0.005)*0.75</f>
        <v>6.3750000000000001E-2</v>
      </c>
      <c r="L21" s="543"/>
      <c r="M21" s="519"/>
      <c r="N21" s="543"/>
      <c r="O21" s="543"/>
      <c r="P21" s="543"/>
      <c r="Q21" s="857"/>
      <c r="R21" s="543"/>
      <c r="S21" s="543"/>
      <c r="T21" s="560"/>
      <c r="U21" s="387"/>
      <c r="V21" s="387"/>
      <c r="W21" s="387"/>
      <c r="X21" s="387"/>
      <c r="Y21" s="387"/>
    </row>
    <row r="22" spans="1:25" ht="15" customHeight="1" x14ac:dyDescent="0.25">
      <c r="A22" s="562"/>
      <c r="B22" s="564"/>
      <c r="C22" s="553"/>
      <c r="D22" s="553"/>
      <c r="E22" s="553"/>
      <c r="F22" s="556"/>
      <c r="G22" s="996" t="s">
        <v>18518</v>
      </c>
      <c r="H22" s="1064"/>
      <c r="I22" s="1064"/>
      <c r="J22" s="1064"/>
      <c r="K22" s="1064"/>
      <c r="L22" s="1064"/>
      <c r="M22" s="1064"/>
      <c r="N22" s="557"/>
      <c r="O22" s="557"/>
      <c r="P22" s="557"/>
      <c r="Q22" s="859"/>
      <c r="R22" s="557"/>
      <c r="S22" s="557"/>
      <c r="T22" s="439"/>
      <c r="U22" s="387"/>
      <c r="V22" s="387"/>
      <c r="W22" s="387"/>
      <c r="X22" s="387"/>
      <c r="Y22" s="387"/>
    </row>
    <row r="23" spans="1:25" ht="15" customHeight="1" x14ac:dyDescent="0.25">
      <c r="A23" s="562"/>
      <c r="B23" s="564"/>
      <c r="C23" s="553"/>
      <c r="D23" s="553"/>
      <c r="E23" s="553"/>
      <c r="F23" s="556"/>
      <c r="G23" s="1065" t="s">
        <v>2262</v>
      </c>
      <c r="H23" s="1065"/>
      <c r="I23" s="1065"/>
      <c r="J23" s="994">
        <f>0.042*0.9*0.6</f>
        <v>2.2679999999999999E-2</v>
      </c>
      <c r="K23" s="995"/>
      <c r="L23" s="557"/>
      <c r="M23" s="594"/>
      <c r="N23" s="557"/>
      <c r="O23" s="557"/>
      <c r="P23" s="557"/>
      <c r="Q23" s="859"/>
      <c r="R23" s="557"/>
      <c r="S23" s="557"/>
      <c r="T23" s="439"/>
      <c r="U23" s="387"/>
      <c r="V23" s="387"/>
      <c r="W23" s="387"/>
      <c r="X23" s="387"/>
      <c r="Y23" s="387"/>
    </row>
    <row r="24" spans="1:25" ht="15" customHeight="1" thickBot="1" x14ac:dyDescent="0.3">
      <c r="A24" s="562"/>
      <c r="B24" s="564"/>
      <c r="C24" s="553"/>
      <c r="D24" s="553"/>
      <c r="E24" s="553"/>
      <c r="F24" s="556"/>
      <c r="G24" s="1007" t="s">
        <v>1199</v>
      </c>
      <c r="H24" s="1007"/>
      <c r="I24" s="1007"/>
      <c r="J24" s="557"/>
      <c r="K24" s="231">
        <f>SUM(J23)</f>
        <v>2.2679999999999999E-2</v>
      </c>
      <c r="L24" s="557">
        <v>0.92</v>
      </c>
      <c r="M24" s="231">
        <f>K24/L24</f>
        <v>2.4652173913043477E-2</v>
      </c>
      <c r="N24" s="1007" t="s">
        <v>1199</v>
      </c>
      <c r="O24" s="1007"/>
      <c r="P24" s="1007"/>
      <c r="Q24" s="859"/>
      <c r="R24" s="440">
        <f>SUM(R20:R20)</f>
        <v>0</v>
      </c>
      <c r="S24" s="557">
        <v>0.92</v>
      </c>
      <c r="T24" s="441">
        <f>R24/S24</f>
        <v>0</v>
      </c>
      <c r="U24" s="387"/>
      <c r="V24" s="387"/>
      <c r="W24" s="387"/>
      <c r="X24" s="387"/>
      <c r="Y24" s="387"/>
    </row>
    <row r="25" spans="1:25" ht="15" customHeight="1" x14ac:dyDescent="0.25">
      <c r="A25" s="1070" t="str">
        <f>Итоговая!C83</f>
        <v xml:space="preserve">ПС 35/10 кВ Кузнецово </v>
      </c>
      <c r="B25" s="1085">
        <f>Итоговая!D83</f>
        <v>1.6</v>
      </c>
      <c r="C25" s="1086"/>
      <c r="D25" s="1086"/>
      <c r="E25" s="1086"/>
      <c r="F25" s="1087"/>
      <c r="G25" s="992" t="s">
        <v>1645</v>
      </c>
      <c r="H25" s="1063"/>
      <c r="I25" s="1063"/>
      <c r="J25" s="1063"/>
      <c r="K25" s="1063"/>
      <c r="L25" s="1063"/>
      <c r="M25" s="1063"/>
      <c r="N25" s="421"/>
      <c r="O25" s="421"/>
      <c r="P25" s="421"/>
      <c r="Q25" s="444"/>
      <c r="R25" s="421"/>
      <c r="S25" s="421"/>
      <c r="T25" s="442"/>
      <c r="U25" s="387"/>
      <c r="V25" s="387"/>
      <c r="W25" s="387"/>
      <c r="X25" s="387"/>
      <c r="Y25" s="387"/>
    </row>
    <row r="26" spans="1:25" ht="15" customHeight="1" x14ac:dyDescent="0.25">
      <c r="A26" s="1071"/>
      <c r="B26" s="1088"/>
      <c r="C26" s="1089"/>
      <c r="D26" s="1089"/>
      <c r="E26" s="1089"/>
      <c r="F26" s="1090"/>
      <c r="G26" s="543" t="s">
        <v>1849</v>
      </c>
      <c r="H26" s="543" t="s">
        <v>1850</v>
      </c>
      <c r="I26" s="543" t="s">
        <v>1867</v>
      </c>
      <c r="J26" s="543"/>
      <c r="K26" s="205">
        <v>0.05</v>
      </c>
      <c r="L26" s="543"/>
      <c r="M26" s="519"/>
      <c r="N26" s="283"/>
      <c r="O26" s="283"/>
      <c r="P26" s="283"/>
      <c r="Q26" s="272"/>
      <c r="R26" s="283"/>
      <c r="S26" s="283"/>
      <c r="T26" s="284"/>
      <c r="U26" s="387"/>
      <c r="V26" s="387"/>
      <c r="W26" s="387"/>
      <c r="X26" s="387"/>
      <c r="Y26" s="387"/>
    </row>
    <row r="27" spans="1:25" ht="15" customHeight="1" x14ac:dyDescent="0.25">
      <c r="A27" s="562"/>
      <c r="B27" s="564"/>
      <c r="C27" s="553"/>
      <c r="D27" s="553"/>
      <c r="E27" s="553"/>
      <c r="F27" s="556"/>
      <c r="G27" s="996" t="s">
        <v>14933</v>
      </c>
      <c r="H27" s="1064"/>
      <c r="I27" s="1064"/>
      <c r="J27" s="1064"/>
      <c r="K27" s="1064"/>
      <c r="L27" s="1064"/>
      <c r="M27" s="1064"/>
      <c r="N27" s="283"/>
      <c r="O27" s="283"/>
      <c r="P27" s="283"/>
      <c r="Q27" s="272"/>
      <c r="R27" s="283"/>
      <c r="S27" s="283"/>
      <c r="T27" s="284"/>
      <c r="U27" s="387"/>
      <c r="V27" s="387"/>
      <c r="W27" s="387"/>
      <c r="X27" s="387"/>
      <c r="Y27" s="387"/>
    </row>
    <row r="28" spans="1:25" ht="15" customHeight="1" x14ac:dyDescent="0.25">
      <c r="A28" s="562"/>
      <c r="B28" s="564"/>
      <c r="C28" s="553"/>
      <c r="D28" s="553"/>
      <c r="E28" s="553"/>
      <c r="F28" s="556"/>
      <c r="G28" s="543" t="s">
        <v>1849</v>
      </c>
      <c r="H28" s="543" t="s">
        <v>14904</v>
      </c>
      <c r="I28" s="543" t="s">
        <v>14938</v>
      </c>
      <c r="J28" s="543"/>
      <c r="K28" s="205">
        <f>0.2*0.75</f>
        <v>0.15000000000000002</v>
      </c>
      <c r="L28" s="543"/>
      <c r="M28" s="519"/>
      <c r="N28" s="283"/>
      <c r="O28" s="283"/>
      <c r="P28" s="283"/>
      <c r="Q28" s="272"/>
      <c r="R28" s="283"/>
      <c r="S28" s="283"/>
      <c r="T28" s="284"/>
      <c r="U28" s="387"/>
      <c r="V28" s="387"/>
      <c r="W28" s="387"/>
      <c r="X28" s="387"/>
      <c r="Y28" s="387"/>
    </row>
    <row r="29" spans="1:25" ht="15" customHeight="1" thickBot="1" x14ac:dyDescent="0.3">
      <c r="A29" s="346"/>
      <c r="B29" s="243"/>
      <c r="C29" s="244"/>
      <c r="D29" s="244"/>
      <c r="E29" s="244"/>
      <c r="F29" s="245"/>
      <c r="G29" s="1032" t="s">
        <v>1199</v>
      </c>
      <c r="H29" s="1032"/>
      <c r="I29" s="1032"/>
      <c r="J29" s="542"/>
      <c r="K29" s="247">
        <f>SUM(J28:K28)</f>
        <v>0.15000000000000002</v>
      </c>
      <c r="L29" s="542">
        <v>0.92</v>
      </c>
      <c r="M29" s="247">
        <f>K29/L29</f>
        <v>0.1630434782608696</v>
      </c>
      <c r="N29" s="1032" t="s">
        <v>1199</v>
      </c>
      <c r="O29" s="1032"/>
      <c r="P29" s="1032"/>
      <c r="Q29" s="863"/>
      <c r="R29" s="435">
        <f>SUM(R26:R26)</f>
        <v>0</v>
      </c>
      <c r="S29" s="542">
        <v>0.92</v>
      </c>
      <c r="T29" s="436">
        <f>R29/S29</f>
        <v>0</v>
      </c>
      <c r="U29" s="387"/>
      <c r="V29" s="387"/>
      <c r="W29" s="387"/>
      <c r="X29" s="387"/>
      <c r="Y29" s="387"/>
    </row>
    <row r="30" spans="1:25" ht="15" customHeight="1" x14ac:dyDescent="0.25">
      <c r="A30" s="561" t="str">
        <f>Итоговая!C84</f>
        <v xml:space="preserve">ПС 35/10 кВ Лужниково </v>
      </c>
      <c r="B30" s="563">
        <f>Итоговая!D84</f>
        <v>2.5</v>
      </c>
      <c r="C30" s="552"/>
      <c r="D30" s="552"/>
      <c r="E30" s="552"/>
      <c r="F30" s="555"/>
      <c r="G30" s="215"/>
      <c r="H30" s="215"/>
      <c r="I30" s="215"/>
      <c r="J30" s="215"/>
      <c r="K30" s="216"/>
      <c r="L30" s="215"/>
      <c r="M30" s="264"/>
      <c r="N30" s="215"/>
      <c r="O30" s="215"/>
      <c r="P30" s="215"/>
      <c r="Q30" s="858"/>
      <c r="R30" s="215"/>
      <c r="S30" s="215"/>
      <c r="T30" s="559"/>
      <c r="U30" s="387"/>
      <c r="V30" s="387"/>
      <c r="W30" s="387"/>
      <c r="X30" s="387"/>
      <c r="Y30" s="387"/>
    </row>
    <row r="31" spans="1:25" ht="15" customHeight="1" thickBot="1" x14ac:dyDescent="0.3">
      <c r="A31" s="346"/>
      <c r="B31" s="243"/>
      <c r="C31" s="244"/>
      <c r="D31" s="244"/>
      <c r="E31" s="244"/>
      <c r="F31" s="245"/>
      <c r="G31" s="1032" t="s">
        <v>1199</v>
      </c>
      <c r="H31" s="1032"/>
      <c r="I31" s="1032"/>
      <c r="J31" s="542"/>
      <c r="K31" s="247">
        <f>SUM(K30:K30)</f>
        <v>0</v>
      </c>
      <c r="L31" s="542">
        <v>0.92</v>
      </c>
      <c r="M31" s="247">
        <f>K31/L31</f>
        <v>0</v>
      </c>
      <c r="N31" s="1032" t="s">
        <v>1199</v>
      </c>
      <c r="O31" s="1032"/>
      <c r="P31" s="1032"/>
      <c r="Q31" s="863"/>
      <c r="R31" s="435">
        <f>SUM(R30:R30)</f>
        <v>0</v>
      </c>
      <c r="S31" s="542">
        <v>0.92</v>
      </c>
      <c r="T31" s="436">
        <f>R31/S31</f>
        <v>0</v>
      </c>
      <c r="U31" s="387"/>
      <c r="V31" s="387"/>
      <c r="W31" s="387"/>
      <c r="X31" s="387"/>
      <c r="Y31" s="387"/>
    </row>
    <row r="32" spans="1:25" ht="15" customHeight="1" x14ac:dyDescent="0.25">
      <c r="A32" s="561" t="str">
        <f>Итоговая!C85</f>
        <v xml:space="preserve">ПС 35/10 кВ Насакино  </v>
      </c>
      <c r="B32" s="563">
        <f>Итоговая!D85</f>
        <v>2.5</v>
      </c>
      <c r="C32" s="552"/>
      <c r="D32" s="552"/>
      <c r="E32" s="552"/>
      <c r="F32" s="555"/>
      <c r="G32" s="992" t="s">
        <v>14933</v>
      </c>
      <c r="H32" s="1063"/>
      <c r="I32" s="1063"/>
      <c r="J32" s="1063"/>
      <c r="K32" s="1063"/>
      <c r="L32" s="1063"/>
      <c r="M32" s="1063"/>
      <c r="N32" s="215"/>
      <c r="O32" s="215"/>
      <c r="P32" s="215"/>
      <c r="Q32" s="858"/>
      <c r="R32" s="215"/>
      <c r="S32" s="215"/>
      <c r="T32" s="559"/>
      <c r="U32" s="387"/>
      <c r="V32" s="387"/>
      <c r="W32" s="387"/>
      <c r="X32" s="387"/>
      <c r="Y32" s="387"/>
    </row>
    <row r="33" spans="1:25" ht="15" customHeight="1" x14ac:dyDescent="0.25">
      <c r="A33" s="562"/>
      <c r="B33" s="564"/>
      <c r="C33" s="553"/>
      <c r="D33" s="553"/>
      <c r="E33" s="553"/>
      <c r="F33" s="556"/>
      <c r="G33" s="543" t="s">
        <v>18506</v>
      </c>
      <c r="H33" s="543" t="s">
        <v>18507</v>
      </c>
      <c r="I33" s="543" t="s">
        <v>18508</v>
      </c>
      <c r="J33" s="543"/>
      <c r="K33" s="205">
        <f>0.99648*0.75</f>
        <v>0.74736000000000002</v>
      </c>
      <c r="L33" s="543"/>
      <c r="M33" s="519"/>
      <c r="N33" s="543"/>
      <c r="O33" s="543"/>
      <c r="P33" s="543"/>
      <c r="Q33" s="857"/>
      <c r="R33" s="543"/>
      <c r="S33" s="543"/>
      <c r="T33" s="560"/>
      <c r="U33" s="387"/>
      <c r="V33" s="387"/>
      <c r="W33" s="387"/>
      <c r="X33" s="387"/>
      <c r="Y33" s="387"/>
    </row>
    <row r="34" spans="1:25" ht="15" customHeight="1" thickBot="1" x14ac:dyDescent="0.3">
      <c r="A34" s="346"/>
      <c r="B34" s="243"/>
      <c r="C34" s="244"/>
      <c r="D34" s="244"/>
      <c r="E34" s="244"/>
      <c r="F34" s="245"/>
      <c r="G34" s="1032" t="s">
        <v>1199</v>
      </c>
      <c r="H34" s="1032"/>
      <c r="I34" s="1032"/>
      <c r="J34" s="542"/>
      <c r="K34" s="247">
        <f>SUM(J33:K33)</f>
        <v>0.74736000000000002</v>
      </c>
      <c r="L34" s="542">
        <v>0.92</v>
      </c>
      <c r="M34" s="247">
        <f>K34/L34</f>
        <v>0.81234782608695655</v>
      </c>
      <c r="N34" s="1032" t="s">
        <v>1199</v>
      </c>
      <c r="O34" s="1032"/>
      <c r="P34" s="1032"/>
      <c r="Q34" s="863"/>
      <c r="R34" s="435">
        <f>SUM(R32:R32)</f>
        <v>0</v>
      </c>
      <c r="S34" s="542">
        <v>0.92</v>
      </c>
      <c r="T34" s="436">
        <f>R34/S34</f>
        <v>0</v>
      </c>
      <c r="U34" s="387"/>
      <c r="V34" s="387"/>
      <c r="W34" s="387"/>
      <c r="X34" s="387"/>
      <c r="Y34" s="387"/>
    </row>
    <row r="35" spans="1:25" ht="15" customHeight="1" x14ac:dyDescent="0.25">
      <c r="A35" s="561" t="str">
        <f>Итоговая!C86</f>
        <v xml:space="preserve">ПС 110/35 кВ Октябрьский Карьер </v>
      </c>
      <c r="B35" s="563">
        <f>Итоговая!D86</f>
        <v>25</v>
      </c>
      <c r="C35" s="552"/>
      <c r="D35" s="552"/>
      <c r="E35" s="552"/>
      <c r="F35" s="555"/>
      <c r="G35" s="215"/>
      <c r="H35" s="215"/>
      <c r="I35" s="215"/>
      <c r="J35" s="215"/>
      <c r="K35" s="216"/>
      <c r="L35" s="215"/>
      <c r="M35" s="264"/>
      <c r="N35" s="215"/>
      <c r="O35" s="215"/>
      <c r="P35" s="215"/>
      <c r="Q35" s="858"/>
      <c r="R35" s="215"/>
      <c r="S35" s="215"/>
      <c r="T35" s="559"/>
      <c r="U35" s="387"/>
      <c r="V35" s="387"/>
      <c r="W35" s="387"/>
      <c r="X35" s="387"/>
      <c r="Y35" s="387"/>
    </row>
    <row r="36" spans="1:25" ht="15" customHeight="1" thickBot="1" x14ac:dyDescent="0.3">
      <c r="A36" s="346"/>
      <c r="B36" s="243"/>
      <c r="C36" s="244"/>
      <c r="D36" s="244"/>
      <c r="E36" s="244"/>
      <c r="F36" s="245"/>
      <c r="G36" s="1032" t="s">
        <v>1199</v>
      </c>
      <c r="H36" s="1032"/>
      <c r="I36" s="1032"/>
      <c r="J36" s="542"/>
      <c r="K36" s="247">
        <f>SUM(K35:K35)</f>
        <v>0</v>
      </c>
      <c r="L36" s="542">
        <v>0.92</v>
      </c>
      <c r="M36" s="247">
        <f>K36/L36</f>
        <v>0</v>
      </c>
      <c r="N36" s="1032" t="s">
        <v>1199</v>
      </c>
      <c r="O36" s="1032"/>
      <c r="P36" s="1032"/>
      <c r="Q36" s="863"/>
      <c r="R36" s="435">
        <f>SUM(R35:R35)</f>
        <v>0</v>
      </c>
      <c r="S36" s="542">
        <v>0.92</v>
      </c>
      <c r="T36" s="436">
        <f>R36/S36</f>
        <v>0</v>
      </c>
      <c r="U36" s="387"/>
      <c r="V36" s="387"/>
      <c r="W36" s="387"/>
      <c r="X36" s="387"/>
      <c r="Y36" s="387"/>
    </row>
    <row r="37" spans="1:25" ht="15" customHeight="1" x14ac:dyDescent="0.25">
      <c r="A37" s="1070" t="str">
        <f>Итоговая!C87</f>
        <v xml:space="preserve">ПС 35/10 кВ Порожки </v>
      </c>
      <c r="B37" s="1072">
        <f>Итоговая!D87</f>
        <v>1</v>
      </c>
      <c r="C37" s="552"/>
      <c r="D37" s="552"/>
      <c r="E37" s="552"/>
      <c r="F37" s="555"/>
      <c r="G37" s="992" t="s">
        <v>18518</v>
      </c>
      <c r="H37" s="1063"/>
      <c r="I37" s="1063"/>
      <c r="J37" s="1063"/>
      <c r="K37" s="1063"/>
      <c r="L37" s="1063"/>
      <c r="M37" s="1063"/>
      <c r="N37" s="992" t="s">
        <v>18529</v>
      </c>
      <c r="O37" s="1063"/>
      <c r="P37" s="1063"/>
      <c r="Q37" s="1063"/>
      <c r="R37" s="1063"/>
      <c r="S37" s="1063"/>
      <c r="T37" s="1063"/>
      <c r="U37" s="387"/>
      <c r="V37" s="387"/>
      <c r="W37" s="387"/>
      <c r="X37" s="387"/>
      <c r="Y37" s="387"/>
    </row>
    <row r="38" spans="1:25" ht="15" customHeight="1" x14ac:dyDescent="0.25">
      <c r="A38" s="1071"/>
      <c r="B38" s="1023"/>
      <c r="C38" s="553"/>
      <c r="D38" s="553"/>
      <c r="E38" s="553"/>
      <c r="F38" s="556"/>
      <c r="G38" s="1065" t="s">
        <v>2262</v>
      </c>
      <c r="H38" s="1065"/>
      <c r="I38" s="1065"/>
      <c r="J38" s="994">
        <f>0.06*0.9*0.6</f>
        <v>3.2399999999999998E-2</v>
      </c>
      <c r="K38" s="995"/>
      <c r="L38" s="557"/>
      <c r="M38" s="594"/>
      <c r="N38" s="278" t="s">
        <v>1245</v>
      </c>
      <c r="O38" s="278" t="s">
        <v>1246</v>
      </c>
      <c r="P38" s="278" t="s">
        <v>1663</v>
      </c>
      <c r="Q38" s="278"/>
      <c r="R38" s="278">
        <v>2.5000000000000001E-2</v>
      </c>
      <c r="S38" s="278"/>
      <c r="T38" s="443"/>
      <c r="U38" s="387"/>
      <c r="V38" s="387"/>
      <c r="W38" s="387"/>
      <c r="X38" s="387"/>
      <c r="Y38" s="387"/>
    </row>
    <row r="39" spans="1:25" ht="15" customHeight="1" thickBot="1" x14ac:dyDescent="0.3">
      <c r="A39" s="346"/>
      <c r="B39" s="243"/>
      <c r="C39" s="244"/>
      <c r="D39" s="244"/>
      <c r="E39" s="244"/>
      <c r="F39" s="245"/>
      <c r="G39" s="1032" t="s">
        <v>1199</v>
      </c>
      <c r="H39" s="1032"/>
      <c r="I39" s="1032"/>
      <c r="J39" s="542"/>
      <c r="K39" s="247">
        <f>SUM(J38:J38)</f>
        <v>3.2399999999999998E-2</v>
      </c>
      <c r="L39" s="542">
        <v>0.92</v>
      </c>
      <c r="M39" s="247">
        <f>K39/L39</f>
        <v>3.5217391304347825E-2</v>
      </c>
      <c r="N39" s="1032" t="s">
        <v>1199</v>
      </c>
      <c r="O39" s="1032"/>
      <c r="P39" s="1032"/>
      <c r="Q39" s="863"/>
      <c r="R39" s="435">
        <f>SUM(R38:R38)</f>
        <v>2.5000000000000001E-2</v>
      </c>
      <c r="S39" s="542">
        <v>0.92</v>
      </c>
      <c r="T39" s="436">
        <f>R39/S39</f>
        <v>2.717391304347826E-2</v>
      </c>
      <c r="U39" s="387"/>
      <c r="V39" s="387"/>
      <c r="W39" s="387"/>
      <c r="X39" s="387"/>
      <c r="Y39" s="387"/>
    </row>
    <row r="40" spans="1:25" ht="15" customHeight="1" x14ac:dyDescent="0.25">
      <c r="A40" s="561" t="str">
        <f>Итоговая!C88</f>
        <v>ПС 35/6 кВ ХБК</v>
      </c>
      <c r="B40" s="563">
        <f>Итоговая!D88</f>
        <v>4</v>
      </c>
      <c r="C40" s="552"/>
      <c r="D40" s="552"/>
      <c r="E40" s="552"/>
      <c r="F40" s="555"/>
      <c r="G40" s="215"/>
      <c r="H40" s="215"/>
      <c r="I40" s="215"/>
      <c r="J40" s="215"/>
      <c r="K40" s="216"/>
      <c r="L40" s="215"/>
      <c r="M40" s="264"/>
      <c r="N40" s="215"/>
      <c r="O40" s="215"/>
      <c r="P40" s="215"/>
      <c r="Q40" s="858"/>
      <c r="R40" s="215"/>
      <c r="S40" s="215"/>
      <c r="T40" s="559"/>
      <c r="U40" s="387"/>
      <c r="V40" s="387"/>
      <c r="W40" s="387"/>
      <c r="X40" s="387"/>
      <c r="Y40" s="387"/>
    </row>
    <row r="41" spans="1:25" ht="15" customHeight="1" thickBot="1" x14ac:dyDescent="0.3">
      <c r="A41" s="346"/>
      <c r="B41" s="243"/>
      <c r="C41" s="244"/>
      <c r="D41" s="244"/>
      <c r="E41" s="244"/>
      <c r="F41" s="245"/>
      <c r="G41" s="1032" t="s">
        <v>1199</v>
      </c>
      <c r="H41" s="1032"/>
      <c r="I41" s="1032"/>
      <c r="J41" s="542"/>
      <c r="K41" s="247">
        <f>SUM(K40:K40)</f>
        <v>0</v>
      </c>
      <c r="L41" s="542">
        <v>0.92</v>
      </c>
      <c r="M41" s="247">
        <f>K41/L41</f>
        <v>0</v>
      </c>
      <c r="N41" s="1032" t="s">
        <v>1199</v>
      </c>
      <c r="O41" s="1032"/>
      <c r="P41" s="1032"/>
      <c r="Q41" s="863"/>
      <c r="R41" s="435">
        <f>SUM(R40:R40)</f>
        <v>0</v>
      </c>
      <c r="S41" s="542">
        <v>0.92</v>
      </c>
      <c r="T41" s="436">
        <f>R41/S41</f>
        <v>0</v>
      </c>
      <c r="U41" s="387"/>
      <c r="V41" s="387"/>
      <c r="W41" s="387"/>
      <c r="X41" s="387"/>
      <c r="Y41" s="387"/>
    </row>
    <row r="42" spans="1:25" ht="15" customHeight="1" x14ac:dyDescent="0.25">
      <c r="A42" s="561" t="str">
        <f>Итоговая!C89</f>
        <v xml:space="preserve">ПС 35/6 кВ №5 </v>
      </c>
      <c r="B42" s="563">
        <f>Итоговая!D89</f>
        <v>1</v>
      </c>
      <c r="C42" s="552" t="str">
        <f>Итоговая!E89</f>
        <v>+</v>
      </c>
      <c r="D42" s="552">
        <f>Итоговая!F89</f>
        <v>1.6</v>
      </c>
      <c r="E42" s="552"/>
      <c r="F42" s="555"/>
      <c r="G42" s="215"/>
      <c r="H42" s="215"/>
      <c r="I42" s="215"/>
      <c r="J42" s="215"/>
      <c r="K42" s="216"/>
      <c r="L42" s="215"/>
      <c r="M42" s="264"/>
      <c r="N42" s="215"/>
      <c r="O42" s="215"/>
      <c r="P42" s="215"/>
      <c r="Q42" s="858"/>
      <c r="R42" s="215"/>
      <c r="S42" s="215"/>
      <c r="T42" s="559"/>
      <c r="U42" s="387"/>
      <c r="V42" s="387"/>
      <c r="W42" s="387"/>
      <c r="X42" s="387"/>
      <c r="Y42" s="387"/>
    </row>
    <row r="43" spans="1:25" ht="15" customHeight="1" thickBot="1" x14ac:dyDescent="0.3">
      <c r="A43" s="346"/>
      <c r="B43" s="243"/>
      <c r="C43" s="244"/>
      <c r="D43" s="244"/>
      <c r="E43" s="244"/>
      <c r="F43" s="245"/>
      <c r="G43" s="1032" t="s">
        <v>1199</v>
      </c>
      <c r="H43" s="1032"/>
      <c r="I43" s="1032"/>
      <c r="J43" s="542"/>
      <c r="K43" s="247">
        <f>SUM(K42:K42)</f>
        <v>0</v>
      </c>
      <c r="L43" s="542">
        <v>0.92</v>
      </c>
      <c r="M43" s="247">
        <f>K43/L43</f>
        <v>0</v>
      </c>
      <c r="N43" s="1032" t="s">
        <v>1199</v>
      </c>
      <c r="O43" s="1032"/>
      <c r="P43" s="1032"/>
      <c r="Q43" s="863"/>
      <c r="R43" s="435">
        <f>SUM(R42:R42)</f>
        <v>0</v>
      </c>
      <c r="S43" s="542">
        <v>0.92</v>
      </c>
      <c r="T43" s="436">
        <f>R43/S43</f>
        <v>0</v>
      </c>
      <c r="U43" s="387"/>
      <c r="V43" s="387"/>
      <c r="W43" s="387"/>
      <c r="X43" s="387"/>
      <c r="Y43" s="387"/>
    </row>
    <row r="44" spans="1:25" ht="15" customHeight="1" x14ac:dyDescent="0.25">
      <c r="A44" s="561" t="str">
        <f>Итоговая!C90</f>
        <v xml:space="preserve">ПС 35/10 кВ 9-е Января  </v>
      </c>
      <c r="B44" s="563">
        <f>Итоговая!D90</f>
        <v>6.3</v>
      </c>
      <c r="C44" s="552" t="str">
        <f>Итоговая!E90</f>
        <v>+</v>
      </c>
      <c r="D44" s="552">
        <f>Итоговая!F90</f>
        <v>10</v>
      </c>
      <c r="E44" s="552"/>
      <c r="F44" s="555"/>
      <c r="G44" s="215"/>
      <c r="H44" s="215"/>
      <c r="I44" s="215"/>
      <c r="J44" s="215"/>
      <c r="K44" s="216"/>
      <c r="L44" s="215"/>
      <c r="M44" s="264"/>
      <c r="N44" s="215"/>
      <c r="O44" s="215"/>
      <c r="P44" s="215"/>
      <c r="Q44" s="858"/>
      <c r="R44" s="215"/>
      <c r="S44" s="215"/>
      <c r="T44" s="559"/>
      <c r="U44" s="387"/>
      <c r="V44" s="387"/>
      <c r="W44" s="387"/>
      <c r="X44" s="387"/>
      <c r="Y44" s="387"/>
    </row>
    <row r="45" spans="1:25" ht="15" customHeight="1" thickBot="1" x14ac:dyDescent="0.3">
      <c r="A45" s="346"/>
      <c r="B45" s="243"/>
      <c r="C45" s="244"/>
      <c r="D45" s="244"/>
      <c r="E45" s="244"/>
      <c r="F45" s="245"/>
      <c r="G45" s="1032" t="s">
        <v>1199</v>
      </c>
      <c r="H45" s="1032"/>
      <c r="I45" s="1032"/>
      <c r="J45" s="542"/>
      <c r="K45" s="247">
        <f>SUM(K44:K44)</f>
        <v>0</v>
      </c>
      <c r="L45" s="542">
        <v>0.92</v>
      </c>
      <c r="M45" s="247">
        <f>K45/L45</f>
        <v>0</v>
      </c>
      <c r="N45" s="1032" t="s">
        <v>1199</v>
      </c>
      <c r="O45" s="1032"/>
      <c r="P45" s="1032"/>
      <c r="Q45" s="863"/>
      <c r="R45" s="435">
        <f>SUM(R44:R44)</f>
        <v>0</v>
      </c>
      <c r="S45" s="542">
        <v>0.92</v>
      </c>
      <c r="T45" s="436">
        <f>R45/S45</f>
        <v>0</v>
      </c>
      <c r="U45" s="387"/>
      <c r="V45" s="387"/>
      <c r="W45" s="387"/>
      <c r="X45" s="387"/>
      <c r="Y45" s="387"/>
    </row>
    <row r="46" spans="1:25" ht="15" customHeight="1" x14ac:dyDescent="0.25">
      <c r="A46" s="1070" t="str">
        <f>Итоговая!C91</f>
        <v xml:space="preserve">ПС 35/6 кВ АКУ </v>
      </c>
      <c r="B46" s="1072">
        <f>Итоговая!D91</f>
        <v>3.2</v>
      </c>
      <c r="C46" s="1067" t="str">
        <f>Итоговая!E91</f>
        <v>+</v>
      </c>
      <c r="D46" s="1067">
        <f>Итоговая!F91</f>
        <v>4</v>
      </c>
      <c r="E46" s="552"/>
      <c r="F46" s="555"/>
      <c r="G46" s="992" t="s">
        <v>1324</v>
      </c>
      <c r="H46" s="1063"/>
      <c r="I46" s="1063"/>
      <c r="J46" s="1063"/>
      <c r="K46" s="1063"/>
      <c r="L46" s="1063"/>
      <c r="M46" s="1063"/>
      <c r="N46" s="444"/>
      <c r="O46" s="444"/>
      <c r="P46" s="444"/>
      <c r="Q46" s="444"/>
      <c r="R46" s="444"/>
      <c r="S46" s="444"/>
      <c r="T46" s="445"/>
      <c r="U46" s="387"/>
      <c r="V46" s="387"/>
      <c r="W46" s="387"/>
      <c r="X46" s="387"/>
      <c r="Y46" s="387"/>
    </row>
    <row r="47" spans="1:25" ht="15" customHeight="1" x14ac:dyDescent="0.25">
      <c r="A47" s="1071"/>
      <c r="B47" s="1023"/>
      <c r="C47" s="1024"/>
      <c r="D47" s="1024"/>
      <c r="E47" s="553"/>
      <c r="F47" s="556"/>
      <c r="G47" s="543" t="s">
        <v>1407</v>
      </c>
      <c r="H47" s="543" t="s">
        <v>1408</v>
      </c>
      <c r="I47" s="543" t="s">
        <v>1502</v>
      </c>
      <c r="J47" s="543"/>
      <c r="K47" s="205">
        <v>0.13500000000000001</v>
      </c>
      <c r="L47" s="205"/>
      <c r="M47" s="519"/>
      <c r="N47" s="548"/>
      <c r="O47" s="548"/>
      <c r="P47" s="548"/>
      <c r="Q47" s="857"/>
      <c r="R47" s="548"/>
      <c r="S47" s="548"/>
      <c r="T47" s="560"/>
      <c r="U47" s="387"/>
      <c r="V47" s="387"/>
      <c r="W47" s="387"/>
      <c r="X47" s="387"/>
      <c r="Y47" s="387"/>
    </row>
    <row r="48" spans="1:25" ht="15" customHeight="1" x14ac:dyDescent="0.25">
      <c r="A48" s="562"/>
      <c r="B48" s="564"/>
      <c r="C48" s="553"/>
      <c r="D48" s="553"/>
      <c r="E48" s="553"/>
      <c r="F48" s="556"/>
      <c r="G48" s="996" t="s">
        <v>18518</v>
      </c>
      <c r="H48" s="1064"/>
      <c r="I48" s="1064"/>
      <c r="J48" s="1064"/>
      <c r="K48" s="1064"/>
      <c r="L48" s="1064"/>
      <c r="M48" s="1064"/>
      <c r="N48" s="548"/>
      <c r="O48" s="548"/>
      <c r="P48" s="548"/>
      <c r="Q48" s="857"/>
      <c r="R48" s="548"/>
      <c r="S48" s="548"/>
      <c r="T48" s="560"/>
      <c r="U48" s="387"/>
      <c r="V48" s="387"/>
      <c r="W48" s="387"/>
      <c r="X48" s="387"/>
      <c r="Y48" s="387"/>
    </row>
    <row r="49" spans="1:25" ht="15" customHeight="1" x14ac:dyDescent="0.25">
      <c r="A49" s="562"/>
      <c r="B49" s="564"/>
      <c r="C49" s="553"/>
      <c r="D49" s="553"/>
      <c r="E49" s="553"/>
      <c r="F49" s="556"/>
      <c r="G49" s="1065" t="s">
        <v>2262</v>
      </c>
      <c r="H49" s="1065"/>
      <c r="I49" s="1065"/>
      <c r="J49" s="993">
        <f>0.0155*0.9*0.6</f>
        <v>8.3700000000000007E-3</v>
      </c>
      <c r="K49" s="993"/>
      <c r="L49" s="543"/>
      <c r="M49" s="519"/>
      <c r="N49" s="269"/>
      <c r="O49" s="269"/>
      <c r="P49" s="269"/>
      <c r="Q49" s="859"/>
      <c r="R49" s="269"/>
      <c r="S49" s="269"/>
      <c r="T49" s="439"/>
      <c r="U49" s="387"/>
      <c r="V49" s="387"/>
      <c r="W49" s="387"/>
      <c r="X49" s="387"/>
      <c r="Y49" s="387"/>
    </row>
    <row r="50" spans="1:25" ht="15" customHeight="1" thickBot="1" x14ac:dyDescent="0.3">
      <c r="A50" s="346"/>
      <c r="B50" s="243"/>
      <c r="C50" s="244"/>
      <c r="D50" s="244"/>
      <c r="E50" s="244"/>
      <c r="F50" s="245"/>
      <c r="G50" s="1032" t="s">
        <v>1199</v>
      </c>
      <c r="H50" s="1032"/>
      <c r="I50" s="1032"/>
      <c r="J50" s="542"/>
      <c r="K50" s="247">
        <f>SUM(J49)</f>
        <v>8.3700000000000007E-3</v>
      </c>
      <c r="L50" s="544">
        <v>0.92</v>
      </c>
      <c r="M50" s="247">
        <f>K50/L50</f>
        <v>9.0978260869565217E-3</v>
      </c>
      <c r="N50" s="1032" t="s">
        <v>1199</v>
      </c>
      <c r="O50" s="1032"/>
      <c r="P50" s="1032"/>
      <c r="Q50" s="863"/>
      <c r="R50" s="435">
        <f>SUM(R47:R47)</f>
        <v>0</v>
      </c>
      <c r="S50" s="542">
        <v>0.92</v>
      </c>
      <c r="T50" s="436">
        <f>R50/S50</f>
        <v>0</v>
      </c>
      <c r="U50" s="387"/>
      <c r="V50" s="387"/>
      <c r="W50" s="387"/>
      <c r="X50" s="387"/>
      <c r="Y50" s="387"/>
    </row>
    <row r="51" spans="1:25" ht="15" customHeight="1" x14ac:dyDescent="0.25">
      <c r="A51" s="561" t="str">
        <f>Итоговая!C92</f>
        <v xml:space="preserve">ПС 35/6 кВ Афанасово </v>
      </c>
      <c r="B51" s="563">
        <f>Итоговая!D92</f>
        <v>1.6</v>
      </c>
      <c r="C51" s="552" t="str">
        <f>Итоговая!E92</f>
        <v>+</v>
      </c>
      <c r="D51" s="552">
        <f>Итоговая!F92</f>
        <v>1.8</v>
      </c>
      <c r="E51" s="552"/>
      <c r="F51" s="555"/>
      <c r="G51" s="992" t="s">
        <v>18518</v>
      </c>
      <c r="H51" s="1063"/>
      <c r="I51" s="1063"/>
      <c r="J51" s="1063"/>
      <c r="K51" s="1063"/>
      <c r="L51" s="1063"/>
      <c r="M51" s="1063"/>
      <c r="N51" s="215"/>
      <c r="O51" s="215"/>
      <c r="P51" s="215"/>
      <c r="Q51" s="858"/>
      <c r="R51" s="215"/>
      <c r="S51" s="215"/>
      <c r="T51" s="559"/>
      <c r="U51" s="387"/>
      <c r="V51" s="387"/>
      <c r="W51" s="387"/>
      <c r="X51" s="387"/>
      <c r="Y51" s="387"/>
    </row>
    <row r="52" spans="1:25" ht="15" customHeight="1" x14ac:dyDescent="0.25">
      <c r="A52" s="562"/>
      <c r="B52" s="564"/>
      <c r="C52" s="553"/>
      <c r="D52" s="553"/>
      <c r="E52" s="553"/>
      <c r="F52" s="556"/>
      <c r="G52" s="1065" t="s">
        <v>2262</v>
      </c>
      <c r="H52" s="1065"/>
      <c r="I52" s="1065"/>
      <c r="J52" s="994">
        <f>0.066*0.9*0.6</f>
        <v>3.5639999999999998E-2</v>
      </c>
      <c r="K52" s="995"/>
      <c r="L52" s="557"/>
      <c r="M52" s="594"/>
      <c r="N52" s="223"/>
      <c r="O52" s="223"/>
      <c r="P52" s="223"/>
      <c r="Q52" s="276"/>
      <c r="R52" s="223"/>
      <c r="S52" s="223"/>
      <c r="T52" s="446"/>
      <c r="U52" s="387"/>
      <c r="V52" s="387"/>
      <c r="W52" s="387"/>
      <c r="X52" s="387"/>
      <c r="Y52" s="387"/>
    </row>
    <row r="53" spans="1:25" ht="15" customHeight="1" thickBot="1" x14ac:dyDescent="0.3">
      <c r="A53" s="346"/>
      <c r="B53" s="243"/>
      <c r="C53" s="244"/>
      <c r="D53" s="244"/>
      <c r="E53" s="244"/>
      <c r="F53" s="245"/>
      <c r="G53" s="1032" t="s">
        <v>1199</v>
      </c>
      <c r="H53" s="1032"/>
      <c r="I53" s="1032"/>
      <c r="J53" s="542"/>
      <c r="K53" s="247">
        <f>SUM(J52)</f>
        <v>3.5639999999999998E-2</v>
      </c>
      <c r="L53" s="542">
        <v>0.92</v>
      </c>
      <c r="M53" s="247">
        <f>K53/L53</f>
        <v>3.8739130434782602E-2</v>
      </c>
      <c r="N53" s="1032" t="s">
        <v>1199</v>
      </c>
      <c r="O53" s="1032"/>
      <c r="P53" s="1032"/>
      <c r="Q53" s="863"/>
      <c r="R53" s="435">
        <f>SUM(R51:R51)</f>
        <v>0</v>
      </c>
      <c r="S53" s="542">
        <v>0.92</v>
      </c>
      <c r="T53" s="436">
        <f>R53/S53</f>
        <v>0</v>
      </c>
      <c r="U53" s="387"/>
      <c r="V53" s="387"/>
      <c r="W53" s="387"/>
      <c r="X53" s="387"/>
      <c r="Y53" s="387"/>
    </row>
    <row r="54" spans="1:25" ht="15" customHeight="1" x14ac:dyDescent="0.25">
      <c r="A54" s="561" t="str">
        <f>Итоговая!C93</f>
        <v xml:space="preserve">ПС 110/6 кВ Б-4 </v>
      </c>
      <c r="B54" s="563">
        <f>Итоговая!D93</f>
        <v>10</v>
      </c>
      <c r="C54" s="552" t="str">
        <f>Итоговая!E93</f>
        <v>+</v>
      </c>
      <c r="D54" s="552">
        <f>Итоговая!F93</f>
        <v>10</v>
      </c>
      <c r="E54" s="552"/>
      <c r="F54" s="555"/>
      <c r="G54" s="992" t="s">
        <v>1740</v>
      </c>
      <c r="H54" s="1063" t="s">
        <v>1775</v>
      </c>
      <c r="I54" s="1063" t="s">
        <v>1776</v>
      </c>
      <c r="J54" s="1063"/>
      <c r="K54" s="1063">
        <v>0.03</v>
      </c>
      <c r="L54" s="1063"/>
      <c r="M54" s="1063"/>
      <c r="N54" s="215"/>
      <c r="O54" s="215"/>
      <c r="P54" s="215"/>
      <c r="Q54" s="858"/>
      <c r="R54" s="215"/>
      <c r="S54" s="215"/>
      <c r="T54" s="559"/>
      <c r="U54" s="387"/>
      <c r="V54" s="387"/>
      <c r="W54" s="387"/>
      <c r="X54" s="387"/>
      <c r="Y54" s="387"/>
    </row>
    <row r="55" spans="1:25" ht="15" customHeight="1" x14ac:dyDescent="0.25">
      <c r="A55" s="562"/>
      <c r="B55" s="564"/>
      <c r="C55" s="553"/>
      <c r="D55" s="553"/>
      <c r="E55" s="553"/>
      <c r="F55" s="556"/>
      <c r="G55" s="543" t="s">
        <v>1750</v>
      </c>
      <c r="H55" s="543" t="s">
        <v>1775</v>
      </c>
      <c r="I55" s="543" t="s">
        <v>1776</v>
      </c>
      <c r="J55" s="543"/>
      <c r="K55" s="205">
        <v>0.03</v>
      </c>
      <c r="L55" s="543"/>
      <c r="M55" s="519"/>
      <c r="N55" s="543"/>
      <c r="O55" s="543"/>
      <c r="P55" s="543"/>
      <c r="Q55" s="857"/>
      <c r="R55" s="543"/>
      <c r="S55" s="543"/>
      <c r="T55" s="560"/>
      <c r="U55" s="387"/>
      <c r="V55" s="387"/>
      <c r="W55" s="387"/>
      <c r="X55" s="387"/>
      <c r="Y55" s="387"/>
    </row>
    <row r="56" spans="1:25" ht="15" customHeight="1" x14ac:dyDescent="0.25">
      <c r="A56" s="562"/>
      <c r="B56" s="564"/>
      <c r="C56" s="553"/>
      <c r="D56" s="553"/>
      <c r="E56" s="553"/>
      <c r="F56" s="556"/>
      <c r="G56" s="996" t="s">
        <v>2290</v>
      </c>
      <c r="H56" s="1064"/>
      <c r="I56" s="1064"/>
      <c r="J56" s="1064"/>
      <c r="K56" s="1064"/>
      <c r="L56" s="1064"/>
      <c r="M56" s="1064"/>
      <c r="N56" s="543"/>
      <c r="O56" s="543"/>
      <c r="P56" s="543"/>
      <c r="Q56" s="857"/>
      <c r="R56" s="543"/>
      <c r="S56" s="543"/>
      <c r="T56" s="560"/>
      <c r="U56" s="387"/>
      <c r="V56" s="387"/>
      <c r="W56" s="387"/>
      <c r="X56" s="387"/>
      <c r="Y56" s="387"/>
    </row>
    <row r="57" spans="1:25" ht="15" customHeight="1" x14ac:dyDescent="0.25">
      <c r="A57" s="562"/>
      <c r="B57" s="564"/>
      <c r="C57" s="553"/>
      <c r="D57" s="553"/>
      <c r="E57" s="553"/>
      <c r="F57" s="556"/>
      <c r="G57" s="543" t="s">
        <v>2332</v>
      </c>
      <c r="H57" s="543" t="s">
        <v>2333</v>
      </c>
      <c r="I57" s="543" t="s">
        <v>2422</v>
      </c>
      <c r="J57" s="543"/>
      <c r="K57" s="205">
        <f>0.02*0.75</f>
        <v>1.4999999999999999E-2</v>
      </c>
      <c r="L57" s="543"/>
      <c r="M57" s="519"/>
      <c r="N57" s="543"/>
      <c r="O57" s="543"/>
      <c r="P57" s="543"/>
      <c r="Q57" s="857"/>
      <c r="R57" s="543"/>
      <c r="S57" s="543"/>
      <c r="T57" s="560"/>
      <c r="U57" s="387"/>
      <c r="V57" s="387"/>
      <c r="W57" s="387"/>
      <c r="X57" s="387"/>
      <c r="Y57" s="387"/>
    </row>
    <row r="58" spans="1:25" ht="15" customHeight="1" x14ac:dyDescent="0.25">
      <c r="A58" s="562"/>
      <c r="B58" s="564"/>
      <c r="C58" s="553"/>
      <c r="D58" s="553"/>
      <c r="E58" s="553"/>
      <c r="F58" s="556"/>
      <c r="G58" s="996" t="s">
        <v>14933</v>
      </c>
      <c r="H58" s="1064"/>
      <c r="I58" s="1064"/>
      <c r="J58" s="1064"/>
      <c r="K58" s="1064"/>
      <c r="L58" s="1064"/>
      <c r="M58" s="1064"/>
      <c r="N58" s="543"/>
      <c r="O58" s="543"/>
      <c r="P58" s="543"/>
      <c r="Q58" s="857"/>
      <c r="R58" s="543"/>
      <c r="S58" s="543"/>
      <c r="T58" s="560"/>
      <c r="U58" s="387"/>
      <c r="V58" s="387"/>
      <c r="W58" s="387"/>
      <c r="X58" s="387"/>
      <c r="Y58" s="387"/>
    </row>
    <row r="59" spans="1:25" ht="15" customHeight="1" x14ac:dyDescent="0.25">
      <c r="A59" s="562"/>
      <c r="B59" s="564"/>
      <c r="C59" s="553"/>
      <c r="D59" s="553"/>
      <c r="E59" s="553"/>
      <c r="F59" s="556"/>
      <c r="G59" s="543" t="s">
        <v>14742</v>
      </c>
      <c r="H59" s="543" t="s">
        <v>14745</v>
      </c>
      <c r="I59" s="543" t="s">
        <v>14993</v>
      </c>
      <c r="J59" s="543"/>
      <c r="K59" s="205">
        <f>1.5671*0.9</f>
        <v>1.41039</v>
      </c>
      <c r="L59" s="543"/>
      <c r="M59" s="519"/>
      <c r="N59" s="543"/>
      <c r="O59" s="543"/>
      <c r="P59" s="543"/>
      <c r="Q59" s="857"/>
      <c r="R59" s="543"/>
      <c r="S59" s="543"/>
      <c r="T59" s="560"/>
      <c r="U59" s="387"/>
      <c r="V59" s="387"/>
      <c r="W59" s="387"/>
      <c r="X59" s="387"/>
      <c r="Y59" s="387"/>
    </row>
    <row r="60" spans="1:25" ht="15" customHeight="1" x14ac:dyDescent="0.25">
      <c r="A60" s="562"/>
      <c r="B60" s="564"/>
      <c r="C60" s="553"/>
      <c r="D60" s="553"/>
      <c r="E60" s="553"/>
      <c r="F60" s="556"/>
      <c r="G60" s="543" t="s">
        <v>17563</v>
      </c>
      <c r="H60" s="543" t="s">
        <v>17564</v>
      </c>
      <c r="I60" s="543" t="s">
        <v>17565</v>
      </c>
      <c r="J60" s="543"/>
      <c r="K60" s="205">
        <f>0.075*0.75</f>
        <v>5.6249999999999994E-2</v>
      </c>
      <c r="L60" s="543"/>
      <c r="M60" s="519"/>
      <c r="N60" s="543"/>
      <c r="O60" s="543"/>
      <c r="P60" s="543"/>
      <c r="Q60" s="857"/>
      <c r="R60" s="543"/>
      <c r="S60" s="543"/>
      <c r="T60" s="560"/>
      <c r="U60" s="387"/>
      <c r="V60" s="387"/>
      <c r="W60" s="387"/>
      <c r="X60" s="387"/>
      <c r="Y60" s="387"/>
    </row>
    <row r="61" spans="1:25" ht="15" customHeight="1" x14ac:dyDescent="0.25">
      <c r="A61" s="562"/>
      <c r="B61" s="564"/>
      <c r="C61" s="553"/>
      <c r="D61" s="553"/>
      <c r="E61" s="553"/>
      <c r="F61" s="556"/>
      <c r="G61" s="996" t="s">
        <v>18518</v>
      </c>
      <c r="H61" s="1064"/>
      <c r="I61" s="1064"/>
      <c r="J61" s="1064"/>
      <c r="K61" s="1064"/>
      <c r="L61" s="1064"/>
      <c r="M61" s="1064"/>
      <c r="N61" s="557"/>
      <c r="O61" s="557"/>
      <c r="P61" s="557"/>
      <c r="Q61" s="859"/>
      <c r="R61" s="557"/>
      <c r="S61" s="557"/>
      <c r="T61" s="439"/>
      <c r="U61" s="387"/>
      <c r="V61" s="387"/>
      <c r="W61" s="387"/>
      <c r="X61" s="387"/>
      <c r="Y61" s="387"/>
    </row>
    <row r="62" spans="1:25" ht="15" customHeight="1" x14ac:dyDescent="0.25">
      <c r="A62" s="562"/>
      <c r="B62" s="564"/>
      <c r="C62" s="553"/>
      <c r="D62" s="553"/>
      <c r="E62" s="553"/>
      <c r="F62" s="556"/>
      <c r="G62" s="1065" t="s">
        <v>2262</v>
      </c>
      <c r="H62" s="1065"/>
      <c r="I62" s="1065"/>
      <c r="J62" s="994">
        <f>0.136*0.9*0.6</f>
        <v>7.3440000000000005E-2</v>
      </c>
      <c r="K62" s="995"/>
      <c r="L62" s="557"/>
      <c r="M62" s="594"/>
      <c r="N62" s="557"/>
      <c r="O62" s="557"/>
      <c r="P62" s="557"/>
      <c r="Q62" s="859"/>
      <c r="R62" s="557"/>
      <c r="S62" s="557"/>
      <c r="T62" s="439"/>
      <c r="U62" s="387"/>
      <c r="V62" s="387"/>
      <c r="W62" s="387"/>
      <c r="X62" s="387"/>
      <c r="Y62" s="387"/>
    </row>
    <row r="63" spans="1:25" ht="15" customHeight="1" thickBot="1" x14ac:dyDescent="0.3">
      <c r="A63" s="346"/>
      <c r="B63" s="243"/>
      <c r="C63" s="244"/>
      <c r="D63" s="244"/>
      <c r="E63" s="244"/>
      <c r="F63" s="245"/>
      <c r="G63" s="1032" t="s">
        <v>1199</v>
      </c>
      <c r="H63" s="1032"/>
      <c r="I63" s="1032"/>
      <c r="J63" s="542"/>
      <c r="K63" s="247">
        <f>SUM(J59:K62)</f>
        <v>1.5400799999999999</v>
      </c>
      <c r="L63" s="542">
        <v>0.92</v>
      </c>
      <c r="M63" s="247">
        <f>K63/L63</f>
        <v>1.6739999999999997</v>
      </c>
      <c r="N63" s="1032" t="s">
        <v>1199</v>
      </c>
      <c r="O63" s="1032"/>
      <c r="P63" s="1032"/>
      <c r="Q63" s="863"/>
      <c r="R63" s="435">
        <f>SUM(R54:R54)</f>
        <v>0</v>
      </c>
      <c r="S63" s="542">
        <v>0.92</v>
      </c>
      <c r="T63" s="436">
        <f>R63/S63</f>
        <v>0</v>
      </c>
      <c r="U63" s="387"/>
      <c r="V63" s="387"/>
      <c r="W63" s="387"/>
      <c r="X63" s="387"/>
      <c r="Y63" s="387"/>
    </row>
    <row r="64" spans="1:25" ht="15" customHeight="1" x14ac:dyDescent="0.25">
      <c r="A64" s="561" t="str">
        <f>Итоговая!C94</f>
        <v xml:space="preserve">ПС 35/6 кВ Борисово </v>
      </c>
      <c r="B64" s="563">
        <f>Итоговая!D94</f>
        <v>3.2</v>
      </c>
      <c r="C64" s="552" t="str">
        <f>Итоговая!E94</f>
        <v>+</v>
      </c>
      <c r="D64" s="552">
        <f>Итоговая!F94</f>
        <v>3.2</v>
      </c>
      <c r="E64" s="552"/>
      <c r="F64" s="555"/>
      <c r="G64" s="992" t="s">
        <v>2290</v>
      </c>
      <c r="H64" s="1063"/>
      <c r="I64" s="1063"/>
      <c r="J64" s="1063"/>
      <c r="K64" s="1063"/>
      <c r="L64" s="1063"/>
      <c r="M64" s="1063"/>
      <c r="N64" s="992" t="s">
        <v>2290</v>
      </c>
      <c r="O64" s="1063"/>
      <c r="P64" s="1063"/>
      <c r="Q64" s="1063"/>
      <c r="R64" s="1063"/>
      <c r="S64" s="1063"/>
      <c r="T64" s="1063"/>
      <c r="U64" s="387"/>
      <c r="V64" s="387"/>
      <c r="W64" s="387"/>
      <c r="X64" s="387"/>
      <c r="Y64" s="387"/>
    </row>
    <row r="65" spans="1:25" ht="15" customHeight="1" x14ac:dyDescent="0.25">
      <c r="A65" s="562"/>
      <c r="B65" s="564"/>
      <c r="C65" s="553"/>
      <c r="D65" s="553"/>
      <c r="E65" s="553"/>
      <c r="F65" s="556"/>
      <c r="G65" s="543"/>
      <c r="H65" s="543"/>
      <c r="I65" s="205"/>
      <c r="J65" s="205"/>
      <c r="K65" s="205"/>
      <c r="L65" s="543"/>
      <c r="M65" s="519"/>
      <c r="N65" s="543" t="s">
        <v>2246</v>
      </c>
      <c r="O65" s="543" t="s">
        <v>2273</v>
      </c>
      <c r="P65" s="205" t="s">
        <v>17207</v>
      </c>
      <c r="Q65" s="519"/>
      <c r="R65" s="543">
        <f>0.79883</f>
        <v>0.79883000000000004</v>
      </c>
      <c r="S65" s="543"/>
      <c r="T65" s="560"/>
      <c r="U65" s="387"/>
      <c r="V65" s="387"/>
      <c r="W65" s="387"/>
      <c r="X65" s="387"/>
      <c r="Y65" s="387"/>
    </row>
    <row r="66" spans="1:25" ht="15" customHeight="1" thickBot="1" x14ac:dyDescent="0.3">
      <c r="A66" s="346"/>
      <c r="B66" s="243"/>
      <c r="C66" s="244"/>
      <c r="D66" s="244"/>
      <c r="E66" s="244"/>
      <c r="F66" s="245"/>
      <c r="G66" s="1032" t="s">
        <v>1199</v>
      </c>
      <c r="H66" s="1032"/>
      <c r="I66" s="1032"/>
      <c r="J66" s="542"/>
      <c r="K66" s="247">
        <f>SUM(K65)</f>
        <v>0</v>
      </c>
      <c r="L66" s="542">
        <v>0.92</v>
      </c>
      <c r="M66" s="247">
        <f>K66/L66</f>
        <v>0</v>
      </c>
      <c r="N66" s="1032" t="s">
        <v>1199</v>
      </c>
      <c r="O66" s="1032"/>
      <c r="P66" s="1032"/>
      <c r="Q66" s="863"/>
      <c r="R66" s="435">
        <f>SUM(R64:R65)</f>
        <v>0.79883000000000004</v>
      </c>
      <c r="S66" s="542">
        <v>0.92</v>
      </c>
      <c r="T66" s="436">
        <f>R66/S66</f>
        <v>0.86829347826086956</v>
      </c>
      <c r="U66" s="387"/>
      <c r="V66" s="387"/>
      <c r="W66" s="387"/>
      <c r="X66" s="387"/>
      <c r="Y66" s="387"/>
    </row>
    <row r="67" spans="1:25" ht="15" customHeight="1" x14ac:dyDescent="0.25">
      <c r="A67" s="561" t="str">
        <f>Итоговая!C95</f>
        <v xml:space="preserve">ПС 35/10 кВ Боровно </v>
      </c>
      <c r="B67" s="563">
        <f>Итоговая!D95</f>
        <v>2.5</v>
      </c>
      <c r="C67" s="552" t="str">
        <f>Итоговая!E95</f>
        <v>+</v>
      </c>
      <c r="D67" s="552">
        <f>Итоговая!F95</f>
        <v>2.5</v>
      </c>
      <c r="E67" s="552"/>
      <c r="F67" s="555"/>
      <c r="G67" s="992" t="s">
        <v>2290</v>
      </c>
      <c r="H67" s="1063"/>
      <c r="I67" s="1063"/>
      <c r="J67" s="1063"/>
      <c r="K67" s="1063"/>
      <c r="L67" s="1063"/>
      <c r="M67" s="1063"/>
      <c r="N67" s="215"/>
      <c r="O67" s="215"/>
      <c r="P67" s="215"/>
      <c r="Q67" s="858"/>
      <c r="R67" s="215"/>
      <c r="S67" s="215"/>
      <c r="T67" s="559"/>
      <c r="U67" s="387"/>
      <c r="V67" s="387"/>
      <c r="W67" s="387"/>
      <c r="X67" s="387"/>
      <c r="Y67" s="387"/>
    </row>
    <row r="68" spans="1:25" ht="15" customHeight="1" x14ac:dyDescent="0.25">
      <c r="A68" s="562"/>
      <c r="B68" s="564"/>
      <c r="C68" s="553"/>
      <c r="D68" s="553"/>
      <c r="E68" s="553"/>
      <c r="F68" s="556"/>
      <c r="G68" s="543" t="s">
        <v>2348</v>
      </c>
      <c r="H68" s="543" t="s">
        <v>2349</v>
      </c>
      <c r="I68" s="543" t="s">
        <v>2414</v>
      </c>
      <c r="J68" s="543"/>
      <c r="K68" s="205">
        <f>0.07*0.9</f>
        <v>6.3000000000000014E-2</v>
      </c>
      <c r="L68" s="543"/>
      <c r="M68" s="519"/>
      <c r="N68" s="543"/>
      <c r="O68" s="543"/>
      <c r="P68" s="543"/>
      <c r="Q68" s="857"/>
      <c r="R68" s="543"/>
      <c r="S68" s="543"/>
      <c r="T68" s="560"/>
      <c r="U68" s="387"/>
      <c r="V68" s="387"/>
      <c r="W68" s="387"/>
      <c r="X68" s="387"/>
      <c r="Y68" s="387"/>
    </row>
    <row r="69" spans="1:25" ht="15" customHeight="1" x14ac:dyDescent="0.25">
      <c r="A69" s="562"/>
      <c r="B69" s="564"/>
      <c r="C69" s="553"/>
      <c r="D69" s="553"/>
      <c r="E69" s="553"/>
      <c r="F69" s="556"/>
      <c r="G69" s="996" t="s">
        <v>18518</v>
      </c>
      <c r="H69" s="1064"/>
      <c r="I69" s="1064"/>
      <c r="J69" s="1064"/>
      <c r="K69" s="1064"/>
      <c r="L69" s="1064"/>
      <c r="M69" s="1064"/>
      <c r="N69" s="557"/>
      <c r="O69" s="557"/>
      <c r="P69" s="557"/>
      <c r="Q69" s="859"/>
      <c r="R69" s="557"/>
      <c r="S69" s="557"/>
      <c r="T69" s="439"/>
      <c r="U69" s="387"/>
      <c r="V69" s="387"/>
      <c r="W69" s="387"/>
      <c r="X69" s="387"/>
      <c r="Y69" s="387"/>
    </row>
    <row r="70" spans="1:25" ht="15" customHeight="1" x14ac:dyDescent="0.25">
      <c r="A70" s="562"/>
      <c r="B70" s="564"/>
      <c r="C70" s="553"/>
      <c r="D70" s="553"/>
      <c r="E70" s="553"/>
      <c r="F70" s="556"/>
      <c r="G70" s="1065" t="s">
        <v>2262</v>
      </c>
      <c r="H70" s="1065"/>
      <c r="I70" s="1065"/>
      <c r="J70" s="994">
        <f>0.052*0.9*0.6</f>
        <v>2.8080000000000001E-2</v>
      </c>
      <c r="K70" s="995"/>
      <c r="L70" s="543"/>
      <c r="M70" s="519"/>
      <c r="N70" s="557"/>
      <c r="O70" s="557"/>
      <c r="P70" s="557"/>
      <c r="Q70" s="859"/>
      <c r="R70" s="557"/>
      <c r="S70" s="557"/>
      <c r="T70" s="439"/>
      <c r="U70" s="387"/>
      <c r="V70" s="387"/>
      <c r="W70" s="387"/>
      <c r="X70" s="387"/>
      <c r="Y70" s="387"/>
    </row>
    <row r="71" spans="1:25" ht="15" customHeight="1" thickBot="1" x14ac:dyDescent="0.3">
      <c r="A71" s="346"/>
      <c r="B71" s="243"/>
      <c r="C71" s="244"/>
      <c r="D71" s="244"/>
      <c r="E71" s="244"/>
      <c r="F71" s="245"/>
      <c r="G71" s="1032" t="s">
        <v>1199</v>
      </c>
      <c r="H71" s="1032"/>
      <c r="I71" s="1032"/>
      <c r="J71" s="542"/>
      <c r="K71" s="247">
        <f>SUM(J70)</f>
        <v>2.8080000000000001E-2</v>
      </c>
      <c r="L71" s="542">
        <v>0.92</v>
      </c>
      <c r="M71" s="247">
        <f>K71/L71</f>
        <v>3.0521739130434784E-2</v>
      </c>
      <c r="N71" s="1032" t="s">
        <v>1199</v>
      </c>
      <c r="O71" s="1032"/>
      <c r="P71" s="1032"/>
      <c r="Q71" s="863"/>
      <c r="R71" s="435">
        <f>SUM(R67:R67)</f>
        <v>0</v>
      </c>
      <c r="S71" s="542">
        <v>0.92</v>
      </c>
      <c r="T71" s="436">
        <f>R71/S71</f>
        <v>0</v>
      </c>
      <c r="U71" s="387"/>
      <c r="V71" s="387"/>
      <c r="W71" s="387"/>
      <c r="X71" s="387"/>
      <c r="Y71" s="387"/>
    </row>
    <row r="72" spans="1:25" ht="15" customHeight="1" x14ac:dyDescent="0.25">
      <c r="A72" s="561" t="str">
        <f>Итоговая!C96</f>
        <v xml:space="preserve">ПС 110/10 кВ Бушевец </v>
      </c>
      <c r="B72" s="563">
        <f>Итоговая!D96</f>
        <v>6.3</v>
      </c>
      <c r="C72" s="552" t="str">
        <f>Итоговая!E96</f>
        <v>+</v>
      </c>
      <c r="D72" s="552">
        <f>Итоговая!F96</f>
        <v>6.3</v>
      </c>
      <c r="E72" s="552"/>
      <c r="F72" s="555"/>
      <c r="G72" s="215"/>
      <c r="H72" s="215"/>
      <c r="I72" s="215"/>
      <c r="J72" s="215"/>
      <c r="K72" s="216"/>
      <c r="L72" s="215"/>
      <c r="M72" s="264"/>
      <c r="N72" s="215"/>
      <c r="O72" s="215"/>
      <c r="P72" s="215"/>
      <c r="Q72" s="858"/>
      <c r="R72" s="215"/>
      <c r="S72" s="215"/>
      <c r="T72" s="559"/>
      <c r="U72" s="387"/>
      <c r="V72" s="387"/>
      <c r="W72" s="387"/>
      <c r="X72" s="387"/>
      <c r="Y72" s="387"/>
    </row>
    <row r="73" spans="1:25" ht="15" customHeight="1" thickBot="1" x14ac:dyDescent="0.3">
      <c r="A73" s="346"/>
      <c r="B73" s="243"/>
      <c r="C73" s="244"/>
      <c r="D73" s="244"/>
      <c r="E73" s="244"/>
      <c r="F73" s="245"/>
      <c r="G73" s="1032" t="s">
        <v>1199</v>
      </c>
      <c r="H73" s="1032"/>
      <c r="I73" s="1032"/>
      <c r="J73" s="542"/>
      <c r="K73" s="247">
        <f>SUM(K72:K72)</f>
        <v>0</v>
      </c>
      <c r="L73" s="542">
        <v>0.92</v>
      </c>
      <c r="M73" s="247">
        <f>K73/L73</f>
        <v>0</v>
      </c>
      <c r="N73" s="1032" t="s">
        <v>1199</v>
      </c>
      <c r="O73" s="1032"/>
      <c r="P73" s="1032"/>
      <c r="Q73" s="863"/>
      <c r="R73" s="435">
        <f>SUM(R72:R72)</f>
        <v>0</v>
      </c>
      <c r="S73" s="542">
        <v>0.92</v>
      </c>
      <c r="T73" s="436">
        <f>R73/S73</f>
        <v>0</v>
      </c>
      <c r="U73" s="387"/>
      <c r="V73" s="387"/>
      <c r="W73" s="387"/>
      <c r="X73" s="387"/>
      <c r="Y73" s="387"/>
    </row>
    <row r="74" spans="1:25" ht="15" customHeight="1" x14ac:dyDescent="0.25">
      <c r="A74" s="1070" t="str">
        <f>Итоговая!C97</f>
        <v xml:space="preserve">ПС 35/6 кВ Великий Октябрь </v>
      </c>
      <c r="B74" s="1072">
        <f>Итоговая!D97</f>
        <v>6.3</v>
      </c>
      <c r="C74" s="1067" t="str">
        <f>Итоговая!E97</f>
        <v>+</v>
      </c>
      <c r="D74" s="1067">
        <f>Итоговая!F97</f>
        <v>4</v>
      </c>
      <c r="E74" s="552"/>
      <c r="F74" s="555"/>
      <c r="G74" s="992" t="s">
        <v>1324</v>
      </c>
      <c r="H74" s="1063"/>
      <c r="I74" s="1063"/>
      <c r="J74" s="1063"/>
      <c r="K74" s="1063"/>
      <c r="L74" s="1063"/>
      <c r="M74" s="1063"/>
      <c r="N74" s="444"/>
      <c r="O74" s="444"/>
      <c r="P74" s="444"/>
      <c r="Q74" s="444"/>
      <c r="R74" s="444"/>
      <c r="S74" s="444"/>
      <c r="T74" s="445"/>
      <c r="U74" s="387"/>
      <c r="V74" s="387"/>
      <c r="W74" s="387"/>
      <c r="X74" s="387"/>
      <c r="Y74" s="387"/>
    </row>
    <row r="75" spans="1:25" ht="15" customHeight="1" x14ac:dyDescent="0.25">
      <c r="A75" s="1071"/>
      <c r="B75" s="1023"/>
      <c r="C75" s="1024"/>
      <c r="D75" s="1024"/>
      <c r="E75" s="553"/>
      <c r="F75" s="556"/>
      <c r="G75" s="543" t="s">
        <v>1268</v>
      </c>
      <c r="H75" s="543" t="s">
        <v>1269</v>
      </c>
      <c r="I75" s="543" t="s">
        <v>1456</v>
      </c>
      <c r="J75" s="543"/>
      <c r="K75" s="205">
        <f>0.2-0.15</f>
        <v>5.0000000000000017E-2</v>
      </c>
      <c r="L75" s="205"/>
      <c r="M75" s="519"/>
      <c r="N75" s="272"/>
      <c r="O75" s="272"/>
      <c r="P75" s="272"/>
      <c r="Q75" s="272"/>
      <c r="R75" s="272"/>
      <c r="S75" s="272"/>
      <c r="T75" s="291"/>
      <c r="U75" s="387"/>
      <c r="V75" s="387"/>
      <c r="W75" s="387"/>
      <c r="X75" s="387"/>
      <c r="Y75" s="387"/>
    </row>
    <row r="76" spans="1:25" ht="15" customHeight="1" x14ac:dyDescent="0.25">
      <c r="A76" s="562"/>
      <c r="B76" s="564"/>
      <c r="C76" s="553"/>
      <c r="D76" s="553"/>
      <c r="E76" s="553"/>
      <c r="F76" s="556"/>
      <c r="G76" s="996" t="s">
        <v>2011</v>
      </c>
      <c r="H76" s="1064"/>
      <c r="I76" s="1064"/>
      <c r="J76" s="1064"/>
      <c r="K76" s="1064"/>
      <c r="L76" s="1064"/>
      <c r="M76" s="1064"/>
      <c r="N76" s="272"/>
      <c r="O76" s="272"/>
      <c r="P76" s="272"/>
      <c r="Q76" s="272"/>
      <c r="R76" s="272"/>
      <c r="S76" s="272"/>
      <c r="T76" s="291"/>
      <c r="U76" s="387"/>
      <c r="V76" s="387"/>
      <c r="W76" s="387"/>
      <c r="X76" s="387"/>
      <c r="Y76" s="387"/>
    </row>
    <row r="77" spans="1:25" ht="15" customHeight="1" x14ac:dyDescent="0.25">
      <c r="A77" s="562"/>
      <c r="B77" s="564"/>
      <c r="C77" s="553"/>
      <c r="D77" s="553"/>
      <c r="E77" s="553"/>
      <c r="F77" s="556"/>
      <c r="G77" s="543" t="s">
        <v>2118</v>
      </c>
      <c r="H77" s="543" t="s">
        <v>2119</v>
      </c>
      <c r="I77" s="543" t="s">
        <v>2149</v>
      </c>
      <c r="J77" s="543"/>
      <c r="K77" s="205">
        <f>0.4*0.9</f>
        <v>0.36000000000000004</v>
      </c>
      <c r="L77" s="205"/>
      <c r="M77" s="519"/>
      <c r="N77" s="272"/>
      <c r="O77" s="272"/>
      <c r="P77" s="272"/>
      <c r="Q77" s="272"/>
      <c r="R77" s="272"/>
      <c r="S77" s="272"/>
      <c r="T77" s="291"/>
      <c r="U77" s="387"/>
      <c r="V77" s="387"/>
      <c r="W77" s="387"/>
      <c r="X77" s="387"/>
      <c r="Y77" s="387"/>
    </row>
    <row r="78" spans="1:25" ht="15" customHeight="1" x14ac:dyDescent="0.25">
      <c r="A78" s="562"/>
      <c r="B78" s="564"/>
      <c r="C78" s="553"/>
      <c r="D78" s="553"/>
      <c r="E78" s="553"/>
      <c r="F78" s="556"/>
      <c r="G78" s="996" t="s">
        <v>18518</v>
      </c>
      <c r="H78" s="1064"/>
      <c r="I78" s="1064"/>
      <c r="J78" s="1064"/>
      <c r="K78" s="1064"/>
      <c r="L78" s="1064"/>
      <c r="M78" s="1064"/>
      <c r="N78" s="272"/>
      <c r="O78" s="272"/>
      <c r="P78" s="272"/>
      <c r="Q78" s="272"/>
      <c r="R78" s="272"/>
      <c r="S78" s="272"/>
      <c r="T78" s="291"/>
      <c r="U78" s="387"/>
      <c r="V78" s="387"/>
      <c r="W78" s="387"/>
      <c r="X78" s="387"/>
      <c r="Y78" s="387"/>
    </row>
    <row r="79" spans="1:25" ht="15" customHeight="1" x14ac:dyDescent="0.25">
      <c r="A79" s="562"/>
      <c r="B79" s="564"/>
      <c r="C79" s="553"/>
      <c r="D79" s="553"/>
      <c r="E79" s="553"/>
      <c r="F79" s="556"/>
      <c r="G79" s="1065" t="s">
        <v>2262</v>
      </c>
      <c r="H79" s="1065"/>
      <c r="I79" s="1065"/>
      <c r="J79" s="994">
        <f>0.124*0.9*0.6</f>
        <v>6.6960000000000006E-2</v>
      </c>
      <c r="K79" s="995"/>
      <c r="L79" s="557"/>
      <c r="M79" s="594"/>
      <c r="N79" s="292"/>
      <c r="O79" s="292"/>
      <c r="P79" s="292"/>
      <c r="Q79" s="292"/>
      <c r="R79" s="292"/>
      <c r="S79" s="292"/>
      <c r="T79" s="293"/>
      <c r="U79" s="387"/>
      <c r="V79" s="387"/>
      <c r="W79" s="387"/>
      <c r="X79" s="387"/>
      <c r="Y79" s="387"/>
    </row>
    <row r="80" spans="1:25" ht="15" customHeight="1" thickBot="1" x14ac:dyDescent="0.3">
      <c r="A80" s="346"/>
      <c r="B80" s="243"/>
      <c r="C80" s="244"/>
      <c r="D80" s="244"/>
      <c r="E80" s="244"/>
      <c r="F80" s="245"/>
      <c r="G80" s="1032" t="s">
        <v>1199</v>
      </c>
      <c r="H80" s="1032"/>
      <c r="I80" s="1032"/>
      <c r="J80" s="542"/>
      <c r="K80" s="247">
        <f>SUM(J79)</f>
        <v>6.6960000000000006E-2</v>
      </c>
      <c r="L80" s="544">
        <v>0.92</v>
      </c>
      <c r="M80" s="247">
        <f>K80/L80</f>
        <v>7.2782608695652173E-2</v>
      </c>
      <c r="N80" s="1032" t="s">
        <v>1199</v>
      </c>
      <c r="O80" s="1032"/>
      <c r="P80" s="1032"/>
      <c r="Q80" s="863"/>
      <c r="R80" s="435">
        <f>SUM(R75:R76)</f>
        <v>0</v>
      </c>
      <c r="S80" s="542">
        <v>0.92</v>
      </c>
      <c r="T80" s="436">
        <f>R80/S80</f>
        <v>0</v>
      </c>
      <c r="U80" s="387"/>
      <c r="V80" s="387"/>
      <c r="W80" s="387"/>
      <c r="X80" s="387"/>
      <c r="Y80" s="387"/>
    </row>
    <row r="81" spans="1:25" ht="15" customHeight="1" x14ac:dyDescent="0.25">
      <c r="A81" s="1070" t="str">
        <f>Итоговая!C98</f>
        <v xml:space="preserve">ПС 35/10 кВ Выдропужск </v>
      </c>
      <c r="B81" s="1072">
        <f>Итоговая!D98</f>
        <v>2.5</v>
      </c>
      <c r="C81" s="1067" t="str">
        <f>Итоговая!E98</f>
        <v>+</v>
      </c>
      <c r="D81" s="1067">
        <f>Итоговая!F98</f>
        <v>1.6</v>
      </c>
      <c r="E81" s="552"/>
      <c r="F81" s="555"/>
      <c r="G81" s="992" t="s">
        <v>1286</v>
      </c>
      <c r="H81" s="1063"/>
      <c r="I81" s="1063"/>
      <c r="J81" s="1063"/>
      <c r="K81" s="1063"/>
      <c r="L81" s="1063"/>
      <c r="M81" s="1063"/>
      <c r="N81" s="992" t="s">
        <v>2290</v>
      </c>
      <c r="O81" s="1063"/>
      <c r="P81" s="1063"/>
      <c r="Q81" s="1063"/>
      <c r="R81" s="1063"/>
      <c r="S81" s="1063"/>
      <c r="T81" s="1063"/>
      <c r="U81" s="387"/>
      <c r="V81" s="387"/>
      <c r="W81" s="387"/>
      <c r="X81" s="387"/>
      <c r="Y81" s="387"/>
    </row>
    <row r="82" spans="1:25" ht="15" customHeight="1" x14ac:dyDescent="0.25">
      <c r="A82" s="1071"/>
      <c r="B82" s="1023"/>
      <c r="C82" s="1024"/>
      <c r="D82" s="1024"/>
      <c r="E82" s="553"/>
      <c r="F82" s="556"/>
      <c r="G82" s="727" t="s">
        <v>1265</v>
      </c>
      <c r="H82" s="727" t="s">
        <v>1266</v>
      </c>
      <c r="I82" s="727" t="s">
        <v>1267</v>
      </c>
      <c r="J82" s="727"/>
      <c r="K82" s="519">
        <v>0.08</v>
      </c>
      <c r="L82" s="727"/>
      <c r="M82" s="519"/>
      <c r="N82" s="543" t="s">
        <v>2246</v>
      </c>
      <c r="O82" s="543" t="s">
        <v>2287</v>
      </c>
      <c r="P82" s="447" t="s">
        <v>18530</v>
      </c>
      <c r="Q82" s="866"/>
      <c r="R82" s="447">
        <v>0.59211000000000003</v>
      </c>
      <c r="S82" s="272"/>
      <c r="T82" s="291"/>
      <c r="U82" s="387"/>
      <c r="V82" s="387"/>
      <c r="W82" s="387"/>
      <c r="X82" s="387"/>
      <c r="Y82" s="387"/>
    </row>
    <row r="83" spans="1:25" ht="15" customHeight="1" x14ac:dyDescent="0.25">
      <c r="A83" s="562"/>
      <c r="B83" s="564"/>
      <c r="C83" s="553"/>
      <c r="D83" s="553"/>
      <c r="E83" s="553"/>
      <c r="F83" s="556"/>
      <c r="G83" s="996" t="s">
        <v>18518</v>
      </c>
      <c r="H83" s="1064"/>
      <c r="I83" s="1064"/>
      <c r="J83" s="1064"/>
      <c r="K83" s="1064"/>
      <c r="L83" s="1064"/>
      <c r="M83" s="1064"/>
      <c r="N83" s="543"/>
      <c r="O83" s="543"/>
      <c r="P83" s="447"/>
      <c r="Q83" s="866"/>
      <c r="R83" s="447"/>
      <c r="S83" s="272"/>
      <c r="T83" s="291"/>
      <c r="U83" s="387"/>
      <c r="V83" s="387"/>
      <c r="W83" s="387"/>
      <c r="X83" s="387"/>
      <c r="Y83" s="387"/>
    </row>
    <row r="84" spans="1:25" ht="15" customHeight="1" x14ac:dyDescent="0.25">
      <c r="A84" s="562"/>
      <c r="B84" s="564"/>
      <c r="C84" s="553"/>
      <c r="D84" s="553"/>
      <c r="E84" s="553"/>
      <c r="F84" s="556"/>
      <c r="G84" s="272" t="s">
        <v>13409</v>
      </c>
      <c r="H84" s="272" t="s">
        <v>18877</v>
      </c>
      <c r="I84" s="272" t="s">
        <v>18878</v>
      </c>
      <c r="J84" s="272">
        <f>0.025*0.9</f>
        <v>2.2500000000000003E-2</v>
      </c>
      <c r="K84" s="273">
        <f>0.025*0.9</f>
        <v>2.2500000000000003E-2</v>
      </c>
      <c r="L84" s="272"/>
      <c r="M84" s="273"/>
      <c r="N84" s="272"/>
      <c r="O84" s="272"/>
      <c r="P84" s="272"/>
      <c r="Q84" s="272"/>
      <c r="R84" s="272"/>
      <c r="S84" s="272"/>
      <c r="T84" s="291"/>
      <c r="U84" s="387"/>
      <c r="V84" s="387"/>
      <c r="W84" s="387"/>
      <c r="X84" s="387"/>
      <c r="Y84" s="387"/>
    </row>
    <row r="85" spans="1:25" ht="15" customHeight="1" x14ac:dyDescent="0.25">
      <c r="A85" s="562"/>
      <c r="B85" s="564"/>
      <c r="C85" s="553"/>
      <c r="D85" s="553"/>
      <c r="E85" s="553"/>
      <c r="F85" s="556"/>
      <c r="G85" s="1065" t="s">
        <v>2262</v>
      </c>
      <c r="H85" s="1065"/>
      <c r="I85" s="1065"/>
      <c r="J85" s="994">
        <f>0.084*0.9*0.6</f>
        <v>4.5359999999999998E-2</v>
      </c>
      <c r="K85" s="995"/>
      <c r="L85" s="292"/>
      <c r="M85" s="448"/>
      <c r="N85" s="292"/>
      <c r="O85" s="292"/>
      <c r="P85" s="292"/>
      <c r="Q85" s="292"/>
      <c r="R85" s="292"/>
      <c r="S85" s="292"/>
      <c r="T85" s="293"/>
      <c r="U85" s="387"/>
      <c r="V85" s="387"/>
      <c r="W85" s="387"/>
      <c r="X85" s="387"/>
      <c r="Y85" s="387"/>
    </row>
    <row r="86" spans="1:25" ht="15" customHeight="1" thickBot="1" x14ac:dyDescent="0.3">
      <c r="A86" s="346"/>
      <c r="B86" s="243"/>
      <c r="C86" s="244"/>
      <c r="D86" s="244"/>
      <c r="E86" s="244"/>
      <c r="F86" s="245"/>
      <c r="G86" s="1032" t="s">
        <v>1199</v>
      </c>
      <c r="H86" s="1032"/>
      <c r="I86" s="1032"/>
      <c r="J86" s="542"/>
      <c r="K86" s="247">
        <f>SUM(J84:K85)</f>
        <v>9.0359999999999996E-2</v>
      </c>
      <c r="L86" s="542">
        <v>0.92</v>
      </c>
      <c r="M86" s="247">
        <f>K86/L86</f>
        <v>9.8217391304347812E-2</v>
      </c>
      <c r="N86" s="1032" t="s">
        <v>1199</v>
      </c>
      <c r="O86" s="1032"/>
      <c r="P86" s="1032"/>
      <c r="Q86" s="863"/>
      <c r="R86" s="449">
        <f>SUM(R82:R82)</f>
        <v>0.59211000000000003</v>
      </c>
      <c r="S86" s="542">
        <v>0.92</v>
      </c>
      <c r="T86" s="436">
        <f>R86/S86</f>
        <v>0.64359782608695648</v>
      </c>
      <c r="U86" s="387"/>
      <c r="V86" s="387"/>
      <c r="W86" s="387"/>
      <c r="X86" s="387"/>
      <c r="Y86" s="387"/>
    </row>
    <row r="87" spans="1:25" ht="15" customHeight="1" x14ac:dyDescent="0.25">
      <c r="A87" s="1070" t="str">
        <f>Итоговая!C99</f>
        <v xml:space="preserve">ПС 35/10 кВ Голубые Озера  </v>
      </c>
      <c r="B87" s="1072">
        <f>Итоговая!D99</f>
        <v>2.5</v>
      </c>
      <c r="C87" s="1067" t="str">
        <f>Итоговая!E99</f>
        <v>+</v>
      </c>
      <c r="D87" s="1067">
        <f>Итоговая!F99</f>
        <v>1.6</v>
      </c>
      <c r="E87" s="552"/>
      <c r="F87" s="555"/>
      <c r="G87" s="992" t="s">
        <v>1286</v>
      </c>
      <c r="H87" s="1063"/>
      <c r="I87" s="1063"/>
      <c r="J87" s="1063"/>
      <c r="K87" s="1063"/>
      <c r="L87" s="1063"/>
      <c r="M87" s="1063"/>
      <c r="N87" s="444"/>
      <c r="O87" s="444"/>
      <c r="P87" s="444"/>
      <c r="Q87" s="444"/>
      <c r="R87" s="444"/>
      <c r="S87" s="445"/>
      <c r="T87" s="450"/>
      <c r="U87" s="387"/>
      <c r="V87" s="387"/>
      <c r="W87" s="387"/>
      <c r="X87" s="387"/>
      <c r="Y87" s="387"/>
    </row>
    <row r="88" spans="1:25" ht="15" customHeight="1" x14ac:dyDescent="0.25">
      <c r="A88" s="1071"/>
      <c r="B88" s="1023"/>
      <c r="C88" s="1024"/>
      <c r="D88" s="1024"/>
      <c r="E88" s="553"/>
      <c r="F88" s="556"/>
      <c r="G88" s="727" t="s">
        <v>1262</v>
      </c>
      <c r="H88" s="727" t="s">
        <v>1263</v>
      </c>
      <c r="I88" s="727" t="s">
        <v>1264</v>
      </c>
      <c r="J88" s="727"/>
      <c r="K88" s="519">
        <v>0.06</v>
      </c>
      <c r="L88" s="727"/>
      <c r="M88" s="519"/>
      <c r="N88" s="272"/>
      <c r="O88" s="272"/>
      <c r="P88" s="272"/>
      <c r="Q88" s="272"/>
      <c r="R88" s="272"/>
      <c r="S88" s="291"/>
      <c r="T88" s="451"/>
      <c r="U88" s="387"/>
      <c r="V88" s="387"/>
      <c r="W88" s="387"/>
      <c r="X88" s="387"/>
      <c r="Y88" s="387"/>
    </row>
    <row r="89" spans="1:25" ht="15" customHeight="1" x14ac:dyDescent="0.25">
      <c r="A89" s="562"/>
      <c r="B89" s="564"/>
      <c r="C89" s="553"/>
      <c r="D89" s="553"/>
      <c r="E89" s="553"/>
      <c r="F89" s="556"/>
      <c r="G89" s="996" t="s">
        <v>18518</v>
      </c>
      <c r="H89" s="1064"/>
      <c r="I89" s="1064"/>
      <c r="J89" s="1064"/>
      <c r="K89" s="1064"/>
      <c r="L89" s="1064"/>
      <c r="M89" s="1064"/>
      <c r="N89" s="272"/>
      <c r="O89" s="292"/>
      <c r="P89" s="292"/>
      <c r="Q89" s="292"/>
      <c r="R89" s="292"/>
      <c r="S89" s="293"/>
      <c r="T89" s="452"/>
      <c r="U89" s="387"/>
      <c r="V89" s="387"/>
      <c r="W89" s="387"/>
      <c r="X89" s="387"/>
      <c r="Y89" s="387"/>
    </row>
    <row r="90" spans="1:25" ht="15" customHeight="1" x14ac:dyDescent="0.25">
      <c r="A90" s="562"/>
      <c r="B90" s="564"/>
      <c r="C90" s="553"/>
      <c r="D90" s="553"/>
      <c r="E90" s="553"/>
      <c r="F90" s="556"/>
      <c r="G90" s="1065" t="s">
        <v>2262</v>
      </c>
      <c r="H90" s="1065"/>
      <c r="I90" s="1065"/>
      <c r="J90" s="994">
        <f>0.03*0.9*0.6</f>
        <v>1.6199999999999999E-2</v>
      </c>
      <c r="K90" s="995"/>
      <c r="L90" s="557"/>
      <c r="M90" s="594"/>
      <c r="N90" s="292"/>
      <c r="O90" s="292"/>
      <c r="P90" s="292"/>
      <c r="Q90" s="292"/>
      <c r="R90" s="292"/>
      <c r="S90" s="293"/>
      <c r="T90" s="452"/>
      <c r="U90" s="387"/>
      <c r="V90" s="387"/>
      <c r="W90" s="387"/>
      <c r="X90" s="387"/>
      <c r="Y90" s="387"/>
    </row>
    <row r="91" spans="1:25" ht="15" customHeight="1" thickBot="1" x14ac:dyDescent="0.3">
      <c r="A91" s="562"/>
      <c r="B91" s="564"/>
      <c r="C91" s="553"/>
      <c r="D91" s="553"/>
      <c r="E91" s="553"/>
      <c r="F91" s="556"/>
      <c r="G91" s="1007" t="s">
        <v>1199</v>
      </c>
      <c r="H91" s="1007"/>
      <c r="I91" s="1007"/>
      <c r="J91" s="557"/>
      <c r="K91" s="231">
        <f>SUM(J90)</f>
        <v>1.6199999999999999E-2</v>
      </c>
      <c r="L91" s="557">
        <v>0.92</v>
      </c>
      <c r="M91" s="231">
        <f>K91/L91</f>
        <v>1.7608695652173913E-2</v>
      </c>
      <c r="N91" s="1007" t="s">
        <v>1199</v>
      </c>
      <c r="O91" s="1007"/>
      <c r="P91" s="1007"/>
      <c r="Q91" s="859"/>
      <c r="R91" s="440">
        <f>SUM(R88:R88)</f>
        <v>0</v>
      </c>
      <c r="S91" s="453">
        <v>0.92</v>
      </c>
      <c r="T91" s="454">
        <f>R91/S91</f>
        <v>0</v>
      </c>
      <c r="U91" s="387"/>
      <c r="V91" s="387"/>
      <c r="W91" s="387"/>
      <c r="X91" s="387"/>
      <c r="Y91" s="387"/>
    </row>
    <row r="92" spans="1:25" ht="15" customHeight="1" x14ac:dyDescent="0.25">
      <c r="A92" s="561" t="str">
        <f>Итоговая!C100</f>
        <v xml:space="preserve">ПС 35/6 кВ Городок </v>
      </c>
      <c r="B92" s="563">
        <f>Итоговая!D100</f>
        <v>1.6</v>
      </c>
      <c r="C92" s="552" t="str">
        <f>Итоговая!E100</f>
        <v>+</v>
      </c>
      <c r="D92" s="552">
        <f>Итоговая!F100</f>
        <v>1.6</v>
      </c>
      <c r="E92" s="552"/>
      <c r="F92" s="555"/>
      <c r="G92" s="992" t="s">
        <v>18518</v>
      </c>
      <c r="H92" s="1063"/>
      <c r="I92" s="1063"/>
      <c r="J92" s="1063"/>
      <c r="K92" s="1063"/>
      <c r="L92" s="1063"/>
      <c r="M92" s="1063"/>
      <c r="N92" s="215"/>
      <c r="O92" s="215"/>
      <c r="P92" s="215"/>
      <c r="Q92" s="858"/>
      <c r="R92" s="215"/>
      <c r="S92" s="215"/>
      <c r="T92" s="559"/>
      <c r="U92" s="387"/>
      <c r="V92" s="387"/>
      <c r="W92" s="387"/>
      <c r="X92" s="387"/>
      <c r="Y92" s="387"/>
    </row>
    <row r="93" spans="1:25" ht="15" customHeight="1" x14ac:dyDescent="0.25">
      <c r="A93" s="562"/>
      <c r="B93" s="564"/>
      <c r="C93" s="553"/>
      <c r="D93" s="553"/>
      <c r="E93" s="553"/>
      <c r="F93" s="556"/>
      <c r="G93" s="1065" t="s">
        <v>2262</v>
      </c>
      <c r="H93" s="1065"/>
      <c r="I93" s="1065"/>
      <c r="J93" s="994">
        <f>0.044*0.9*0.6</f>
        <v>2.3759999999999996E-2</v>
      </c>
      <c r="K93" s="995"/>
      <c r="L93" s="557"/>
      <c r="M93" s="594"/>
      <c r="N93" s="223"/>
      <c r="O93" s="223"/>
      <c r="P93" s="223"/>
      <c r="Q93" s="276"/>
      <c r="R93" s="223"/>
      <c r="S93" s="223"/>
      <c r="T93" s="446"/>
      <c r="U93" s="387"/>
      <c r="V93" s="387"/>
      <c r="W93" s="387"/>
      <c r="X93" s="387"/>
      <c r="Y93" s="387"/>
    </row>
    <row r="94" spans="1:25" ht="15" customHeight="1" thickBot="1" x14ac:dyDescent="0.3">
      <c r="A94" s="346"/>
      <c r="B94" s="243"/>
      <c r="C94" s="244"/>
      <c r="D94" s="244"/>
      <c r="E94" s="244"/>
      <c r="F94" s="245"/>
      <c r="G94" s="1032" t="s">
        <v>1199</v>
      </c>
      <c r="H94" s="1032"/>
      <c r="I94" s="1032"/>
      <c r="J94" s="542"/>
      <c r="K94" s="247">
        <f>SUM(J93)</f>
        <v>2.3759999999999996E-2</v>
      </c>
      <c r="L94" s="542">
        <v>0.92</v>
      </c>
      <c r="M94" s="247">
        <f>K94/L94</f>
        <v>2.5826086956521735E-2</v>
      </c>
      <c r="N94" s="1032" t="s">
        <v>1199</v>
      </c>
      <c r="O94" s="1032"/>
      <c r="P94" s="1032"/>
      <c r="Q94" s="863"/>
      <c r="R94" s="435">
        <f>SUM(R92:R92)</f>
        <v>0</v>
      </c>
      <c r="S94" s="542">
        <v>0.92</v>
      </c>
      <c r="T94" s="436">
        <f>R94/S94</f>
        <v>0</v>
      </c>
      <c r="U94" s="387"/>
      <c r="V94" s="387"/>
      <c r="W94" s="387"/>
      <c r="X94" s="387"/>
      <c r="Y94" s="387"/>
    </row>
    <row r="95" spans="1:25" ht="15" customHeight="1" x14ac:dyDescent="0.25">
      <c r="A95" s="567" t="str">
        <f>Итоговая!C101</f>
        <v xml:space="preserve">ПС 35/10 кВ ДОЗ </v>
      </c>
      <c r="B95" s="564">
        <f>Итоговая!D101</f>
        <v>4</v>
      </c>
      <c r="C95" s="553" t="str">
        <f>Итоговая!E101</f>
        <v>+</v>
      </c>
      <c r="D95" s="553">
        <f>Итоговая!F101</f>
        <v>4</v>
      </c>
      <c r="E95" s="553"/>
      <c r="F95" s="556"/>
      <c r="G95" s="593"/>
      <c r="H95" s="593"/>
      <c r="I95" s="593"/>
      <c r="J95" s="593"/>
      <c r="K95" s="251"/>
      <c r="L95" s="593"/>
      <c r="M95" s="595"/>
      <c r="N95" s="593"/>
      <c r="O95" s="593"/>
      <c r="P95" s="593"/>
      <c r="Q95" s="860"/>
      <c r="R95" s="593"/>
      <c r="S95" s="593"/>
      <c r="T95" s="275"/>
      <c r="U95" s="387"/>
      <c r="V95" s="387"/>
      <c r="W95" s="387"/>
      <c r="X95" s="387"/>
      <c r="Y95" s="387"/>
    </row>
    <row r="96" spans="1:25" ht="15" customHeight="1" thickBot="1" x14ac:dyDescent="0.3">
      <c r="A96" s="567"/>
      <c r="B96" s="564"/>
      <c r="C96" s="553"/>
      <c r="D96" s="553"/>
      <c r="E96" s="553"/>
      <c r="F96" s="556"/>
      <c r="G96" s="1007" t="s">
        <v>1199</v>
      </c>
      <c r="H96" s="1007"/>
      <c r="I96" s="1007"/>
      <c r="J96" s="557"/>
      <c r="K96" s="231">
        <f>SUM(K95:K95)</f>
        <v>0</v>
      </c>
      <c r="L96" s="557">
        <v>0.92</v>
      </c>
      <c r="M96" s="231">
        <f>K96/L96</f>
        <v>0</v>
      </c>
      <c r="N96" s="1007" t="s">
        <v>1199</v>
      </c>
      <c r="O96" s="1007"/>
      <c r="P96" s="1007"/>
      <c r="Q96" s="859"/>
      <c r="R96" s="440">
        <f>SUM(R95:R95)</f>
        <v>0</v>
      </c>
      <c r="S96" s="557">
        <v>0.92</v>
      </c>
      <c r="T96" s="440">
        <f>R96/S96</f>
        <v>0</v>
      </c>
      <c r="U96" s="387"/>
      <c r="V96" s="387"/>
      <c r="W96" s="387"/>
      <c r="X96" s="387"/>
      <c r="Y96" s="387"/>
    </row>
    <row r="97" spans="1:25" ht="15" customHeight="1" x14ac:dyDescent="0.25">
      <c r="A97" s="1070" t="str">
        <f>Итоговая!C102</f>
        <v xml:space="preserve">ПС 35/10 кВ Дятлово </v>
      </c>
      <c r="B97" s="1072">
        <f>Итоговая!D102</f>
        <v>1.6</v>
      </c>
      <c r="C97" s="1067" t="str">
        <f>Итоговая!E102</f>
        <v>+</v>
      </c>
      <c r="D97" s="1067">
        <f>Итоговая!F102</f>
        <v>1.6</v>
      </c>
      <c r="E97" s="552"/>
      <c r="F97" s="555"/>
      <c r="G97" s="992" t="s">
        <v>1324</v>
      </c>
      <c r="H97" s="1063"/>
      <c r="I97" s="1063"/>
      <c r="J97" s="1063"/>
      <c r="K97" s="1063"/>
      <c r="L97" s="1063"/>
      <c r="M97" s="1063"/>
      <c r="N97" s="444"/>
      <c r="O97" s="444"/>
      <c r="P97" s="444"/>
      <c r="Q97" s="444"/>
      <c r="R97" s="444"/>
      <c r="S97" s="444"/>
      <c r="T97" s="445"/>
      <c r="U97" s="387"/>
      <c r="V97" s="387"/>
      <c r="W97" s="387"/>
      <c r="X97" s="387"/>
      <c r="Y97" s="387"/>
    </row>
    <row r="98" spans="1:25" ht="15" customHeight="1" x14ac:dyDescent="0.25">
      <c r="A98" s="1071"/>
      <c r="B98" s="1023"/>
      <c r="C98" s="1024"/>
      <c r="D98" s="1024"/>
      <c r="E98" s="553"/>
      <c r="F98" s="556"/>
      <c r="G98" s="727" t="s">
        <v>948</v>
      </c>
      <c r="H98" s="727" t="s">
        <v>949</v>
      </c>
      <c r="I98" s="727" t="s">
        <v>1459</v>
      </c>
      <c r="J98" s="727"/>
      <c r="K98" s="519">
        <v>0.1</v>
      </c>
      <c r="L98" s="727"/>
      <c r="M98" s="519"/>
      <c r="N98" s="272"/>
      <c r="O98" s="272"/>
      <c r="P98" s="272"/>
      <c r="Q98" s="272"/>
      <c r="R98" s="272"/>
      <c r="S98" s="272"/>
      <c r="T98" s="291"/>
      <c r="U98" s="387"/>
      <c r="V98" s="387"/>
      <c r="W98" s="387"/>
      <c r="X98" s="387"/>
      <c r="Y98" s="387"/>
    </row>
    <row r="99" spans="1:25" ht="15" customHeight="1" x14ac:dyDescent="0.25">
      <c r="A99" s="562"/>
      <c r="B99" s="564"/>
      <c r="C99" s="553"/>
      <c r="D99" s="553"/>
      <c r="E99" s="553"/>
      <c r="F99" s="556"/>
      <c r="G99" s="996" t="s">
        <v>18518</v>
      </c>
      <c r="H99" s="1064"/>
      <c r="I99" s="1064"/>
      <c r="J99" s="1064"/>
      <c r="K99" s="1064"/>
      <c r="L99" s="1064"/>
      <c r="M99" s="1064"/>
      <c r="N99" s="292"/>
      <c r="O99" s="292"/>
      <c r="P99" s="292"/>
      <c r="Q99" s="292"/>
      <c r="R99" s="292"/>
      <c r="S99" s="292"/>
      <c r="T99" s="293"/>
      <c r="U99" s="387"/>
      <c r="V99" s="387"/>
      <c r="W99" s="387"/>
      <c r="X99" s="387"/>
      <c r="Y99" s="387"/>
    </row>
    <row r="100" spans="1:25" ht="15" customHeight="1" x14ac:dyDescent="0.25">
      <c r="A100" s="562"/>
      <c r="B100" s="564"/>
      <c r="C100" s="553"/>
      <c r="D100" s="553"/>
      <c r="E100" s="553"/>
      <c r="F100" s="556"/>
      <c r="G100" s="1065" t="s">
        <v>2262</v>
      </c>
      <c r="H100" s="1065"/>
      <c r="I100" s="1065"/>
      <c r="J100" s="994">
        <f>0.113*0.9*0.6</f>
        <v>6.1019999999999998E-2</v>
      </c>
      <c r="K100" s="995"/>
      <c r="L100" s="557"/>
      <c r="M100" s="594"/>
      <c r="N100" s="292"/>
      <c r="O100" s="292"/>
      <c r="P100" s="292"/>
      <c r="Q100" s="292"/>
      <c r="R100" s="292"/>
      <c r="S100" s="292"/>
      <c r="T100" s="293"/>
      <c r="U100" s="387"/>
      <c r="V100" s="387"/>
      <c r="W100" s="387"/>
      <c r="X100" s="387"/>
      <c r="Y100" s="387"/>
    </row>
    <row r="101" spans="1:25" ht="15" customHeight="1" thickBot="1" x14ac:dyDescent="0.3">
      <c r="A101" s="346"/>
      <c r="B101" s="243"/>
      <c r="C101" s="244"/>
      <c r="D101" s="244"/>
      <c r="E101" s="244"/>
      <c r="F101" s="245"/>
      <c r="G101" s="1032" t="s">
        <v>1199</v>
      </c>
      <c r="H101" s="1032"/>
      <c r="I101" s="1032"/>
      <c r="J101" s="542"/>
      <c r="K101" s="247">
        <f>SUM(J100)</f>
        <v>6.1019999999999998E-2</v>
      </c>
      <c r="L101" s="542">
        <v>0.92</v>
      </c>
      <c r="M101" s="247">
        <f>K101/L101</f>
        <v>6.6326086956521729E-2</v>
      </c>
      <c r="N101" s="1032" t="s">
        <v>1199</v>
      </c>
      <c r="O101" s="1032"/>
      <c r="P101" s="1032"/>
      <c r="Q101" s="863"/>
      <c r="R101" s="435">
        <f>SUM(R98:R98)</f>
        <v>0</v>
      </c>
      <c r="S101" s="542">
        <v>0.92</v>
      </c>
      <c r="T101" s="436">
        <f>R101/S101</f>
        <v>0</v>
      </c>
      <c r="U101" s="387"/>
      <c r="V101" s="387"/>
      <c r="W101" s="387"/>
      <c r="X101" s="387"/>
      <c r="Y101" s="387"/>
    </row>
    <row r="102" spans="1:25" ht="15" customHeight="1" x14ac:dyDescent="0.25">
      <c r="A102" s="561" t="str">
        <f>Итоговая!C103</f>
        <v xml:space="preserve">ПС 35/10 кВ Есеновичи </v>
      </c>
      <c r="B102" s="563">
        <f>Итоговая!D103</f>
        <v>1.8</v>
      </c>
      <c r="C102" s="552" t="str">
        <f>Итоговая!E103</f>
        <v>+</v>
      </c>
      <c r="D102" s="552">
        <f>Итоговая!F103</f>
        <v>2.5</v>
      </c>
      <c r="E102" s="552"/>
      <c r="F102" s="555"/>
      <c r="G102" s="992" t="s">
        <v>18518</v>
      </c>
      <c r="H102" s="1063"/>
      <c r="I102" s="1063"/>
      <c r="J102" s="1063"/>
      <c r="K102" s="1063"/>
      <c r="L102" s="1063"/>
      <c r="M102" s="1063"/>
      <c r="N102" s="215"/>
      <c r="O102" s="215"/>
      <c r="P102" s="215"/>
      <c r="Q102" s="858"/>
      <c r="R102" s="215"/>
      <c r="S102" s="215"/>
      <c r="T102" s="559"/>
      <c r="U102" s="387"/>
      <c r="V102" s="387"/>
      <c r="W102" s="387"/>
      <c r="X102" s="387"/>
      <c r="Y102" s="387"/>
    </row>
    <row r="103" spans="1:25" ht="15" customHeight="1" x14ac:dyDescent="0.25">
      <c r="A103" s="562"/>
      <c r="B103" s="564"/>
      <c r="C103" s="553"/>
      <c r="D103" s="553"/>
      <c r="E103" s="553"/>
      <c r="F103" s="556"/>
      <c r="G103" s="1065" t="s">
        <v>2262</v>
      </c>
      <c r="H103" s="1065"/>
      <c r="I103" s="1065"/>
      <c r="J103" s="994">
        <f>0.019*0.9</f>
        <v>1.7100000000000001E-2</v>
      </c>
      <c r="K103" s="995"/>
      <c r="L103" s="557"/>
      <c r="M103" s="594"/>
      <c r="N103" s="223"/>
      <c r="O103" s="223"/>
      <c r="P103" s="223"/>
      <c r="Q103" s="276"/>
      <c r="R103" s="223"/>
      <c r="S103" s="223"/>
      <c r="T103" s="446"/>
      <c r="U103" s="387"/>
      <c r="V103" s="387"/>
      <c r="W103" s="387"/>
      <c r="X103" s="387"/>
      <c r="Y103" s="387"/>
    </row>
    <row r="104" spans="1:25" ht="15" customHeight="1" thickBot="1" x14ac:dyDescent="0.3">
      <c r="A104" s="346"/>
      <c r="B104" s="243"/>
      <c r="C104" s="244"/>
      <c r="D104" s="244"/>
      <c r="E104" s="244"/>
      <c r="F104" s="245"/>
      <c r="G104" s="1032" t="s">
        <v>1199</v>
      </c>
      <c r="H104" s="1032"/>
      <c r="I104" s="1032"/>
      <c r="J104" s="542"/>
      <c r="K104" s="247">
        <f>SUM(J103)</f>
        <v>1.7100000000000001E-2</v>
      </c>
      <c r="L104" s="542">
        <v>0.92</v>
      </c>
      <c r="M104" s="247">
        <f>K104/L104</f>
        <v>1.8586956521739129E-2</v>
      </c>
      <c r="N104" s="1032" t="s">
        <v>1199</v>
      </c>
      <c r="O104" s="1032"/>
      <c r="P104" s="1032"/>
      <c r="Q104" s="863"/>
      <c r="R104" s="435">
        <f>SUM(R102:R102)</f>
        <v>0</v>
      </c>
      <c r="S104" s="542">
        <v>0.92</v>
      </c>
      <c r="T104" s="436">
        <f>R104/S104</f>
        <v>0</v>
      </c>
      <c r="U104" s="387"/>
      <c r="V104" s="387"/>
      <c r="W104" s="387"/>
      <c r="X104" s="387"/>
      <c r="Y104" s="387"/>
    </row>
    <row r="105" spans="1:25" ht="15" customHeight="1" x14ac:dyDescent="0.25">
      <c r="A105" s="1092" t="str">
        <f>Итоговая!C104</f>
        <v xml:space="preserve">ПС 35/10 кВ ЖБИ  </v>
      </c>
      <c r="B105" s="1072">
        <f>Итоговая!D104</f>
        <v>2.5</v>
      </c>
      <c r="C105" s="1067" t="str">
        <f>Итоговая!E104</f>
        <v>+</v>
      </c>
      <c r="D105" s="1067">
        <f>Итоговая!F104</f>
        <v>2.5</v>
      </c>
      <c r="E105" s="1067"/>
      <c r="F105" s="1091"/>
      <c r="G105" s="992" t="s">
        <v>2011</v>
      </c>
      <c r="H105" s="1063"/>
      <c r="I105" s="1063"/>
      <c r="J105" s="1063"/>
      <c r="K105" s="1063"/>
      <c r="L105" s="1063"/>
      <c r="M105" s="1063"/>
      <c r="N105" s="558"/>
      <c r="O105" s="558"/>
      <c r="P105" s="558"/>
      <c r="Q105" s="858"/>
      <c r="R105" s="558"/>
      <c r="S105" s="558"/>
      <c r="T105" s="455"/>
      <c r="U105" s="387"/>
      <c r="V105" s="387"/>
      <c r="W105" s="387"/>
      <c r="X105" s="387"/>
      <c r="Y105" s="387"/>
    </row>
    <row r="106" spans="1:25" ht="15" customHeight="1" x14ac:dyDescent="0.25">
      <c r="A106" s="1093"/>
      <c r="B106" s="1023"/>
      <c r="C106" s="1024"/>
      <c r="D106" s="1024"/>
      <c r="E106" s="1024"/>
      <c r="F106" s="1025"/>
      <c r="G106" s="548" t="s">
        <v>1875</v>
      </c>
      <c r="H106" s="548" t="s">
        <v>2180</v>
      </c>
      <c r="I106" s="543" t="s">
        <v>2236</v>
      </c>
      <c r="J106" s="543"/>
      <c r="K106" s="205">
        <f>0.2*0.9</f>
        <v>0.18000000000000002</v>
      </c>
      <c r="L106" s="543"/>
      <c r="M106" s="519"/>
      <c r="N106" s="548"/>
      <c r="O106" s="548"/>
      <c r="P106" s="548"/>
      <c r="Q106" s="857"/>
      <c r="R106" s="548"/>
      <c r="S106" s="548"/>
      <c r="T106" s="560"/>
      <c r="U106" s="387"/>
      <c r="V106" s="387"/>
      <c r="W106" s="387"/>
      <c r="X106" s="387"/>
      <c r="Y106" s="387"/>
    </row>
    <row r="107" spans="1:25" ht="15" customHeight="1" thickBot="1" x14ac:dyDescent="0.3">
      <c r="A107" s="346"/>
      <c r="B107" s="243"/>
      <c r="C107" s="244"/>
      <c r="D107" s="244"/>
      <c r="E107" s="244"/>
      <c r="F107" s="245"/>
      <c r="G107" s="1032" t="s">
        <v>1199</v>
      </c>
      <c r="H107" s="1032"/>
      <c r="I107" s="1032"/>
      <c r="J107" s="542"/>
      <c r="K107" s="247">
        <f>SUM(0)</f>
        <v>0</v>
      </c>
      <c r="L107" s="542">
        <v>0.92</v>
      </c>
      <c r="M107" s="247">
        <f>K107/L107</f>
        <v>0</v>
      </c>
      <c r="N107" s="1032" t="s">
        <v>1199</v>
      </c>
      <c r="O107" s="1032"/>
      <c r="P107" s="1032"/>
      <c r="Q107" s="863"/>
      <c r="R107" s="435">
        <f>SUM(R106:R106)</f>
        <v>0</v>
      </c>
      <c r="S107" s="542">
        <v>0.92</v>
      </c>
      <c r="T107" s="436">
        <f>R107/S107</f>
        <v>0</v>
      </c>
      <c r="U107" s="387"/>
      <c r="V107" s="387"/>
      <c r="W107" s="387"/>
      <c r="X107" s="387"/>
      <c r="Y107" s="387"/>
    </row>
    <row r="108" spans="1:25" ht="15" customHeight="1" x14ac:dyDescent="0.25">
      <c r="A108" s="561" t="str">
        <f>Итоговая!C105</f>
        <v>ПС  35/10 кВ Заозерная</v>
      </c>
      <c r="B108" s="563">
        <f>Итоговая!D105</f>
        <v>6.3</v>
      </c>
      <c r="C108" s="552" t="str">
        <f>Итоговая!E105</f>
        <v>+</v>
      </c>
      <c r="D108" s="552">
        <f>Итоговая!F105</f>
        <v>6.3</v>
      </c>
      <c r="E108" s="552"/>
      <c r="F108" s="555"/>
      <c r="G108" s="992" t="s">
        <v>14933</v>
      </c>
      <c r="H108" s="1063"/>
      <c r="I108" s="1063"/>
      <c r="J108" s="1063"/>
      <c r="K108" s="1063"/>
      <c r="L108" s="1063"/>
      <c r="M108" s="1063"/>
      <c r="N108" s="215"/>
      <c r="O108" s="215"/>
      <c r="P108" s="215"/>
      <c r="Q108" s="858"/>
      <c r="R108" s="215"/>
      <c r="S108" s="215"/>
      <c r="T108" s="559"/>
      <c r="U108" s="387"/>
      <c r="V108" s="387"/>
      <c r="W108" s="387"/>
      <c r="X108" s="387"/>
      <c r="Y108" s="387"/>
    </row>
    <row r="109" spans="1:25" ht="15" customHeight="1" x14ac:dyDescent="0.25">
      <c r="A109" s="562"/>
      <c r="B109" s="564"/>
      <c r="C109" s="553"/>
      <c r="D109" s="553"/>
      <c r="E109" s="553"/>
      <c r="F109" s="556"/>
      <c r="G109" s="543" t="s">
        <v>18503</v>
      </c>
      <c r="H109" s="543" t="s">
        <v>18504</v>
      </c>
      <c r="I109" s="543" t="s">
        <v>18505</v>
      </c>
      <c r="J109" s="543"/>
      <c r="K109" s="205">
        <f>1.14141*0.75</f>
        <v>0.85605750000000003</v>
      </c>
      <c r="L109" s="543"/>
      <c r="M109" s="519"/>
      <c r="N109" s="543"/>
      <c r="O109" s="543"/>
      <c r="P109" s="543"/>
      <c r="Q109" s="857"/>
      <c r="R109" s="543"/>
      <c r="S109" s="543"/>
      <c r="T109" s="560"/>
      <c r="U109" s="387"/>
      <c r="V109" s="387"/>
      <c r="W109" s="387"/>
      <c r="X109" s="387"/>
      <c r="Y109" s="387"/>
    </row>
    <row r="110" spans="1:25" ht="15" customHeight="1" x14ac:dyDescent="0.25">
      <c r="A110" s="562"/>
      <c r="B110" s="564"/>
      <c r="C110" s="553"/>
      <c r="D110" s="553"/>
      <c r="E110" s="553"/>
      <c r="F110" s="556"/>
      <c r="G110" s="543" t="s">
        <v>19227</v>
      </c>
      <c r="H110" s="543" t="s">
        <v>19228</v>
      </c>
      <c r="I110" s="543" t="s">
        <v>19229</v>
      </c>
      <c r="J110" s="543"/>
      <c r="K110" s="205">
        <f>0.035*0.75</f>
        <v>2.6250000000000002E-2</v>
      </c>
      <c r="L110" s="543"/>
      <c r="M110" s="519"/>
      <c r="N110" s="557"/>
      <c r="O110" s="557"/>
      <c r="P110" s="557"/>
      <c r="Q110" s="859"/>
      <c r="R110" s="557"/>
      <c r="S110" s="557"/>
      <c r="T110" s="439"/>
      <c r="U110" s="387"/>
      <c r="V110" s="387"/>
      <c r="W110" s="387"/>
      <c r="X110" s="387"/>
      <c r="Y110" s="387"/>
    </row>
    <row r="111" spans="1:25" ht="15" customHeight="1" x14ac:dyDescent="0.25">
      <c r="A111" s="562"/>
      <c r="B111" s="564"/>
      <c r="C111" s="553"/>
      <c r="D111" s="553"/>
      <c r="E111" s="553"/>
      <c r="F111" s="556"/>
      <c r="G111" s="996" t="s">
        <v>18518</v>
      </c>
      <c r="H111" s="1064"/>
      <c r="I111" s="1064"/>
      <c r="J111" s="1064"/>
      <c r="K111" s="1064"/>
      <c r="L111" s="1064"/>
      <c r="M111" s="1064"/>
      <c r="N111" s="557"/>
      <c r="O111" s="557"/>
      <c r="P111" s="557"/>
      <c r="Q111" s="859"/>
      <c r="R111" s="557"/>
      <c r="S111" s="557"/>
      <c r="T111" s="439"/>
      <c r="U111" s="387"/>
      <c r="V111" s="387"/>
      <c r="W111" s="387"/>
      <c r="X111" s="387"/>
      <c r="Y111" s="387"/>
    </row>
    <row r="112" spans="1:25" ht="15" customHeight="1" x14ac:dyDescent="0.25">
      <c r="A112" s="562"/>
      <c r="B112" s="564"/>
      <c r="C112" s="553"/>
      <c r="D112" s="553"/>
      <c r="E112" s="553"/>
      <c r="F112" s="556"/>
      <c r="G112" s="557" t="s">
        <v>19227</v>
      </c>
      <c r="H112" s="557" t="s">
        <v>19228</v>
      </c>
      <c r="I112" s="557" t="s">
        <v>19691</v>
      </c>
      <c r="J112" s="557"/>
      <c r="K112" s="230">
        <f>0.035*0.75</f>
        <v>2.6250000000000002E-2</v>
      </c>
      <c r="L112" s="557"/>
      <c r="M112" s="594"/>
      <c r="N112" s="557"/>
      <c r="O112" s="557"/>
      <c r="P112" s="557"/>
      <c r="Q112" s="859"/>
      <c r="R112" s="557"/>
      <c r="S112" s="557"/>
      <c r="T112" s="439"/>
      <c r="U112" s="387"/>
      <c r="V112" s="387"/>
      <c r="W112" s="387"/>
      <c r="X112" s="387"/>
      <c r="Y112" s="387"/>
    </row>
    <row r="113" spans="1:25" ht="15" customHeight="1" thickBot="1" x14ac:dyDescent="0.3">
      <c r="A113" s="346"/>
      <c r="B113" s="243"/>
      <c r="C113" s="244"/>
      <c r="D113" s="244"/>
      <c r="E113" s="244"/>
      <c r="F113" s="245"/>
      <c r="G113" s="1032" t="s">
        <v>1199</v>
      </c>
      <c r="H113" s="1032"/>
      <c r="I113" s="1032"/>
      <c r="J113" s="542"/>
      <c r="K113" s="247">
        <f>SUM(J108:K112)</f>
        <v>0.90855750000000002</v>
      </c>
      <c r="L113" s="542">
        <v>0.92</v>
      </c>
      <c r="M113" s="247">
        <f>K113/L113</f>
        <v>0.98756250000000001</v>
      </c>
      <c r="N113" s="1032" t="s">
        <v>1199</v>
      </c>
      <c r="O113" s="1032"/>
      <c r="P113" s="1032"/>
      <c r="Q113" s="863"/>
      <c r="R113" s="435">
        <f>SUM(R108:R109)</f>
        <v>0</v>
      </c>
      <c r="S113" s="542">
        <v>0.92</v>
      </c>
      <c r="T113" s="436">
        <f>R113/S113</f>
        <v>0</v>
      </c>
      <c r="U113" s="387"/>
      <c r="V113" s="387"/>
      <c r="W113" s="387"/>
      <c r="X113" s="387"/>
      <c r="Y113" s="387"/>
    </row>
    <row r="114" spans="1:25" ht="15" customHeight="1" x14ac:dyDescent="0.25">
      <c r="A114" s="561" t="str">
        <f>Итоговая!C106</f>
        <v xml:space="preserve">ПС 35/10 кВ Княщины  </v>
      </c>
      <c r="B114" s="563">
        <f>Итоговая!D106</f>
        <v>2.5</v>
      </c>
      <c r="C114" s="552" t="str">
        <f>Итоговая!E106</f>
        <v>+</v>
      </c>
      <c r="D114" s="552">
        <f>Итоговая!F106</f>
        <v>2.5</v>
      </c>
      <c r="E114" s="552"/>
      <c r="F114" s="555"/>
      <c r="G114" s="215"/>
      <c r="H114" s="215"/>
      <c r="I114" s="215"/>
      <c r="J114" s="215"/>
      <c r="K114" s="216"/>
      <c r="L114" s="215"/>
      <c r="M114" s="264"/>
      <c r="N114" s="215"/>
      <c r="O114" s="215"/>
      <c r="P114" s="215"/>
      <c r="Q114" s="858"/>
      <c r="R114" s="215"/>
      <c r="S114" s="215"/>
      <c r="T114" s="559"/>
      <c r="U114" s="387"/>
      <c r="V114" s="387"/>
      <c r="W114" s="387"/>
      <c r="X114" s="387"/>
      <c r="Y114" s="387"/>
    </row>
    <row r="115" spans="1:25" ht="15" customHeight="1" thickBot="1" x14ac:dyDescent="0.3">
      <c r="A115" s="346"/>
      <c r="B115" s="243"/>
      <c r="C115" s="244"/>
      <c r="D115" s="244"/>
      <c r="E115" s="244"/>
      <c r="F115" s="245"/>
      <c r="G115" s="1032" t="s">
        <v>1199</v>
      </c>
      <c r="H115" s="1032"/>
      <c r="I115" s="1032"/>
      <c r="J115" s="542"/>
      <c r="K115" s="247">
        <f>SUM(K114:K114)</f>
        <v>0</v>
      </c>
      <c r="L115" s="542">
        <v>0.92</v>
      </c>
      <c r="M115" s="247">
        <f>K115/L115</f>
        <v>0</v>
      </c>
      <c r="N115" s="1032" t="s">
        <v>1199</v>
      </c>
      <c r="O115" s="1032"/>
      <c r="P115" s="1032"/>
      <c r="Q115" s="863"/>
      <c r="R115" s="435">
        <f>SUM(R114:R114)</f>
        <v>0</v>
      </c>
      <c r="S115" s="542">
        <v>0.92</v>
      </c>
      <c r="T115" s="436">
        <f>R115/S115</f>
        <v>0</v>
      </c>
      <c r="U115" s="387"/>
      <c r="V115" s="387"/>
      <c r="W115" s="387"/>
      <c r="X115" s="387"/>
      <c r="Y115" s="387"/>
    </row>
    <row r="116" spans="1:25" ht="15" customHeight="1" x14ac:dyDescent="0.25">
      <c r="A116" s="561" t="str">
        <f>Итоговая!C107</f>
        <v xml:space="preserve">ПС 35/10 кВ Козлово </v>
      </c>
      <c r="B116" s="563">
        <f>Итоговая!D107</f>
        <v>1.8</v>
      </c>
      <c r="C116" s="552" t="str">
        <f>Итоговая!E107</f>
        <v>+</v>
      </c>
      <c r="D116" s="552">
        <f>Итоговая!F107</f>
        <v>4</v>
      </c>
      <c r="E116" s="552"/>
      <c r="F116" s="555"/>
      <c r="G116" s="992" t="s">
        <v>2290</v>
      </c>
      <c r="H116" s="1063"/>
      <c r="I116" s="1063"/>
      <c r="J116" s="1063"/>
      <c r="K116" s="1063"/>
      <c r="L116" s="1063"/>
      <c r="M116" s="1063"/>
      <c r="N116" s="427"/>
      <c r="O116" s="427"/>
      <c r="P116" s="427"/>
      <c r="Q116" s="861"/>
      <c r="R116" s="427"/>
      <c r="S116" s="427"/>
      <c r="T116" s="589"/>
      <c r="U116" s="387"/>
      <c r="V116" s="387"/>
      <c r="W116" s="387"/>
      <c r="X116" s="387"/>
      <c r="Y116" s="387"/>
    </row>
    <row r="117" spans="1:25" ht="15" customHeight="1" x14ac:dyDescent="0.25">
      <c r="A117" s="562"/>
      <c r="B117" s="564"/>
      <c r="C117" s="553"/>
      <c r="D117" s="553"/>
      <c r="E117" s="553"/>
      <c r="F117" s="556"/>
      <c r="G117" s="725" t="s">
        <v>2406</v>
      </c>
      <c r="H117" s="725" t="s">
        <v>2407</v>
      </c>
      <c r="I117" s="725" t="s">
        <v>13387</v>
      </c>
      <c r="J117" s="725"/>
      <c r="K117" s="286">
        <f>0.15*0.75</f>
        <v>0.11249999999999999</v>
      </c>
      <c r="L117" s="725"/>
      <c r="M117" s="302"/>
      <c r="N117" s="596"/>
      <c r="O117" s="596"/>
      <c r="P117" s="596"/>
      <c r="Q117" s="862"/>
      <c r="R117" s="596"/>
      <c r="S117" s="596"/>
      <c r="T117" s="591"/>
      <c r="U117" s="387"/>
      <c r="V117" s="387"/>
      <c r="W117" s="387"/>
      <c r="X117" s="387"/>
      <c r="Y117" s="387"/>
    </row>
    <row r="118" spans="1:25" ht="15" customHeight="1" x14ac:dyDescent="0.25">
      <c r="A118" s="562"/>
      <c r="B118" s="564"/>
      <c r="C118" s="553"/>
      <c r="D118" s="553"/>
      <c r="E118" s="553"/>
      <c r="F118" s="556"/>
      <c r="G118" s="996" t="s">
        <v>18518</v>
      </c>
      <c r="H118" s="1064"/>
      <c r="I118" s="1064"/>
      <c r="J118" s="1064"/>
      <c r="K118" s="1064"/>
      <c r="L118" s="1064"/>
      <c r="M118" s="1064"/>
      <c r="N118" s="596"/>
      <c r="O118" s="596"/>
      <c r="P118" s="596"/>
      <c r="Q118" s="862"/>
      <c r="R118" s="596"/>
      <c r="S118" s="596"/>
      <c r="T118" s="591"/>
      <c r="U118" s="387"/>
      <c r="V118" s="387"/>
      <c r="W118" s="387"/>
      <c r="X118" s="387"/>
      <c r="Y118" s="387"/>
    </row>
    <row r="119" spans="1:25" ht="15" customHeight="1" x14ac:dyDescent="0.25">
      <c r="A119" s="562"/>
      <c r="B119" s="564"/>
      <c r="C119" s="553"/>
      <c r="D119" s="553"/>
      <c r="E119" s="553"/>
      <c r="F119" s="556"/>
      <c r="G119" s="1065" t="s">
        <v>2262</v>
      </c>
      <c r="H119" s="1065"/>
      <c r="I119" s="1065"/>
      <c r="J119" s="993">
        <f>0.043*0.9*0.6</f>
        <v>2.3219999999999998E-2</v>
      </c>
      <c r="K119" s="993"/>
      <c r="L119" s="724"/>
      <c r="M119" s="519"/>
      <c r="N119" s="596"/>
      <c r="O119" s="596"/>
      <c r="P119" s="596"/>
      <c r="Q119" s="862"/>
      <c r="R119" s="596"/>
      <c r="S119" s="596"/>
      <c r="T119" s="591"/>
      <c r="U119" s="387"/>
      <c r="V119" s="387"/>
      <c r="W119" s="387"/>
      <c r="X119" s="387"/>
      <c r="Y119" s="387"/>
    </row>
    <row r="120" spans="1:25" ht="15" customHeight="1" thickBot="1" x14ac:dyDescent="0.3">
      <c r="A120" s="346"/>
      <c r="B120" s="243"/>
      <c r="C120" s="244"/>
      <c r="D120" s="244"/>
      <c r="E120" s="244"/>
      <c r="F120" s="245"/>
      <c r="G120" s="1066" t="s">
        <v>1199</v>
      </c>
      <c r="H120" s="1066"/>
      <c r="I120" s="1066"/>
      <c r="J120" s="554"/>
      <c r="K120" s="456">
        <f>SUM(J119)</f>
        <v>2.3219999999999998E-2</v>
      </c>
      <c r="L120" s="554">
        <v>0.92</v>
      </c>
      <c r="M120" s="456">
        <f>K120/L120</f>
        <v>2.5239130434782604E-2</v>
      </c>
      <c r="N120" s="1066" t="s">
        <v>1199</v>
      </c>
      <c r="O120" s="1066"/>
      <c r="P120" s="1066"/>
      <c r="Q120" s="632"/>
      <c r="R120" s="457">
        <f>SUM(R116:R116)</f>
        <v>0</v>
      </c>
      <c r="S120" s="554">
        <v>0.92</v>
      </c>
      <c r="T120" s="458">
        <f>R120/S120</f>
        <v>0</v>
      </c>
      <c r="U120" s="387"/>
      <c r="V120" s="387"/>
      <c r="W120" s="387"/>
      <c r="X120" s="387"/>
      <c r="Y120" s="387"/>
    </row>
    <row r="121" spans="1:25" ht="15" customHeight="1" x14ac:dyDescent="0.25">
      <c r="A121" s="561" t="str">
        <f>Итоговая!C108</f>
        <v xml:space="preserve">ПС 35/10 кВ Красное Знамя </v>
      </c>
      <c r="B121" s="563">
        <f>Итоговая!D108</f>
        <v>1.6</v>
      </c>
      <c r="C121" s="552" t="str">
        <f>Итоговая!E108</f>
        <v>+</v>
      </c>
      <c r="D121" s="552">
        <f>Итоговая!F108</f>
        <v>1.8</v>
      </c>
      <c r="E121" s="552"/>
      <c r="F121" s="555"/>
      <c r="G121" s="427"/>
      <c r="H121" s="427"/>
      <c r="I121" s="427"/>
      <c r="J121" s="427"/>
      <c r="K121" s="459"/>
      <c r="L121" s="427"/>
      <c r="M121" s="460"/>
      <c r="N121" s="427"/>
      <c r="O121" s="427"/>
      <c r="P121" s="427"/>
      <c r="Q121" s="861"/>
      <c r="R121" s="427"/>
      <c r="S121" s="427"/>
      <c r="T121" s="589"/>
      <c r="U121" s="387"/>
      <c r="V121" s="387"/>
      <c r="W121" s="387"/>
      <c r="X121" s="387"/>
      <c r="Y121" s="387"/>
    </row>
    <row r="122" spans="1:25" ht="15" customHeight="1" thickBot="1" x14ac:dyDescent="0.3">
      <c r="A122" s="346"/>
      <c r="B122" s="243"/>
      <c r="C122" s="244"/>
      <c r="D122" s="244"/>
      <c r="E122" s="244"/>
      <c r="F122" s="245"/>
      <c r="G122" s="1066" t="s">
        <v>1199</v>
      </c>
      <c r="H122" s="1066"/>
      <c r="I122" s="1066"/>
      <c r="J122" s="554"/>
      <c r="K122" s="456">
        <f>SUM(K121:K121)</f>
        <v>0</v>
      </c>
      <c r="L122" s="554">
        <v>0.92</v>
      </c>
      <c r="M122" s="456">
        <f>K122/L122</f>
        <v>0</v>
      </c>
      <c r="N122" s="1066" t="s">
        <v>1199</v>
      </c>
      <c r="O122" s="1066"/>
      <c r="P122" s="1066"/>
      <c r="Q122" s="632"/>
      <c r="R122" s="457">
        <f>SUM(R121:R121)</f>
        <v>0</v>
      </c>
      <c r="S122" s="554">
        <v>0.92</v>
      </c>
      <c r="T122" s="458">
        <f>R122/S122</f>
        <v>0</v>
      </c>
      <c r="U122" s="387"/>
      <c r="V122" s="387"/>
      <c r="W122" s="387"/>
      <c r="X122" s="387"/>
      <c r="Y122" s="387"/>
    </row>
    <row r="123" spans="1:25" ht="15" customHeight="1" x14ac:dyDescent="0.25">
      <c r="A123" s="561" t="str">
        <f>Итоговая!C109</f>
        <v xml:space="preserve">ПС 35/6 кВ Красный Май </v>
      </c>
      <c r="B123" s="563">
        <f>Итоговая!D109</f>
        <v>10</v>
      </c>
      <c r="C123" s="552" t="str">
        <f>Итоговая!E109</f>
        <v>+</v>
      </c>
      <c r="D123" s="552">
        <f>Итоговая!F109</f>
        <v>10</v>
      </c>
      <c r="E123" s="552"/>
      <c r="F123" s="555"/>
      <c r="G123" s="992" t="s">
        <v>2290</v>
      </c>
      <c r="H123" s="1063"/>
      <c r="I123" s="1063"/>
      <c r="J123" s="1063"/>
      <c r="K123" s="1063"/>
      <c r="L123" s="1063"/>
      <c r="M123" s="1063"/>
      <c r="N123" s="992" t="s">
        <v>14933</v>
      </c>
      <c r="O123" s="1063"/>
      <c r="P123" s="1063"/>
      <c r="Q123" s="1063"/>
      <c r="R123" s="1063"/>
      <c r="S123" s="1063"/>
      <c r="T123" s="1063"/>
      <c r="U123" s="387"/>
      <c r="V123" s="387"/>
      <c r="W123" s="387"/>
      <c r="X123" s="387"/>
      <c r="Y123" s="387"/>
    </row>
    <row r="124" spans="1:25" ht="15" customHeight="1" x14ac:dyDescent="0.25">
      <c r="A124" s="562"/>
      <c r="B124" s="564"/>
      <c r="C124" s="553"/>
      <c r="D124" s="553"/>
      <c r="E124" s="553"/>
      <c r="F124" s="556"/>
      <c r="G124" s="543"/>
      <c r="H124" s="543"/>
      <c r="I124" s="543"/>
      <c r="J124" s="543"/>
      <c r="K124" s="205"/>
      <c r="L124" s="543"/>
      <c r="M124" s="519"/>
      <c r="N124" s="543" t="s">
        <v>2246</v>
      </c>
      <c r="O124" s="543" t="s">
        <v>2271</v>
      </c>
      <c r="P124" s="543" t="s">
        <v>17208</v>
      </c>
      <c r="Q124" s="857"/>
      <c r="R124" s="543">
        <v>0.67462</v>
      </c>
      <c r="S124" s="543"/>
      <c r="T124" s="560"/>
      <c r="U124" s="387"/>
      <c r="V124" s="387"/>
      <c r="W124" s="387"/>
      <c r="X124" s="387"/>
      <c r="Y124" s="387"/>
    </row>
    <row r="125" spans="1:25" ht="15" customHeight="1" thickBot="1" x14ac:dyDescent="0.3">
      <c r="A125" s="346"/>
      <c r="B125" s="243"/>
      <c r="C125" s="244"/>
      <c r="D125" s="244"/>
      <c r="E125" s="244"/>
      <c r="F125" s="245"/>
      <c r="G125" s="1032" t="s">
        <v>1199</v>
      </c>
      <c r="H125" s="1032"/>
      <c r="I125" s="1032"/>
      <c r="J125" s="542"/>
      <c r="K125" s="247">
        <f>SUM(K124)</f>
        <v>0</v>
      </c>
      <c r="L125" s="542">
        <v>0.92</v>
      </c>
      <c r="M125" s="247">
        <f>K125/L125</f>
        <v>0</v>
      </c>
      <c r="N125" s="1032" t="s">
        <v>1199</v>
      </c>
      <c r="O125" s="1032"/>
      <c r="P125" s="1032"/>
      <c r="Q125" s="863"/>
      <c r="R125" s="435">
        <f>SUM(R123:R124)</f>
        <v>0.67462</v>
      </c>
      <c r="S125" s="542">
        <v>0.92</v>
      </c>
      <c r="T125" s="436">
        <f>R125/S125</f>
        <v>0.73328260869565209</v>
      </c>
      <c r="U125" s="387"/>
      <c r="V125" s="387"/>
      <c r="W125" s="387"/>
      <c r="X125" s="387"/>
      <c r="Y125" s="387"/>
    </row>
    <row r="126" spans="1:25" ht="15" customHeight="1" x14ac:dyDescent="0.25">
      <c r="A126" s="1070" t="str">
        <f>Итоговая!C110</f>
        <v xml:space="preserve">ПС 35/10 кВ Куженкино </v>
      </c>
      <c r="B126" s="1072">
        <f>Итоговая!D110</f>
        <v>2.5</v>
      </c>
      <c r="C126" s="1067" t="str">
        <f>Итоговая!E110</f>
        <v>+</v>
      </c>
      <c r="D126" s="1067">
        <f>Итоговая!F110</f>
        <v>2.5</v>
      </c>
      <c r="E126" s="552"/>
      <c r="F126" s="555"/>
      <c r="G126" s="992" t="s">
        <v>1324</v>
      </c>
      <c r="H126" s="1063"/>
      <c r="I126" s="1063"/>
      <c r="J126" s="1063"/>
      <c r="K126" s="1063"/>
      <c r="L126" s="1063"/>
      <c r="M126" s="1063"/>
      <c r="N126" s="444"/>
      <c r="O126" s="444"/>
      <c r="P126" s="444"/>
      <c r="Q126" s="444"/>
      <c r="R126" s="444"/>
      <c r="S126" s="444"/>
      <c r="T126" s="445"/>
      <c r="U126" s="387"/>
      <c r="V126" s="387"/>
      <c r="W126" s="387"/>
      <c r="X126" s="387"/>
      <c r="Y126" s="387"/>
    </row>
    <row r="127" spans="1:25" ht="15" customHeight="1" x14ac:dyDescent="0.25">
      <c r="A127" s="1071"/>
      <c r="B127" s="1023"/>
      <c r="C127" s="1024"/>
      <c r="D127" s="1024"/>
      <c r="E127" s="553"/>
      <c r="F127" s="556"/>
      <c r="G127" s="548" t="s">
        <v>3</v>
      </c>
      <c r="H127" s="548" t="s">
        <v>4</v>
      </c>
      <c r="I127" s="548" t="s">
        <v>1494</v>
      </c>
      <c r="J127" s="548"/>
      <c r="K127" s="519">
        <v>0.08</v>
      </c>
      <c r="L127" s="548"/>
      <c r="M127" s="519"/>
      <c r="N127" s="272"/>
      <c r="O127" s="272"/>
      <c r="P127" s="272"/>
      <c r="Q127" s="272"/>
      <c r="R127" s="272"/>
      <c r="S127" s="272"/>
      <c r="T127" s="291"/>
      <c r="U127" s="387"/>
      <c r="V127" s="387"/>
      <c r="W127" s="387"/>
      <c r="X127" s="387"/>
      <c r="Y127" s="387"/>
    </row>
    <row r="128" spans="1:25" ht="15" customHeight="1" x14ac:dyDescent="0.25">
      <c r="A128" s="562"/>
      <c r="B128" s="564"/>
      <c r="C128" s="553"/>
      <c r="D128" s="553"/>
      <c r="E128" s="553"/>
      <c r="F128" s="556"/>
      <c r="G128" s="996" t="s">
        <v>2011</v>
      </c>
      <c r="H128" s="1064"/>
      <c r="I128" s="1064"/>
      <c r="J128" s="1064"/>
      <c r="K128" s="1064"/>
      <c r="L128" s="1064"/>
      <c r="M128" s="1064"/>
      <c r="N128" s="272"/>
      <c r="O128" s="272"/>
      <c r="P128" s="272"/>
      <c r="Q128" s="272"/>
      <c r="R128" s="272"/>
      <c r="S128" s="272"/>
      <c r="T128" s="291"/>
      <c r="U128" s="387"/>
      <c r="V128" s="387"/>
      <c r="W128" s="387"/>
      <c r="X128" s="387"/>
      <c r="Y128" s="387"/>
    </row>
    <row r="129" spans="1:25" ht="15" customHeight="1" x14ac:dyDescent="0.25">
      <c r="A129" s="562"/>
      <c r="B129" s="564"/>
      <c r="C129" s="553"/>
      <c r="D129" s="553"/>
      <c r="E129" s="553"/>
      <c r="F129" s="556"/>
      <c r="G129" s="548" t="s">
        <v>2035</v>
      </c>
      <c r="H129" s="548" t="s">
        <v>2036</v>
      </c>
      <c r="I129" s="548" t="s">
        <v>2052</v>
      </c>
      <c r="J129" s="548"/>
      <c r="K129" s="519">
        <f>0.16*0.9</f>
        <v>0.14400000000000002</v>
      </c>
      <c r="L129" s="548"/>
      <c r="M129" s="519"/>
      <c r="N129" s="272"/>
      <c r="O129" s="272"/>
      <c r="P129" s="272"/>
      <c r="Q129" s="272"/>
      <c r="R129" s="272"/>
      <c r="S129" s="272"/>
      <c r="T129" s="291"/>
      <c r="U129" s="387"/>
      <c r="V129" s="387"/>
      <c r="W129" s="387"/>
      <c r="X129" s="387"/>
      <c r="Y129" s="387"/>
    </row>
    <row r="130" spans="1:25" ht="15" customHeight="1" x14ac:dyDescent="0.25">
      <c r="A130" s="562"/>
      <c r="B130" s="564"/>
      <c r="C130" s="553"/>
      <c r="D130" s="553"/>
      <c r="E130" s="553"/>
      <c r="F130" s="556"/>
      <c r="G130" s="996" t="s">
        <v>2290</v>
      </c>
      <c r="H130" s="1064"/>
      <c r="I130" s="1064"/>
      <c r="J130" s="1064"/>
      <c r="K130" s="1064"/>
      <c r="L130" s="1064"/>
      <c r="M130" s="1064"/>
      <c r="N130" s="272"/>
      <c r="O130" s="272"/>
      <c r="P130" s="272"/>
      <c r="Q130" s="272"/>
      <c r="R130" s="272"/>
      <c r="S130" s="272"/>
      <c r="T130" s="291"/>
      <c r="U130" s="387"/>
      <c r="V130" s="387"/>
      <c r="W130" s="387"/>
      <c r="X130" s="387"/>
      <c r="Y130" s="387"/>
    </row>
    <row r="131" spans="1:25" ht="15" customHeight="1" x14ac:dyDescent="0.25">
      <c r="A131" s="562"/>
      <c r="B131" s="564"/>
      <c r="C131" s="553"/>
      <c r="D131" s="553"/>
      <c r="E131" s="553"/>
      <c r="F131" s="556"/>
      <c r="G131" s="548" t="s">
        <v>14818</v>
      </c>
      <c r="H131" s="548" t="s">
        <v>14819</v>
      </c>
      <c r="I131" s="548" t="s">
        <v>14836</v>
      </c>
      <c r="J131" s="548"/>
      <c r="K131" s="519">
        <f>0.5*0.75</f>
        <v>0.375</v>
      </c>
      <c r="L131" s="548"/>
      <c r="M131" s="519"/>
      <c r="N131" s="272"/>
      <c r="O131" s="272"/>
      <c r="P131" s="272"/>
      <c r="Q131" s="272"/>
      <c r="R131" s="272"/>
      <c r="S131" s="272"/>
      <c r="T131" s="291"/>
      <c r="U131" s="387"/>
      <c r="V131" s="387"/>
      <c r="W131" s="387"/>
      <c r="X131" s="387"/>
      <c r="Y131" s="387"/>
    </row>
    <row r="132" spans="1:25" ht="15" customHeight="1" x14ac:dyDescent="0.25">
      <c r="A132" s="562"/>
      <c r="B132" s="564"/>
      <c r="C132" s="553"/>
      <c r="D132" s="553"/>
      <c r="E132" s="553"/>
      <c r="F132" s="556"/>
      <c r="G132" s="996" t="s">
        <v>14933</v>
      </c>
      <c r="H132" s="1064"/>
      <c r="I132" s="1064"/>
      <c r="J132" s="1064"/>
      <c r="K132" s="1064"/>
      <c r="L132" s="1064"/>
      <c r="M132" s="1064"/>
      <c r="N132" s="272"/>
      <c r="O132" s="272"/>
      <c r="P132" s="272"/>
      <c r="Q132" s="272"/>
      <c r="R132" s="272"/>
      <c r="S132" s="272"/>
      <c r="T132" s="291"/>
      <c r="U132" s="387"/>
      <c r="V132" s="387"/>
      <c r="W132" s="387"/>
      <c r="X132" s="387"/>
      <c r="Y132" s="387"/>
    </row>
    <row r="133" spans="1:25" ht="15" customHeight="1" x14ac:dyDescent="0.25">
      <c r="A133" s="562"/>
      <c r="B133" s="564"/>
      <c r="C133" s="553"/>
      <c r="D133" s="553"/>
      <c r="E133" s="553"/>
      <c r="F133" s="556"/>
      <c r="G133" s="548" t="s">
        <v>14919</v>
      </c>
      <c r="H133" s="548" t="s">
        <v>14920</v>
      </c>
      <c r="I133" s="548" t="s">
        <v>14985</v>
      </c>
      <c r="J133" s="548"/>
      <c r="K133" s="519">
        <f>0.1*0.9</f>
        <v>9.0000000000000011E-2</v>
      </c>
      <c r="L133" s="548"/>
      <c r="M133" s="519"/>
      <c r="N133" s="272"/>
      <c r="O133" s="272"/>
      <c r="P133" s="272"/>
      <c r="Q133" s="272"/>
      <c r="R133" s="272"/>
      <c r="S133" s="272"/>
      <c r="T133" s="291"/>
      <c r="U133" s="387"/>
      <c r="V133" s="387"/>
      <c r="W133" s="387"/>
      <c r="X133" s="387"/>
      <c r="Y133" s="387"/>
    </row>
    <row r="134" spans="1:25" ht="15" customHeight="1" x14ac:dyDescent="0.25">
      <c r="A134" s="562"/>
      <c r="B134" s="564"/>
      <c r="C134" s="553"/>
      <c r="D134" s="553"/>
      <c r="E134" s="553"/>
      <c r="F134" s="556"/>
      <c r="G134" s="548" t="s">
        <v>17334</v>
      </c>
      <c r="H134" s="548" t="s">
        <v>17335</v>
      </c>
      <c r="I134" s="548" t="s">
        <v>17336</v>
      </c>
      <c r="J134" s="548"/>
      <c r="K134" s="519">
        <f>0.075*0.9</f>
        <v>6.7500000000000004E-2</v>
      </c>
      <c r="L134" s="548"/>
      <c r="M134" s="519"/>
      <c r="N134" s="272"/>
      <c r="O134" s="272"/>
      <c r="P134" s="272"/>
      <c r="Q134" s="272"/>
      <c r="R134" s="272"/>
      <c r="S134" s="272"/>
      <c r="T134" s="291"/>
      <c r="U134" s="387"/>
      <c r="V134" s="387"/>
      <c r="W134" s="387"/>
      <c r="X134" s="387"/>
      <c r="Y134" s="387"/>
    </row>
    <row r="135" spans="1:25" ht="15" customHeight="1" x14ac:dyDescent="0.25">
      <c r="A135" s="562"/>
      <c r="B135" s="564"/>
      <c r="C135" s="553"/>
      <c r="D135" s="553"/>
      <c r="E135" s="553"/>
      <c r="F135" s="556"/>
      <c r="G135" s="548" t="s">
        <v>13409</v>
      </c>
      <c r="H135" s="548" t="s">
        <v>17390</v>
      </c>
      <c r="I135" s="548" t="s">
        <v>17391</v>
      </c>
      <c r="J135" s="548"/>
      <c r="K135" s="519">
        <f>0.025*0.9</f>
        <v>2.2500000000000003E-2</v>
      </c>
      <c r="L135" s="548"/>
      <c r="M135" s="519"/>
      <c r="N135" s="272"/>
      <c r="O135" s="272"/>
      <c r="P135" s="272"/>
      <c r="Q135" s="272"/>
      <c r="R135" s="272"/>
      <c r="S135" s="272"/>
      <c r="T135" s="291"/>
      <c r="U135" s="387"/>
      <c r="V135" s="387"/>
      <c r="W135" s="387"/>
      <c r="X135" s="387"/>
      <c r="Y135" s="387"/>
    </row>
    <row r="136" spans="1:25" ht="15" customHeight="1" x14ac:dyDescent="0.25">
      <c r="A136" s="562"/>
      <c r="B136" s="564"/>
      <c r="C136" s="553"/>
      <c r="D136" s="553"/>
      <c r="E136" s="553"/>
      <c r="F136" s="556"/>
      <c r="G136" s="548" t="s">
        <v>17392</v>
      </c>
      <c r="H136" s="548" t="s">
        <v>17393</v>
      </c>
      <c r="I136" s="548" t="s">
        <v>17394</v>
      </c>
      <c r="J136" s="548"/>
      <c r="K136" s="519">
        <f>0.025*0.9</f>
        <v>2.2500000000000003E-2</v>
      </c>
      <c r="L136" s="548"/>
      <c r="M136" s="519"/>
      <c r="N136" s="272"/>
      <c r="O136" s="272"/>
      <c r="P136" s="272"/>
      <c r="Q136" s="272"/>
      <c r="R136" s="272"/>
      <c r="S136" s="272"/>
      <c r="T136" s="291"/>
      <c r="U136" s="387"/>
      <c r="V136" s="387"/>
      <c r="W136" s="387"/>
      <c r="X136" s="387"/>
      <c r="Y136" s="387"/>
    </row>
    <row r="137" spans="1:25" ht="15" customHeight="1" x14ac:dyDescent="0.25">
      <c r="A137" s="562"/>
      <c r="B137" s="564"/>
      <c r="C137" s="553"/>
      <c r="D137" s="553"/>
      <c r="E137" s="553"/>
      <c r="F137" s="556"/>
      <c r="G137" s="548" t="s">
        <v>17421</v>
      </c>
      <c r="H137" s="548" t="s">
        <v>17422</v>
      </c>
      <c r="I137" s="548" t="s">
        <v>17423</v>
      </c>
      <c r="J137" s="548"/>
      <c r="K137" s="519">
        <f>0.03*0.9</f>
        <v>2.7E-2</v>
      </c>
      <c r="L137" s="548"/>
      <c r="M137" s="519"/>
      <c r="N137" s="272"/>
      <c r="O137" s="272"/>
      <c r="P137" s="272"/>
      <c r="Q137" s="272"/>
      <c r="R137" s="272"/>
      <c r="S137" s="272"/>
      <c r="T137" s="291"/>
      <c r="U137" s="387"/>
      <c r="V137" s="387"/>
      <c r="W137" s="387"/>
      <c r="X137" s="387"/>
      <c r="Y137" s="387"/>
    </row>
    <row r="138" spans="1:25" ht="15" customHeight="1" x14ac:dyDescent="0.25">
      <c r="A138" s="562"/>
      <c r="B138" s="564"/>
      <c r="C138" s="553"/>
      <c r="D138" s="553"/>
      <c r="E138" s="553"/>
      <c r="F138" s="556"/>
      <c r="G138" s="548" t="s">
        <v>2246</v>
      </c>
      <c r="H138" s="548" t="s">
        <v>17487</v>
      </c>
      <c r="I138" s="548" t="s">
        <v>17488</v>
      </c>
      <c r="J138" s="548"/>
      <c r="K138" s="519">
        <f>0.14*0.75</f>
        <v>0.10500000000000001</v>
      </c>
      <c r="L138" s="548"/>
      <c r="M138" s="519"/>
      <c r="N138" s="272"/>
      <c r="O138" s="272"/>
      <c r="P138" s="272"/>
      <c r="Q138" s="272"/>
      <c r="R138" s="272"/>
      <c r="S138" s="272"/>
      <c r="T138" s="291"/>
      <c r="U138" s="387"/>
      <c r="V138" s="387"/>
      <c r="W138" s="387"/>
      <c r="X138" s="387"/>
      <c r="Y138" s="387"/>
    </row>
    <row r="139" spans="1:25" ht="15" customHeight="1" x14ac:dyDescent="0.25">
      <c r="A139" s="562"/>
      <c r="B139" s="564"/>
      <c r="C139" s="553"/>
      <c r="D139" s="553"/>
      <c r="E139" s="553"/>
      <c r="F139" s="556"/>
      <c r="G139" s="996" t="s">
        <v>18518</v>
      </c>
      <c r="H139" s="1064"/>
      <c r="I139" s="1064"/>
      <c r="J139" s="1064"/>
      <c r="K139" s="1064"/>
      <c r="L139" s="1064"/>
      <c r="M139" s="1064"/>
      <c r="N139" s="292"/>
      <c r="O139" s="292"/>
      <c r="P139" s="292"/>
      <c r="Q139" s="292"/>
      <c r="R139" s="292"/>
      <c r="S139" s="292"/>
      <c r="T139" s="293"/>
      <c r="U139" s="387"/>
      <c r="V139" s="387"/>
      <c r="W139" s="387"/>
      <c r="X139" s="387"/>
      <c r="Y139" s="387"/>
    </row>
    <row r="140" spans="1:25" ht="15" customHeight="1" x14ac:dyDescent="0.25">
      <c r="A140" s="562"/>
      <c r="B140" s="564"/>
      <c r="C140" s="553"/>
      <c r="D140" s="553"/>
      <c r="E140" s="553"/>
      <c r="F140" s="556"/>
      <c r="G140" s="1065" t="s">
        <v>2262</v>
      </c>
      <c r="H140" s="1065"/>
      <c r="I140" s="1065"/>
      <c r="J140" s="994">
        <f>0.119*0.9*0.6</f>
        <v>6.4259999999999998E-2</v>
      </c>
      <c r="K140" s="995"/>
      <c r="L140" s="557"/>
      <c r="M140" s="594"/>
      <c r="N140" s="292"/>
      <c r="O140" s="292"/>
      <c r="P140" s="292"/>
      <c r="Q140" s="292"/>
      <c r="R140" s="292"/>
      <c r="S140" s="292"/>
      <c r="T140" s="293"/>
      <c r="U140" s="387"/>
      <c r="V140" s="387"/>
      <c r="W140" s="387"/>
      <c r="X140" s="387"/>
      <c r="Y140" s="387"/>
    </row>
    <row r="141" spans="1:25" ht="15" customHeight="1" thickBot="1" x14ac:dyDescent="0.3">
      <c r="A141" s="346"/>
      <c r="B141" s="243"/>
      <c r="C141" s="244"/>
      <c r="D141" s="244"/>
      <c r="E141" s="244"/>
      <c r="F141" s="245"/>
      <c r="G141" s="1032" t="s">
        <v>1199</v>
      </c>
      <c r="H141" s="1032"/>
      <c r="I141" s="1032"/>
      <c r="J141" s="542"/>
      <c r="K141" s="247">
        <f>SUM(J133:K140)</f>
        <v>0.39876</v>
      </c>
      <c r="L141" s="542">
        <v>0.92</v>
      </c>
      <c r="M141" s="247">
        <f>K141/L141</f>
        <v>0.43343478260869561</v>
      </c>
      <c r="N141" s="1032" t="s">
        <v>1199</v>
      </c>
      <c r="O141" s="1032"/>
      <c r="P141" s="1032"/>
      <c r="Q141" s="863"/>
      <c r="R141" s="435">
        <f>SUM(R127:R127)</f>
        <v>0</v>
      </c>
      <c r="S141" s="542">
        <v>0.92</v>
      </c>
      <c r="T141" s="436">
        <f>R141/S141</f>
        <v>0</v>
      </c>
      <c r="U141" s="387"/>
      <c r="V141" s="387"/>
      <c r="W141" s="387"/>
      <c r="X141" s="387"/>
      <c r="Y141" s="387"/>
    </row>
    <row r="142" spans="1:25" ht="15" customHeight="1" x14ac:dyDescent="0.25">
      <c r="A142" s="561" t="str">
        <f>Итоговая!C111</f>
        <v xml:space="preserve">ПС 35/10 кВ Лукино  </v>
      </c>
      <c r="B142" s="563">
        <f>Итоговая!D111</f>
        <v>2.5</v>
      </c>
      <c r="C142" s="552" t="str">
        <f>Итоговая!E111</f>
        <v>+</v>
      </c>
      <c r="D142" s="552">
        <f>Итоговая!F111</f>
        <v>1.6</v>
      </c>
      <c r="E142" s="552"/>
      <c r="F142" s="555"/>
      <c r="G142" s="215"/>
      <c r="H142" s="215"/>
      <c r="I142" s="215"/>
      <c r="J142" s="215"/>
      <c r="K142" s="216"/>
      <c r="L142" s="215"/>
      <c r="M142" s="264"/>
      <c r="N142" s="215"/>
      <c r="O142" s="215"/>
      <c r="P142" s="215"/>
      <c r="Q142" s="858"/>
      <c r="R142" s="215"/>
      <c r="S142" s="215"/>
      <c r="T142" s="559"/>
      <c r="U142" s="387"/>
      <c r="V142" s="387"/>
      <c r="W142" s="387"/>
      <c r="X142" s="387"/>
      <c r="Y142" s="387"/>
    </row>
    <row r="143" spans="1:25" ht="15" customHeight="1" thickBot="1" x14ac:dyDescent="0.3">
      <c r="A143" s="346"/>
      <c r="B143" s="243"/>
      <c r="C143" s="244"/>
      <c r="D143" s="244"/>
      <c r="E143" s="244"/>
      <c r="F143" s="245"/>
      <c r="G143" s="1032" t="s">
        <v>1199</v>
      </c>
      <c r="H143" s="1032"/>
      <c r="I143" s="1032"/>
      <c r="J143" s="542"/>
      <c r="K143" s="247">
        <f>SUM(K142:K142)</f>
        <v>0</v>
      </c>
      <c r="L143" s="542">
        <v>0.92</v>
      </c>
      <c r="M143" s="247">
        <f>K143/L143</f>
        <v>0</v>
      </c>
      <c r="N143" s="1032" t="s">
        <v>1199</v>
      </c>
      <c r="O143" s="1032"/>
      <c r="P143" s="1032"/>
      <c r="Q143" s="863"/>
      <c r="R143" s="435">
        <f>SUM(R142:R142)</f>
        <v>0</v>
      </c>
      <c r="S143" s="542">
        <v>0.92</v>
      </c>
      <c r="T143" s="436">
        <f>R143/S143</f>
        <v>0</v>
      </c>
      <c r="U143" s="387"/>
      <c r="V143" s="387"/>
      <c r="W143" s="387"/>
      <c r="X143" s="387"/>
      <c r="Y143" s="387"/>
    </row>
    <row r="144" spans="1:25" ht="15" customHeight="1" x14ac:dyDescent="0.25">
      <c r="A144" s="561" t="str">
        <f>Итоговая!C112</f>
        <v xml:space="preserve">ПС 35/6 кВ Макарово  </v>
      </c>
      <c r="B144" s="563">
        <f>Итоговая!D112</f>
        <v>4</v>
      </c>
      <c r="C144" s="552" t="str">
        <f>Итоговая!E112</f>
        <v>+</v>
      </c>
      <c r="D144" s="552">
        <f>Итоговая!F112</f>
        <v>4</v>
      </c>
      <c r="E144" s="552"/>
      <c r="F144" s="555"/>
      <c r="G144" s="992"/>
      <c r="H144" s="1063"/>
      <c r="I144" s="1063"/>
      <c r="J144" s="1063"/>
      <c r="K144" s="1063"/>
      <c r="L144" s="1063"/>
      <c r="M144" s="1063"/>
      <c r="N144" s="992" t="s">
        <v>14933</v>
      </c>
      <c r="O144" s="1063"/>
      <c r="P144" s="1063"/>
      <c r="Q144" s="1063"/>
      <c r="R144" s="1063"/>
      <c r="S144" s="1063"/>
      <c r="T144" s="1063"/>
      <c r="U144" s="387"/>
      <c r="V144" s="387"/>
      <c r="W144" s="387"/>
      <c r="X144" s="387"/>
      <c r="Y144" s="387"/>
    </row>
    <row r="145" spans="1:25" ht="15" customHeight="1" x14ac:dyDescent="0.25">
      <c r="A145" s="562"/>
      <c r="B145" s="564"/>
      <c r="C145" s="553"/>
      <c r="D145" s="553"/>
      <c r="E145" s="553"/>
      <c r="F145" s="556"/>
      <c r="G145" s="543"/>
      <c r="H145" s="543"/>
      <c r="I145" s="543"/>
      <c r="J145" s="543"/>
      <c r="K145" s="205"/>
      <c r="L145" s="543"/>
      <c r="M145" s="519"/>
      <c r="N145" s="724" t="s">
        <v>14923</v>
      </c>
      <c r="O145" s="724" t="s">
        <v>14924</v>
      </c>
      <c r="P145" s="724" t="s">
        <v>14999</v>
      </c>
      <c r="Q145" s="857"/>
      <c r="R145" s="205">
        <f>0.02*0.9</f>
        <v>1.8000000000000002E-2</v>
      </c>
      <c r="S145" s="724"/>
      <c r="T145" s="519"/>
      <c r="U145" s="387"/>
      <c r="V145" s="387"/>
      <c r="W145" s="387"/>
      <c r="X145" s="387"/>
      <c r="Y145" s="387"/>
    </row>
    <row r="146" spans="1:25" ht="15" customHeight="1" x14ac:dyDescent="0.25">
      <c r="A146" s="562"/>
      <c r="B146" s="564"/>
      <c r="C146" s="553"/>
      <c r="D146" s="553"/>
      <c r="E146" s="553"/>
      <c r="F146" s="556"/>
      <c r="G146" s="996" t="s">
        <v>18518</v>
      </c>
      <c r="H146" s="1064"/>
      <c r="I146" s="1064"/>
      <c r="J146" s="1064"/>
      <c r="K146" s="1064"/>
      <c r="L146" s="1064"/>
      <c r="M146" s="1064"/>
      <c r="N146" s="557"/>
      <c r="O146" s="557"/>
      <c r="P146" s="557"/>
      <c r="Q146" s="859"/>
      <c r="R146" s="557"/>
      <c r="S146" s="557"/>
      <c r="T146" s="439"/>
      <c r="U146" s="387"/>
      <c r="V146" s="387"/>
      <c r="W146" s="387"/>
      <c r="X146" s="387"/>
      <c r="Y146" s="387"/>
    </row>
    <row r="147" spans="1:25" ht="15" customHeight="1" x14ac:dyDescent="0.25">
      <c r="A147" s="562"/>
      <c r="B147" s="564"/>
      <c r="C147" s="553"/>
      <c r="D147" s="553"/>
      <c r="E147" s="553"/>
      <c r="F147" s="556"/>
      <c r="G147" s="1065" t="s">
        <v>2262</v>
      </c>
      <c r="H147" s="1065"/>
      <c r="I147" s="1065"/>
      <c r="J147" s="994">
        <f>0.016*0.9</f>
        <v>1.4400000000000001E-2</v>
      </c>
      <c r="K147" s="995"/>
      <c r="L147" s="557"/>
      <c r="M147" s="594"/>
      <c r="N147" s="557"/>
      <c r="O147" s="557"/>
      <c r="P147" s="557"/>
      <c r="Q147" s="859"/>
      <c r="R147" s="557"/>
      <c r="S147" s="557"/>
      <c r="T147" s="439"/>
      <c r="U147" s="387"/>
      <c r="V147" s="387"/>
      <c r="W147" s="387"/>
      <c r="X147" s="387"/>
      <c r="Y147" s="387"/>
    </row>
    <row r="148" spans="1:25" ht="15" customHeight="1" thickBot="1" x14ac:dyDescent="0.3">
      <c r="A148" s="346"/>
      <c r="B148" s="243"/>
      <c r="C148" s="244"/>
      <c r="D148" s="244"/>
      <c r="E148" s="244"/>
      <c r="F148" s="245"/>
      <c r="G148" s="1032" t="s">
        <v>1199</v>
      </c>
      <c r="H148" s="1032"/>
      <c r="I148" s="1032"/>
      <c r="J148" s="542"/>
      <c r="K148" s="247">
        <f>SUM(J145:K147)</f>
        <v>1.4400000000000001E-2</v>
      </c>
      <c r="L148" s="542">
        <v>0.92</v>
      </c>
      <c r="M148" s="247">
        <f>K148/L148</f>
        <v>1.5652173913043479E-2</v>
      </c>
      <c r="N148" s="1032" t="s">
        <v>1199</v>
      </c>
      <c r="O148" s="1032"/>
      <c r="P148" s="1032"/>
      <c r="Q148" s="863"/>
      <c r="R148" s="435">
        <f>SUM(R144:R145)</f>
        <v>1.8000000000000002E-2</v>
      </c>
      <c r="S148" s="542">
        <v>0.92</v>
      </c>
      <c r="T148" s="436">
        <f>R148/S148</f>
        <v>1.9565217391304349E-2</v>
      </c>
      <c r="U148" s="387"/>
      <c r="V148" s="387"/>
      <c r="W148" s="387"/>
      <c r="X148" s="387"/>
      <c r="Y148" s="387"/>
    </row>
    <row r="149" spans="1:25" ht="15" customHeight="1" x14ac:dyDescent="0.25">
      <c r="A149" s="562" t="str">
        <f>Итоговая!C113</f>
        <v>ПС 110/10 кВ Манихино</v>
      </c>
      <c r="B149" s="564">
        <f>Итоговая!D113</f>
        <v>2.5</v>
      </c>
      <c r="C149" s="553" t="str">
        <f>Итоговая!E113</f>
        <v>+</v>
      </c>
      <c r="D149" s="553">
        <f>Итоговая!F113</f>
        <v>2.5</v>
      </c>
      <c r="E149" s="553"/>
      <c r="F149" s="556"/>
      <c r="G149" s="992" t="s">
        <v>18518</v>
      </c>
      <c r="H149" s="1063"/>
      <c r="I149" s="1063"/>
      <c r="J149" s="1063"/>
      <c r="K149" s="1063"/>
      <c r="L149" s="1063"/>
      <c r="M149" s="1063"/>
      <c r="N149" s="593"/>
      <c r="O149" s="593"/>
      <c r="P149" s="593"/>
      <c r="Q149" s="860"/>
      <c r="R149" s="593"/>
      <c r="S149" s="593"/>
      <c r="T149" s="275"/>
      <c r="U149" s="387"/>
      <c r="V149" s="387"/>
      <c r="W149" s="387"/>
      <c r="X149" s="387"/>
      <c r="Y149" s="387"/>
    </row>
    <row r="150" spans="1:25" ht="15" customHeight="1" x14ac:dyDescent="0.25">
      <c r="A150" s="562"/>
      <c r="B150" s="564"/>
      <c r="C150" s="553"/>
      <c r="D150" s="553"/>
      <c r="E150" s="553"/>
      <c r="F150" s="556"/>
      <c r="G150" s="1065" t="s">
        <v>2262</v>
      </c>
      <c r="H150" s="1065"/>
      <c r="I150" s="1065"/>
      <c r="J150" s="994">
        <f>0.069*0.9*0.6</f>
        <v>3.7260000000000001E-2</v>
      </c>
      <c r="K150" s="995"/>
      <c r="L150" s="557"/>
      <c r="M150" s="594"/>
      <c r="N150" s="223"/>
      <c r="O150" s="223"/>
      <c r="P150" s="223"/>
      <c r="Q150" s="276"/>
      <c r="R150" s="223"/>
      <c r="S150" s="223"/>
      <c r="T150" s="276"/>
      <c r="U150" s="387"/>
      <c r="V150" s="387"/>
      <c r="W150" s="387"/>
      <c r="X150" s="387"/>
      <c r="Y150" s="387"/>
    </row>
    <row r="151" spans="1:25" ht="15" customHeight="1" thickBot="1" x14ac:dyDescent="0.3">
      <c r="A151" s="562"/>
      <c r="B151" s="564"/>
      <c r="C151" s="553"/>
      <c r="D151" s="553"/>
      <c r="E151" s="553"/>
      <c r="F151" s="556"/>
      <c r="G151" s="1007" t="s">
        <v>1199</v>
      </c>
      <c r="H151" s="1007"/>
      <c r="I151" s="1007"/>
      <c r="J151" s="557"/>
      <c r="K151" s="231">
        <f>SUM(J150)</f>
        <v>3.7260000000000001E-2</v>
      </c>
      <c r="L151" s="557">
        <v>0.92</v>
      </c>
      <c r="M151" s="231">
        <f>K151/L151</f>
        <v>4.0500000000000001E-2</v>
      </c>
      <c r="N151" s="1007" t="s">
        <v>1199</v>
      </c>
      <c r="O151" s="1007"/>
      <c r="P151" s="1007"/>
      <c r="Q151" s="859"/>
      <c r="R151" s="440">
        <f>SUM(R149:R149)</f>
        <v>0</v>
      </c>
      <c r="S151" s="557">
        <v>0.92</v>
      </c>
      <c r="T151" s="440">
        <f>R151/S151</f>
        <v>0</v>
      </c>
      <c r="U151" s="387"/>
      <c r="V151" s="387"/>
      <c r="W151" s="387"/>
      <c r="X151" s="387"/>
      <c r="Y151" s="387"/>
    </row>
    <row r="152" spans="1:25" ht="15" customHeight="1" x14ac:dyDescent="0.25">
      <c r="A152" s="561" t="str">
        <f>Итоговая!C114</f>
        <v xml:space="preserve">ПС 35/10 кВ Молдино </v>
      </c>
      <c r="B152" s="563">
        <f>Итоговая!D114</f>
        <v>1</v>
      </c>
      <c r="C152" s="552" t="str">
        <f>Итоговая!E114</f>
        <v>+</v>
      </c>
      <c r="D152" s="552">
        <f>Итоговая!F114</f>
        <v>1</v>
      </c>
      <c r="E152" s="552"/>
      <c r="F152" s="555"/>
      <c r="G152" s="992" t="s">
        <v>2011</v>
      </c>
      <c r="H152" s="1063"/>
      <c r="I152" s="1063"/>
      <c r="J152" s="1063"/>
      <c r="K152" s="1063"/>
      <c r="L152" s="1063"/>
      <c r="M152" s="1063"/>
      <c r="N152" s="215"/>
      <c r="O152" s="215"/>
      <c r="P152" s="215"/>
      <c r="Q152" s="858"/>
      <c r="R152" s="215"/>
      <c r="S152" s="215"/>
      <c r="T152" s="559"/>
      <c r="U152" s="387"/>
      <c r="V152" s="387"/>
      <c r="W152" s="387"/>
      <c r="X152" s="387"/>
      <c r="Y152" s="387"/>
    </row>
    <row r="153" spans="1:25" ht="15" customHeight="1" x14ac:dyDescent="0.25">
      <c r="A153" s="562"/>
      <c r="B153" s="564"/>
      <c r="C153" s="553"/>
      <c r="D153" s="553"/>
      <c r="E153" s="553"/>
      <c r="F153" s="556"/>
      <c r="G153" s="727" t="s">
        <v>1681</v>
      </c>
      <c r="H153" s="727" t="s">
        <v>1711</v>
      </c>
      <c r="I153" s="727" t="s">
        <v>2055</v>
      </c>
      <c r="J153" s="727"/>
      <c r="K153" s="519">
        <f>(0.028-0.0093)*0.5</f>
        <v>9.3500000000000007E-3</v>
      </c>
      <c r="L153" s="724"/>
      <c r="M153" s="519"/>
      <c r="N153" s="543"/>
      <c r="O153" s="543"/>
      <c r="P153" s="543"/>
      <c r="Q153" s="857"/>
      <c r="R153" s="543"/>
      <c r="S153" s="543"/>
      <c r="T153" s="560"/>
      <c r="U153" s="387"/>
      <c r="V153" s="387"/>
      <c r="W153" s="387"/>
      <c r="X153" s="387"/>
      <c r="Y153" s="387"/>
    </row>
    <row r="154" spans="1:25" ht="15" customHeight="1" x14ac:dyDescent="0.25">
      <c r="A154" s="729"/>
      <c r="B154" s="720"/>
      <c r="C154" s="721"/>
      <c r="D154" s="721"/>
      <c r="E154" s="721"/>
      <c r="F154" s="722"/>
      <c r="G154" s="996" t="s">
        <v>18518</v>
      </c>
      <c r="H154" s="1064"/>
      <c r="I154" s="1064"/>
      <c r="J154" s="1064"/>
      <c r="K154" s="1064"/>
      <c r="L154" s="1064"/>
      <c r="M154" s="1064"/>
      <c r="N154" s="716"/>
      <c r="O154" s="716"/>
      <c r="P154" s="716"/>
      <c r="Q154" s="859"/>
      <c r="R154" s="716"/>
      <c r="S154" s="716"/>
      <c r="T154" s="439"/>
      <c r="U154" s="387"/>
      <c r="V154" s="387"/>
      <c r="W154" s="387"/>
      <c r="X154" s="387"/>
      <c r="Y154" s="387"/>
    </row>
    <row r="155" spans="1:25" ht="15" customHeight="1" x14ac:dyDescent="0.25">
      <c r="A155" s="729"/>
      <c r="B155" s="720"/>
      <c r="C155" s="721"/>
      <c r="D155" s="721"/>
      <c r="E155" s="721"/>
      <c r="F155" s="722"/>
      <c r="G155" s="1065" t="s">
        <v>2262</v>
      </c>
      <c r="H155" s="1065"/>
      <c r="I155" s="1065"/>
      <c r="J155" s="994">
        <f>0.045*0.9*0.6</f>
        <v>2.4299999999999999E-2</v>
      </c>
      <c r="K155" s="995"/>
      <c r="L155" s="716"/>
      <c r="M155" s="718"/>
      <c r="N155" s="716"/>
      <c r="O155" s="716"/>
      <c r="P155" s="716"/>
      <c r="Q155" s="859"/>
      <c r="R155" s="716"/>
      <c r="S155" s="716"/>
      <c r="T155" s="439"/>
      <c r="U155" s="387"/>
      <c r="V155" s="387"/>
      <c r="W155" s="387"/>
      <c r="X155" s="387"/>
      <c r="Y155" s="387"/>
    </row>
    <row r="156" spans="1:25" ht="15" customHeight="1" thickBot="1" x14ac:dyDescent="0.3">
      <c r="A156" s="346"/>
      <c r="B156" s="243"/>
      <c r="C156" s="244"/>
      <c r="D156" s="244"/>
      <c r="E156" s="244"/>
      <c r="F156" s="245"/>
      <c r="G156" s="1032" t="s">
        <v>1199</v>
      </c>
      <c r="H156" s="1032"/>
      <c r="I156" s="1032"/>
      <c r="J156" s="542"/>
      <c r="K156" s="247">
        <f>SUM(J155)</f>
        <v>2.4299999999999999E-2</v>
      </c>
      <c r="L156" s="542">
        <v>0.92</v>
      </c>
      <c r="M156" s="247">
        <f>K156/L156</f>
        <v>2.6413043478260866E-2</v>
      </c>
      <c r="N156" s="1032" t="s">
        <v>1199</v>
      </c>
      <c r="O156" s="1032"/>
      <c r="P156" s="1032"/>
      <c r="Q156" s="863"/>
      <c r="R156" s="435">
        <f>SUM(R152:R152)</f>
        <v>0</v>
      </c>
      <c r="S156" s="542">
        <v>0.92</v>
      </c>
      <c r="T156" s="436">
        <f>R156/S156</f>
        <v>0</v>
      </c>
      <c r="U156" s="387"/>
      <c r="V156" s="387"/>
      <c r="W156" s="387"/>
      <c r="X156" s="387"/>
      <c r="Y156" s="387"/>
    </row>
    <row r="157" spans="1:25" ht="15" customHeight="1" x14ac:dyDescent="0.25">
      <c r="A157" s="765" t="str">
        <f>Итоговая!C115</f>
        <v xml:space="preserve">ПС 35/10 кВ Ново-Кузьминская </v>
      </c>
      <c r="B157" s="563">
        <f>Итоговая!D115</f>
        <v>1</v>
      </c>
      <c r="C157" s="552" t="str">
        <f>Итоговая!E115</f>
        <v>+</v>
      </c>
      <c r="D157" s="552">
        <f>Итоговая!F115</f>
        <v>1</v>
      </c>
      <c r="E157" s="552"/>
      <c r="F157" s="555"/>
      <c r="G157" s="992" t="s">
        <v>18518</v>
      </c>
      <c r="H157" s="1063"/>
      <c r="I157" s="1063"/>
      <c r="J157" s="1063"/>
      <c r="K157" s="1063"/>
      <c r="L157" s="1063"/>
      <c r="M157" s="1063"/>
      <c r="N157" s="215"/>
      <c r="O157" s="215"/>
      <c r="P157" s="215"/>
      <c r="Q157" s="858"/>
      <c r="R157" s="215"/>
      <c r="S157" s="215"/>
      <c r="T157" s="559"/>
      <c r="U157" s="387"/>
      <c r="V157" s="387"/>
      <c r="W157" s="387"/>
      <c r="X157" s="387"/>
      <c r="Y157" s="387"/>
    </row>
    <row r="158" spans="1:25" ht="15" customHeight="1" x14ac:dyDescent="0.25">
      <c r="A158" s="562"/>
      <c r="B158" s="564"/>
      <c r="C158" s="553"/>
      <c r="D158" s="553"/>
      <c r="E158" s="553"/>
      <c r="F158" s="556"/>
      <c r="G158" s="1065" t="s">
        <v>2262</v>
      </c>
      <c r="H158" s="1065"/>
      <c r="I158" s="1065"/>
      <c r="J158" s="994">
        <f>0.137*0.9*0.6</f>
        <v>7.3980000000000004E-2</v>
      </c>
      <c r="K158" s="995"/>
      <c r="L158" s="557"/>
      <c r="M158" s="594"/>
      <c r="N158" s="223"/>
      <c r="O158" s="223"/>
      <c r="P158" s="223"/>
      <c r="Q158" s="276"/>
      <c r="R158" s="223"/>
      <c r="S158" s="223"/>
      <c r="T158" s="446"/>
      <c r="U158" s="387"/>
      <c r="V158" s="387"/>
      <c r="W158" s="387"/>
      <c r="X158" s="387"/>
      <c r="Y158" s="387"/>
    </row>
    <row r="159" spans="1:25" ht="15" customHeight="1" thickBot="1" x14ac:dyDescent="0.3">
      <c r="A159" s="346"/>
      <c r="B159" s="243"/>
      <c r="C159" s="244"/>
      <c r="D159" s="244"/>
      <c r="E159" s="244"/>
      <c r="F159" s="245"/>
      <c r="G159" s="1032" t="s">
        <v>1199</v>
      </c>
      <c r="H159" s="1032"/>
      <c r="I159" s="1032"/>
      <c r="J159" s="542"/>
      <c r="K159" s="247">
        <f>SUM(J158)</f>
        <v>7.3980000000000004E-2</v>
      </c>
      <c r="L159" s="542">
        <v>0.92</v>
      </c>
      <c r="M159" s="247">
        <f>K159/L159</f>
        <v>8.0413043478260865E-2</v>
      </c>
      <c r="N159" s="1032" t="s">
        <v>1199</v>
      </c>
      <c r="O159" s="1032"/>
      <c r="P159" s="1032"/>
      <c r="Q159" s="863"/>
      <c r="R159" s="435">
        <f>SUM(R157:R157)</f>
        <v>0</v>
      </c>
      <c r="S159" s="542">
        <v>0.92</v>
      </c>
      <c r="T159" s="436">
        <f>R159/S159</f>
        <v>0</v>
      </c>
      <c r="U159" s="387"/>
      <c r="V159" s="387"/>
      <c r="W159" s="387"/>
      <c r="X159" s="387"/>
      <c r="Y159" s="387"/>
    </row>
    <row r="160" spans="1:25" ht="15" customHeight="1" x14ac:dyDescent="0.25">
      <c r="A160" s="561" t="str">
        <f>Итоговая!C116</f>
        <v xml:space="preserve">ПС 35/10 кВ Овсище </v>
      </c>
      <c r="B160" s="563">
        <f>Итоговая!D116</f>
        <v>2.5</v>
      </c>
      <c r="C160" s="552" t="str">
        <f>Итоговая!E116</f>
        <v>+</v>
      </c>
      <c r="D160" s="552">
        <f>Итоговая!F116</f>
        <v>1.6</v>
      </c>
      <c r="E160" s="552"/>
      <c r="F160" s="555"/>
      <c r="G160" s="992" t="s">
        <v>18518</v>
      </c>
      <c r="H160" s="1063"/>
      <c r="I160" s="1063"/>
      <c r="J160" s="1063"/>
      <c r="K160" s="1063"/>
      <c r="L160" s="1063"/>
      <c r="M160" s="1063"/>
      <c r="N160" s="215"/>
      <c r="O160" s="215"/>
      <c r="P160" s="215"/>
      <c r="Q160" s="858"/>
      <c r="R160" s="215"/>
      <c r="S160" s="215"/>
      <c r="T160" s="559"/>
      <c r="U160" s="387"/>
      <c r="V160" s="387"/>
      <c r="W160" s="387"/>
      <c r="X160" s="387"/>
      <c r="Y160" s="387"/>
    </row>
    <row r="161" spans="1:25" ht="15" customHeight="1" x14ac:dyDescent="0.25">
      <c r="A161" s="562"/>
      <c r="B161" s="564"/>
      <c r="C161" s="553"/>
      <c r="D161" s="553"/>
      <c r="E161" s="553"/>
      <c r="F161" s="556"/>
      <c r="G161" s="1065" t="s">
        <v>2262</v>
      </c>
      <c r="H161" s="1065"/>
      <c r="I161" s="1065"/>
      <c r="J161" s="994">
        <f>0.0145*0.9</f>
        <v>1.3050000000000001E-2</v>
      </c>
      <c r="K161" s="995"/>
      <c r="L161" s="557"/>
      <c r="M161" s="594"/>
      <c r="N161" s="223"/>
      <c r="O161" s="223"/>
      <c r="P161" s="223"/>
      <c r="Q161" s="276"/>
      <c r="R161" s="223"/>
      <c r="S161" s="223"/>
      <c r="T161" s="446"/>
      <c r="U161" s="387"/>
      <c r="V161" s="387"/>
      <c r="W161" s="387"/>
      <c r="X161" s="387"/>
      <c r="Y161" s="387"/>
    </row>
    <row r="162" spans="1:25" ht="15" customHeight="1" thickBot="1" x14ac:dyDescent="0.3">
      <c r="A162" s="346"/>
      <c r="B162" s="243"/>
      <c r="C162" s="244"/>
      <c r="D162" s="244"/>
      <c r="E162" s="244"/>
      <c r="F162" s="245"/>
      <c r="G162" s="1032" t="s">
        <v>1199</v>
      </c>
      <c r="H162" s="1032"/>
      <c r="I162" s="1032"/>
      <c r="J162" s="542"/>
      <c r="K162" s="247">
        <f>SUM(J161)</f>
        <v>1.3050000000000001E-2</v>
      </c>
      <c r="L162" s="542">
        <v>0.92</v>
      </c>
      <c r="M162" s="247">
        <f>K162/L162</f>
        <v>1.4184782608695653E-2</v>
      </c>
      <c r="N162" s="1032" t="s">
        <v>1199</v>
      </c>
      <c r="O162" s="1032"/>
      <c r="P162" s="1032"/>
      <c r="Q162" s="863"/>
      <c r="R162" s="435">
        <f>SUM(R160:R160)</f>
        <v>0</v>
      </c>
      <c r="S162" s="542">
        <v>0.92</v>
      </c>
      <c r="T162" s="436">
        <f>R162/S162</f>
        <v>0</v>
      </c>
      <c r="U162" s="387"/>
      <c r="V162" s="387"/>
      <c r="W162" s="387"/>
      <c r="X162" s="387"/>
      <c r="Y162" s="387"/>
    </row>
    <row r="163" spans="1:25" ht="15" customHeight="1" x14ac:dyDescent="0.25">
      <c r="A163" s="561" t="str">
        <f>Итоговая!C117</f>
        <v xml:space="preserve">ПС 35/6 кВ ОЭЗ  </v>
      </c>
      <c r="B163" s="563">
        <f>Итоговая!D117</f>
        <v>2.5</v>
      </c>
      <c r="C163" s="552" t="str">
        <f>Итоговая!E117</f>
        <v>+</v>
      </c>
      <c r="D163" s="552">
        <f>Итоговая!F117</f>
        <v>2.5</v>
      </c>
      <c r="E163" s="552"/>
      <c r="F163" s="555"/>
      <c r="G163" s="992" t="s">
        <v>2290</v>
      </c>
      <c r="H163" s="1063"/>
      <c r="I163" s="1063"/>
      <c r="J163" s="1063"/>
      <c r="K163" s="1063"/>
      <c r="L163" s="1063"/>
      <c r="M163" s="1063"/>
      <c r="N163" s="215"/>
      <c r="O163" s="215"/>
      <c r="P163" s="215"/>
      <c r="Q163" s="858"/>
      <c r="R163" s="215"/>
      <c r="S163" s="215"/>
      <c r="T163" s="559"/>
      <c r="U163" s="387"/>
      <c r="V163" s="387"/>
      <c r="W163" s="387"/>
      <c r="X163" s="387"/>
      <c r="Y163" s="387"/>
    </row>
    <row r="164" spans="1:25" ht="15" customHeight="1" x14ac:dyDescent="0.25">
      <c r="A164" s="562"/>
      <c r="B164" s="564"/>
      <c r="C164" s="553"/>
      <c r="D164" s="553"/>
      <c r="E164" s="553"/>
      <c r="F164" s="556"/>
      <c r="G164" s="543" t="s">
        <v>2375</v>
      </c>
      <c r="H164" s="543" t="s">
        <v>2390</v>
      </c>
      <c r="I164" s="543" t="s">
        <v>13384</v>
      </c>
      <c r="J164" s="543"/>
      <c r="K164" s="205">
        <f>0.6*0.75</f>
        <v>0.44999999999999996</v>
      </c>
      <c r="L164" s="543"/>
      <c r="M164" s="519"/>
      <c r="N164" s="543"/>
      <c r="O164" s="543"/>
      <c r="P164" s="543"/>
      <c r="Q164" s="857"/>
      <c r="R164" s="543"/>
      <c r="S164" s="543"/>
      <c r="T164" s="560"/>
      <c r="U164" s="387"/>
      <c r="V164" s="387"/>
      <c r="W164" s="387"/>
      <c r="X164" s="387"/>
      <c r="Y164" s="387"/>
    </row>
    <row r="165" spans="1:25" ht="15" customHeight="1" thickBot="1" x14ac:dyDescent="0.3">
      <c r="A165" s="346"/>
      <c r="B165" s="243"/>
      <c r="C165" s="244"/>
      <c r="D165" s="244"/>
      <c r="E165" s="244"/>
      <c r="F165" s="245"/>
      <c r="G165" s="1032" t="s">
        <v>1199</v>
      </c>
      <c r="H165" s="1032"/>
      <c r="I165" s="1032"/>
      <c r="J165" s="542"/>
      <c r="K165" s="247">
        <f>SUM(0)</f>
        <v>0</v>
      </c>
      <c r="L165" s="542">
        <v>0.92</v>
      </c>
      <c r="M165" s="247">
        <f>K165/L165</f>
        <v>0</v>
      </c>
      <c r="N165" s="1032" t="s">
        <v>1199</v>
      </c>
      <c r="O165" s="1032"/>
      <c r="P165" s="1032"/>
      <c r="Q165" s="863"/>
      <c r="R165" s="435">
        <f>SUM(R163:R163)</f>
        <v>0</v>
      </c>
      <c r="S165" s="542">
        <v>0.92</v>
      </c>
      <c r="T165" s="436">
        <f>R165/S165</f>
        <v>0</v>
      </c>
      <c r="U165" s="387"/>
      <c r="V165" s="387"/>
      <c r="W165" s="387"/>
      <c r="X165" s="387"/>
      <c r="Y165" s="387"/>
    </row>
    <row r="166" spans="1:25" ht="15" customHeight="1" x14ac:dyDescent="0.25">
      <c r="A166" s="561" t="str">
        <f>Итоговая!C118</f>
        <v xml:space="preserve">ПС 35/10 кВ Плотично  </v>
      </c>
      <c r="B166" s="563">
        <f>Итоговая!D118</f>
        <v>1.8</v>
      </c>
      <c r="C166" s="552" t="str">
        <f>Итоговая!E118</f>
        <v>+</v>
      </c>
      <c r="D166" s="552">
        <f>Итоговая!F118</f>
        <v>1.6</v>
      </c>
      <c r="E166" s="552"/>
      <c r="F166" s="555"/>
      <c r="G166" s="992" t="s">
        <v>2290</v>
      </c>
      <c r="H166" s="1063"/>
      <c r="I166" s="1063"/>
      <c r="J166" s="1063"/>
      <c r="K166" s="1063"/>
      <c r="L166" s="1063"/>
      <c r="M166" s="1063"/>
      <c r="N166" s="992" t="s">
        <v>2290</v>
      </c>
      <c r="O166" s="1063"/>
      <c r="P166" s="1063"/>
      <c r="Q166" s="1063"/>
      <c r="R166" s="1063"/>
      <c r="S166" s="1063"/>
      <c r="T166" s="1063"/>
      <c r="U166" s="387"/>
      <c r="V166" s="387"/>
      <c r="W166" s="387"/>
      <c r="X166" s="387"/>
      <c r="Y166" s="387"/>
    </row>
    <row r="167" spans="1:25" ht="15" customHeight="1" x14ac:dyDescent="0.25">
      <c r="A167" s="562"/>
      <c r="B167" s="564"/>
      <c r="C167" s="553"/>
      <c r="D167" s="553"/>
      <c r="E167" s="553"/>
      <c r="F167" s="556"/>
      <c r="G167" s="543"/>
      <c r="H167" s="543"/>
      <c r="I167" s="543"/>
      <c r="J167" s="543"/>
      <c r="K167" s="205"/>
      <c r="L167" s="543"/>
      <c r="M167" s="519"/>
      <c r="N167" s="543" t="s">
        <v>2130</v>
      </c>
      <c r="O167" s="543" t="s">
        <v>2187</v>
      </c>
      <c r="P167" s="543" t="s">
        <v>14770</v>
      </c>
      <c r="Q167" s="857"/>
      <c r="R167" s="543">
        <v>0.2</v>
      </c>
      <c r="S167" s="543"/>
      <c r="T167" s="560"/>
      <c r="U167" s="387"/>
      <c r="V167" s="387"/>
      <c r="W167" s="387"/>
      <c r="X167" s="387"/>
      <c r="Y167" s="387"/>
    </row>
    <row r="168" spans="1:25" ht="15" customHeight="1" x14ac:dyDescent="0.25">
      <c r="A168" s="562"/>
      <c r="B168" s="564"/>
      <c r="C168" s="553"/>
      <c r="D168" s="553"/>
      <c r="E168" s="553"/>
      <c r="F168" s="556"/>
      <c r="G168" s="543"/>
      <c r="H168" s="543"/>
      <c r="I168" s="543"/>
      <c r="J168" s="543"/>
      <c r="K168" s="205"/>
      <c r="L168" s="543"/>
      <c r="M168" s="519"/>
      <c r="N168" s="996" t="s">
        <v>14933</v>
      </c>
      <c r="O168" s="1064"/>
      <c r="P168" s="1064"/>
      <c r="Q168" s="1064"/>
      <c r="R168" s="1064"/>
      <c r="S168" s="1064"/>
      <c r="T168" s="1064"/>
      <c r="U168" s="387"/>
      <c r="V168" s="387"/>
      <c r="W168" s="387"/>
      <c r="X168" s="387"/>
      <c r="Y168" s="387"/>
    </row>
    <row r="169" spans="1:25" ht="15" customHeight="1" x14ac:dyDescent="0.25">
      <c r="A169" s="562"/>
      <c r="B169" s="564"/>
      <c r="C169" s="553"/>
      <c r="D169" s="553"/>
      <c r="E169" s="553"/>
      <c r="F169" s="556"/>
      <c r="G169" s="543"/>
      <c r="H169" s="543"/>
      <c r="I169" s="543"/>
      <c r="J169" s="543"/>
      <c r="K169" s="205"/>
      <c r="L169" s="543"/>
      <c r="M169" s="519"/>
      <c r="N169" s="543" t="s">
        <v>2247</v>
      </c>
      <c r="O169" s="543" t="s">
        <v>2288</v>
      </c>
      <c r="P169" s="543" t="s">
        <v>17204</v>
      </c>
      <c r="Q169" s="857"/>
      <c r="R169" s="205">
        <v>0.60328000000000004</v>
      </c>
      <c r="S169" s="205"/>
      <c r="T169" s="241"/>
      <c r="U169" s="387"/>
      <c r="V169" s="387"/>
      <c r="W169" s="387"/>
      <c r="X169" s="387"/>
      <c r="Y169" s="387"/>
    </row>
    <row r="170" spans="1:25" ht="15" customHeight="1" thickBot="1" x14ac:dyDescent="0.3">
      <c r="A170" s="346"/>
      <c r="B170" s="243"/>
      <c r="C170" s="244"/>
      <c r="D170" s="244"/>
      <c r="E170" s="244"/>
      <c r="F170" s="245"/>
      <c r="G170" s="1032" t="s">
        <v>1199</v>
      </c>
      <c r="H170" s="1032"/>
      <c r="I170" s="1032"/>
      <c r="J170" s="542"/>
      <c r="K170" s="247">
        <f>SUM(K167:K169)</f>
        <v>0</v>
      </c>
      <c r="L170" s="542">
        <v>0.92</v>
      </c>
      <c r="M170" s="247">
        <f>K170/L170</f>
        <v>0</v>
      </c>
      <c r="N170" s="1032" t="s">
        <v>1199</v>
      </c>
      <c r="O170" s="1032"/>
      <c r="P170" s="1032"/>
      <c r="Q170" s="863"/>
      <c r="R170" s="247">
        <f>SUM(R169)</f>
        <v>0.60328000000000004</v>
      </c>
      <c r="S170" s="544">
        <v>0.92</v>
      </c>
      <c r="T170" s="249">
        <f>R170/S170</f>
        <v>0.6557391304347826</v>
      </c>
      <c r="U170" s="387"/>
      <c r="V170" s="387"/>
      <c r="W170" s="387"/>
      <c r="X170" s="387"/>
      <c r="Y170" s="387"/>
    </row>
    <row r="171" spans="1:25" ht="15" customHeight="1" x14ac:dyDescent="0.25">
      <c r="A171" s="561" t="str">
        <f>Итоговая!C119</f>
        <v xml:space="preserve">ПС 35/10 кВ Попово  </v>
      </c>
      <c r="B171" s="563">
        <f>Итоговая!D119</f>
        <v>2.5</v>
      </c>
      <c r="C171" s="552" t="str">
        <f>Итоговая!E119</f>
        <v>+</v>
      </c>
      <c r="D171" s="552">
        <f>Итоговая!F119</f>
        <v>1</v>
      </c>
      <c r="E171" s="552"/>
      <c r="F171" s="555"/>
      <c r="G171" s="992" t="s">
        <v>18518</v>
      </c>
      <c r="H171" s="1063"/>
      <c r="I171" s="1063"/>
      <c r="J171" s="1063"/>
      <c r="K171" s="1063"/>
      <c r="L171" s="1063"/>
      <c r="M171" s="1063"/>
      <c r="N171" s="215"/>
      <c r="O171" s="215"/>
      <c r="P171" s="215"/>
      <c r="Q171" s="858"/>
      <c r="R171" s="215"/>
      <c r="S171" s="215"/>
      <c r="T171" s="559"/>
      <c r="U171" s="387"/>
      <c r="V171" s="387"/>
      <c r="W171" s="387"/>
      <c r="X171" s="387"/>
      <c r="Y171" s="387"/>
    </row>
    <row r="172" spans="1:25" ht="15" customHeight="1" x14ac:dyDescent="0.25">
      <c r="A172" s="562"/>
      <c r="B172" s="564"/>
      <c r="C172" s="553"/>
      <c r="D172" s="553"/>
      <c r="E172" s="553"/>
      <c r="F172" s="556"/>
      <c r="G172" s="1065" t="s">
        <v>2262</v>
      </c>
      <c r="H172" s="1065"/>
      <c r="I172" s="1065"/>
      <c r="J172" s="994">
        <f>0.01*0.9</f>
        <v>9.0000000000000011E-3</v>
      </c>
      <c r="K172" s="995"/>
      <c r="L172" s="557"/>
      <c r="M172" s="594"/>
      <c r="N172" s="223"/>
      <c r="O172" s="223"/>
      <c r="P172" s="223"/>
      <c r="Q172" s="276"/>
      <c r="R172" s="223"/>
      <c r="S172" s="223"/>
      <c r="T172" s="446"/>
      <c r="U172" s="387"/>
      <c r="V172" s="387"/>
      <c r="W172" s="387"/>
      <c r="X172" s="387"/>
      <c r="Y172" s="387"/>
    </row>
    <row r="173" spans="1:25" ht="15" customHeight="1" thickBot="1" x14ac:dyDescent="0.3">
      <c r="A173" s="346"/>
      <c r="B173" s="243"/>
      <c r="C173" s="244"/>
      <c r="D173" s="244"/>
      <c r="E173" s="244"/>
      <c r="F173" s="245"/>
      <c r="G173" s="1032" t="s">
        <v>1199</v>
      </c>
      <c r="H173" s="1032"/>
      <c r="I173" s="1032"/>
      <c r="J173" s="542"/>
      <c r="K173" s="247">
        <f>SUM(J172)</f>
        <v>9.0000000000000011E-3</v>
      </c>
      <c r="L173" s="542">
        <v>0.92</v>
      </c>
      <c r="M173" s="247">
        <f>K173/L173</f>
        <v>9.7826086956521747E-3</v>
      </c>
      <c r="N173" s="1032" t="s">
        <v>1199</v>
      </c>
      <c r="O173" s="1032"/>
      <c r="P173" s="1032"/>
      <c r="Q173" s="863"/>
      <c r="R173" s="435">
        <f>SUM(R171:R171)</f>
        <v>0</v>
      </c>
      <c r="S173" s="542">
        <v>0.92</v>
      </c>
      <c r="T173" s="436">
        <f>R173/S173</f>
        <v>0</v>
      </c>
      <c r="U173" s="387"/>
      <c r="V173" s="387"/>
      <c r="W173" s="387"/>
      <c r="X173" s="387"/>
      <c r="Y173" s="387"/>
    </row>
    <row r="174" spans="1:25" ht="15" customHeight="1" x14ac:dyDescent="0.25">
      <c r="A174" s="1070" t="str">
        <f>Итоговая!C120</f>
        <v>ПС 35/10 кВ Пролетарий</v>
      </c>
      <c r="B174" s="1072">
        <f>Итоговая!D120</f>
        <v>2.5</v>
      </c>
      <c r="C174" s="1067" t="str">
        <f>Итоговая!E120</f>
        <v>+</v>
      </c>
      <c r="D174" s="1067">
        <f>Итоговая!F120</f>
        <v>2.5</v>
      </c>
      <c r="E174" s="552"/>
      <c r="F174" s="555"/>
      <c r="G174" s="992" t="s">
        <v>2011</v>
      </c>
      <c r="H174" s="1063"/>
      <c r="I174" s="1063"/>
      <c r="J174" s="1063"/>
      <c r="K174" s="1063"/>
      <c r="L174" s="1063"/>
      <c r="M174" s="1063"/>
      <c r="N174" s="992" t="s">
        <v>1324</v>
      </c>
      <c r="O174" s="1063"/>
      <c r="P174" s="1063"/>
      <c r="Q174" s="1063"/>
      <c r="R174" s="1063"/>
      <c r="S174" s="1063"/>
      <c r="T174" s="1063"/>
      <c r="U174" s="387"/>
      <c r="V174" s="387"/>
      <c r="W174" s="387"/>
      <c r="X174" s="387"/>
      <c r="Y174" s="387"/>
    </row>
    <row r="175" spans="1:25" ht="15" customHeight="1" x14ac:dyDescent="0.25">
      <c r="A175" s="1071"/>
      <c r="B175" s="1023"/>
      <c r="C175" s="1024"/>
      <c r="D175" s="1024"/>
      <c r="E175" s="553"/>
      <c r="F175" s="556"/>
      <c r="G175" s="548"/>
      <c r="H175" s="548"/>
      <c r="I175" s="590"/>
      <c r="J175" s="590"/>
      <c r="K175" s="302"/>
      <c r="L175" s="461"/>
      <c r="M175" s="342"/>
      <c r="N175" s="277" t="s">
        <v>1240</v>
      </c>
      <c r="O175" s="277" t="s">
        <v>1241</v>
      </c>
      <c r="P175" s="277" t="s">
        <v>1649</v>
      </c>
      <c r="Q175" s="278"/>
      <c r="R175" s="277">
        <v>0.2</v>
      </c>
      <c r="S175" s="277"/>
      <c r="T175" s="443"/>
      <c r="U175" s="387"/>
      <c r="V175" s="387"/>
      <c r="W175" s="387"/>
      <c r="X175" s="387"/>
      <c r="Y175" s="387"/>
    </row>
    <row r="176" spans="1:25" ht="15" customHeight="1" x14ac:dyDescent="0.25">
      <c r="A176" s="562"/>
      <c r="B176" s="564"/>
      <c r="C176" s="553"/>
      <c r="D176" s="553"/>
      <c r="E176" s="553"/>
      <c r="F176" s="556"/>
      <c r="G176" s="996" t="s">
        <v>2290</v>
      </c>
      <c r="H176" s="1064"/>
      <c r="I176" s="1064"/>
      <c r="J176" s="1064"/>
      <c r="K176" s="1064"/>
      <c r="L176" s="1064"/>
      <c r="M176" s="1064"/>
      <c r="N176" s="996" t="s">
        <v>2011</v>
      </c>
      <c r="O176" s="1064"/>
      <c r="P176" s="1064"/>
      <c r="Q176" s="1064"/>
      <c r="R176" s="1064"/>
      <c r="S176" s="1064"/>
      <c r="T176" s="1064"/>
      <c r="U176" s="387"/>
      <c r="V176" s="387"/>
      <c r="W176" s="387"/>
      <c r="X176" s="387"/>
      <c r="Y176" s="387"/>
    </row>
    <row r="177" spans="1:25" ht="15" customHeight="1" x14ac:dyDescent="0.25">
      <c r="A177" s="562"/>
      <c r="B177" s="564"/>
      <c r="C177" s="553"/>
      <c r="D177" s="553"/>
      <c r="E177" s="553"/>
      <c r="F177" s="556"/>
      <c r="G177" s="548" t="s">
        <v>14748</v>
      </c>
      <c r="H177" s="548" t="s">
        <v>14749</v>
      </c>
      <c r="I177" s="590" t="s">
        <v>14863</v>
      </c>
      <c r="J177" s="590"/>
      <c r="K177" s="302">
        <f>0.16*0.9</f>
        <v>0.14400000000000002</v>
      </c>
      <c r="L177" s="461"/>
      <c r="M177" s="342"/>
      <c r="N177" s="548" t="s">
        <v>1617</v>
      </c>
      <c r="O177" s="548" t="s">
        <v>2034</v>
      </c>
      <c r="P177" s="590" t="s">
        <v>2048</v>
      </c>
      <c r="Q177" s="862"/>
      <c r="R177" s="590">
        <v>0.05</v>
      </c>
      <c r="S177" s="277"/>
      <c r="T177" s="443"/>
      <c r="U177" s="387"/>
      <c r="V177" s="387"/>
      <c r="W177" s="387"/>
      <c r="X177" s="387"/>
      <c r="Y177" s="387"/>
    </row>
    <row r="178" spans="1:25" ht="15" customHeight="1" x14ac:dyDescent="0.25">
      <c r="A178" s="562"/>
      <c r="B178" s="564"/>
      <c r="C178" s="553"/>
      <c r="D178" s="553"/>
      <c r="E178" s="553"/>
      <c r="F178" s="556"/>
      <c r="G178" s="543" t="s">
        <v>13435</v>
      </c>
      <c r="H178" s="543" t="s">
        <v>14813</v>
      </c>
      <c r="I178" s="590" t="s">
        <v>14879</v>
      </c>
      <c r="J178" s="590"/>
      <c r="K178" s="205">
        <f>(0.035-0.005)*0.9</f>
        <v>2.7000000000000003E-2</v>
      </c>
      <c r="L178" s="461"/>
      <c r="M178" s="342"/>
      <c r="N178" s="277"/>
      <c r="O178" s="277"/>
      <c r="P178" s="277"/>
      <c r="Q178" s="278"/>
      <c r="R178" s="277"/>
      <c r="S178" s="277"/>
      <c r="T178" s="443"/>
      <c r="U178" s="387"/>
      <c r="V178" s="387"/>
      <c r="W178" s="387"/>
      <c r="X178" s="387"/>
      <c r="Y178" s="387"/>
    </row>
    <row r="179" spans="1:25" ht="15" customHeight="1" x14ac:dyDescent="0.25">
      <c r="A179" s="562"/>
      <c r="B179" s="564"/>
      <c r="C179" s="553"/>
      <c r="D179" s="553"/>
      <c r="E179" s="553"/>
      <c r="F179" s="556"/>
      <c r="G179" s="996" t="s">
        <v>14933</v>
      </c>
      <c r="H179" s="1064"/>
      <c r="I179" s="1064"/>
      <c r="J179" s="1064"/>
      <c r="K179" s="1064"/>
      <c r="L179" s="1064"/>
      <c r="M179" s="1064"/>
      <c r="N179" s="277"/>
      <c r="O179" s="277"/>
      <c r="P179" s="277"/>
      <c r="Q179" s="278"/>
      <c r="R179" s="277"/>
      <c r="S179" s="277"/>
      <c r="T179" s="443"/>
      <c r="U179" s="387"/>
      <c r="V179" s="387"/>
      <c r="W179" s="387"/>
      <c r="X179" s="387"/>
      <c r="Y179" s="387"/>
    </row>
    <row r="180" spans="1:25" ht="15" customHeight="1" x14ac:dyDescent="0.25">
      <c r="A180" s="562"/>
      <c r="B180" s="564"/>
      <c r="C180" s="553"/>
      <c r="D180" s="553"/>
      <c r="E180" s="553"/>
      <c r="F180" s="556"/>
      <c r="G180" s="543" t="s">
        <v>14748</v>
      </c>
      <c r="H180" s="543" t="s">
        <v>17540</v>
      </c>
      <c r="I180" s="590" t="s">
        <v>17541</v>
      </c>
      <c r="J180" s="590"/>
      <c r="K180" s="205">
        <f>0.0966*0.9</f>
        <v>8.6940000000000003E-2</v>
      </c>
      <c r="L180" s="461"/>
      <c r="M180" s="342"/>
      <c r="N180" s="277"/>
      <c r="O180" s="277"/>
      <c r="P180" s="277"/>
      <c r="Q180" s="278"/>
      <c r="R180" s="277"/>
      <c r="S180" s="277"/>
      <c r="T180" s="443"/>
      <c r="U180" s="387"/>
      <c r="V180" s="387"/>
      <c r="W180" s="387"/>
      <c r="X180" s="387"/>
      <c r="Y180" s="387"/>
    </row>
    <row r="181" spans="1:25" ht="15" customHeight="1" x14ac:dyDescent="0.25">
      <c r="A181" s="562"/>
      <c r="B181" s="564"/>
      <c r="C181" s="553"/>
      <c r="D181" s="553"/>
      <c r="E181" s="553"/>
      <c r="F181" s="556"/>
      <c r="G181" s="996" t="s">
        <v>18518</v>
      </c>
      <c r="H181" s="1064"/>
      <c r="I181" s="1064"/>
      <c r="J181" s="1064"/>
      <c r="K181" s="1064"/>
      <c r="L181" s="1064"/>
      <c r="M181" s="1064"/>
      <c r="N181" s="462"/>
      <c r="O181" s="462"/>
      <c r="P181" s="462"/>
      <c r="Q181" s="304"/>
      <c r="R181" s="462"/>
      <c r="S181" s="462"/>
      <c r="T181" s="463"/>
      <c r="U181" s="387"/>
      <c r="V181" s="387"/>
      <c r="W181" s="387"/>
      <c r="X181" s="387"/>
      <c r="Y181" s="387"/>
    </row>
    <row r="182" spans="1:25" ht="15" customHeight="1" x14ac:dyDescent="0.25">
      <c r="A182" s="562"/>
      <c r="B182" s="564"/>
      <c r="C182" s="553"/>
      <c r="D182" s="553"/>
      <c r="E182" s="553"/>
      <c r="F182" s="556"/>
      <c r="G182" s="1065" t="s">
        <v>2262</v>
      </c>
      <c r="H182" s="1065"/>
      <c r="I182" s="1065"/>
      <c r="J182" s="994">
        <f>0.135*0.9*0.6</f>
        <v>7.2900000000000006E-2</v>
      </c>
      <c r="K182" s="995"/>
      <c r="L182" s="557"/>
      <c r="M182" s="594"/>
      <c r="N182" s="462"/>
      <c r="O182" s="462"/>
      <c r="P182" s="462"/>
      <c r="Q182" s="304"/>
      <c r="R182" s="462"/>
      <c r="S182" s="462"/>
      <c r="T182" s="463"/>
      <c r="U182" s="387"/>
      <c r="V182" s="387"/>
      <c r="W182" s="387"/>
      <c r="X182" s="387"/>
      <c r="Y182" s="387"/>
    </row>
    <row r="183" spans="1:25" ht="15" customHeight="1" thickBot="1" x14ac:dyDescent="0.3">
      <c r="A183" s="346"/>
      <c r="B183" s="243"/>
      <c r="C183" s="244"/>
      <c r="D183" s="244"/>
      <c r="E183" s="244"/>
      <c r="F183" s="245"/>
      <c r="G183" s="1032" t="s">
        <v>1199</v>
      </c>
      <c r="H183" s="1032"/>
      <c r="I183" s="1032"/>
      <c r="J183" s="542"/>
      <c r="K183" s="247">
        <f>SUM(J180:K182)</f>
        <v>0.15984000000000001</v>
      </c>
      <c r="L183" s="542">
        <v>0.92</v>
      </c>
      <c r="M183" s="247">
        <f>K183/L183</f>
        <v>0.17373913043478262</v>
      </c>
      <c r="N183" s="1032" t="s">
        <v>1199</v>
      </c>
      <c r="O183" s="1032"/>
      <c r="P183" s="1032"/>
      <c r="Q183" s="863"/>
      <c r="R183" s="435">
        <f>SUM(R175:R178)</f>
        <v>0.25</v>
      </c>
      <c r="S183" s="542">
        <v>0.92</v>
      </c>
      <c r="T183" s="436">
        <f>R183/S183</f>
        <v>0.27173913043478259</v>
      </c>
      <c r="U183" s="387"/>
      <c r="V183" s="387"/>
      <c r="W183" s="387"/>
      <c r="X183" s="387"/>
      <c r="Y183" s="387"/>
    </row>
    <row r="184" spans="1:25" ht="15" customHeight="1" x14ac:dyDescent="0.25">
      <c r="A184" s="1070" t="str">
        <f>Итоговая!C121</f>
        <v xml:space="preserve">ПС 35/10 кВ Рождество </v>
      </c>
      <c r="B184" s="1072">
        <f>Итоговая!D121</f>
        <v>2.5</v>
      </c>
      <c r="C184" s="1067" t="str">
        <f>Итоговая!E121</f>
        <v>+</v>
      </c>
      <c r="D184" s="1067">
        <f>Итоговая!F121</f>
        <v>2.5</v>
      </c>
      <c r="E184" s="1067"/>
      <c r="F184" s="1091"/>
      <c r="G184" s="992" t="s">
        <v>1324</v>
      </c>
      <c r="H184" s="1063"/>
      <c r="I184" s="1063"/>
      <c r="J184" s="1063"/>
      <c r="K184" s="1063"/>
      <c r="L184" s="1063"/>
      <c r="M184" s="1063"/>
      <c r="N184" s="444"/>
      <c r="O184" s="444"/>
      <c r="P184" s="444"/>
      <c r="Q184" s="444"/>
      <c r="R184" s="444"/>
      <c r="S184" s="444"/>
      <c r="T184" s="445"/>
      <c r="U184" s="387"/>
      <c r="V184" s="387"/>
      <c r="W184" s="387"/>
      <c r="X184" s="387"/>
      <c r="Y184" s="387"/>
    </row>
    <row r="185" spans="1:25" ht="15" customHeight="1" x14ac:dyDescent="0.25">
      <c r="A185" s="1071"/>
      <c r="B185" s="1023"/>
      <c r="C185" s="1024"/>
      <c r="D185" s="1024"/>
      <c r="E185" s="1024"/>
      <c r="F185" s="1025"/>
      <c r="G185" s="548" t="s">
        <v>1270</v>
      </c>
      <c r="H185" s="548" t="s">
        <v>1271</v>
      </c>
      <c r="I185" s="548" t="s">
        <v>1448</v>
      </c>
      <c r="J185" s="548"/>
      <c r="K185" s="519">
        <f>0.06*0.9</f>
        <v>5.3999999999999999E-2</v>
      </c>
      <c r="L185" s="548"/>
      <c r="M185" s="519"/>
      <c r="N185" s="272"/>
      <c r="O185" s="272"/>
      <c r="P185" s="272"/>
      <c r="Q185" s="272"/>
      <c r="R185" s="272"/>
      <c r="S185" s="272"/>
      <c r="T185" s="291"/>
      <c r="U185" s="387"/>
      <c r="V185" s="387"/>
      <c r="W185" s="387"/>
      <c r="X185" s="387"/>
      <c r="Y185" s="387"/>
    </row>
    <row r="186" spans="1:25" ht="15" customHeight="1" x14ac:dyDescent="0.25">
      <c r="A186" s="562"/>
      <c r="B186" s="564"/>
      <c r="C186" s="553"/>
      <c r="D186" s="553"/>
      <c r="E186" s="553"/>
      <c r="F186" s="556"/>
      <c r="G186" s="548"/>
      <c r="H186" s="548"/>
      <c r="I186" s="548"/>
      <c r="J186" s="548"/>
      <c r="K186" s="519"/>
      <c r="L186" s="548"/>
      <c r="M186" s="519"/>
      <c r="N186" s="272"/>
      <c r="O186" s="272"/>
      <c r="P186" s="272"/>
      <c r="Q186" s="272"/>
      <c r="R186" s="272"/>
      <c r="S186" s="272"/>
      <c r="T186" s="291"/>
      <c r="U186" s="387"/>
      <c r="V186" s="387"/>
      <c r="W186" s="387"/>
      <c r="X186" s="387"/>
      <c r="Y186" s="387"/>
    </row>
    <row r="187" spans="1:25" ht="15" customHeight="1" thickBot="1" x14ac:dyDescent="0.3">
      <c r="A187" s="346"/>
      <c r="B187" s="243"/>
      <c r="C187" s="244"/>
      <c r="D187" s="244"/>
      <c r="E187" s="244"/>
      <c r="F187" s="245"/>
      <c r="G187" s="1032" t="s">
        <v>1199</v>
      </c>
      <c r="H187" s="1032"/>
      <c r="I187" s="1032"/>
      <c r="J187" s="542"/>
      <c r="K187" s="247">
        <f>SUM(0)</f>
        <v>0</v>
      </c>
      <c r="L187" s="542">
        <v>0.92</v>
      </c>
      <c r="M187" s="247">
        <f>K187/L187</f>
        <v>0</v>
      </c>
      <c r="N187" s="1032" t="s">
        <v>1199</v>
      </c>
      <c r="O187" s="1032"/>
      <c r="P187" s="1032"/>
      <c r="Q187" s="863"/>
      <c r="R187" s="435">
        <f>SUM(R185:R185)</f>
        <v>0</v>
      </c>
      <c r="S187" s="542">
        <v>0.92</v>
      </c>
      <c r="T187" s="436">
        <f>R187/S187</f>
        <v>0</v>
      </c>
      <c r="U187" s="387"/>
      <c r="V187" s="387"/>
      <c r="W187" s="387"/>
      <c r="X187" s="387"/>
      <c r="Y187" s="387"/>
    </row>
    <row r="188" spans="1:25" ht="15" customHeight="1" x14ac:dyDescent="0.25">
      <c r="A188" s="1079" t="str">
        <f>Итоговая!C122</f>
        <v xml:space="preserve">ПС 35/10 кВ Ряд </v>
      </c>
      <c r="B188" s="563">
        <f>Итоговая!D122</f>
        <v>2.5</v>
      </c>
      <c r="C188" s="552" t="str">
        <f>Итоговая!E122</f>
        <v>+</v>
      </c>
      <c r="D188" s="552">
        <f>Итоговая!F122</f>
        <v>2.5</v>
      </c>
      <c r="E188" s="552"/>
      <c r="F188" s="555"/>
      <c r="G188" s="215"/>
      <c r="H188" s="215"/>
      <c r="I188" s="215"/>
      <c r="J188" s="215"/>
      <c r="K188" s="216"/>
      <c r="L188" s="215"/>
      <c r="M188" s="264"/>
      <c r="N188" s="215"/>
      <c r="O188" s="215"/>
      <c r="P188" s="215"/>
      <c r="Q188" s="858"/>
      <c r="R188" s="215"/>
      <c r="S188" s="215"/>
      <c r="T188" s="559"/>
      <c r="U188" s="387"/>
      <c r="V188" s="387"/>
      <c r="W188" s="387"/>
      <c r="X188" s="387"/>
      <c r="Y188" s="387"/>
    </row>
    <row r="189" spans="1:25" ht="15" customHeight="1" x14ac:dyDescent="0.25">
      <c r="A189" s="1080"/>
      <c r="B189" s="564"/>
      <c r="C189" s="553"/>
      <c r="D189" s="553"/>
      <c r="E189" s="553"/>
      <c r="F189" s="556"/>
      <c r="G189" s="543"/>
      <c r="H189" s="543"/>
      <c r="I189" s="543"/>
      <c r="J189" s="543"/>
      <c r="K189" s="205"/>
      <c r="L189" s="543"/>
      <c r="M189" s="519"/>
      <c r="N189" s="543"/>
      <c r="O189" s="543"/>
      <c r="P189" s="543"/>
      <c r="Q189" s="857"/>
      <c r="R189" s="543"/>
      <c r="S189" s="543"/>
      <c r="T189" s="560"/>
      <c r="U189" s="387"/>
      <c r="V189" s="387"/>
      <c r="W189" s="387"/>
      <c r="X189" s="387"/>
      <c r="Y189" s="387"/>
    </row>
    <row r="190" spans="1:25" ht="15" customHeight="1" thickBot="1" x14ac:dyDescent="0.3">
      <c r="A190" s="1081"/>
      <c r="B190" s="243"/>
      <c r="C190" s="244"/>
      <c r="D190" s="244"/>
      <c r="E190" s="244"/>
      <c r="F190" s="245"/>
      <c r="G190" s="1032" t="s">
        <v>1199</v>
      </c>
      <c r="H190" s="1032"/>
      <c r="I190" s="1032"/>
      <c r="J190" s="542"/>
      <c r="K190" s="247">
        <f>SUM(K188:K188)</f>
        <v>0</v>
      </c>
      <c r="L190" s="542">
        <v>0.92</v>
      </c>
      <c r="M190" s="247">
        <f>K190/L190</f>
        <v>0</v>
      </c>
      <c r="N190" s="1032" t="s">
        <v>1199</v>
      </c>
      <c r="O190" s="1032"/>
      <c r="P190" s="1032"/>
      <c r="Q190" s="863"/>
      <c r="R190" s="435">
        <f>SUM(R188:R188)</f>
        <v>0</v>
      </c>
      <c r="S190" s="542">
        <v>0.92</v>
      </c>
      <c r="T190" s="436">
        <f>R190/S190</f>
        <v>0</v>
      </c>
      <c r="U190" s="387"/>
      <c r="V190" s="387"/>
      <c r="W190" s="387"/>
      <c r="X190" s="387"/>
      <c r="Y190" s="387"/>
    </row>
    <row r="191" spans="1:25" ht="15" customHeight="1" x14ac:dyDescent="0.25">
      <c r="A191" s="1070" t="str">
        <f>Итоговая!C123</f>
        <v xml:space="preserve">ПС 35/10 кВ Сеглино  </v>
      </c>
      <c r="B191" s="1072">
        <f>Итоговая!D123</f>
        <v>1.6</v>
      </c>
      <c r="C191" s="1067" t="str">
        <f>Итоговая!E123</f>
        <v>+</v>
      </c>
      <c r="D191" s="1067">
        <f>Итоговая!F123</f>
        <v>1.6</v>
      </c>
      <c r="E191" s="552"/>
      <c r="F191" s="555"/>
      <c r="G191" s="992" t="s">
        <v>1740</v>
      </c>
      <c r="H191" s="1063"/>
      <c r="I191" s="1063"/>
      <c r="J191" s="1063"/>
      <c r="K191" s="1063"/>
      <c r="L191" s="1063"/>
      <c r="M191" s="1063"/>
      <c r="N191" s="444"/>
      <c r="O191" s="444"/>
      <c r="P191" s="444"/>
      <c r="Q191" s="444"/>
      <c r="R191" s="444"/>
      <c r="S191" s="444"/>
      <c r="T191" s="445"/>
      <c r="U191" s="387"/>
      <c r="V191" s="387"/>
      <c r="W191" s="387"/>
      <c r="X191" s="387"/>
      <c r="Y191" s="387"/>
    </row>
    <row r="192" spans="1:25" ht="15" customHeight="1" x14ac:dyDescent="0.25">
      <c r="A192" s="1071"/>
      <c r="B192" s="1023"/>
      <c r="C192" s="1024"/>
      <c r="D192" s="1024"/>
      <c r="E192" s="553"/>
      <c r="F192" s="556"/>
      <c r="G192" s="548" t="s">
        <v>1613</v>
      </c>
      <c r="H192" s="548" t="s">
        <v>1614</v>
      </c>
      <c r="I192" s="548" t="s">
        <v>1808</v>
      </c>
      <c r="J192" s="548"/>
      <c r="K192" s="519">
        <f>0.023*0.9</f>
        <v>2.07E-2</v>
      </c>
      <c r="L192" s="548"/>
      <c r="M192" s="519"/>
      <c r="N192" s="272"/>
      <c r="O192" s="272"/>
      <c r="P192" s="272"/>
      <c r="Q192" s="272"/>
      <c r="R192" s="272"/>
      <c r="S192" s="272"/>
      <c r="T192" s="291"/>
      <c r="U192" s="387"/>
      <c r="V192" s="387"/>
      <c r="W192" s="387"/>
      <c r="X192" s="387"/>
      <c r="Y192" s="387"/>
    </row>
    <row r="193" spans="1:25" ht="15" customHeight="1" thickBot="1" x14ac:dyDescent="0.3">
      <c r="A193" s="346"/>
      <c r="B193" s="243"/>
      <c r="C193" s="244"/>
      <c r="D193" s="244"/>
      <c r="E193" s="244"/>
      <c r="F193" s="245"/>
      <c r="G193" s="1032" t="s">
        <v>1199</v>
      </c>
      <c r="H193" s="1032"/>
      <c r="I193" s="1032"/>
      <c r="J193" s="542"/>
      <c r="K193" s="247">
        <f>SUM(0)</f>
        <v>0</v>
      </c>
      <c r="L193" s="464">
        <v>0.92</v>
      </c>
      <c r="M193" s="247">
        <f>K193/L193</f>
        <v>0</v>
      </c>
      <c r="N193" s="1032" t="s">
        <v>1199</v>
      </c>
      <c r="O193" s="1032"/>
      <c r="P193" s="1032"/>
      <c r="Q193" s="863"/>
      <c r="R193" s="435">
        <f>SUM(R192)</f>
        <v>0</v>
      </c>
      <c r="S193" s="542">
        <v>0.92</v>
      </c>
      <c r="T193" s="436">
        <f>R193/S193</f>
        <v>0</v>
      </c>
      <c r="U193" s="387"/>
      <c r="V193" s="387"/>
      <c r="W193" s="387"/>
      <c r="X193" s="387"/>
      <c r="Y193" s="387"/>
    </row>
    <row r="194" spans="1:25" ht="15" customHeight="1" x14ac:dyDescent="0.25">
      <c r="A194" s="561" t="str">
        <f>Итоговая!C124</f>
        <v xml:space="preserve">ПС 35/10 кВ Сороки </v>
      </c>
      <c r="B194" s="563">
        <f>Итоговая!D124</f>
        <v>2.5</v>
      </c>
      <c r="C194" s="552" t="str">
        <f>Итоговая!E124</f>
        <v>+</v>
      </c>
      <c r="D194" s="552">
        <f>Итоговая!F124</f>
        <v>2.5</v>
      </c>
      <c r="E194" s="552"/>
      <c r="F194" s="555"/>
      <c r="G194" s="992" t="s">
        <v>2290</v>
      </c>
      <c r="H194" s="1063"/>
      <c r="I194" s="1063"/>
      <c r="J194" s="1063"/>
      <c r="K194" s="1063"/>
      <c r="L194" s="1063"/>
      <c r="M194" s="1063"/>
      <c r="N194" s="215"/>
      <c r="O194" s="215"/>
      <c r="P194" s="215"/>
      <c r="Q194" s="858"/>
      <c r="R194" s="215"/>
      <c r="S194" s="215"/>
      <c r="T194" s="559"/>
      <c r="U194" s="387"/>
      <c r="V194" s="387"/>
      <c r="W194" s="387"/>
      <c r="X194" s="387"/>
      <c r="Y194" s="387"/>
    </row>
    <row r="195" spans="1:25" ht="15" customHeight="1" x14ac:dyDescent="0.25">
      <c r="A195" s="562"/>
      <c r="B195" s="564"/>
      <c r="C195" s="553"/>
      <c r="D195" s="553"/>
      <c r="E195" s="553"/>
      <c r="F195" s="556"/>
      <c r="G195" s="543" t="s">
        <v>13394</v>
      </c>
      <c r="H195" s="543" t="s">
        <v>13395</v>
      </c>
      <c r="I195" s="543" t="s">
        <v>14834</v>
      </c>
      <c r="J195" s="543"/>
      <c r="K195" s="205">
        <f>0.05*0.9</f>
        <v>4.5000000000000005E-2</v>
      </c>
      <c r="L195" s="543"/>
      <c r="M195" s="519"/>
      <c r="N195" s="543"/>
      <c r="O195" s="543"/>
      <c r="P195" s="543"/>
      <c r="Q195" s="857"/>
      <c r="R195" s="543"/>
      <c r="S195" s="543"/>
      <c r="T195" s="560"/>
      <c r="U195" s="387"/>
      <c r="V195" s="387"/>
      <c r="W195" s="387"/>
      <c r="X195" s="387"/>
      <c r="Y195" s="387"/>
    </row>
    <row r="196" spans="1:25" ht="15" customHeight="1" x14ac:dyDescent="0.25">
      <c r="A196" s="562"/>
      <c r="B196" s="564"/>
      <c r="C196" s="553"/>
      <c r="D196" s="553"/>
      <c r="E196" s="553"/>
      <c r="F196" s="556"/>
      <c r="G196" s="996" t="s">
        <v>14933</v>
      </c>
      <c r="H196" s="1064"/>
      <c r="I196" s="1064"/>
      <c r="J196" s="1064"/>
      <c r="K196" s="1064"/>
      <c r="L196" s="1064"/>
      <c r="M196" s="1064"/>
      <c r="N196" s="543"/>
      <c r="O196" s="543"/>
      <c r="P196" s="543"/>
      <c r="Q196" s="857"/>
      <c r="R196" s="543"/>
      <c r="S196" s="543"/>
      <c r="T196" s="560"/>
      <c r="U196" s="387"/>
      <c r="V196" s="387"/>
      <c r="W196" s="387"/>
      <c r="X196" s="387"/>
      <c r="Y196" s="387"/>
    </row>
    <row r="197" spans="1:25" ht="15" customHeight="1" x14ac:dyDescent="0.25">
      <c r="A197" s="562"/>
      <c r="B197" s="564"/>
      <c r="C197" s="553"/>
      <c r="D197" s="553"/>
      <c r="E197" s="553"/>
      <c r="F197" s="556"/>
      <c r="G197" s="543" t="s">
        <v>13409</v>
      </c>
      <c r="H197" s="281" t="s">
        <v>17395</v>
      </c>
      <c r="I197" s="465" t="s">
        <v>17396</v>
      </c>
      <c r="J197" s="543"/>
      <c r="K197" s="205">
        <f>0.035*0.9</f>
        <v>3.1500000000000007E-2</v>
      </c>
      <c r="L197" s="543"/>
      <c r="M197" s="519"/>
      <c r="N197" s="543"/>
      <c r="O197" s="543"/>
      <c r="P197" s="543"/>
      <c r="Q197" s="857"/>
      <c r="R197" s="543"/>
      <c r="S197" s="543"/>
      <c r="T197" s="560"/>
      <c r="U197" s="387"/>
      <c r="V197" s="387"/>
      <c r="W197" s="387"/>
      <c r="X197" s="387"/>
      <c r="Y197" s="387"/>
    </row>
    <row r="198" spans="1:25" ht="15" customHeight="1" x14ac:dyDescent="0.25">
      <c r="A198" s="562"/>
      <c r="B198" s="564"/>
      <c r="C198" s="553"/>
      <c r="D198" s="553"/>
      <c r="E198" s="553"/>
      <c r="F198" s="556"/>
      <c r="G198" s="996" t="s">
        <v>18518</v>
      </c>
      <c r="H198" s="1064"/>
      <c r="I198" s="1064"/>
      <c r="J198" s="1064"/>
      <c r="K198" s="1064"/>
      <c r="L198" s="1064"/>
      <c r="M198" s="1064"/>
      <c r="N198" s="557"/>
      <c r="O198" s="557"/>
      <c r="P198" s="557"/>
      <c r="Q198" s="859"/>
      <c r="R198" s="557"/>
      <c r="S198" s="557"/>
      <c r="T198" s="439"/>
      <c r="U198" s="387"/>
      <c r="V198" s="387"/>
      <c r="W198" s="387"/>
      <c r="X198" s="387"/>
      <c r="Y198" s="387"/>
    </row>
    <row r="199" spans="1:25" ht="15" customHeight="1" x14ac:dyDescent="0.25">
      <c r="A199" s="562"/>
      <c r="B199" s="564"/>
      <c r="C199" s="553"/>
      <c r="D199" s="553"/>
      <c r="E199" s="553"/>
      <c r="F199" s="556"/>
      <c r="G199" s="1065" t="s">
        <v>2262</v>
      </c>
      <c r="H199" s="1065"/>
      <c r="I199" s="1065"/>
      <c r="J199" s="994">
        <f>0.028*0.9</f>
        <v>2.52E-2</v>
      </c>
      <c r="K199" s="995"/>
      <c r="L199" s="557"/>
      <c r="M199" s="594"/>
      <c r="N199" s="557"/>
      <c r="O199" s="557"/>
      <c r="P199" s="557"/>
      <c r="Q199" s="859"/>
      <c r="R199" s="557"/>
      <c r="S199" s="557"/>
      <c r="T199" s="439"/>
      <c r="U199" s="387"/>
      <c r="V199" s="387"/>
      <c r="W199" s="387"/>
      <c r="X199" s="387"/>
      <c r="Y199" s="387"/>
    </row>
    <row r="200" spans="1:25" ht="15" customHeight="1" thickBot="1" x14ac:dyDescent="0.3">
      <c r="A200" s="346"/>
      <c r="B200" s="243"/>
      <c r="C200" s="244"/>
      <c r="D200" s="244"/>
      <c r="E200" s="244"/>
      <c r="F200" s="245"/>
      <c r="G200" s="1032" t="s">
        <v>1199</v>
      </c>
      <c r="H200" s="1032"/>
      <c r="I200" s="1032"/>
      <c r="J200" s="542"/>
      <c r="K200" s="247">
        <f>SUM(J197:K199)</f>
        <v>5.6700000000000007E-2</v>
      </c>
      <c r="L200" s="542">
        <v>0.92</v>
      </c>
      <c r="M200" s="247">
        <f>K200/L200</f>
        <v>6.1630434782608698E-2</v>
      </c>
      <c r="N200" s="1032" t="s">
        <v>1199</v>
      </c>
      <c r="O200" s="1032"/>
      <c r="P200" s="1032"/>
      <c r="Q200" s="863"/>
      <c r="R200" s="435">
        <f>SUM(R194:R194)</f>
        <v>0</v>
      </c>
      <c r="S200" s="542">
        <v>0.92</v>
      </c>
      <c r="T200" s="436">
        <f>R200/S200</f>
        <v>0</v>
      </c>
      <c r="U200" s="387"/>
      <c r="V200" s="387"/>
      <c r="W200" s="387"/>
      <c r="X200" s="387"/>
      <c r="Y200" s="387"/>
    </row>
    <row r="201" spans="1:25" ht="15" customHeight="1" x14ac:dyDescent="0.25">
      <c r="A201" s="561" t="str">
        <f>Итоговая!C125</f>
        <v xml:space="preserve">ПС 35/10 кВ Терелесово </v>
      </c>
      <c r="B201" s="563">
        <f>Итоговая!D125</f>
        <v>1.6</v>
      </c>
      <c r="C201" s="552" t="str">
        <f>Итоговая!E125</f>
        <v>+</v>
      </c>
      <c r="D201" s="552">
        <f>Итоговая!F125</f>
        <v>1.6</v>
      </c>
      <c r="E201" s="552"/>
      <c r="F201" s="555"/>
      <c r="G201" s="992" t="s">
        <v>18518</v>
      </c>
      <c r="H201" s="1063"/>
      <c r="I201" s="1063"/>
      <c r="J201" s="1063"/>
      <c r="K201" s="1063"/>
      <c r="L201" s="1063"/>
      <c r="M201" s="1063"/>
      <c r="N201" s="215"/>
      <c r="O201" s="215"/>
      <c r="P201" s="215"/>
      <c r="Q201" s="858"/>
      <c r="R201" s="215"/>
      <c r="S201" s="215"/>
      <c r="T201" s="559"/>
      <c r="U201" s="387"/>
      <c r="V201" s="387"/>
      <c r="W201" s="387"/>
      <c r="X201" s="387"/>
      <c r="Y201" s="387"/>
    </row>
    <row r="202" spans="1:25" ht="15" customHeight="1" x14ac:dyDescent="0.25">
      <c r="A202" s="562"/>
      <c r="B202" s="564"/>
      <c r="C202" s="553"/>
      <c r="D202" s="553"/>
      <c r="E202" s="553"/>
      <c r="F202" s="556"/>
      <c r="G202" s="275" t="s">
        <v>13409</v>
      </c>
      <c r="H202" s="275" t="s">
        <v>19006</v>
      </c>
      <c r="I202" s="275">
        <v>41040773</v>
      </c>
      <c r="J202" s="595">
        <f>0.025*0.9</f>
        <v>2.2500000000000003E-2</v>
      </c>
      <c r="K202" s="595"/>
      <c r="L202" s="276"/>
      <c r="M202" s="276"/>
      <c r="N202" s="593"/>
      <c r="O202" s="593"/>
      <c r="P202" s="593"/>
      <c r="Q202" s="860"/>
      <c r="R202" s="593"/>
      <c r="S202" s="593"/>
      <c r="T202" s="466"/>
      <c r="U202" s="387"/>
      <c r="V202" s="387"/>
      <c r="W202" s="387"/>
      <c r="X202" s="387"/>
      <c r="Y202" s="387"/>
    </row>
    <row r="203" spans="1:25" ht="15" customHeight="1" x14ac:dyDescent="0.25">
      <c r="A203" s="562"/>
      <c r="B203" s="564"/>
      <c r="C203" s="553"/>
      <c r="D203" s="553"/>
      <c r="E203" s="553"/>
      <c r="F203" s="556"/>
      <c r="G203" s="1065" t="s">
        <v>2262</v>
      </c>
      <c r="H203" s="1065"/>
      <c r="I203" s="1065"/>
      <c r="J203" s="994">
        <f>0.003*0.9</f>
        <v>2.7000000000000001E-3</v>
      </c>
      <c r="K203" s="995"/>
      <c r="L203" s="557"/>
      <c r="M203" s="594"/>
      <c r="N203" s="543"/>
      <c r="O203" s="543"/>
      <c r="P203" s="543"/>
      <c r="Q203" s="857"/>
      <c r="R203" s="543"/>
      <c r="S203" s="543"/>
      <c r="T203" s="560"/>
      <c r="U203" s="387"/>
      <c r="V203" s="387"/>
      <c r="W203" s="387"/>
      <c r="X203" s="387"/>
      <c r="Y203" s="387"/>
    </row>
    <row r="204" spans="1:25" ht="15" customHeight="1" thickBot="1" x14ac:dyDescent="0.3">
      <c r="A204" s="346"/>
      <c r="B204" s="243"/>
      <c r="C204" s="244"/>
      <c r="D204" s="244"/>
      <c r="E204" s="244"/>
      <c r="F204" s="245"/>
      <c r="G204" s="1032" t="s">
        <v>1199</v>
      </c>
      <c r="H204" s="1032"/>
      <c r="I204" s="1032"/>
      <c r="J204" s="542"/>
      <c r="K204" s="247">
        <f>SUM(J202:K203)</f>
        <v>2.5200000000000004E-2</v>
      </c>
      <c r="L204" s="542">
        <v>0.92</v>
      </c>
      <c r="M204" s="247">
        <f>K204/L204</f>
        <v>2.7391304347826089E-2</v>
      </c>
      <c r="N204" s="1032" t="s">
        <v>1199</v>
      </c>
      <c r="O204" s="1032"/>
      <c r="P204" s="1032"/>
      <c r="Q204" s="863"/>
      <c r="R204" s="435">
        <f>SUM(R201:R201)</f>
        <v>0</v>
      </c>
      <c r="S204" s="542">
        <v>0.92</v>
      </c>
      <c r="T204" s="436">
        <f>R204/S204</f>
        <v>0</v>
      </c>
      <c r="U204" s="387"/>
      <c r="V204" s="387"/>
      <c r="W204" s="387"/>
      <c r="X204" s="387"/>
      <c r="Y204" s="387"/>
    </row>
    <row r="205" spans="1:25" ht="15" customHeight="1" x14ac:dyDescent="0.25">
      <c r="A205" s="1070" t="str">
        <f>Итоговая!C126</f>
        <v xml:space="preserve">ПС 35/10 кВ Тимково </v>
      </c>
      <c r="B205" s="1072">
        <f>Итоговая!D126</f>
        <v>1.6</v>
      </c>
      <c r="C205" s="1067" t="str">
        <f>Итоговая!E126</f>
        <v>+</v>
      </c>
      <c r="D205" s="1067">
        <f>Итоговая!F126</f>
        <v>1.6</v>
      </c>
      <c r="E205" s="552"/>
      <c r="F205" s="555"/>
      <c r="G205" s="992" t="s">
        <v>1288</v>
      </c>
      <c r="H205" s="1063"/>
      <c r="I205" s="1063"/>
      <c r="J205" s="1063"/>
      <c r="K205" s="1063"/>
      <c r="L205" s="1063"/>
      <c r="M205" s="1063"/>
      <c r="N205" s="444"/>
      <c r="O205" s="444"/>
      <c r="P205" s="444"/>
      <c r="Q205" s="444"/>
      <c r="R205" s="444"/>
      <c r="S205" s="444"/>
      <c r="T205" s="445"/>
      <c r="U205" s="387"/>
      <c r="V205" s="387"/>
      <c r="W205" s="387"/>
      <c r="X205" s="387"/>
      <c r="Y205" s="387"/>
    </row>
    <row r="206" spans="1:25" ht="15" customHeight="1" x14ac:dyDescent="0.25">
      <c r="A206" s="1071"/>
      <c r="B206" s="1023"/>
      <c r="C206" s="1024"/>
      <c r="D206" s="1024"/>
      <c r="E206" s="553"/>
      <c r="F206" s="556"/>
      <c r="G206" s="548" t="s">
        <v>1242</v>
      </c>
      <c r="H206" s="548" t="s">
        <v>1243</v>
      </c>
      <c r="I206" s="548" t="s">
        <v>1244</v>
      </c>
      <c r="J206" s="548"/>
      <c r="K206" s="519">
        <v>0.06</v>
      </c>
      <c r="L206" s="548"/>
      <c r="M206" s="519"/>
      <c r="N206" s="272"/>
      <c r="O206" s="272"/>
      <c r="P206" s="272"/>
      <c r="Q206" s="272"/>
      <c r="R206" s="272"/>
      <c r="S206" s="272"/>
      <c r="T206" s="291"/>
      <c r="U206" s="387"/>
      <c r="V206" s="387"/>
      <c r="W206" s="387"/>
      <c r="X206" s="387"/>
      <c r="Y206" s="387"/>
    </row>
    <row r="207" spans="1:25" ht="15" customHeight="1" x14ac:dyDescent="0.25">
      <c r="A207" s="562"/>
      <c r="B207" s="564"/>
      <c r="C207" s="553"/>
      <c r="D207" s="553"/>
      <c r="E207" s="553"/>
      <c r="F207" s="556"/>
      <c r="G207" s="996" t="s">
        <v>14933</v>
      </c>
      <c r="H207" s="1064"/>
      <c r="I207" s="1064"/>
      <c r="J207" s="1064"/>
      <c r="K207" s="1064"/>
      <c r="L207" s="1064"/>
      <c r="M207" s="1064"/>
      <c r="N207" s="272"/>
      <c r="O207" s="272"/>
      <c r="P207" s="272"/>
      <c r="Q207" s="272"/>
      <c r="R207" s="272"/>
      <c r="S207" s="272"/>
      <c r="T207" s="291"/>
      <c r="U207" s="387"/>
      <c r="V207" s="387"/>
      <c r="W207" s="387"/>
      <c r="X207" s="387"/>
      <c r="Y207" s="387"/>
    </row>
    <row r="208" spans="1:25" ht="15" customHeight="1" x14ac:dyDescent="0.25">
      <c r="A208" s="562"/>
      <c r="B208" s="564"/>
      <c r="C208" s="553"/>
      <c r="D208" s="553"/>
      <c r="E208" s="553"/>
      <c r="F208" s="556"/>
      <c r="G208" s="543" t="s">
        <v>13435</v>
      </c>
      <c r="H208" s="543" t="s">
        <v>17330</v>
      </c>
      <c r="I208" s="543" t="s">
        <v>17331</v>
      </c>
      <c r="J208" s="543"/>
      <c r="K208" s="205">
        <f>0.025*0.9</f>
        <v>2.2500000000000003E-2</v>
      </c>
      <c r="L208" s="543"/>
      <c r="M208" s="519"/>
      <c r="N208" s="272"/>
      <c r="O208" s="272"/>
      <c r="P208" s="272"/>
      <c r="Q208" s="272"/>
      <c r="R208" s="272"/>
      <c r="S208" s="272"/>
      <c r="T208" s="291"/>
      <c r="U208" s="387"/>
      <c r="V208" s="387"/>
      <c r="W208" s="387"/>
      <c r="X208" s="387"/>
      <c r="Y208" s="387"/>
    </row>
    <row r="209" spans="1:25" ht="15" customHeight="1" x14ac:dyDescent="0.25">
      <c r="A209" s="562"/>
      <c r="B209" s="564"/>
      <c r="C209" s="553"/>
      <c r="D209" s="553"/>
      <c r="E209" s="553"/>
      <c r="F209" s="556"/>
      <c r="G209" s="996" t="s">
        <v>18518</v>
      </c>
      <c r="H209" s="1064"/>
      <c r="I209" s="1064"/>
      <c r="J209" s="1064"/>
      <c r="K209" s="1064"/>
      <c r="L209" s="1064"/>
      <c r="M209" s="1064"/>
      <c r="N209" s="292"/>
      <c r="O209" s="292"/>
      <c r="P209" s="292"/>
      <c r="Q209" s="292"/>
      <c r="R209" s="292"/>
      <c r="S209" s="292"/>
      <c r="T209" s="293"/>
      <c r="U209" s="387"/>
      <c r="V209" s="387"/>
      <c r="W209" s="387"/>
      <c r="X209" s="387"/>
      <c r="Y209" s="387"/>
    </row>
    <row r="210" spans="1:25" ht="15" customHeight="1" x14ac:dyDescent="0.25">
      <c r="A210" s="562"/>
      <c r="B210" s="564"/>
      <c r="C210" s="553"/>
      <c r="D210" s="553"/>
      <c r="E210" s="553"/>
      <c r="F210" s="556"/>
      <c r="G210" s="1065" t="s">
        <v>2262</v>
      </c>
      <c r="H210" s="1065"/>
      <c r="I210" s="1065"/>
      <c r="J210" s="994">
        <f>0.161*0.9</f>
        <v>0.1449</v>
      </c>
      <c r="K210" s="995"/>
      <c r="L210" s="543"/>
      <c r="M210" s="519"/>
      <c r="N210" s="292"/>
      <c r="O210" s="292"/>
      <c r="P210" s="292"/>
      <c r="Q210" s="292"/>
      <c r="R210" s="292"/>
      <c r="S210" s="292"/>
      <c r="T210" s="293"/>
      <c r="U210" s="387"/>
      <c r="V210" s="387"/>
      <c r="W210" s="387"/>
      <c r="X210" s="387"/>
      <c r="Y210" s="387"/>
    </row>
    <row r="211" spans="1:25" ht="15" customHeight="1" thickBot="1" x14ac:dyDescent="0.3">
      <c r="A211" s="346"/>
      <c r="B211" s="243"/>
      <c r="C211" s="244"/>
      <c r="D211" s="244"/>
      <c r="E211" s="244"/>
      <c r="F211" s="245"/>
      <c r="G211" s="1032" t="s">
        <v>1199</v>
      </c>
      <c r="H211" s="1032"/>
      <c r="I211" s="1032"/>
      <c r="J211" s="542"/>
      <c r="K211" s="247">
        <f>SUM(J208:K210)</f>
        <v>0.16739999999999999</v>
      </c>
      <c r="L211" s="542">
        <v>0.92</v>
      </c>
      <c r="M211" s="247">
        <f>K211/L211</f>
        <v>0.18195652173913041</v>
      </c>
      <c r="N211" s="1032" t="s">
        <v>1199</v>
      </c>
      <c r="O211" s="1032"/>
      <c r="P211" s="1032"/>
      <c r="Q211" s="863"/>
      <c r="R211" s="435">
        <f>SUM(R207:R208)</f>
        <v>0</v>
      </c>
      <c r="S211" s="542">
        <v>0.92</v>
      </c>
      <c r="T211" s="436">
        <f>R211/S211</f>
        <v>0</v>
      </c>
      <c r="U211" s="387"/>
      <c r="V211" s="387"/>
      <c r="W211" s="387"/>
      <c r="X211" s="387"/>
      <c r="Y211" s="387"/>
    </row>
    <row r="212" spans="1:25" ht="15" customHeight="1" x14ac:dyDescent="0.25">
      <c r="A212" s="561" t="str">
        <f>Итоговая!C127</f>
        <v xml:space="preserve">ПС 35/10 кВ Фирово </v>
      </c>
      <c r="B212" s="563">
        <f>Итоговая!D127</f>
        <v>2.5</v>
      </c>
      <c r="C212" s="552" t="str">
        <f>Итоговая!E127</f>
        <v>+</v>
      </c>
      <c r="D212" s="552">
        <f>Итоговая!F127</f>
        <v>2.5</v>
      </c>
      <c r="E212" s="552"/>
      <c r="F212" s="555"/>
      <c r="G212" s="992" t="s">
        <v>18518</v>
      </c>
      <c r="H212" s="1063"/>
      <c r="I212" s="1063"/>
      <c r="J212" s="1063"/>
      <c r="K212" s="1063"/>
      <c r="L212" s="1063"/>
      <c r="M212" s="1063"/>
      <c r="N212" s="215"/>
      <c r="O212" s="215"/>
      <c r="P212" s="215"/>
      <c r="Q212" s="858"/>
      <c r="R212" s="215"/>
      <c r="S212" s="215"/>
      <c r="T212" s="559"/>
      <c r="U212" s="387"/>
      <c r="V212" s="387"/>
      <c r="W212" s="387"/>
      <c r="X212" s="387"/>
      <c r="Y212" s="387"/>
    </row>
    <row r="213" spans="1:25" ht="15" customHeight="1" x14ac:dyDescent="0.25">
      <c r="A213" s="562"/>
      <c r="B213" s="564"/>
      <c r="C213" s="553"/>
      <c r="D213" s="553"/>
      <c r="E213" s="553"/>
      <c r="F213" s="556"/>
      <c r="G213" s="1065" t="s">
        <v>2262</v>
      </c>
      <c r="H213" s="1065"/>
      <c r="I213" s="1065"/>
      <c r="J213" s="994">
        <f>0.025*0.9</f>
        <v>2.2500000000000003E-2</v>
      </c>
      <c r="K213" s="995"/>
      <c r="L213" s="557"/>
      <c r="M213" s="594"/>
      <c r="N213" s="543"/>
      <c r="O213" s="543"/>
      <c r="P213" s="543"/>
      <c r="Q213" s="857"/>
      <c r="R213" s="543"/>
      <c r="S213" s="543"/>
      <c r="T213" s="560"/>
      <c r="U213" s="387"/>
      <c r="V213" s="387"/>
      <c r="W213" s="387"/>
      <c r="X213" s="387"/>
      <c r="Y213" s="387"/>
    </row>
    <row r="214" spans="1:25" ht="15" customHeight="1" thickBot="1" x14ac:dyDescent="0.3">
      <c r="A214" s="346"/>
      <c r="B214" s="243"/>
      <c r="C214" s="244"/>
      <c r="D214" s="244"/>
      <c r="E214" s="244"/>
      <c r="F214" s="245"/>
      <c r="G214" s="1032" t="s">
        <v>1199</v>
      </c>
      <c r="H214" s="1032"/>
      <c r="I214" s="1032"/>
      <c r="J214" s="542"/>
      <c r="K214" s="247">
        <f>SUM(J213)</f>
        <v>2.2500000000000003E-2</v>
      </c>
      <c r="L214" s="542">
        <v>0.92</v>
      </c>
      <c r="M214" s="247">
        <f>K214/L214</f>
        <v>2.4456521739130436E-2</v>
      </c>
      <c r="N214" s="1032" t="s">
        <v>1199</v>
      </c>
      <c r="O214" s="1032"/>
      <c r="P214" s="1032"/>
      <c r="Q214" s="863"/>
      <c r="R214" s="435">
        <f>SUM(R212:R212)</f>
        <v>0</v>
      </c>
      <c r="S214" s="542">
        <v>0.92</v>
      </c>
      <c r="T214" s="436">
        <f>R214/S214</f>
        <v>0</v>
      </c>
      <c r="U214" s="387"/>
      <c r="V214" s="387"/>
      <c r="W214" s="387"/>
      <c r="X214" s="387"/>
      <c r="Y214" s="387"/>
    </row>
    <row r="215" spans="1:25" ht="15" customHeight="1" x14ac:dyDescent="0.25">
      <c r="A215" s="1070" t="str">
        <f>Итоговая!C128</f>
        <v xml:space="preserve">ПС 35/6 кВ Юбилейная </v>
      </c>
      <c r="B215" s="1072">
        <f>Итоговая!D128</f>
        <v>7.5</v>
      </c>
      <c r="C215" s="1067" t="str">
        <f>Итоговая!E128</f>
        <v>+</v>
      </c>
      <c r="D215" s="1067">
        <f>Итоговая!F128</f>
        <v>10</v>
      </c>
      <c r="E215" s="552"/>
      <c r="F215" s="555"/>
      <c r="G215" s="992" t="s">
        <v>1288</v>
      </c>
      <c r="H215" s="1063"/>
      <c r="I215" s="1063"/>
      <c r="J215" s="1063"/>
      <c r="K215" s="1063"/>
      <c r="L215" s="1063"/>
      <c r="M215" s="1063"/>
      <c r="N215" s="444"/>
      <c r="O215" s="444"/>
      <c r="P215" s="444"/>
      <c r="Q215" s="444"/>
      <c r="R215" s="444"/>
      <c r="S215" s="444"/>
      <c r="T215" s="445"/>
      <c r="U215" s="387"/>
      <c r="V215" s="387"/>
      <c r="W215" s="387"/>
      <c r="X215" s="387"/>
      <c r="Y215" s="387"/>
    </row>
    <row r="216" spans="1:25" ht="15" customHeight="1" x14ac:dyDescent="0.25">
      <c r="A216" s="1071"/>
      <c r="B216" s="1023"/>
      <c r="C216" s="1024"/>
      <c r="D216" s="1024"/>
      <c r="E216" s="553"/>
      <c r="F216" s="556"/>
      <c r="G216" s="548" t="s">
        <v>1220</v>
      </c>
      <c r="H216" s="548" t="s">
        <v>1236</v>
      </c>
      <c r="I216" s="548" t="s">
        <v>1237</v>
      </c>
      <c r="J216" s="548"/>
      <c r="K216" s="519">
        <v>0.3</v>
      </c>
      <c r="L216" s="548"/>
      <c r="M216" s="519"/>
      <c r="N216" s="272"/>
      <c r="O216" s="272"/>
      <c r="P216" s="272"/>
      <c r="Q216" s="272"/>
      <c r="R216" s="272"/>
      <c r="S216" s="272"/>
      <c r="T216" s="291"/>
      <c r="U216" s="387"/>
      <c r="V216" s="387"/>
      <c r="W216" s="387"/>
      <c r="X216" s="387"/>
      <c r="Y216" s="387"/>
    </row>
    <row r="217" spans="1:25" ht="15" customHeight="1" x14ac:dyDescent="0.25">
      <c r="A217" s="562"/>
      <c r="B217" s="564"/>
      <c r="C217" s="553"/>
      <c r="D217" s="553"/>
      <c r="E217" s="553"/>
      <c r="F217" s="556"/>
      <c r="G217" s="996" t="s">
        <v>1286</v>
      </c>
      <c r="H217" s="1064"/>
      <c r="I217" s="1064"/>
      <c r="J217" s="1064"/>
      <c r="K217" s="1064"/>
      <c r="L217" s="1064"/>
      <c r="M217" s="1064"/>
      <c r="N217" s="272"/>
      <c r="O217" s="272"/>
      <c r="P217" s="272"/>
      <c r="Q217" s="272"/>
      <c r="R217" s="272"/>
      <c r="S217" s="272"/>
      <c r="T217" s="291"/>
      <c r="U217" s="387"/>
      <c r="V217" s="387"/>
      <c r="W217" s="387"/>
      <c r="X217" s="387"/>
      <c r="Y217" s="387"/>
    </row>
    <row r="218" spans="1:25" ht="15" customHeight="1" x14ac:dyDescent="0.25">
      <c r="A218" s="562"/>
      <c r="B218" s="564"/>
      <c r="C218" s="553"/>
      <c r="D218" s="553"/>
      <c r="E218" s="553"/>
      <c r="F218" s="556"/>
      <c r="G218" s="548" t="s">
        <v>1238</v>
      </c>
      <c r="H218" s="548" t="s">
        <v>1239</v>
      </c>
      <c r="I218" s="548" t="s">
        <v>38</v>
      </c>
      <c r="J218" s="548"/>
      <c r="K218" s="519">
        <v>7.8E-2</v>
      </c>
      <c r="L218" s="548"/>
      <c r="M218" s="519"/>
      <c r="N218" s="272"/>
      <c r="O218" s="272"/>
      <c r="P218" s="272"/>
      <c r="Q218" s="272"/>
      <c r="R218" s="272"/>
      <c r="S218" s="272"/>
      <c r="T218" s="291"/>
      <c r="U218" s="387"/>
      <c r="V218" s="387"/>
      <c r="W218" s="387"/>
      <c r="X218" s="387"/>
      <c r="Y218" s="387"/>
    </row>
    <row r="219" spans="1:25" ht="15" customHeight="1" x14ac:dyDescent="0.25">
      <c r="A219" s="562"/>
      <c r="B219" s="564"/>
      <c r="C219" s="553"/>
      <c r="D219" s="553"/>
      <c r="E219" s="553"/>
      <c r="F219" s="556"/>
      <c r="G219" s="996" t="s">
        <v>1645</v>
      </c>
      <c r="H219" s="1064"/>
      <c r="I219" s="1064"/>
      <c r="J219" s="1064"/>
      <c r="K219" s="1064"/>
      <c r="L219" s="1064"/>
      <c r="M219" s="1064"/>
      <c r="N219" s="272"/>
      <c r="O219" s="272"/>
      <c r="P219" s="272"/>
      <c r="Q219" s="272"/>
      <c r="R219" s="272"/>
      <c r="S219" s="272"/>
      <c r="T219" s="291"/>
      <c r="U219" s="387"/>
      <c r="V219" s="387"/>
      <c r="W219" s="387"/>
      <c r="X219" s="387"/>
      <c r="Y219" s="387"/>
    </row>
    <row r="220" spans="1:25" ht="15" customHeight="1" x14ac:dyDescent="0.25">
      <c r="A220" s="562"/>
      <c r="B220" s="564"/>
      <c r="C220" s="553"/>
      <c r="D220" s="553"/>
      <c r="E220" s="553"/>
      <c r="F220" s="556"/>
      <c r="G220" s="548" t="s">
        <v>1779</v>
      </c>
      <c r="H220" s="548" t="s">
        <v>1837</v>
      </c>
      <c r="I220" s="548" t="s">
        <v>1891</v>
      </c>
      <c r="J220" s="548"/>
      <c r="K220" s="519">
        <v>0.32</v>
      </c>
      <c r="L220" s="548"/>
      <c r="M220" s="519"/>
      <c r="N220" s="272"/>
      <c r="O220" s="272"/>
      <c r="P220" s="272"/>
      <c r="Q220" s="272"/>
      <c r="R220" s="272"/>
      <c r="S220" s="272"/>
      <c r="T220" s="291"/>
      <c r="U220" s="387"/>
      <c r="V220" s="387"/>
      <c r="W220" s="387"/>
      <c r="X220" s="387"/>
      <c r="Y220" s="387"/>
    </row>
    <row r="221" spans="1:25" ht="15" customHeight="1" thickBot="1" x14ac:dyDescent="0.3">
      <c r="A221" s="346"/>
      <c r="B221" s="243"/>
      <c r="C221" s="244"/>
      <c r="D221" s="244"/>
      <c r="E221" s="244"/>
      <c r="F221" s="245"/>
      <c r="G221" s="1032" t="s">
        <v>1199</v>
      </c>
      <c r="H221" s="1032"/>
      <c r="I221" s="1032"/>
      <c r="J221" s="542"/>
      <c r="K221" s="247">
        <f>SUM(0)</f>
        <v>0</v>
      </c>
      <c r="L221" s="542">
        <v>0.92</v>
      </c>
      <c r="M221" s="247">
        <f>K221/L221</f>
        <v>0</v>
      </c>
      <c r="N221" s="1032" t="s">
        <v>1199</v>
      </c>
      <c r="O221" s="1032"/>
      <c r="P221" s="1032"/>
      <c r="Q221" s="863"/>
      <c r="R221" s="435">
        <f>SUM(R218:R218)</f>
        <v>0</v>
      </c>
      <c r="S221" s="542">
        <v>0.92</v>
      </c>
      <c r="T221" s="436">
        <f>R221/S221</f>
        <v>0</v>
      </c>
      <c r="U221" s="387"/>
      <c r="V221" s="387"/>
      <c r="W221" s="387"/>
      <c r="X221" s="387"/>
      <c r="Y221" s="387"/>
    </row>
    <row r="222" spans="1:25" ht="15" customHeight="1" x14ac:dyDescent="0.25">
      <c r="A222" s="561" t="str">
        <f>Итоговая!C129</f>
        <v xml:space="preserve">ПС 35/10 кВ Яконово </v>
      </c>
      <c r="B222" s="563">
        <f>Итоговая!D129</f>
        <v>2.5</v>
      </c>
      <c r="C222" s="552" t="str">
        <f>Итоговая!E129</f>
        <v>+</v>
      </c>
      <c r="D222" s="552">
        <f>Итоговая!F129</f>
        <v>2.5</v>
      </c>
      <c r="E222" s="552"/>
      <c r="F222" s="555"/>
      <c r="G222" s="215"/>
      <c r="H222" s="215"/>
      <c r="I222" s="215"/>
      <c r="J222" s="215"/>
      <c r="K222" s="216"/>
      <c r="L222" s="215"/>
      <c r="M222" s="264"/>
      <c r="N222" s="215"/>
      <c r="O222" s="215"/>
      <c r="P222" s="215"/>
      <c r="Q222" s="858"/>
      <c r="R222" s="215"/>
      <c r="S222" s="215"/>
      <c r="T222" s="559"/>
      <c r="U222" s="387"/>
      <c r="V222" s="387"/>
      <c r="W222" s="387"/>
      <c r="X222" s="387"/>
      <c r="Y222" s="387"/>
    </row>
    <row r="223" spans="1:25" ht="15" customHeight="1" thickBot="1" x14ac:dyDescent="0.3">
      <c r="A223" s="346"/>
      <c r="B223" s="243"/>
      <c r="C223" s="244"/>
      <c r="D223" s="244"/>
      <c r="E223" s="244"/>
      <c r="F223" s="245"/>
      <c r="G223" s="1032" t="s">
        <v>1199</v>
      </c>
      <c r="H223" s="1032"/>
      <c r="I223" s="1032"/>
      <c r="J223" s="542"/>
      <c r="K223" s="247">
        <f>SUM(K222:K222)</f>
        <v>0</v>
      </c>
      <c r="L223" s="542">
        <v>0.92</v>
      </c>
      <c r="M223" s="247">
        <f>K223/L223</f>
        <v>0</v>
      </c>
      <c r="N223" s="1032" t="s">
        <v>1199</v>
      </c>
      <c r="O223" s="1032"/>
      <c r="P223" s="1032"/>
      <c r="Q223" s="863"/>
      <c r="R223" s="435">
        <f>SUM(R222:R222)</f>
        <v>0</v>
      </c>
      <c r="S223" s="542">
        <v>0.92</v>
      </c>
      <c r="T223" s="436">
        <f>R223/S223</f>
        <v>0</v>
      </c>
      <c r="U223" s="387"/>
      <c r="V223" s="387"/>
      <c r="W223" s="387"/>
      <c r="X223" s="387"/>
      <c r="Y223" s="387"/>
    </row>
    <row r="224" spans="1:25" ht="15" customHeight="1" x14ac:dyDescent="0.25">
      <c r="A224" s="1070" t="str">
        <f>Итоговая!C130</f>
        <v xml:space="preserve">ПС 110/35/10 кВ Брусово  </v>
      </c>
      <c r="B224" s="1072">
        <f>Итоговая!D130</f>
        <v>10</v>
      </c>
      <c r="C224" s="1067" t="str">
        <f>Итоговая!E130</f>
        <v>+</v>
      </c>
      <c r="D224" s="1067">
        <f>Итоговая!F130</f>
        <v>10</v>
      </c>
      <c r="E224" s="552"/>
      <c r="F224" s="555"/>
      <c r="G224" s="992" t="s">
        <v>1287</v>
      </c>
      <c r="H224" s="1063"/>
      <c r="I224" s="1063"/>
      <c r="J224" s="1063"/>
      <c r="K224" s="1063"/>
      <c r="L224" s="1063"/>
      <c r="M224" s="1063"/>
      <c r="N224" s="1073"/>
      <c r="O224" s="1073"/>
      <c r="P224" s="1073"/>
      <c r="Q224" s="1073"/>
      <c r="R224" s="1073"/>
      <c r="S224" s="1073"/>
      <c r="T224" s="1074"/>
      <c r="U224" s="387"/>
      <c r="V224" s="387"/>
      <c r="W224" s="387"/>
      <c r="X224" s="387"/>
      <c r="Y224" s="387"/>
    </row>
    <row r="225" spans="1:25" ht="15" customHeight="1" x14ac:dyDescent="0.25">
      <c r="A225" s="1071"/>
      <c r="B225" s="1023"/>
      <c r="C225" s="1024"/>
      <c r="D225" s="1024"/>
      <c r="E225" s="553"/>
      <c r="F225" s="556"/>
      <c r="G225" s="548" t="s">
        <v>1259</v>
      </c>
      <c r="H225" s="548" t="s">
        <v>1260</v>
      </c>
      <c r="I225" s="548" t="s">
        <v>1261</v>
      </c>
      <c r="J225" s="548"/>
      <c r="K225" s="519">
        <v>0.24</v>
      </c>
      <c r="L225" s="548"/>
      <c r="M225" s="519"/>
      <c r="N225" s="548"/>
      <c r="O225" s="548"/>
      <c r="P225" s="548"/>
      <c r="Q225" s="857"/>
      <c r="R225" s="548"/>
      <c r="S225" s="548"/>
      <c r="T225" s="560"/>
      <c r="U225" s="387"/>
      <c r="V225" s="387"/>
      <c r="W225" s="387"/>
      <c r="X225" s="387"/>
      <c r="Y225" s="387"/>
    </row>
    <row r="226" spans="1:25" ht="15" customHeight="1" x14ac:dyDescent="0.25">
      <c r="A226" s="562"/>
      <c r="B226" s="564"/>
      <c r="C226" s="553"/>
      <c r="D226" s="553"/>
      <c r="E226" s="553"/>
      <c r="F226" s="556"/>
      <c r="G226" s="996" t="s">
        <v>2011</v>
      </c>
      <c r="H226" s="1064"/>
      <c r="I226" s="1064"/>
      <c r="J226" s="1064"/>
      <c r="K226" s="1064"/>
      <c r="L226" s="1064"/>
      <c r="M226" s="1064"/>
      <c r="N226" s="548"/>
      <c r="O226" s="548"/>
      <c r="P226" s="548"/>
      <c r="Q226" s="857"/>
      <c r="R226" s="548"/>
      <c r="S226" s="548"/>
      <c r="T226" s="560"/>
      <c r="U226" s="387"/>
      <c r="V226" s="387"/>
      <c r="W226" s="387"/>
      <c r="X226" s="387"/>
      <c r="Y226" s="387"/>
    </row>
    <row r="227" spans="1:25" ht="15" customHeight="1" x14ac:dyDescent="0.25">
      <c r="A227" s="562"/>
      <c r="B227" s="564"/>
      <c r="C227" s="553"/>
      <c r="D227" s="553"/>
      <c r="E227" s="553"/>
      <c r="F227" s="556"/>
      <c r="G227" s="727" t="s">
        <v>1681</v>
      </c>
      <c r="H227" s="727" t="s">
        <v>1711</v>
      </c>
      <c r="I227" s="727" t="s">
        <v>2055</v>
      </c>
      <c r="J227" s="727"/>
      <c r="K227" s="519">
        <f>(0.028-0.0093)*0.5</f>
        <v>9.3500000000000007E-3</v>
      </c>
      <c r="L227" s="727"/>
      <c r="M227" s="519"/>
      <c r="N227" s="548"/>
      <c r="O227" s="548"/>
      <c r="P227" s="548"/>
      <c r="Q227" s="857"/>
      <c r="R227" s="548"/>
      <c r="S227" s="548"/>
      <c r="T227" s="560"/>
      <c r="U227" s="387"/>
      <c r="V227" s="387"/>
      <c r="W227" s="387"/>
      <c r="X227" s="387"/>
      <c r="Y227" s="387"/>
    </row>
    <row r="228" spans="1:25" ht="15" customHeight="1" x14ac:dyDescent="0.25">
      <c r="A228" s="562"/>
      <c r="B228" s="564"/>
      <c r="C228" s="553"/>
      <c r="D228" s="553"/>
      <c r="E228" s="553"/>
      <c r="F228" s="556"/>
      <c r="G228" s="996" t="s">
        <v>18518</v>
      </c>
      <c r="H228" s="1064"/>
      <c r="I228" s="1064"/>
      <c r="J228" s="1064"/>
      <c r="K228" s="1064"/>
      <c r="L228" s="1064"/>
      <c r="M228" s="1064"/>
      <c r="N228" s="269"/>
      <c r="O228" s="269"/>
      <c r="P228" s="269"/>
      <c r="Q228" s="859"/>
      <c r="R228" s="269"/>
      <c r="S228" s="269"/>
      <c r="T228" s="439"/>
      <c r="U228" s="387"/>
      <c r="V228" s="387"/>
      <c r="W228" s="387"/>
      <c r="X228" s="387"/>
      <c r="Y228" s="387"/>
    </row>
    <row r="229" spans="1:25" ht="15" customHeight="1" x14ac:dyDescent="0.25">
      <c r="A229" s="562"/>
      <c r="B229" s="564"/>
      <c r="C229" s="553"/>
      <c r="D229" s="553"/>
      <c r="E229" s="553"/>
      <c r="F229" s="556"/>
      <c r="G229" s="1065" t="s">
        <v>2262</v>
      </c>
      <c r="H229" s="1065"/>
      <c r="I229" s="1065"/>
      <c r="J229" s="994">
        <f>0.022*0.9*0.6</f>
        <v>1.1879999999999998E-2</v>
      </c>
      <c r="K229" s="995"/>
      <c r="L229" s="557"/>
      <c r="M229" s="594"/>
      <c r="N229" s="269"/>
      <c r="O229" s="269"/>
      <c r="P229" s="269"/>
      <c r="Q229" s="859"/>
      <c r="R229" s="269"/>
      <c r="S229" s="269"/>
      <c r="T229" s="439"/>
      <c r="U229" s="387"/>
      <c r="V229" s="387"/>
      <c r="W229" s="387"/>
      <c r="X229" s="387"/>
      <c r="Y229" s="387"/>
    </row>
    <row r="230" spans="1:25" ht="15" customHeight="1" thickBot="1" x14ac:dyDescent="0.3">
      <c r="A230" s="346"/>
      <c r="B230" s="243"/>
      <c r="C230" s="244"/>
      <c r="D230" s="244"/>
      <c r="E230" s="244"/>
      <c r="F230" s="245"/>
      <c r="G230" s="1032" t="s">
        <v>1199</v>
      </c>
      <c r="H230" s="1032"/>
      <c r="I230" s="1032"/>
      <c r="J230" s="542"/>
      <c r="K230" s="247">
        <f>SUM(J229)</f>
        <v>1.1879999999999998E-2</v>
      </c>
      <c r="L230" s="542">
        <v>0.92</v>
      </c>
      <c r="M230" s="247">
        <f>K230/L230</f>
        <v>1.2913043478260867E-2</v>
      </c>
      <c r="N230" s="1032" t="s">
        <v>1199</v>
      </c>
      <c r="O230" s="1032"/>
      <c r="P230" s="1032"/>
      <c r="Q230" s="863"/>
      <c r="R230" s="435">
        <f>SUM(R225:R225)</f>
        <v>0</v>
      </c>
      <c r="S230" s="542">
        <v>0.92</v>
      </c>
      <c r="T230" s="436">
        <f>R230/S230</f>
        <v>0</v>
      </c>
      <c r="U230" s="387"/>
      <c r="V230" s="387"/>
      <c r="W230" s="387"/>
      <c r="X230" s="387"/>
      <c r="Y230" s="387"/>
    </row>
    <row r="231" spans="1:25" ht="15" customHeight="1" x14ac:dyDescent="0.25">
      <c r="A231" s="561" t="str">
        <f>Итоговая!C133</f>
        <v xml:space="preserve">ПС 110/35/6 кВ Выползово </v>
      </c>
      <c r="B231" s="563">
        <f>Итоговая!D133</f>
        <v>10</v>
      </c>
      <c r="C231" s="552" t="str">
        <f>Итоговая!E133</f>
        <v>+</v>
      </c>
      <c r="D231" s="552">
        <f>Итоговая!F133</f>
        <v>10</v>
      </c>
      <c r="E231" s="552"/>
      <c r="F231" s="555"/>
      <c r="G231" s="992" t="s">
        <v>14933</v>
      </c>
      <c r="H231" s="1063"/>
      <c r="I231" s="1063"/>
      <c r="J231" s="1063"/>
      <c r="K231" s="1063"/>
      <c r="L231" s="1063"/>
      <c r="M231" s="1063"/>
      <c r="N231" s="215"/>
      <c r="O231" s="215"/>
      <c r="P231" s="215"/>
      <c r="Q231" s="858"/>
      <c r="R231" s="215"/>
      <c r="S231" s="215"/>
      <c r="T231" s="559"/>
      <c r="U231" s="387"/>
      <c r="V231" s="387"/>
      <c r="W231" s="387"/>
      <c r="X231" s="387"/>
      <c r="Y231" s="387"/>
    </row>
    <row r="232" spans="1:25" ht="15" customHeight="1" x14ac:dyDescent="0.25">
      <c r="A232" s="562"/>
      <c r="B232" s="564"/>
      <c r="C232" s="553"/>
      <c r="D232" s="553"/>
      <c r="E232" s="553"/>
      <c r="F232" s="556"/>
      <c r="G232" s="548" t="s">
        <v>13409</v>
      </c>
      <c r="H232" s="548" t="s">
        <v>17410</v>
      </c>
      <c r="I232" s="548" t="s">
        <v>17411</v>
      </c>
      <c r="J232" s="548"/>
      <c r="K232" s="519">
        <f>0.025*0.9</f>
        <v>2.2500000000000003E-2</v>
      </c>
      <c r="L232" s="548"/>
      <c r="M232" s="519"/>
      <c r="N232" s="543"/>
      <c r="O232" s="543"/>
      <c r="P232" s="543"/>
      <c r="Q232" s="857"/>
      <c r="R232" s="543"/>
      <c r="S232" s="543"/>
      <c r="T232" s="560"/>
      <c r="U232" s="387"/>
      <c r="V232" s="387"/>
      <c r="W232" s="387"/>
      <c r="X232" s="387"/>
      <c r="Y232" s="387"/>
    </row>
    <row r="233" spans="1:25" ht="15" customHeight="1" x14ac:dyDescent="0.25">
      <c r="A233" s="562"/>
      <c r="B233" s="564"/>
      <c r="C233" s="553"/>
      <c r="D233" s="553"/>
      <c r="E233" s="553"/>
      <c r="F233" s="556"/>
      <c r="G233" s="548" t="s">
        <v>17471</v>
      </c>
      <c r="H233" s="548" t="s">
        <v>17472</v>
      </c>
      <c r="I233" s="548" t="s">
        <v>17473</v>
      </c>
      <c r="J233" s="548"/>
      <c r="K233" s="519">
        <f>0.16*0.15</f>
        <v>2.4E-2</v>
      </c>
      <c r="L233" s="548"/>
      <c r="M233" s="519"/>
      <c r="N233" s="543"/>
      <c r="O233" s="543"/>
      <c r="P233" s="543"/>
      <c r="Q233" s="857"/>
      <c r="R233" s="543"/>
      <c r="S233" s="543"/>
      <c r="T233" s="560"/>
      <c r="U233" s="387"/>
      <c r="V233" s="387"/>
      <c r="W233" s="387"/>
      <c r="X233" s="387"/>
      <c r="Y233" s="387"/>
    </row>
    <row r="234" spans="1:25" ht="15" customHeight="1" x14ac:dyDescent="0.25">
      <c r="A234" s="562"/>
      <c r="B234" s="564"/>
      <c r="C234" s="553"/>
      <c r="D234" s="553"/>
      <c r="E234" s="553"/>
      <c r="F234" s="556"/>
      <c r="G234" s="996" t="s">
        <v>18518</v>
      </c>
      <c r="H234" s="1064"/>
      <c r="I234" s="1064"/>
      <c r="J234" s="1064"/>
      <c r="K234" s="1064"/>
      <c r="L234" s="1064"/>
      <c r="M234" s="1064"/>
      <c r="N234" s="557"/>
      <c r="O234" s="557"/>
      <c r="P234" s="557"/>
      <c r="Q234" s="859"/>
      <c r="R234" s="557"/>
      <c r="S234" s="557"/>
      <c r="T234" s="439"/>
      <c r="U234" s="387"/>
      <c r="V234" s="387"/>
      <c r="W234" s="387"/>
      <c r="X234" s="387"/>
      <c r="Y234" s="387"/>
    </row>
    <row r="235" spans="1:25" ht="15" customHeight="1" x14ac:dyDescent="0.25">
      <c r="A235" s="562"/>
      <c r="B235" s="564"/>
      <c r="C235" s="553"/>
      <c r="D235" s="553"/>
      <c r="E235" s="553"/>
      <c r="F235" s="556"/>
      <c r="G235" s="1065" t="s">
        <v>2262</v>
      </c>
      <c r="H235" s="1065"/>
      <c r="I235" s="1065"/>
      <c r="J235" s="994">
        <f>0.055*0.9*0.6</f>
        <v>2.9700000000000001E-2</v>
      </c>
      <c r="K235" s="995"/>
      <c r="L235" s="557"/>
      <c r="M235" s="594"/>
      <c r="N235" s="557"/>
      <c r="O235" s="557"/>
      <c r="P235" s="557"/>
      <c r="Q235" s="859"/>
      <c r="R235" s="557"/>
      <c r="S235" s="557"/>
      <c r="T235" s="439"/>
      <c r="U235" s="387"/>
      <c r="V235" s="387"/>
      <c r="W235" s="387"/>
      <c r="X235" s="387"/>
      <c r="Y235" s="387"/>
    </row>
    <row r="236" spans="1:25" ht="15" customHeight="1" thickBot="1" x14ac:dyDescent="0.3">
      <c r="A236" s="346"/>
      <c r="B236" s="243"/>
      <c r="C236" s="244"/>
      <c r="D236" s="244"/>
      <c r="E236" s="244"/>
      <c r="F236" s="245"/>
      <c r="G236" s="1032" t="s">
        <v>1199</v>
      </c>
      <c r="H236" s="1032"/>
      <c r="I236" s="1032"/>
      <c r="J236" s="542"/>
      <c r="K236" s="247">
        <f>SUM(J232:K235)</f>
        <v>7.6200000000000004E-2</v>
      </c>
      <c r="L236" s="542">
        <v>0.92</v>
      </c>
      <c r="M236" s="247">
        <f>K236/L236</f>
        <v>8.2826086956521744E-2</v>
      </c>
      <c r="N236" s="1032" t="s">
        <v>1199</v>
      </c>
      <c r="O236" s="1032"/>
      <c r="P236" s="1032"/>
      <c r="Q236" s="863"/>
      <c r="R236" s="435">
        <f>SUM(R231:R231)</f>
        <v>0</v>
      </c>
      <c r="S236" s="542">
        <v>0.92</v>
      </c>
      <c r="T236" s="436">
        <f>R236/S236</f>
        <v>0</v>
      </c>
      <c r="U236" s="387"/>
      <c r="V236" s="387"/>
      <c r="W236" s="387"/>
      <c r="X236" s="387"/>
      <c r="Y236" s="387"/>
    </row>
    <row r="237" spans="1:25" ht="15" customHeight="1" x14ac:dyDescent="0.25">
      <c r="A237" s="1070" t="str">
        <f>Итоговая!C136</f>
        <v xml:space="preserve">ПС 110/35/6 кВ Вышний Волочек </v>
      </c>
      <c r="B237" s="1072">
        <f>Итоговая!D136</f>
        <v>40</v>
      </c>
      <c r="C237" s="1067" t="str">
        <f>Итоговая!E136</f>
        <v>+</v>
      </c>
      <c r="D237" s="1067">
        <f>Итоговая!F136</f>
        <v>40</v>
      </c>
      <c r="E237" s="552"/>
      <c r="F237" s="555"/>
      <c r="G237" s="992" t="s">
        <v>1286</v>
      </c>
      <c r="H237" s="1063"/>
      <c r="I237" s="1063"/>
      <c r="J237" s="1063"/>
      <c r="K237" s="1063"/>
      <c r="L237" s="1063"/>
      <c r="M237" s="1063"/>
      <c r="N237" s="1073"/>
      <c r="O237" s="1073"/>
      <c r="P237" s="1073"/>
      <c r="Q237" s="1073"/>
      <c r="R237" s="1073"/>
      <c r="S237" s="1073"/>
      <c r="T237" s="1074"/>
      <c r="U237" s="387"/>
      <c r="V237" s="387"/>
      <c r="W237" s="387"/>
      <c r="X237" s="387"/>
      <c r="Y237" s="387"/>
    </row>
    <row r="238" spans="1:25" ht="15" customHeight="1" x14ac:dyDescent="0.25">
      <c r="A238" s="1071"/>
      <c r="B238" s="1023"/>
      <c r="C238" s="1024"/>
      <c r="D238" s="1024"/>
      <c r="E238" s="553"/>
      <c r="F238" s="556"/>
      <c r="G238" s="548" t="s">
        <v>1228</v>
      </c>
      <c r="H238" s="548" t="s">
        <v>1229</v>
      </c>
      <c r="I238" s="548" t="s">
        <v>1230</v>
      </c>
      <c r="J238" s="548"/>
      <c r="K238" s="519">
        <v>0.03</v>
      </c>
      <c r="L238" s="548"/>
      <c r="M238" s="519"/>
      <c r="N238" s="548"/>
      <c r="O238" s="548"/>
      <c r="P238" s="548"/>
      <c r="Q238" s="857"/>
      <c r="R238" s="548"/>
      <c r="S238" s="548"/>
      <c r="T238" s="560"/>
      <c r="U238" s="387"/>
      <c r="V238" s="387"/>
      <c r="W238" s="387"/>
      <c r="X238" s="387"/>
      <c r="Y238" s="387"/>
    </row>
    <row r="239" spans="1:25" ht="15" customHeight="1" x14ac:dyDescent="0.25">
      <c r="A239" s="562"/>
      <c r="B239" s="564"/>
      <c r="C239" s="553"/>
      <c r="D239" s="553"/>
      <c r="E239" s="553"/>
      <c r="F239" s="556"/>
      <c r="G239" s="548" t="s">
        <v>1220</v>
      </c>
      <c r="H239" s="548" t="s">
        <v>39</v>
      </c>
      <c r="I239" s="548" t="s">
        <v>38</v>
      </c>
      <c r="J239" s="548"/>
      <c r="K239" s="519">
        <v>7.8E-2</v>
      </c>
      <c r="L239" s="548"/>
      <c r="M239" s="519"/>
      <c r="N239" s="548"/>
      <c r="O239" s="548"/>
      <c r="P239" s="548"/>
      <c r="Q239" s="857"/>
      <c r="R239" s="548"/>
      <c r="S239" s="548"/>
      <c r="T239" s="560"/>
      <c r="U239" s="387"/>
      <c r="V239" s="387"/>
      <c r="W239" s="387"/>
      <c r="X239" s="387"/>
      <c r="Y239" s="387"/>
    </row>
    <row r="240" spans="1:25" ht="15" customHeight="1" thickBot="1" x14ac:dyDescent="0.3">
      <c r="A240" s="346"/>
      <c r="B240" s="243"/>
      <c r="C240" s="244"/>
      <c r="D240" s="244"/>
      <c r="E240" s="244"/>
      <c r="F240" s="245"/>
      <c r="G240" s="1032" t="s">
        <v>1199</v>
      </c>
      <c r="H240" s="1032"/>
      <c r="I240" s="1032"/>
      <c r="J240" s="542"/>
      <c r="K240" s="247">
        <f>SUM(0)</f>
        <v>0</v>
      </c>
      <c r="L240" s="542">
        <v>0.92</v>
      </c>
      <c r="M240" s="247">
        <f>K240/L240</f>
        <v>0</v>
      </c>
      <c r="N240" s="1032" t="s">
        <v>1199</v>
      </c>
      <c r="O240" s="1032"/>
      <c r="P240" s="1032"/>
      <c r="Q240" s="863"/>
      <c r="R240" s="435">
        <f>SUM(R238:R239)</f>
        <v>0</v>
      </c>
      <c r="S240" s="542">
        <v>0.92</v>
      </c>
      <c r="T240" s="436">
        <f>R240/S240</f>
        <v>0</v>
      </c>
      <c r="U240" s="387"/>
      <c r="V240" s="387"/>
      <c r="W240" s="387"/>
      <c r="X240" s="387"/>
      <c r="Y240" s="387"/>
    </row>
    <row r="241" spans="1:25" ht="15" customHeight="1" x14ac:dyDescent="0.25">
      <c r="A241" s="1070" t="str">
        <f>Итоговая!C139</f>
        <v xml:space="preserve">ПС 110/35/10-6 кВ Кашарово </v>
      </c>
      <c r="B241" s="1072">
        <f>Итоговая!D139</f>
        <v>25</v>
      </c>
      <c r="C241" s="1067" t="str">
        <f>Итоговая!E139</f>
        <v>+</v>
      </c>
      <c r="D241" s="1067">
        <f>Итоговая!F139</f>
        <v>20</v>
      </c>
      <c r="E241" s="552"/>
      <c r="F241" s="555"/>
      <c r="G241" s="992" t="s">
        <v>1288</v>
      </c>
      <c r="H241" s="1063"/>
      <c r="I241" s="1063"/>
      <c r="J241" s="1063"/>
      <c r="K241" s="1063"/>
      <c r="L241" s="1063"/>
      <c r="M241" s="1063"/>
      <c r="N241" s="1073"/>
      <c r="O241" s="1073"/>
      <c r="P241" s="1073"/>
      <c r="Q241" s="1073"/>
      <c r="R241" s="1073"/>
      <c r="S241" s="1073"/>
      <c r="T241" s="1074"/>
      <c r="U241" s="387"/>
      <c r="V241" s="387"/>
      <c r="W241" s="387"/>
      <c r="X241" s="387"/>
      <c r="Y241" s="387"/>
    </row>
    <row r="242" spans="1:25" ht="15" customHeight="1" x14ac:dyDescent="0.25">
      <c r="A242" s="1071"/>
      <c r="B242" s="1023"/>
      <c r="C242" s="1024"/>
      <c r="D242" s="1024"/>
      <c r="E242" s="553"/>
      <c r="F242" s="556"/>
      <c r="G242" s="548" t="s">
        <v>1220</v>
      </c>
      <c r="H242" s="548" t="s">
        <v>1231</v>
      </c>
      <c r="I242" s="548" t="s">
        <v>1232</v>
      </c>
      <c r="J242" s="548"/>
      <c r="K242" s="519">
        <v>2.5000000000000001E-2</v>
      </c>
      <c r="L242" s="548"/>
      <c r="M242" s="519"/>
      <c r="N242" s="548"/>
      <c r="O242" s="548"/>
      <c r="P242" s="548"/>
      <c r="Q242" s="857"/>
      <c r="R242" s="548"/>
      <c r="S242" s="548"/>
      <c r="T242" s="560"/>
      <c r="U242" s="387"/>
      <c r="V242" s="387"/>
      <c r="W242" s="387"/>
      <c r="X242" s="387"/>
      <c r="Y242" s="387"/>
    </row>
    <row r="243" spans="1:25" ht="15" customHeight="1" thickBot="1" x14ac:dyDescent="0.3">
      <c r="A243" s="346"/>
      <c r="B243" s="243"/>
      <c r="C243" s="244"/>
      <c r="D243" s="244"/>
      <c r="E243" s="244"/>
      <c r="F243" s="245"/>
      <c r="G243" s="1032" t="s">
        <v>1199</v>
      </c>
      <c r="H243" s="1032"/>
      <c r="I243" s="1032"/>
      <c r="J243" s="542"/>
      <c r="K243" s="247">
        <f>SUM(0)</f>
        <v>0</v>
      </c>
      <c r="L243" s="542">
        <v>0.92</v>
      </c>
      <c r="M243" s="247">
        <f>K243/L243</f>
        <v>0</v>
      </c>
      <c r="N243" s="1032" t="s">
        <v>1199</v>
      </c>
      <c r="O243" s="1032"/>
      <c r="P243" s="1032"/>
      <c r="Q243" s="863"/>
      <c r="R243" s="435">
        <f>SUM(R242:R242)-R242</f>
        <v>0</v>
      </c>
      <c r="S243" s="542">
        <v>0.92</v>
      </c>
      <c r="T243" s="436">
        <f>R243/S243</f>
        <v>0</v>
      </c>
      <c r="U243" s="387"/>
      <c r="V243" s="387"/>
      <c r="W243" s="387"/>
      <c r="X243" s="387"/>
      <c r="Y243" s="387"/>
    </row>
    <row r="244" spans="1:25" ht="15" customHeight="1" x14ac:dyDescent="0.25">
      <c r="A244" s="561" t="str">
        <f>Итоговая!C142</f>
        <v xml:space="preserve">ПС 110/35/10 кВ Спирово </v>
      </c>
      <c r="B244" s="563">
        <f>Итоговая!D142</f>
        <v>16</v>
      </c>
      <c r="C244" s="552" t="str">
        <f>Итоговая!E142</f>
        <v>+</v>
      </c>
      <c r="D244" s="552">
        <f>Итоговая!F142</f>
        <v>16</v>
      </c>
      <c r="E244" s="552"/>
      <c r="F244" s="555"/>
      <c r="G244" s="992" t="s">
        <v>18518</v>
      </c>
      <c r="H244" s="1063"/>
      <c r="I244" s="1063"/>
      <c r="J244" s="1063"/>
      <c r="K244" s="1063"/>
      <c r="L244" s="1063"/>
      <c r="M244" s="1063"/>
      <c r="N244" s="215"/>
      <c r="O244" s="215"/>
      <c r="P244" s="215"/>
      <c r="Q244" s="858"/>
      <c r="R244" s="215"/>
      <c r="S244" s="215"/>
      <c r="T244" s="559"/>
      <c r="U244" s="387"/>
      <c r="V244" s="387"/>
      <c r="W244" s="387"/>
      <c r="X244" s="387"/>
      <c r="Y244" s="387"/>
    </row>
    <row r="245" spans="1:25" ht="15" customHeight="1" x14ac:dyDescent="0.25">
      <c r="A245" s="562"/>
      <c r="B245" s="564"/>
      <c r="C245" s="553"/>
      <c r="D245" s="553"/>
      <c r="E245" s="553"/>
      <c r="F245" s="556"/>
      <c r="G245" s="1065" t="s">
        <v>2262</v>
      </c>
      <c r="H245" s="1065"/>
      <c r="I245" s="1065"/>
      <c r="J245" s="994">
        <f>0.0454*0.9*0.6</f>
        <v>2.4516E-2</v>
      </c>
      <c r="K245" s="995"/>
      <c r="L245" s="557"/>
      <c r="M245" s="594"/>
      <c r="N245" s="543"/>
      <c r="O245" s="543"/>
      <c r="P245" s="543"/>
      <c r="Q245" s="857"/>
      <c r="R245" s="543"/>
      <c r="S245" s="543"/>
      <c r="T245" s="560"/>
      <c r="U245" s="387"/>
      <c r="V245" s="387"/>
      <c r="W245" s="387"/>
      <c r="X245" s="387"/>
      <c r="Y245" s="387"/>
    </row>
    <row r="246" spans="1:25" ht="15" customHeight="1" x14ac:dyDescent="0.25">
      <c r="A246" s="562"/>
      <c r="B246" s="564"/>
      <c r="C246" s="553"/>
      <c r="D246" s="553"/>
      <c r="E246" s="553"/>
      <c r="F246" s="556"/>
      <c r="G246" s="543"/>
      <c r="H246" s="543"/>
      <c r="I246" s="543"/>
      <c r="J246" s="543"/>
      <c r="K246" s="205"/>
      <c r="L246" s="543"/>
      <c r="M246" s="519"/>
      <c r="N246" s="543"/>
      <c r="O246" s="543"/>
      <c r="P246" s="543"/>
      <c r="Q246" s="857"/>
      <c r="R246" s="543"/>
      <c r="S246" s="543"/>
      <c r="T246" s="560"/>
      <c r="U246" s="387"/>
      <c r="V246" s="387"/>
      <c r="W246" s="387"/>
      <c r="X246" s="387"/>
      <c r="Y246" s="387"/>
    </row>
    <row r="247" spans="1:25" ht="15" customHeight="1" thickBot="1" x14ac:dyDescent="0.3">
      <c r="A247" s="346"/>
      <c r="B247" s="243"/>
      <c r="C247" s="244"/>
      <c r="D247" s="244"/>
      <c r="E247" s="244"/>
      <c r="F247" s="245"/>
      <c r="G247" s="1032" t="s">
        <v>1199</v>
      </c>
      <c r="H247" s="1032"/>
      <c r="I247" s="1032"/>
      <c r="J247" s="542"/>
      <c r="K247" s="247">
        <f>SUM(J245)</f>
        <v>2.4516E-2</v>
      </c>
      <c r="L247" s="542">
        <v>0.92</v>
      </c>
      <c r="M247" s="247">
        <f>K247/L247</f>
        <v>2.6647826086956521E-2</v>
      </c>
      <c r="N247" s="1032" t="s">
        <v>1199</v>
      </c>
      <c r="O247" s="1032"/>
      <c r="P247" s="1032"/>
      <c r="Q247" s="863"/>
      <c r="R247" s="435">
        <f>SUM(R244:R244)</f>
        <v>0</v>
      </c>
      <c r="S247" s="542">
        <v>0.92</v>
      </c>
      <c r="T247" s="436">
        <f>R247/S247</f>
        <v>0</v>
      </c>
      <c r="U247" s="387"/>
      <c r="V247" s="387"/>
      <c r="W247" s="387"/>
      <c r="X247" s="387"/>
      <c r="Y247" s="387"/>
    </row>
    <row r="248" spans="1:25" ht="15" customHeight="1" x14ac:dyDescent="0.25">
      <c r="A248" s="561" t="str">
        <f>Итоговая!C145</f>
        <v>ПС 110/35/10 кВ Труд</v>
      </c>
      <c r="B248" s="563">
        <f>Итоговая!D145</f>
        <v>16</v>
      </c>
      <c r="C248" s="552" t="str">
        <f>Итоговая!E145</f>
        <v>+</v>
      </c>
      <c r="D248" s="552">
        <f>Итоговая!F145</f>
        <v>16</v>
      </c>
      <c r="E248" s="552"/>
      <c r="F248" s="555"/>
      <c r="G248" s="215"/>
      <c r="H248" s="215"/>
      <c r="I248" s="215"/>
      <c r="J248" s="215"/>
      <c r="K248" s="216"/>
      <c r="L248" s="215"/>
      <c r="M248" s="264"/>
      <c r="N248" s="215"/>
      <c r="O248" s="215"/>
      <c r="P248" s="215"/>
      <c r="Q248" s="858"/>
      <c r="R248" s="215"/>
      <c r="S248" s="215"/>
      <c r="T248" s="559"/>
      <c r="U248" s="387"/>
      <c r="V248" s="387"/>
      <c r="W248" s="387"/>
      <c r="X248" s="387"/>
      <c r="Y248" s="387"/>
    </row>
    <row r="249" spans="1:25" ht="15" customHeight="1" thickBot="1" x14ac:dyDescent="0.3">
      <c r="A249" s="346"/>
      <c r="B249" s="243"/>
      <c r="C249" s="244"/>
      <c r="D249" s="244"/>
      <c r="E249" s="244"/>
      <c r="F249" s="245"/>
      <c r="G249" s="1032" t="s">
        <v>1199</v>
      </c>
      <c r="H249" s="1032"/>
      <c r="I249" s="1032"/>
      <c r="J249" s="542"/>
      <c r="K249" s="247">
        <f>SUM(K248:K248)</f>
        <v>0</v>
      </c>
      <c r="L249" s="542">
        <v>0.92</v>
      </c>
      <c r="M249" s="247">
        <f>K249/L249</f>
        <v>0</v>
      </c>
      <c r="N249" s="1032" t="s">
        <v>1199</v>
      </c>
      <c r="O249" s="1032"/>
      <c r="P249" s="1032"/>
      <c r="Q249" s="863"/>
      <c r="R249" s="435">
        <f>SUM(R248:R248)</f>
        <v>0</v>
      </c>
      <c r="S249" s="542">
        <v>0.92</v>
      </c>
      <c r="T249" s="436">
        <f>R249/S249</f>
        <v>0</v>
      </c>
      <c r="U249" s="387"/>
      <c r="V249" s="387"/>
      <c r="W249" s="387"/>
      <c r="X249" s="387"/>
      <c r="Y249" s="387"/>
    </row>
    <row r="250" spans="1:25" s="387" customFormat="1" ht="15" customHeight="1" x14ac:dyDescent="0.25">
      <c r="A250" s="1070" t="str">
        <f>Итоговая!C148</f>
        <v xml:space="preserve">ПС 110/35/10 кВ Удомля  </v>
      </c>
      <c r="B250" s="1072">
        <f>Итоговая!D148</f>
        <v>25</v>
      </c>
      <c r="C250" s="1067" t="str">
        <f>Итоговая!E148</f>
        <v>+</v>
      </c>
      <c r="D250" s="1067">
        <f>Итоговая!F148</f>
        <v>25</v>
      </c>
      <c r="E250" s="552"/>
      <c r="F250" s="555"/>
      <c r="G250" s="992" t="s">
        <v>1288</v>
      </c>
      <c r="H250" s="1063"/>
      <c r="I250" s="1063"/>
      <c r="J250" s="1063"/>
      <c r="K250" s="1063"/>
      <c r="L250" s="1063"/>
      <c r="M250" s="1063"/>
      <c r="N250" s="992" t="s">
        <v>14933</v>
      </c>
      <c r="O250" s="1063"/>
      <c r="P250" s="1063"/>
      <c r="Q250" s="1063"/>
      <c r="R250" s="1063"/>
      <c r="S250" s="1063"/>
      <c r="T250" s="1063"/>
    </row>
    <row r="251" spans="1:25" s="387" customFormat="1" ht="15" customHeight="1" x14ac:dyDescent="0.25">
      <c r="A251" s="1071"/>
      <c r="B251" s="1023"/>
      <c r="C251" s="1024"/>
      <c r="D251" s="1024"/>
      <c r="E251" s="553"/>
      <c r="F251" s="556"/>
      <c r="G251" s="548" t="s">
        <v>1291</v>
      </c>
      <c r="H251" s="548" t="s">
        <v>1248</v>
      </c>
      <c r="I251" s="548" t="s">
        <v>1249</v>
      </c>
      <c r="J251" s="548"/>
      <c r="K251" s="519">
        <v>3.5830000000000002</v>
      </c>
      <c r="L251" s="548"/>
      <c r="M251" s="519"/>
      <c r="N251" s="548" t="s">
        <v>2129</v>
      </c>
      <c r="O251" s="548" t="s">
        <v>18193</v>
      </c>
      <c r="P251" s="548" t="s">
        <v>18194</v>
      </c>
      <c r="Q251" s="857"/>
      <c r="R251" s="548">
        <v>0.1</v>
      </c>
      <c r="S251" s="548"/>
      <c r="T251" s="560"/>
    </row>
    <row r="252" spans="1:25" s="387" customFormat="1" ht="15" customHeight="1" x14ac:dyDescent="0.25">
      <c r="A252" s="562"/>
      <c r="B252" s="564"/>
      <c r="C252" s="553"/>
      <c r="D252" s="553"/>
      <c r="E252" s="553"/>
      <c r="F252" s="556"/>
      <c r="G252" s="548" t="s">
        <v>1250</v>
      </c>
      <c r="H252" s="548" t="s">
        <v>1251</v>
      </c>
      <c r="I252" s="548" t="s">
        <v>1252</v>
      </c>
      <c r="J252" s="548"/>
      <c r="K252" s="519">
        <v>0.10299999999999999</v>
      </c>
      <c r="L252" s="548"/>
      <c r="M252" s="519"/>
      <c r="N252" s="548"/>
      <c r="O252" s="548"/>
      <c r="P252" s="548"/>
      <c r="Q252" s="857"/>
      <c r="R252" s="548"/>
      <c r="S252" s="548"/>
      <c r="T252" s="560"/>
    </row>
    <row r="253" spans="1:25" s="387" customFormat="1" ht="15" customHeight="1" x14ac:dyDescent="0.25">
      <c r="A253" s="562"/>
      <c r="B253" s="564"/>
      <c r="C253" s="553"/>
      <c r="D253" s="553"/>
      <c r="E253" s="553"/>
      <c r="F253" s="556"/>
      <c r="G253" s="548" t="s">
        <v>1256</v>
      </c>
      <c r="H253" s="548" t="s">
        <v>1257</v>
      </c>
      <c r="I253" s="467" t="s">
        <v>1258</v>
      </c>
      <c r="J253" s="467"/>
      <c r="K253" s="519">
        <v>0.02</v>
      </c>
      <c r="L253" s="548"/>
      <c r="M253" s="519"/>
      <c r="N253" s="548"/>
      <c r="O253" s="548"/>
      <c r="P253" s="467"/>
      <c r="Q253" s="467"/>
      <c r="R253" s="548"/>
      <c r="S253" s="548"/>
      <c r="T253" s="560"/>
    </row>
    <row r="254" spans="1:25" s="387" customFormat="1" ht="15" customHeight="1" x14ac:dyDescent="0.25">
      <c r="A254" s="562"/>
      <c r="B254" s="564"/>
      <c r="C254" s="553"/>
      <c r="D254" s="553"/>
      <c r="E254" s="553"/>
      <c r="F254" s="556"/>
      <c r="G254" s="548"/>
      <c r="H254" s="548"/>
      <c r="I254" s="548"/>
      <c r="J254" s="548"/>
      <c r="K254" s="519"/>
      <c r="L254" s="548"/>
      <c r="M254" s="519"/>
      <c r="N254" s="548"/>
      <c r="O254" s="548"/>
      <c r="P254" s="548"/>
      <c r="Q254" s="857"/>
      <c r="R254" s="548"/>
      <c r="S254" s="548"/>
      <c r="T254" s="560"/>
    </row>
    <row r="255" spans="1:25" s="387" customFormat="1" ht="15" customHeight="1" x14ac:dyDescent="0.25">
      <c r="A255" s="562"/>
      <c r="B255" s="564"/>
      <c r="C255" s="553"/>
      <c r="D255" s="553"/>
      <c r="E255" s="553"/>
      <c r="F255" s="556"/>
      <c r="G255" s="996" t="s">
        <v>1286</v>
      </c>
      <c r="H255" s="1064"/>
      <c r="I255" s="1064"/>
      <c r="J255" s="1064"/>
      <c r="K255" s="1064"/>
      <c r="L255" s="1064"/>
      <c r="M255" s="1064"/>
      <c r="N255" s="1053"/>
      <c r="O255" s="1053"/>
      <c r="P255" s="1053"/>
      <c r="Q255" s="1053"/>
      <c r="R255" s="1053"/>
      <c r="S255" s="1053"/>
      <c r="T255" s="1075"/>
    </row>
    <row r="256" spans="1:25" s="387" customFormat="1" ht="15" customHeight="1" x14ac:dyDescent="0.25">
      <c r="A256" s="562"/>
      <c r="B256" s="564"/>
      <c r="C256" s="553"/>
      <c r="D256" s="553"/>
      <c r="E256" s="553"/>
      <c r="F256" s="556"/>
      <c r="G256" s="548" t="s">
        <v>1253</v>
      </c>
      <c r="H256" s="548" t="s">
        <v>1254</v>
      </c>
      <c r="I256" s="548" t="s">
        <v>1255</v>
      </c>
      <c r="J256" s="548"/>
      <c r="K256" s="519">
        <v>0.04</v>
      </c>
      <c r="L256" s="548"/>
      <c r="M256" s="519"/>
      <c r="N256" s="548"/>
      <c r="O256" s="548"/>
      <c r="P256" s="548"/>
      <c r="Q256" s="857"/>
      <c r="R256" s="548"/>
      <c r="S256" s="548"/>
      <c r="T256" s="560"/>
    </row>
    <row r="257" spans="1:20" s="387" customFormat="1" ht="15" customHeight="1" x14ac:dyDescent="0.25">
      <c r="A257" s="562"/>
      <c r="B257" s="564"/>
      <c r="C257" s="553"/>
      <c r="D257" s="553"/>
      <c r="E257" s="553"/>
      <c r="F257" s="556"/>
      <c r="G257" s="1076" t="s">
        <v>1324</v>
      </c>
      <c r="H257" s="1077"/>
      <c r="I257" s="1077"/>
      <c r="J257" s="1077"/>
      <c r="K257" s="1077"/>
      <c r="L257" s="1077"/>
      <c r="M257" s="1078"/>
      <c r="N257" s="338"/>
      <c r="O257" s="272"/>
      <c r="P257" s="272"/>
      <c r="Q257" s="272"/>
      <c r="R257" s="272"/>
      <c r="S257" s="272"/>
      <c r="T257" s="291"/>
    </row>
    <row r="258" spans="1:20" s="387" customFormat="1" ht="15" customHeight="1" x14ac:dyDescent="0.25">
      <c r="A258" s="562"/>
      <c r="B258" s="564"/>
      <c r="C258" s="553"/>
      <c r="D258" s="553"/>
      <c r="E258" s="553"/>
      <c r="F258" s="556"/>
      <c r="G258" s="548" t="s">
        <v>1574</v>
      </c>
      <c r="H258" s="548" t="s">
        <v>1670</v>
      </c>
      <c r="I258" s="548" t="s">
        <v>1470</v>
      </c>
      <c r="J258" s="548"/>
      <c r="K258" s="519">
        <v>0.26</v>
      </c>
      <c r="L258" s="272"/>
      <c r="M258" s="273"/>
      <c r="N258" s="338"/>
      <c r="O258" s="272"/>
      <c r="P258" s="272"/>
      <c r="Q258" s="272"/>
      <c r="R258" s="272"/>
      <c r="S258" s="272"/>
      <c r="T258" s="291"/>
    </row>
    <row r="259" spans="1:20" s="387" customFormat="1" ht="15" customHeight="1" x14ac:dyDescent="0.25">
      <c r="A259" s="562"/>
      <c r="B259" s="564"/>
      <c r="C259" s="553"/>
      <c r="D259" s="553"/>
      <c r="E259" s="553"/>
      <c r="F259" s="556"/>
      <c r="G259" s="548" t="s">
        <v>1299</v>
      </c>
      <c r="H259" s="548" t="s">
        <v>1300</v>
      </c>
      <c r="I259" s="548" t="s">
        <v>1620</v>
      </c>
      <c r="J259" s="548"/>
      <c r="K259" s="519">
        <v>0.25600000000000001</v>
      </c>
      <c r="L259" s="548"/>
      <c r="M259" s="519"/>
      <c r="N259" s="548"/>
      <c r="O259" s="548"/>
      <c r="P259" s="548"/>
      <c r="Q259" s="857"/>
      <c r="R259" s="548"/>
      <c r="S259" s="548"/>
      <c r="T259" s="560"/>
    </row>
    <row r="260" spans="1:20" s="387" customFormat="1" ht="15" customHeight="1" x14ac:dyDescent="0.25">
      <c r="A260" s="562"/>
      <c r="B260" s="564"/>
      <c r="C260" s="553"/>
      <c r="D260" s="553"/>
      <c r="E260" s="553"/>
      <c r="F260" s="556"/>
      <c r="G260" s="548" t="s">
        <v>1574</v>
      </c>
      <c r="H260" s="548" t="s">
        <v>1247</v>
      </c>
      <c r="I260" s="548" t="s">
        <v>1622</v>
      </c>
      <c r="J260" s="548"/>
      <c r="K260" s="519">
        <v>0.16550000000000001</v>
      </c>
      <c r="L260" s="548"/>
      <c r="M260" s="519"/>
      <c r="N260" s="548"/>
      <c r="O260" s="548"/>
      <c r="P260" s="548"/>
      <c r="Q260" s="857"/>
      <c r="R260" s="548"/>
      <c r="S260" s="548"/>
      <c r="T260" s="560"/>
    </row>
    <row r="261" spans="1:20" s="387" customFormat="1" ht="15" customHeight="1" x14ac:dyDescent="0.25">
      <c r="A261" s="562"/>
      <c r="B261" s="564"/>
      <c r="C261" s="553"/>
      <c r="D261" s="553"/>
      <c r="E261" s="553"/>
      <c r="F261" s="556"/>
      <c r="G261" s="548" t="s">
        <v>1575</v>
      </c>
      <c r="H261" s="548" t="s">
        <v>1576</v>
      </c>
      <c r="I261" s="548" t="s">
        <v>1634</v>
      </c>
      <c r="J261" s="548"/>
      <c r="K261" s="519">
        <v>0.16</v>
      </c>
      <c r="L261" s="548"/>
      <c r="M261" s="519"/>
      <c r="N261" s="548"/>
      <c r="O261" s="548"/>
      <c r="P261" s="548"/>
      <c r="Q261" s="857"/>
      <c r="R261" s="548"/>
      <c r="S261" s="548"/>
      <c r="T261" s="560"/>
    </row>
    <row r="262" spans="1:20" s="387" customFormat="1" ht="15" customHeight="1" x14ac:dyDescent="0.25">
      <c r="A262" s="562"/>
      <c r="B262" s="564"/>
      <c r="C262" s="553"/>
      <c r="D262" s="553"/>
      <c r="E262" s="553"/>
      <c r="F262" s="556"/>
      <c r="G262" s="996" t="s">
        <v>1740</v>
      </c>
      <c r="H262" s="1064"/>
      <c r="I262" s="1064"/>
      <c r="J262" s="1064"/>
      <c r="K262" s="1064"/>
      <c r="L262" s="1064"/>
      <c r="M262" s="1064"/>
      <c r="N262" s="548"/>
      <c r="O262" s="548"/>
      <c r="P262" s="548"/>
      <c r="Q262" s="857"/>
      <c r="R262" s="548"/>
      <c r="S262" s="548"/>
      <c r="T262" s="560"/>
    </row>
    <row r="263" spans="1:20" s="387" customFormat="1" ht="15" customHeight="1" x14ac:dyDescent="0.25">
      <c r="A263" s="562"/>
      <c r="B263" s="564"/>
      <c r="C263" s="553"/>
      <c r="D263" s="553"/>
      <c r="E263" s="553"/>
      <c r="F263" s="556"/>
      <c r="G263" s="548" t="s">
        <v>1597</v>
      </c>
      <c r="H263" s="548" t="s">
        <v>1598</v>
      </c>
      <c r="I263" s="548" t="s">
        <v>1767</v>
      </c>
      <c r="J263" s="548"/>
      <c r="K263" s="519">
        <v>0.15</v>
      </c>
      <c r="L263" s="548"/>
      <c r="M263" s="519"/>
      <c r="N263" s="548"/>
      <c r="O263" s="548"/>
      <c r="P263" s="548"/>
      <c r="Q263" s="857"/>
      <c r="R263" s="548"/>
      <c r="S263" s="548"/>
      <c r="T263" s="560"/>
    </row>
    <row r="264" spans="1:20" s="387" customFormat="1" ht="15" customHeight="1" x14ac:dyDescent="0.25">
      <c r="A264" s="562"/>
      <c r="B264" s="564"/>
      <c r="C264" s="553"/>
      <c r="D264" s="553"/>
      <c r="E264" s="553"/>
      <c r="F264" s="556"/>
      <c r="G264" s="996" t="s">
        <v>14978</v>
      </c>
      <c r="H264" s="1064"/>
      <c r="I264" s="1064"/>
      <c r="J264" s="1064"/>
      <c r="K264" s="1064"/>
      <c r="L264" s="1064"/>
      <c r="M264" s="1064"/>
      <c r="N264" s="548"/>
      <c r="O264" s="548"/>
      <c r="P264" s="548"/>
      <c r="Q264" s="857"/>
      <c r="R264" s="548"/>
      <c r="S264" s="548"/>
      <c r="T264" s="560"/>
    </row>
    <row r="265" spans="1:20" s="387" customFormat="1" ht="15" customHeight="1" x14ac:dyDescent="0.25">
      <c r="A265" s="562"/>
      <c r="B265" s="564"/>
      <c r="C265" s="553"/>
      <c r="D265" s="553"/>
      <c r="E265" s="553"/>
      <c r="F265" s="556"/>
      <c r="G265" s="548" t="s">
        <v>2100</v>
      </c>
      <c r="H265" s="548" t="s">
        <v>17250</v>
      </c>
      <c r="I265" s="548" t="s">
        <v>17251</v>
      </c>
      <c r="J265" s="548"/>
      <c r="K265" s="519">
        <f>0.15*0.75</f>
        <v>0.11249999999999999</v>
      </c>
      <c r="L265" s="548"/>
      <c r="M265" s="519"/>
      <c r="N265" s="548"/>
      <c r="O265" s="548"/>
      <c r="P265" s="548"/>
      <c r="Q265" s="857"/>
      <c r="R265" s="548"/>
      <c r="S265" s="548"/>
      <c r="T265" s="560"/>
    </row>
    <row r="266" spans="1:20" s="387" customFormat="1" ht="15" customHeight="1" x14ac:dyDescent="0.25">
      <c r="A266" s="562"/>
      <c r="B266" s="564"/>
      <c r="C266" s="553"/>
      <c r="D266" s="553"/>
      <c r="E266" s="553"/>
      <c r="F266" s="556"/>
      <c r="G266" s="548" t="s">
        <v>2129</v>
      </c>
      <c r="H266" s="548" t="s">
        <v>17255</v>
      </c>
      <c r="I266" s="548" t="s">
        <v>17256</v>
      </c>
      <c r="J266" s="548"/>
      <c r="K266" s="519">
        <f>0.09*0.75</f>
        <v>6.7500000000000004E-2</v>
      </c>
      <c r="L266" s="548"/>
      <c r="M266" s="519"/>
      <c r="N266" s="548"/>
      <c r="O266" s="548"/>
      <c r="P266" s="548"/>
      <c r="Q266" s="857"/>
      <c r="R266" s="548"/>
      <c r="S266" s="548"/>
      <c r="T266" s="560"/>
    </row>
    <row r="267" spans="1:20" s="387" customFormat="1" ht="15" customHeight="1" x14ac:dyDescent="0.25">
      <c r="A267" s="562"/>
      <c r="B267" s="564"/>
      <c r="C267" s="553"/>
      <c r="D267" s="553"/>
      <c r="E267" s="553"/>
      <c r="F267" s="556"/>
      <c r="G267" s="548" t="s">
        <v>17266</v>
      </c>
      <c r="H267" s="548" t="s">
        <v>17267</v>
      </c>
      <c r="I267" s="548" t="s">
        <v>17268</v>
      </c>
      <c r="J267" s="548"/>
      <c r="K267" s="519">
        <f>0.35*0.75</f>
        <v>0.26249999999999996</v>
      </c>
      <c r="L267" s="548"/>
      <c r="M267" s="519"/>
      <c r="N267" s="548"/>
      <c r="O267" s="548"/>
      <c r="P267" s="548"/>
      <c r="Q267" s="857"/>
      <c r="R267" s="548"/>
      <c r="S267" s="548"/>
      <c r="T267" s="560"/>
    </row>
    <row r="268" spans="1:20" s="387" customFormat="1" ht="15" customHeight="1" x14ac:dyDescent="0.25">
      <c r="A268" s="562"/>
      <c r="B268" s="564"/>
      <c r="C268" s="553"/>
      <c r="D268" s="553"/>
      <c r="E268" s="553"/>
      <c r="F268" s="556"/>
      <c r="G268" s="996" t="s">
        <v>18518</v>
      </c>
      <c r="H268" s="1064"/>
      <c r="I268" s="1064"/>
      <c r="J268" s="1064"/>
      <c r="K268" s="1064"/>
      <c r="L268" s="1064"/>
      <c r="M268" s="1064"/>
      <c r="N268" s="269"/>
      <c r="O268" s="269"/>
      <c r="P268" s="269"/>
      <c r="Q268" s="859"/>
      <c r="R268" s="269"/>
      <c r="S268" s="269"/>
      <c r="T268" s="439"/>
    </row>
    <row r="269" spans="1:20" s="387" customFormat="1" ht="15" customHeight="1" x14ac:dyDescent="0.25">
      <c r="A269" s="562"/>
      <c r="B269" s="564"/>
      <c r="C269" s="553"/>
      <c r="D269" s="553"/>
      <c r="E269" s="553"/>
      <c r="F269" s="556"/>
      <c r="G269" s="266" t="s">
        <v>18977</v>
      </c>
      <c r="H269" s="266" t="s">
        <v>18978</v>
      </c>
      <c r="I269" s="266" t="s">
        <v>19628</v>
      </c>
      <c r="J269" s="266">
        <f>0.1*0.75</f>
        <v>7.5000000000000011E-2</v>
      </c>
      <c r="K269" s="266"/>
      <c r="L269" s="546"/>
      <c r="M269" s="546"/>
      <c r="N269" s="269"/>
      <c r="O269" s="269"/>
      <c r="P269" s="269"/>
      <c r="Q269" s="859"/>
      <c r="R269" s="269"/>
      <c r="S269" s="269"/>
      <c r="T269" s="439"/>
    </row>
    <row r="270" spans="1:20" s="387" customFormat="1" ht="15" customHeight="1" x14ac:dyDescent="0.25">
      <c r="A270" s="562"/>
      <c r="B270" s="564"/>
      <c r="C270" s="553"/>
      <c r="D270" s="553"/>
      <c r="E270" s="553"/>
      <c r="F270" s="556"/>
      <c r="G270" s="266" t="s">
        <v>19236</v>
      </c>
      <c r="H270" s="266" t="s">
        <v>19237</v>
      </c>
      <c r="I270" s="266" t="s">
        <v>19629</v>
      </c>
      <c r="J270" s="266"/>
      <c r="K270" s="266">
        <f>0.156*0.9</f>
        <v>0.1404</v>
      </c>
      <c r="L270" s="546"/>
      <c r="M270" s="546"/>
      <c r="N270" s="269"/>
      <c r="O270" s="269"/>
      <c r="P270" s="269"/>
      <c r="Q270" s="859"/>
      <c r="R270" s="269"/>
      <c r="S270" s="269"/>
      <c r="T270" s="439"/>
    </row>
    <row r="271" spans="1:20" s="387" customFormat="1" ht="15" customHeight="1" x14ac:dyDescent="0.25">
      <c r="A271" s="562"/>
      <c r="B271" s="564"/>
      <c r="C271" s="553"/>
      <c r="D271" s="553"/>
      <c r="E271" s="553"/>
      <c r="F271" s="556"/>
      <c r="G271" s="266" t="s">
        <v>19238</v>
      </c>
      <c r="H271" s="266" t="s">
        <v>19239</v>
      </c>
      <c r="I271" s="266" t="s">
        <v>19630</v>
      </c>
      <c r="J271" s="266">
        <f>0.1*0.9</f>
        <v>9.0000000000000011E-2</v>
      </c>
      <c r="K271" s="266"/>
      <c r="L271" s="546"/>
      <c r="M271" s="546"/>
      <c r="N271" s="269"/>
      <c r="O271" s="269"/>
      <c r="P271" s="269"/>
      <c r="Q271" s="859"/>
      <c r="R271" s="269"/>
      <c r="S271" s="269"/>
      <c r="T271" s="439"/>
    </row>
    <row r="272" spans="1:20" s="387" customFormat="1" ht="15" customHeight="1" x14ac:dyDescent="0.25">
      <c r="A272" s="562"/>
      <c r="B272" s="564"/>
      <c r="C272" s="553"/>
      <c r="D272" s="553"/>
      <c r="E272" s="553"/>
      <c r="F272" s="556"/>
      <c r="G272" s="1065" t="s">
        <v>2262</v>
      </c>
      <c r="H272" s="1065"/>
      <c r="I272" s="1065"/>
      <c r="J272" s="994">
        <f>0.497*0.9*0.6</f>
        <v>0.26838000000000001</v>
      </c>
      <c r="K272" s="995"/>
      <c r="L272" s="557"/>
      <c r="M272" s="594"/>
      <c r="N272" s="269"/>
      <c r="O272" s="269"/>
      <c r="P272" s="269"/>
      <c r="Q272" s="859"/>
      <c r="R272" s="269"/>
      <c r="S272" s="269"/>
      <c r="T272" s="439"/>
    </row>
    <row r="273" spans="1:25" ht="15" customHeight="1" thickBot="1" x14ac:dyDescent="0.3">
      <c r="A273" s="346"/>
      <c r="B273" s="243"/>
      <c r="C273" s="244"/>
      <c r="D273" s="244"/>
      <c r="E273" s="244"/>
      <c r="F273" s="245"/>
      <c r="G273" s="1032" t="s">
        <v>1199</v>
      </c>
      <c r="H273" s="1032"/>
      <c r="I273" s="1032"/>
      <c r="J273" s="542"/>
      <c r="K273" s="247">
        <f>SUM(J265:K272)</f>
        <v>1.0162799999999999</v>
      </c>
      <c r="L273" s="542">
        <v>0.92</v>
      </c>
      <c r="M273" s="247">
        <f>K273/L273</f>
        <v>1.1046521739130433</v>
      </c>
      <c r="N273" s="1032" t="s">
        <v>1199</v>
      </c>
      <c r="O273" s="1032"/>
      <c r="P273" s="1032"/>
      <c r="Q273" s="863"/>
      <c r="R273" s="435">
        <f>SUM(R251:R261)</f>
        <v>0.1</v>
      </c>
      <c r="S273" s="542">
        <v>0.92</v>
      </c>
      <c r="T273" s="249">
        <f>R273/S273</f>
        <v>0.10869565217391304</v>
      </c>
      <c r="U273" s="387"/>
      <c r="V273" s="387"/>
      <c r="W273" s="387"/>
      <c r="X273" s="387"/>
      <c r="Y273" s="387"/>
    </row>
    <row r="274" spans="1:25" s="387" customFormat="1" ht="15" customHeight="1" x14ac:dyDescent="0.25">
      <c r="A274" s="1094" t="str">
        <f>Итоговая!C151</f>
        <v xml:space="preserve">ПС 110/35/10 кВ Холохоленка </v>
      </c>
      <c r="B274" s="1072">
        <f>Итоговая!D151</f>
        <v>6.3</v>
      </c>
      <c r="C274" s="1067" t="str">
        <f>Итоговая!E151</f>
        <v>+</v>
      </c>
      <c r="D274" s="1067">
        <f>Итоговая!F151</f>
        <v>6.3</v>
      </c>
      <c r="E274" s="552"/>
      <c r="F274" s="555"/>
      <c r="G274" s="992" t="s">
        <v>1288</v>
      </c>
      <c r="H274" s="1063"/>
      <c r="I274" s="1063"/>
      <c r="J274" s="1063"/>
      <c r="K274" s="1063"/>
      <c r="L274" s="1063"/>
      <c r="M274" s="1063"/>
      <c r="N274" s="1073"/>
      <c r="O274" s="1073"/>
      <c r="P274" s="1073"/>
      <c r="Q274" s="1073"/>
      <c r="R274" s="1073"/>
      <c r="S274" s="1073"/>
      <c r="T274" s="1074"/>
    </row>
    <row r="275" spans="1:25" s="387" customFormat="1" ht="15" customHeight="1" x14ac:dyDescent="0.25">
      <c r="A275" s="1095"/>
      <c r="B275" s="1023"/>
      <c r="C275" s="1024"/>
      <c r="D275" s="1024"/>
      <c r="E275" s="553"/>
      <c r="F275" s="556"/>
      <c r="G275" s="727" t="s">
        <v>1233</v>
      </c>
      <c r="H275" s="727" t="s">
        <v>1234</v>
      </c>
      <c r="I275" s="727" t="s">
        <v>1235</v>
      </c>
      <c r="J275" s="727"/>
      <c r="K275" s="519">
        <v>2.8</v>
      </c>
      <c r="L275" s="727"/>
      <c r="M275" s="519"/>
      <c r="N275" s="548"/>
      <c r="O275" s="548"/>
      <c r="P275" s="548"/>
      <c r="Q275" s="857"/>
      <c r="R275" s="548"/>
      <c r="S275" s="548"/>
      <c r="T275" s="560"/>
    </row>
    <row r="276" spans="1:25" s="387" customFormat="1" ht="15" customHeight="1" x14ac:dyDescent="0.25">
      <c r="A276" s="1095"/>
      <c r="B276" s="564"/>
      <c r="C276" s="553"/>
      <c r="D276" s="553"/>
      <c r="E276" s="553"/>
      <c r="F276" s="556"/>
      <c r="G276" s="996" t="s">
        <v>18518</v>
      </c>
      <c r="H276" s="1064"/>
      <c r="I276" s="1064"/>
      <c r="J276" s="1064"/>
      <c r="K276" s="1064"/>
      <c r="L276" s="1064"/>
      <c r="M276" s="1064"/>
      <c r="N276" s="548"/>
      <c r="O276" s="548"/>
      <c r="P276" s="548"/>
      <c r="Q276" s="857"/>
      <c r="R276" s="548"/>
      <c r="S276" s="548"/>
      <c r="T276" s="560"/>
    </row>
    <row r="277" spans="1:25" s="387" customFormat="1" ht="15" customHeight="1" x14ac:dyDescent="0.25">
      <c r="A277" s="568"/>
      <c r="B277" s="564"/>
      <c r="C277" s="553"/>
      <c r="D277" s="553"/>
      <c r="E277" s="553"/>
      <c r="F277" s="556"/>
      <c r="G277" s="275" t="s">
        <v>13409</v>
      </c>
      <c r="H277" s="275" t="s">
        <v>19643</v>
      </c>
      <c r="I277" s="275" t="s">
        <v>19644</v>
      </c>
      <c r="J277" s="275">
        <f>0.025*0.9</f>
        <v>2.2500000000000003E-2</v>
      </c>
      <c r="K277" s="275"/>
      <c r="L277" s="276"/>
      <c r="M277" s="276"/>
      <c r="N277" s="269"/>
      <c r="O277" s="269"/>
      <c r="P277" s="269"/>
      <c r="Q277" s="859"/>
      <c r="R277" s="269"/>
      <c r="S277" s="269"/>
      <c r="T277" s="439"/>
    </row>
    <row r="278" spans="1:25" s="387" customFormat="1" ht="15" customHeight="1" x14ac:dyDescent="0.25">
      <c r="A278" s="568"/>
      <c r="B278" s="564"/>
      <c r="C278" s="553"/>
      <c r="D278" s="553"/>
      <c r="E278" s="553"/>
      <c r="F278" s="556"/>
      <c r="G278" s="1065" t="s">
        <v>2262</v>
      </c>
      <c r="H278" s="1065"/>
      <c r="I278" s="1065"/>
      <c r="J278" s="994">
        <f>0.0033*0.9</f>
        <v>2.97E-3</v>
      </c>
      <c r="K278" s="995"/>
      <c r="L278" s="557"/>
      <c r="M278" s="594"/>
      <c r="N278" s="269"/>
      <c r="O278" s="269"/>
      <c r="P278" s="269"/>
      <c r="Q278" s="859"/>
      <c r="R278" s="269"/>
      <c r="S278" s="269"/>
      <c r="T278" s="439"/>
    </row>
    <row r="279" spans="1:25" ht="15" customHeight="1" thickBot="1" x14ac:dyDescent="0.3">
      <c r="A279" s="346"/>
      <c r="B279" s="243"/>
      <c r="C279" s="244"/>
      <c r="D279" s="244"/>
      <c r="E279" s="244"/>
      <c r="F279" s="245"/>
      <c r="G279" s="1032" t="s">
        <v>1199</v>
      </c>
      <c r="H279" s="1032"/>
      <c r="I279" s="1032"/>
      <c r="J279" s="542"/>
      <c r="K279" s="247">
        <f>SUM(J277:K278)</f>
        <v>2.5470000000000003E-2</v>
      </c>
      <c r="L279" s="542">
        <v>0.92</v>
      </c>
      <c r="M279" s="247">
        <f>K279/L279</f>
        <v>2.7684782608695654E-2</v>
      </c>
      <c r="N279" s="1032" t="s">
        <v>1199</v>
      </c>
      <c r="O279" s="1032"/>
      <c r="P279" s="1032"/>
      <c r="Q279" s="863"/>
      <c r="R279" s="435">
        <f>SUM(R276:R276)</f>
        <v>0</v>
      </c>
      <c r="S279" s="542">
        <v>0.92</v>
      </c>
      <c r="T279" s="436">
        <f>R279/S279</f>
        <v>0</v>
      </c>
      <c r="U279" s="387"/>
      <c r="V279" s="387"/>
      <c r="W279" s="387"/>
      <c r="X279" s="387"/>
      <c r="Y279" s="387"/>
    </row>
    <row r="280" spans="1:25" ht="15" customHeight="1" x14ac:dyDescent="0.25">
      <c r="A280" s="561" t="str">
        <f>Итоговая!C154</f>
        <v xml:space="preserve">ПС 110/35/10 кВ Леонтьево </v>
      </c>
      <c r="B280" s="533">
        <f>Итоговая!D154</f>
        <v>25</v>
      </c>
      <c r="C280" s="536" t="str">
        <f>Итоговая!E154</f>
        <v>+</v>
      </c>
      <c r="D280" s="536">
        <f>Итоговая!F154</f>
        <v>25</v>
      </c>
      <c r="E280" s="536"/>
      <c r="F280" s="470"/>
      <c r="G280" s="215"/>
      <c r="H280" s="215"/>
      <c r="I280" s="215"/>
      <c r="J280" s="215"/>
      <c r="K280" s="216"/>
      <c r="L280" s="215"/>
      <c r="M280" s="264"/>
      <c r="N280" s="215"/>
      <c r="O280" s="215"/>
      <c r="P280" s="215"/>
      <c r="Q280" s="858"/>
      <c r="R280" s="215"/>
      <c r="S280" s="215"/>
      <c r="T280" s="559"/>
      <c r="U280" s="387"/>
      <c r="V280" s="387"/>
      <c r="W280" s="387"/>
      <c r="X280" s="387"/>
      <c r="Y280" s="387"/>
    </row>
    <row r="281" spans="1:25" ht="15" customHeight="1" thickBot="1" x14ac:dyDescent="0.3">
      <c r="A281" s="346"/>
      <c r="B281" s="243"/>
      <c r="C281" s="244"/>
      <c r="D281" s="244"/>
      <c r="E281" s="244"/>
      <c r="F281" s="245"/>
      <c r="G281" s="1032" t="s">
        <v>1199</v>
      </c>
      <c r="H281" s="1032"/>
      <c r="I281" s="1032"/>
      <c r="J281" s="542"/>
      <c r="K281" s="247">
        <f>SUM(K280:K280)</f>
        <v>0</v>
      </c>
      <c r="L281" s="542">
        <v>0.92</v>
      </c>
      <c r="M281" s="247">
        <f>K281/L281</f>
        <v>0</v>
      </c>
      <c r="N281" s="1032" t="s">
        <v>1199</v>
      </c>
      <c r="O281" s="1032"/>
      <c r="P281" s="1032"/>
      <c r="Q281" s="863"/>
      <c r="R281" s="435">
        <f>SUM(R280:R280)</f>
        <v>0</v>
      </c>
      <c r="S281" s="542">
        <v>0.92</v>
      </c>
      <c r="T281" s="436">
        <f>R281/S281</f>
        <v>0</v>
      </c>
      <c r="U281" s="387"/>
      <c r="V281" s="387"/>
      <c r="W281" s="387"/>
      <c r="X281" s="387"/>
      <c r="Y281" s="387"/>
    </row>
    <row r="282" spans="1:25" ht="15" customHeight="1" thickBot="1" x14ac:dyDescent="0.3">
      <c r="A282" s="1050" t="s">
        <v>1289</v>
      </c>
      <c r="B282" s="1051"/>
      <c r="C282" s="547"/>
      <c r="D282" s="547"/>
      <c r="E282" s="547"/>
      <c r="F282" s="547"/>
      <c r="G282" s="322"/>
      <c r="H282" s="587"/>
      <c r="I282" s="587"/>
      <c r="J282" s="587"/>
      <c r="K282" s="324">
        <f>K281+K279+K273+K249+K247+K243+K240+K236+K230+K223+K221+K214+K211+K204+K200+K193+K190+K187+K183+K173+K170+K165+K162+K159+K156+K151+K148+K143+K141+K125+K122+K120+K115+K113+K107+K104+K101+K96+K94+K91+K86+K80+K73+K71+K66+K63+K53+K50+K45+K43+K41+K39+K36+K34+K31+K29+K24+K19+K14+K11</f>
        <v>5.9492234999999996</v>
      </c>
      <c r="L282" s="587"/>
      <c r="M282" s="324">
        <f>M281+M279+M273+M249+M247+M243+M240+M236+M230+M223+M221+M214+M211+M204+M200+M193+M190+M187+M183+M173+M170+M165+M162+M159+M156+M151+M148+M143+M141+M125+M122+M120+M115+M113+M107+M104+M101+M96+M94+M91+M86+M80+M73+M71+M66+M63+M53+M50+M45+M43+M41+M39+M36+M34+M31+M29+M24+M19+M14+M11</f>
        <v>6.4665472826086949</v>
      </c>
      <c r="N282" s="468"/>
      <c r="O282" s="468"/>
      <c r="P282" s="468"/>
      <c r="Q282" s="867"/>
      <c r="R282" s="468"/>
      <c r="S282" s="468"/>
      <c r="T282" s="469"/>
    </row>
    <row r="283" spans="1:25" x14ac:dyDescent="0.25">
      <c r="A283" s="614"/>
      <c r="B283" s="475"/>
      <c r="C283" s="475"/>
      <c r="D283" s="475"/>
      <c r="E283" s="475"/>
      <c r="F283" s="475"/>
      <c r="G283" s="475"/>
      <c r="H283" s="475"/>
      <c r="I283" s="475"/>
      <c r="J283" s="475"/>
      <c r="K283" s="337"/>
      <c r="L283" s="475"/>
      <c r="N283" s="471"/>
      <c r="O283" s="471"/>
      <c r="P283" s="471"/>
      <c r="Q283" s="487"/>
      <c r="R283" s="471"/>
      <c r="S283" s="471"/>
      <c r="T283" s="471"/>
    </row>
    <row r="284" spans="1:25" x14ac:dyDescent="0.25">
      <c r="A284" s="614"/>
      <c r="B284" s="475"/>
      <c r="C284" s="475"/>
      <c r="D284" s="475"/>
      <c r="E284" s="475"/>
      <c r="F284" s="475"/>
      <c r="G284" s="475"/>
      <c r="H284" s="475"/>
      <c r="I284" s="475"/>
      <c r="J284" s="475"/>
      <c r="K284" s="337"/>
      <c r="L284" s="475"/>
      <c r="N284" s="471"/>
      <c r="O284" s="471"/>
      <c r="P284" s="471"/>
      <c r="Q284" s="487"/>
      <c r="R284" s="471"/>
      <c r="S284" s="471"/>
      <c r="T284" s="471"/>
    </row>
    <row r="285" spans="1:25" x14ac:dyDescent="0.25">
      <c r="A285" s="614"/>
      <c r="B285" s="475"/>
      <c r="C285" s="475"/>
      <c r="D285" s="475"/>
      <c r="E285" s="475"/>
      <c r="F285" s="475"/>
      <c r="G285" s="475"/>
      <c r="H285" s="475"/>
      <c r="I285" s="475"/>
      <c r="J285" s="475"/>
      <c r="K285" s="337"/>
      <c r="L285" s="475"/>
      <c r="N285" s="471"/>
      <c r="O285" s="471"/>
      <c r="P285" s="471"/>
      <c r="Q285" s="487"/>
      <c r="R285" s="471"/>
      <c r="S285" s="471"/>
      <c r="T285" s="471"/>
    </row>
    <row r="286" spans="1:25" x14ac:dyDescent="0.25">
      <c r="A286" s="614"/>
      <c r="B286" s="475"/>
      <c r="C286" s="475"/>
      <c r="D286" s="475"/>
      <c r="E286" s="475"/>
      <c r="F286" s="475"/>
      <c r="G286" s="475"/>
      <c r="H286" s="475"/>
      <c r="I286" s="475"/>
      <c r="J286" s="475"/>
      <c r="K286" s="337"/>
      <c r="L286" s="475"/>
      <c r="N286" s="471"/>
      <c r="O286" s="471"/>
      <c r="P286" s="471"/>
      <c r="Q286" s="487"/>
      <c r="R286" s="471"/>
      <c r="S286" s="471"/>
      <c r="T286" s="471"/>
    </row>
    <row r="287" spans="1:25" x14ac:dyDescent="0.25">
      <c r="A287" s="614"/>
      <c r="B287" s="475"/>
      <c r="C287" s="475"/>
      <c r="D287" s="475"/>
      <c r="E287" s="475"/>
      <c r="F287" s="475"/>
      <c r="G287" s="475"/>
      <c r="H287" s="475"/>
      <c r="I287" s="475"/>
      <c r="J287" s="475"/>
      <c r="K287" s="337"/>
      <c r="L287" s="475"/>
      <c r="N287" s="386"/>
    </row>
    <row r="288" spans="1:25" x14ac:dyDescent="0.25">
      <c r="A288" s="614"/>
      <c r="B288" s="475"/>
      <c r="C288" s="475"/>
      <c r="D288" s="475"/>
      <c r="E288" s="475"/>
      <c r="F288" s="475"/>
      <c r="G288" s="475"/>
      <c r="H288" s="475"/>
      <c r="I288" s="475"/>
      <c r="J288" s="475"/>
      <c r="K288" s="337"/>
      <c r="L288" s="475"/>
      <c r="N288" s="386"/>
    </row>
    <row r="289" spans="1:14" x14ac:dyDescent="0.25">
      <c r="A289" s="614"/>
      <c r="B289" s="475"/>
      <c r="C289" s="475"/>
      <c r="D289" s="475"/>
      <c r="E289" s="475"/>
      <c r="F289" s="475"/>
      <c r="G289" s="475"/>
      <c r="H289" s="475"/>
      <c r="I289" s="475"/>
      <c r="J289" s="475"/>
      <c r="K289" s="337"/>
      <c r="L289" s="475"/>
      <c r="N289" s="386"/>
    </row>
    <row r="290" spans="1:14" x14ac:dyDescent="0.25">
      <c r="A290" s="614"/>
      <c r="B290" s="475"/>
      <c r="C290" s="475"/>
      <c r="D290" s="475"/>
      <c r="E290" s="475"/>
      <c r="F290" s="475"/>
      <c r="G290" s="475"/>
      <c r="H290" s="475"/>
      <c r="I290" s="475"/>
      <c r="J290" s="475"/>
      <c r="K290" s="337"/>
      <c r="L290" s="475"/>
      <c r="N290" s="386"/>
    </row>
    <row r="291" spans="1:14" x14ac:dyDescent="0.25">
      <c r="A291" s="614"/>
      <c r="B291" s="475"/>
      <c r="C291" s="475"/>
      <c r="D291" s="475"/>
      <c r="E291" s="475"/>
      <c r="F291" s="475"/>
      <c r="G291" s="475"/>
      <c r="H291" s="475"/>
      <c r="I291" s="475"/>
      <c r="J291" s="475"/>
      <c r="K291" s="337"/>
      <c r="L291" s="475"/>
      <c r="N291" s="386"/>
    </row>
    <row r="292" spans="1:14" x14ac:dyDescent="0.25">
      <c r="A292" s="614"/>
      <c r="B292" s="475"/>
      <c r="C292" s="475"/>
      <c r="D292" s="475"/>
      <c r="E292" s="475"/>
      <c r="F292" s="475"/>
      <c r="G292" s="475"/>
      <c r="H292" s="475"/>
      <c r="I292" s="475"/>
      <c r="J292" s="475"/>
      <c r="K292" s="337"/>
      <c r="L292" s="475"/>
      <c r="N292" s="386"/>
    </row>
    <row r="293" spans="1:14" x14ac:dyDescent="0.25">
      <c r="A293" s="614"/>
      <c r="B293" s="475"/>
      <c r="C293" s="475"/>
      <c r="D293" s="475"/>
      <c r="E293" s="475"/>
      <c r="F293" s="475"/>
      <c r="G293" s="475"/>
      <c r="H293" s="475"/>
      <c r="I293" s="475"/>
      <c r="J293" s="475"/>
      <c r="K293" s="337"/>
      <c r="L293" s="475"/>
      <c r="N293" s="386"/>
    </row>
    <row r="294" spans="1:14" x14ac:dyDescent="0.25">
      <c r="A294" s="614"/>
      <c r="B294" s="475"/>
      <c r="C294" s="475"/>
      <c r="D294" s="475"/>
      <c r="E294" s="475"/>
      <c r="F294" s="475"/>
      <c r="G294" s="475"/>
      <c r="H294" s="475"/>
      <c r="I294" s="475"/>
      <c r="J294" s="475"/>
      <c r="K294" s="337"/>
      <c r="L294" s="475"/>
      <c r="N294" s="386"/>
    </row>
    <row r="295" spans="1:14" x14ac:dyDescent="0.25">
      <c r="A295" s="614"/>
      <c r="B295" s="475"/>
      <c r="C295" s="475"/>
      <c r="D295" s="475"/>
      <c r="E295" s="475"/>
      <c r="F295" s="475"/>
      <c r="G295" s="475"/>
      <c r="H295" s="475"/>
      <c r="I295" s="475"/>
      <c r="J295" s="475"/>
      <c r="K295" s="337"/>
      <c r="L295" s="475"/>
      <c r="N295" s="386"/>
    </row>
    <row r="296" spans="1:14" x14ac:dyDescent="0.25">
      <c r="A296" s="614"/>
      <c r="B296" s="475"/>
      <c r="C296" s="475"/>
      <c r="D296" s="475"/>
      <c r="E296" s="475"/>
      <c r="F296" s="475"/>
      <c r="G296" s="475"/>
      <c r="H296" s="475"/>
      <c r="I296" s="475"/>
      <c r="J296" s="475"/>
      <c r="K296" s="337"/>
      <c r="L296" s="475"/>
      <c r="N296" s="386"/>
    </row>
    <row r="297" spans="1:14" x14ac:dyDescent="0.25">
      <c r="A297" s="614"/>
      <c r="B297" s="475"/>
      <c r="C297" s="475"/>
      <c r="D297" s="475"/>
      <c r="E297" s="475"/>
      <c r="F297" s="475"/>
      <c r="G297" s="475"/>
      <c r="H297" s="475"/>
      <c r="I297" s="475"/>
      <c r="J297" s="475"/>
      <c r="K297" s="337"/>
      <c r="L297" s="475"/>
      <c r="N297" s="386"/>
    </row>
    <row r="298" spans="1:14" x14ac:dyDescent="0.25">
      <c r="A298" s="614"/>
      <c r="B298" s="475"/>
      <c r="C298" s="475"/>
      <c r="D298" s="475"/>
      <c r="E298" s="475"/>
      <c r="F298" s="475"/>
      <c r="G298" s="475"/>
      <c r="H298" s="475"/>
      <c r="I298" s="475"/>
      <c r="J298" s="475"/>
      <c r="K298" s="337"/>
      <c r="L298" s="475"/>
      <c r="N298" s="386"/>
    </row>
    <row r="299" spans="1:14" x14ac:dyDescent="0.25">
      <c r="A299" s="614"/>
      <c r="B299" s="475"/>
      <c r="C299" s="475"/>
      <c r="D299" s="475"/>
      <c r="E299" s="475"/>
      <c r="F299" s="475"/>
      <c r="G299" s="475"/>
      <c r="H299" s="475"/>
      <c r="I299" s="475"/>
      <c r="J299" s="475"/>
      <c r="K299" s="337"/>
      <c r="L299" s="475"/>
      <c r="N299" s="386"/>
    </row>
    <row r="300" spans="1:14" x14ac:dyDescent="0.25">
      <c r="A300" s="614"/>
      <c r="B300" s="475"/>
      <c r="C300" s="475"/>
      <c r="D300" s="475"/>
      <c r="E300" s="475"/>
      <c r="F300" s="475"/>
      <c r="G300" s="475"/>
      <c r="H300" s="475"/>
      <c r="I300" s="475"/>
      <c r="J300" s="475"/>
      <c r="K300" s="337"/>
      <c r="L300" s="475"/>
      <c r="N300" s="386"/>
    </row>
    <row r="301" spans="1:14" x14ac:dyDescent="0.25">
      <c r="A301" s="614"/>
      <c r="B301" s="475"/>
      <c r="C301" s="475"/>
      <c r="D301" s="475"/>
      <c r="E301" s="475"/>
      <c r="F301" s="475"/>
      <c r="G301" s="475"/>
      <c r="H301" s="475"/>
      <c r="I301" s="475"/>
      <c r="J301" s="475"/>
      <c r="K301" s="337"/>
      <c r="L301" s="475"/>
      <c r="N301" s="386"/>
    </row>
    <row r="302" spans="1:14" x14ac:dyDescent="0.25">
      <c r="A302" s="614"/>
      <c r="B302" s="475"/>
      <c r="C302" s="475"/>
      <c r="D302" s="475"/>
      <c r="E302" s="475"/>
      <c r="F302" s="475"/>
      <c r="G302" s="475"/>
      <c r="H302" s="475"/>
      <c r="I302" s="475"/>
      <c r="J302" s="475"/>
      <c r="K302" s="337"/>
      <c r="L302" s="475"/>
      <c r="N302" s="386"/>
    </row>
    <row r="303" spans="1:14" x14ac:dyDescent="0.25">
      <c r="A303" s="614"/>
      <c r="B303" s="475"/>
      <c r="C303" s="475"/>
      <c r="D303" s="475"/>
      <c r="E303" s="475"/>
      <c r="F303" s="475"/>
      <c r="G303" s="475"/>
      <c r="H303" s="475"/>
      <c r="I303" s="475"/>
      <c r="J303" s="475"/>
      <c r="K303" s="337"/>
      <c r="L303" s="475"/>
      <c r="N303" s="386"/>
    </row>
    <row r="304" spans="1:14" x14ac:dyDescent="0.25">
      <c r="A304" s="614"/>
      <c r="B304" s="475"/>
      <c r="C304" s="475"/>
      <c r="D304" s="475"/>
      <c r="E304" s="475"/>
      <c r="F304" s="475"/>
      <c r="G304" s="475"/>
      <c r="H304" s="475"/>
      <c r="I304" s="475"/>
      <c r="J304" s="475"/>
      <c r="K304" s="337"/>
      <c r="L304" s="475"/>
      <c r="N304" s="386"/>
    </row>
    <row r="305" spans="1:14" x14ac:dyDescent="0.25">
      <c r="A305" s="614"/>
      <c r="B305" s="475"/>
      <c r="C305" s="475"/>
      <c r="D305" s="475"/>
      <c r="E305" s="475"/>
      <c r="F305" s="475"/>
      <c r="G305" s="475"/>
      <c r="H305" s="475"/>
      <c r="I305" s="475"/>
      <c r="J305" s="475"/>
      <c r="K305" s="337"/>
      <c r="L305" s="475"/>
      <c r="N305" s="386"/>
    </row>
    <row r="306" spans="1:14" x14ac:dyDescent="0.25">
      <c r="A306" s="614"/>
      <c r="B306" s="475"/>
      <c r="C306" s="475"/>
      <c r="D306" s="475"/>
      <c r="E306" s="475"/>
      <c r="F306" s="475"/>
      <c r="G306" s="475"/>
      <c r="H306" s="475"/>
      <c r="I306" s="475"/>
      <c r="J306" s="475"/>
      <c r="K306" s="337"/>
      <c r="L306" s="475"/>
      <c r="N306" s="386"/>
    </row>
    <row r="307" spans="1:14" x14ac:dyDescent="0.25">
      <c r="A307" s="614"/>
      <c r="B307" s="475"/>
      <c r="C307" s="475"/>
      <c r="D307" s="475"/>
      <c r="E307" s="475"/>
      <c r="F307" s="475"/>
      <c r="G307" s="475"/>
      <c r="H307" s="475"/>
      <c r="I307" s="475"/>
      <c r="J307" s="475"/>
      <c r="K307" s="337"/>
      <c r="L307" s="475"/>
      <c r="N307" s="386"/>
    </row>
    <row r="308" spans="1:14" x14ac:dyDescent="0.25">
      <c r="A308" s="614"/>
      <c r="B308" s="475"/>
      <c r="C308" s="475"/>
      <c r="D308" s="475"/>
      <c r="E308" s="475"/>
      <c r="F308" s="475"/>
      <c r="G308" s="475"/>
      <c r="H308" s="475"/>
      <c r="I308" s="475"/>
      <c r="J308" s="475"/>
      <c r="K308" s="337"/>
      <c r="L308" s="475"/>
      <c r="N308" s="386"/>
    </row>
    <row r="309" spans="1:14" x14ac:dyDescent="0.25">
      <c r="A309" s="614"/>
      <c r="B309" s="475"/>
      <c r="C309" s="475"/>
      <c r="D309" s="475"/>
      <c r="E309" s="475"/>
      <c r="F309" s="475"/>
      <c r="G309" s="475"/>
      <c r="H309" s="475"/>
      <c r="I309" s="475"/>
      <c r="J309" s="475"/>
      <c r="K309" s="337"/>
      <c r="L309" s="475"/>
      <c r="N309" s="386"/>
    </row>
    <row r="310" spans="1:14" x14ac:dyDescent="0.25">
      <c r="A310" s="614"/>
      <c r="B310" s="475"/>
      <c r="C310" s="475"/>
      <c r="D310" s="475"/>
      <c r="E310" s="475"/>
      <c r="F310" s="475"/>
      <c r="G310" s="475"/>
      <c r="H310" s="475"/>
      <c r="I310" s="475"/>
      <c r="J310" s="475"/>
      <c r="K310" s="337"/>
      <c r="L310" s="475"/>
      <c r="N310" s="386"/>
    </row>
    <row r="311" spans="1:14" x14ac:dyDescent="0.25">
      <c r="A311" s="614"/>
      <c r="B311" s="475"/>
      <c r="C311" s="475"/>
      <c r="D311" s="475"/>
      <c r="E311" s="475"/>
      <c r="F311" s="475"/>
      <c r="G311" s="475"/>
      <c r="H311" s="475"/>
      <c r="I311" s="475"/>
      <c r="J311" s="475"/>
      <c r="K311" s="337"/>
      <c r="L311" s="475"/>
      <c r="N311" s="386"/>
    </row>
    <row r="312" spans="1:14" x14ac:dyDescent="0.25">
      <c r="A312" s="614"/>
      <c r="B312" s="475"/>
      <c r="C312" s="475"/>
      <c r="D312" s="475"/>
      <c r="E312" s="475"/>
      <c r="F312" s="475"/>
      <c r="G312" s="475"/>
      <c r="H312" s="475"/>
      <c r="I312" s="475"/>
      <c r="J312" s="475"/>
      <c r="K312" s="337"/>
      <c r="L312" s="475"/>
      <c r="N312" s="386"/>
    </row>
    <row r="313" spans="1:14" x14ac:dyDescent="0.25">
      <c r="A313" s="614"/>
      <c r="B313" s="475"/>
      <c r="C313" s="475"/>
      <c r="D313" s="475"/>
      <c r="E313" s="475"/>
      <c r="F313" s="475"/>
      <c r="G313" s="475"/>
      <c r="H313" s="475"/>
      <c r="I313" s="475"/>
      <c r="J313" s="475"/>
      <c r="K313" s="337"/>
      <c r="L313" s="475"/>
      <c r="N313" s="386"/>
    </row>
    <row r="314" spans="1:14" x14ac:dyDescent="0.25">
      <c r="A314" s="614"/>
      <c r="B314" s="475"/>
      <c r="C314" s="475"/>
      <c r="D314" s="475"/>
      <c r="E314" s="475"/>
      <c r="F314" s="475"/>
      <c r="G314" s="475"/>
      <c r="H314" s="475"/>
      <c r="I314" s="475"/>
      <c r="J314" s="475"/>
      <c r="K314" s="337"/>
      <c r="L314" s="475"/>
      <c r="N314" s="386"/>
    </row>
    <row r="315" spans="1:14" x14ac:dyDescent="0.25">
      <c r="A315" s="614"/>
      <c r="B315" s="475"/>
      <c r="C315" s="475"/>
      <c r="D315" s="475"/>
      <c r="E315" s="475"/>
      <c r="F315" s="475"/>
      <c r="G315" s="475"/>
      <c r="H315" s="475"/>
      <c r="I315" s="475"/>
      <c r="J315" s="475"/>
      <c r="K315" s="337"/>
      <c r="L315" s="475"/>
      <c r="N315" s="386"/>
    </row>
    <row r="316" spans="1:14" x14ac:dyDescent="0.25">
      <c r="A316" s="614"/>
      <c r="B316" s="475"/>
      <c r="C316" s="475"/>
      <c r="D316" s="475"/>
      <c r="E316" s="475"/>
      <c r="F316" s="475"/>
      <c r="G316" s="475"/>
      <c r="H316" s="475"/>
      <c r="I316" s="475"/>
      <c r="J316" s="475"/>
      <c r="K316" s="337"/>
      <c r="L316" s="475"/>
      <c r="N316" s="386"/>
    </row>
    <row r="317" spans="1:14" x14ac:dyDescent="0.25">
      <c r="A317" s="614"/>
      <c r="B317" s="475"/>
      <c r="C317" s="475"/>
      <c r="D317" s="475"/>
      <c r="E317" s="475"/>
      <c r="F317" s="475"/>
      <c r="G317" s="475"/>
      <c r="H317" s="475"/>
      <c r="I317" s="475"/>
      <c r="J317" s="475"/>
      <c r="K317" s="337"/>
      <c r="L317" s="475"/>
      <c r="N317" s="386"/>
    </row>
    <row r="318" spans="1:14" x14ac:dyDescent="0.25">
      <c r="A318" s="614"/>
      <c r="B318" s="475"/>
      <c r="C318" s="475"/>
      <c r="D318" s="475"/>
      <c r="E318" s="475"/>
      <c r="F318" s="475"/>
      <c r="G318" s="475"/>
      <c r="H318" s="475"/>
      <c r="I318" s="475"/>
      <c r="J318" s="475"/>
      <c r="K318" s="337"/>
      <c r="L318" s="475"/>
      <c r="N318" s="386"/>
    </row>
    <row r="319" spans="1:14" x14ac:dyDescent="0.25">
      <c r="A319" s="614"/>
      <c r="B319" s="475"/>
      <c r="C319" s="475"/>
      <c r="D319" s="475"/>
      <c r="E319" s="475"/>
      <c r="F319" s="475"/>
      <c r="G319" s="475"/>
      <c r="H319" s="475"/>
      <c r="I319" s="475"/>
      <c r="J319" s="475"/>
      <c r="K319" s="337"/>
      <c r="L319" s="475"/>
      <c r="N319" s="386"/>
    </row>
    <row r="320" spans="1:14" x14ac:dyDescent="0.25">
      <c r="A320" s="614"/>
      <c r="B320" s="475"/>
      <c r="C320" s="475"/>
      <c r="D320" s="475"/>
      <c r="E320" s="475"/>
      <c r="F320" s="475"/>
      <c r="G320" s="475"/>
      <c r="H320" s="475"/>
      <c r="I320" s="475"/>
      <c r="J320" s="475"/>
      <c r="K320" s="337"/>
      <c r="L320" s="475"/>
      <c r="N320" s="386"/>
    </row>
    <row r="321" spans="1:14" x14ac:dyDescent="0.25">
      <c r="A321" s="614"/>
      <c r="B321" s="475"/>
      <c r="C321" s="475"/>
      <c r="D321" s="475"/>
      <c r="E321" s="475"/>
      <c r="F321" s="475"/>
      <c r="G321" s="475"/>
      <c r="H321" s="475"/>
      <c r="I321" s="475"/>
      <c r="J321" s="475"/>
      <c r="K321" s="337"/>
      <c r="L321" s="475"/>
      <c r="N321" s="386"/>
    </row>
    <row r="322" spans="1:14" x14ac:dyDescent="0.25">
      <c r="A322" s="614"/>
      <c r="B322" s="475"/>
      <c r="C322" s="475"/>
      <c r="D322" s="475"/>
      <c r="E322" s="475"/>
      <c r="F322" s="475"/>
      <c r="G322" s="475"/>
      <c r="H322" s="475"/>
      <c r="I322" s="475"/>
      <c r="J322" s="475"/>
      <c r="K322" s="337"/>
      <c r="L322" s="475"/>
      <c r="N322" s="386"/>
    </row>
    <row r="323" spans="1:14" x14ac:dyDescent="0.25">
      <c r="A323" s="614"/>
      <c r="B323" s="475"/>
      <c r="C323" s="475"/>
      <c r="D323" s="475"/>
      <c r="E323" s="475"/>
      <c r="F323" s="475"/>
      <c r="G323" s="475"/>
      <c r="H323" s="475"/>
      <c r="I323" s="475"/>
      <c r="J323" s="475"/>
      <c r="K323" s="337"/>
      <c r="L323" s="475"/>
      <c r="N323" s="386"/>
    </row>
    <row r="324" spans="1:14" x14ac:dyDescent="0.25">
      <c r="A324" s="614"/>
      <c r="B324" s="475"/>
      <c r="C324" s="475"/>
      <c r="D324" s="475"/>
      <c r="E324" s="475"/>
      <c r="F324" s="475"/>
      <c r="G324" s="475"/>
      <c r="H324" s="475"/>
      <c r="I324" s="475"/>
      <c r="J324" s="475"/>
      <c r="K324" s="337"/>
      <c r="L324" s="475"/>
      <c r="N324" s="386"/>
    </row>
    <row r="325" spans="1:14" x14ac:dyDescent="0.25">
      <c r="A325" s="614"/>
      <c r="B325" s="475"/>
      <c r="C325" s="475"/>
      <c r="D325" s="475"/>
      <c r="E325" s="475"/>
      <c r="F325" s="475"/>
      <c r="G325" s="475"/>
      <c r="H325" s="475"/>
      <c r="I325" s="475"/>
      <c r="J325" s="475"/>
      <c r="K325" s="337"/>
      <c r="L325" s="475"/>
      <c r="N325" s="386"/>
    </row>
    <row r="326" spans="1:14" x14ac:dyDescent="0.25">
      <c r="A326" s="614"/>
      <c r="B326" s="475"/>
      <c r="C326" s="475"/>
      <c r="D326" s="475"/>
      <c r="E326" s="475"/>
      <c r="F326" s="475"/>
      <c r="G326" s="475"/>
      <c r="H326" s="475"/>
      <c r="I326" s="475"/>
      <c r="J326" s="475"/>
      <c r="K326" s="337"/>
      <c r="L326" s="475"/>
      <c r="N326" s="386"/>
    </row>
    <row r="327" spans="1:14" x14ac:dyDescent="0.25">
      <c r="A327" s="614"/>
      <c r="B327" s="475"/>
      <c r="C327" s="475"/>
      <c r="D327" s="475"/>
      <c r="E327" s="475"/>
      <c r="F327" s="475"/>
      <c r="G327" s="475"/>
      <c r="H327" s="475"/>
      <c r="I327" s="475"/>
      <c r="J327" s="475"/>
      <c r="K327" s="337"/>
      <c r="L327" s="475"/>
      <c r="N327" s="386"/>
    </row>
    <row r="328" spans="1:14" x14ac:dyDescent="0.25">
      <c r="A328" s="614"/>
      <c r="B328" s="475"/>
      <c r="C328" s="475"/>
      <c r="D328" s="475"/>
      <c r="E328" s="475"/>
      <c r="F328" s="475"/>
      <c r="G328" s="475"/>
      <c r="H328" s="475"/>
      <c r="I328" s="475"/>
      <c r="J328" s="475"/>
      <c r="K328" s="337"/>
      <c r="L328" s="475"/>
      <c r="N328" s="386"/>
    </row>
    <row r="329" spans="1:14" x14ac:dyDescent="0.25">
      <c r="A329" s="614"/>
      <c r="B329" s="475"/>
      <c r="C329" s="475"/>
      <c r="D329" s="475"/>
      <c r="E329" s="475"/>
      <c r="F329" s="475"/>
      <c r="G329" s="475"/>
      <c r="H329" s="475"/>
      <c r="I329" s="475"/>
      <c r="J329" s="475"/>
      <c r="K329" s="337"/>
      <c r="L329" s="475"/>
      <c r="N329" s="386"/>
    </row>
    <row r="330" spans="1:14" x14ac:dyDescent="0.25">
      <c r="A330" s="614"/>
      <c r="B330" s="475"/>
      <c r="C330" s="475"/>
      <c r="D330" s="475"/>
      <c r="E330" s="475"/>
      <c r="F330" s="475"/>
      <c r="G330" s="475"/>
      <c r="H330" s="475"/>
      <c r="I330" s="475"/>
      <c r="J330" s="475"/>
      <c r="K330" s="337"/>
      <c r="L330" s="475"/>
      <c r="N330" s="386"/>
    </row>
    <row r="331" spans="1:14" x14ac:dyDescent="0.25">
      <c r="A331" s="614"/>
      <c r="B331" s="475"/>
      <c r="C331" s="475"/>
      <c r="D331" s="475"/>
      <c r="E331" s="475"/>
      <c r="F331" s="475"/>
      <c r="G331" s="475"/>
      <c r="H331" s="475"/>
      <c r="I331" s="475"/>
      <c r="J331" s="475"/>
      <c r="K331" s="337"/>
      <c r="L331" s="475"/>
      <c r="N331" s="386"/>
    </row>
    <row r="332" spans="1:14" x14ac:dyDescent="0.25">
      <c r="A332" s="614"/>
      <c r="B332" s="475"/>
      <c r="C332" s="475"/>
      <c r="D332" s="475"/>
      <c r="E332" s="475"/>
      <c r="F332" s="475"/>
      <c r="G332" s="475"/>
      <c r="H332" s="475"/>
      <c r="I332" s="475"/>
      <c r="J332" s="475"/>
      <c r="K332" s="337"/>
      <c r="L332" s="475"/>
      <c r="N332" s="386"/>
    </row>
    <row r="333" spans="1:14" x14ac:dyDescent="0.25">
      <c r="A333" s="614"/>
      <c r="B333" s="475"/>
      <c r="C333" s="475"/>
      <c r="D333" s="475"/>
      <c r="E333" s="475"/>
      <c r="F333" s="475"/>
      <c r="G333" s="475"/>
      <c r="H333" s="475"/>
      <c r="I333" s="475"/>
      <c r="J333" s="475"/>
      <c r="K333" s="337"/>
      <c r="L333" s="475"/>
      <c r="N333" s="386"/>
    </row>
    <row r="334" spans="1:14" x14ac:dyDescent="0.25">
      <c r="A334" s="614"/>
      <c r="B334" s="475"/>
      <c r="C334" s="475"/>
      <c r="D334" s="475"/>
      <c r="E334" s="475"/>
      <c r="F334" s="475"/>
      <c r="G334" s="475"/>
      <c r="H334" s="475"/>
      <c r="I334" s="475"/>
      <c r="J334" s="475"/>
      <c r="K334" s="337"/>
      <c r="L334" s="475"/>
      <c r="N334" s="386"/>
    </row>
    <row r="335" spans="1:14" x14ac:dyDescent="0.25">
      <c r="A335" s="614"/>
      <c r="B335" s="475"/>
      <c r="C335" s="475"/>
      <c r="D335" s="475"/>
      <c r="E335" s="475"/>
      <c r="F335" s="475"/>
      <c r="G335" s="475"/>
      <c r="H335" s="475"/>
      <c r="I335" s="475"/>
      <c r="J335" s="475"/>
      <c r="K335" s="337"/>
      <c r="L335" s="475"/>
      <c r="N335" s="386"/>
    </row>
    <row r="336" spans="1:14" x14ac:dyDescent="0.25">
      <c r="A336" s="614"/>
      <c r="B336" s="475"/>
      <c r="C336" s="475"/>
      <c r="D336" s="475"/>
      <c r="E336" s="475"/>
      <c r="F336" s="475"/>
      <c r="G336" s="475"/>
      <c r="H336" s="475"/>
      <c r="I336" s="475"/>
      <c r="J336" s="475"/>
      <c r="K336" s="337"/>
      <c r="L336" s="475"/>
      <c r="N336" s="386"/>
    </row>
    <row r="337" spans="1:14" x14ac:dyDescent="0.25">
      <c r="A337" s="614"/>
      <c r="B337" s="475"/>
      <c r="C337" s="475"/>
      <c r="D337" s="475"/>
      <c r="E337" s="475"/>
      <c r="F337" s="475"/>
      <c r="G337" s="475"/>
      <c r="H337" s="475"/>
      <c r="I337" s="475"/>
      <c r="J337" s="475"/>
      <c r="K337" s="337"/>
      <c r="L337" s="475"/>
      <c r="N337" s="386"/>
    </row>
    <row r="338" spans="1:14" x14ac:dyDescent="0.25">
      <c r="A338" s="614"/>
      <c r="B338" s="475"/>
      <c r="C338" s="475"/>
      <c r="D338" s="475"/>
      <c r="E338" s="475"/>
      <c r="F338" s="475"/>
      <c r="G338" s="475"/>
      <c r="H338" s="475"/>
      <c r="I338" s="475"/>
      <c r="J338" s="475"/>
      <c r="K338" s="337"/>
      <c r="L338" s="475"/>
      <c r="N338" s="386"/>
    </row>
    <row r="339" spans="1:14" x14ac:dyDescent="0.25">
      <c r="A339" s="614"/>
      <c r="B339" s="475"/>
      <c r="C339" s="475"/>
      <c r="D339" s="475"/>
      <c r="E339" s="475"/>
      <c r="F339" s="475"/>
      <c r="G339" s="475"/>
      <c r="H339" s="475"/>
      <c r="I339" s="475"/>
      <c r="J339" s="475"/>
      <c r="K339" s="337"/>
      <c r="L339" s="475"/>
      <c r="N339" s="386"/>
    </row>
    <row r="340" spans="1:14" x14ac:dyDescent="0.25">
      <c r="A340" s="614"/>
      <c r="B340" s="475"/>
      <c r="C340" s="475"/>
      <c r="D340" s="475"/>
      <c r="E340" s="475"/>
      <c r="F340" s="475"/>
      <c r="G340" s="475"/>
      <c r="H340" s="475"/>
      <c r="I340" s="475"/>
      <c r="J340" s="475"/>
      <c r="K340" s="337"/>
      <c r="L340" s="475"/>
      <c r="N340" s="386"/>
    </row>
    <row r="341" spans="1:14" x14ac:dyDescent="0.25">
      <c r="A341" s="614"/>
      <c r="B341" s="475"/>
      <c r="C341" s="475"/>
      <c r="D341" s="475"/>
      <c r="E341" s="475"/>
      <c r="F341" s="475"/>
      <c r="G341" s="475"/>
      <c r="H341" s="475"/>
      <c r="I341" s="475"/>
      <c r="J341" s="475"/>
      <c r="K341" s="337"/>
      <c r="L341" s="475"/>
      <c r="N341" s="386"/>
    </row>
    <row r="342" spans="1:14" x14ac:dyDescent="0.25">
      <c r="A342" s="614"/>
      <c r="B342" s="475"/>
      <c r="C342" s="475"/>
      <c r="D342" s="475"/>
      <c r="E342" s="475"/>
      <c r="F342" s="475"/>
      <c r="G342" s="475"/>
      <c r="H342" s="475"/>
      <c r="I342" s="475"/>
      <c r="J342" s="475"/>
      <c r="K342" s="337"/>
      <c r="L342" s="475"/>
      <c r="N342" s="386"/>
    </row>
    <row r="343" spans="1:14" x14ac:dyDescent="0.25">
      <c r="A343" s="614"/>
      <c r="B343" s="475"/>
      <c r="C343" s="475"/>
      <c r="D343" s="475"/>
      <c r="E343" s="475"/>
      <c r="F343" s="475"/>
      <c r="G343" s="475"/>
      <c r="H343" s="475"/>
      <c r="I343" s="475"/>
      <c r="J343" s="475"/>
      <c r="K343" s="337"/>
      <c r="L343" s="475"/>
      <c r="N343" s="386"/>
    </row>
    <row r="344" spans="1:14" x14ac:dyDescent="0.25">
      <c r="A344" s="614"/>
      <c r="B344" s="475"/>
      <c r="C344" s="475"/>
      <c r="D344" s="475"/>
      <c r="E344" s="475"/>
      <c r="F344" s="475"/>
      <c r="G344" s="475"/>
      <c r="H344" s="475"/>
      <c r="I344" s="475"/>
      <c r="J344" s="475"/>
      <c r="K344" s="337"/>
      <c r="L344" s="475"/>
      <c r="N344" s="386"/>
    </row>
    <row r="345" spans="1:14" x14ac:dyDescent="0.25">
      <c r="A345" s="614"/>
      <c r="B345" s="475"/>
      <c r="C345" s="475"/>
      <c r="D345" s="475"/>
      <c r="E345" s="475"/>
      <c r="F345" s="475"/>
      <c r="G345" s="475"/>
      <c r="H345" s="475"/>
      <c r="I345" s="475"/>
      <c r="J345" s="475"/>
      <c r="K345" s="337"/>
      <c r="L345" s="475"/>
      <c r="N345" s="386"/>
    </row>
    <row r="346" spans="1:14" x14ac:dyDescent="0.25">
      <c r="A346" s="614"/>
      <c r="B346" s="475"/>
      <c r="C346" s="475"/>
      <c r="D346" s="475"/>
      <c r="E346" s="475"/>
      <c r="F346" s="475"/>
      <c r="G346" s="475"/>
      <c r="H346" s="475"/>
      <c r="I346" s="475"/>
      <c r="J346" s="475"/>
      <c r="K346" s="337"/>
      <c r="L346" s="475"/>
      <c r="N346" s="386"/>
    </row>
    <row r="347" spans="1:14" x14ac:dyDescent="0.25">
      <c r="A347" s="614"/>
      <c r="B347" s="475"/>
      <c r="C347" s="475"/>
      <c r="D347" s="475"/>
      <c r="E347" s="475"/>
      <c r="F347" s="475"/>
      <c r="G347" s="475"/>
      <c r="H347" s="475"/>
      <c r="I347" s="475"/>
      <c r="J347" s="475"/>
      <c r="K347" s="337"/>
      <c r="L347" s="475"/>
      <c r="N347" s="386"/>
    </row>
    <row r="348" spans="1:14" x14ac:dyDescent="0.25">
      <c r="A348" s="614"/>
      <c r="B348" s="475"/>
      <c r="C348" s="475"/>
      <c r="D348" s="475"/>
      <c r="E348" s="475"/>
      <c r="F348" s="475"/>
      <c r="G348" s="475"/>
      <c r="H348" s="475"/>
      <c r="I348" s="475"/>
      <c r="J348" s="475"/>
      <c r="K348" s="337"/>
      <c r="L348" s="475"/>
      <c r="N348" s="386"/>
    </row>
    <row r="349" spans="1:14" x14ac:dyDescent="0.25">
      <c r="A349" s="614"/>
      <c r="B349" s="475"/>
      <c r="C349" s="475"/>
      <c r="D349" s="475"/>
      <c r="E349" s="475"/>
      <c r="F349" s="475"/>
      <c r="G349" s="475"/>
      <c r="H349" s="475"/>
      <c r="I349" s="475"/>
      <c r="J349" s="475"/>
      <c r="K349" s="337"/>
      <c r="L349" s="475"/>
      <c r="N349" s="386"/>
    </row>
    <row r="350" spans="1:14" x14ac:dyDescent="0.25">
      <c r="A350" s="614"/>
      <c r="B350" s="475"/>
      <c r="C350" s="475"/>
      <c r="D350" s="475"/>
      <c r="E350" s="475"/>
      <c r="F350" s="475"/>
      <c r="G350" s="475"/>
      <c r="H350" s="475"/>
      <c r="I350" s="475"/>
      <c r="J350" s="475"/>
      <c r="K350" s="337"/>
      <c r="L350" s="475"/>
      <c r="N350" s="386"/>
    </row>
    <row r="351" spans="1:14" x14ac:dyDescent="0.25">
      <c r="A351" s="614"/>
      <c r="B351" s="475"/>
      <c r="C351" s="475"/>
      <c r="D351" s="475"/>
      <c r="E351" s="475"/>
      <c r="F351" s="475"/>
      <c r="G351" s="475"/>
      <c r="H351" s="475"/>
      <c r="M351" s="336"/>
      <c r="N351" s="386"/>
    </row>
    <row r="352" spans="1:14" x14ac:dyDescent="0.25">
      <c r="A352" s="614"/>
      <c r="B352" s="475"/>
      <c r="C352" s="475"/>
      <c r="D352" s="475"/>
      <c r="E352" s="475"/>
      <c r="F352" s="475"/>
      <c r="G352" s="475"/>
      <c r="H352" s="475"/>
      <c r="M352" s="336"/>
      <c r="N352" s="386"/>
    </row>
    <row r="353" spans="1:14" x14ac:dyDescent="0.25">
      <c r="A353" s="614"/>
      <c r="B353" s="475"/>
      <c r="C353" s="475"/>
      <c r="D353" s="475"/>
      <c r="E353" s="475"/>
      <c r="F353" s="475"/>
      <c r="G353" s="475"/>
      <c r="H353" s="475"/>
      <c r="M353" s="336"/>
      <c r="N353" s="386"/>
    </row>
    <row r="354" spans="1:14" x14ac:dyDescent="0.25">
      <c r="A354" s="614"/>
      <c r="B354" s="475"/>
      <c r="C354" s="475"/>
      <c r="D354" s="475"/>
      <c r="E354" s="475"/>
      <c r="F354" s="475"/>
      <c r="G354" s="475"/>
      <c r="H354" s="475"/>
      <c r="M354" s="336"/>
      <c r="N354" s="386"/>
    </row>
    <row r="355" spans="1:14" x14ac:dyDescent="0.25">
      <c r="A355" s="614"/>
      <c r="B355" s="475"/>
      <c r="C355" s="475"/>
      <c r="D355" s="475"/>
      <c r="E355" s="475"/>
      <c r="F355" s="475"/>
      <c r="G355" s="475"/>
      <c r="H355" s="475"/>
      <c r="M355" s="336"/>
      <c r="N355" s="386"/>
    </row>
    <row r="356" spans="1:14" x14ac:dyDescent="0.25">
      <c r="A356" s="614"/>
      <c r="B356" s="475"/>
      <c r="C356" s="475"/>
      <c r="D356" s="475"/>
      <c r="E356" s="475"/>
      <c r="F356" s="475"/>
      <c r="G356" s="475"/>
      <c r="H356" s="475"/>
      <c r="M356" s="336"/>
      <c r="N356" s="386"/>
    </row>
    <row r="357" spans="1:14" x14ac:dyDescent="0.25">
      <c r="A357" s="614"/>
      <c r="B357" s="475"/>
      <c r="C357" s="475"/>
      <c r="D357" s="475"/>
      <c r="E357" s="475"/>
      <c r="F357" s="475"/>
      <c r="G357" s="475"/>
      <c r="H357" s="475"/>
      <c r="M357" s="336"/>
      <c r="N357" s="386"/>
    </row>
    <row r="358" spans="1:14" x14ac:dyDescent="0.25">
      <c r="A358" s="614"/>
      <c r="B358" s="475"/>
      <c r="C358" s="475"/>
      <c r="D358" s="475"/>
      <c r="E358" s="475"/>
      <c r="F358" s="475"/>
      <c r="G358" s="475"/>
      <c r="H358" s="475"/>
      <c r="M358" s="336"/>
      <c r="N358" s="386"/>
    </row>
    <row r="359" spans="1:14" x14ac:dyDescent="0.25">
      <c r="A359" s="614"/>
      <c r="B359" s="475"/>
      <c r="C359" s="475"/>
      <c r="D359" s="475"/>
      <c r="E359" s="475"/>
      <c r="F359" s="475"/>
      <c r="G359" s="475"/>
      <c r="H359" s="475"/>
      <c r="M359" s="336"/>
      <c r="N359" s="386"/>
    </row>
    <row r="360" spans="1:14" x14ac:dyDescent="0.25">
      <c r="A360" s="614"/>
      <c r="B360" s="475"/>
      <c r="C360" s="475"/>
      <c r="D360" s="475"/>
      <c r="E360" s="475"/>
      <c r="F360" s="475"/>
      <c r="G360" s="475"/>
      <c r="H360" s="475"/>
      <c r="M360" s="336"/>
      <c r="N360" s="386"/>
    </row>
    <row r="361" spans="1:14" x14ac:dyDescent="0.25">
      <c r="A361" s="614"/>
      <c r="B361" s="475"/>
      <c r="C361" s="475"/>
      <c r="D361" s="475"/>
      <c r="E361" s="475"/>
      <c r="F361" s="475"/>
      <c r="G361" s="475"/>
      <c r="H361" s="475"/>
      <c r="M361" s="336"/>
      <c r="N361" s="386"/>
    </row>
    <row r="362" spans="1:14" x14ac:dyDescent="0.25">
      <c r="A362" s="614"/>
      <c r="B362" s="475"/>
      <c r="C362" s="475"/>
      <c r="D362" s="475"/>
      <c r="E362" s="475"/>
      <c r="F362" s="475"/>
      <c r="G362" s="475"/>
      <c r="H362" s="475"/>
      <c r="M362" s="336"/>
      <c r="N362" s="386"/>
    </row>
    <row r="363" spans="1:14" x14ac:dyDescent="0.25">
      <c r="A363" s="614"/>
      <c r="B363" s="475"/>
      <c r="C363" s="475"/>
      <c r="D363" s="475"/>
      <c r="E363" s="475"/>
      <c r="F363" s="475"/>
      <c r="G363" s="475"/>
      <c r="H363" s="475"/>
      <c r="M363" s="336"/>
      <c r="N363" s="386"/>
    </row>
    <row r="364" spans="1:14" x14ac:dyDescent="0.25">
      <c r="A364" s="614"/>
      <c r="B364" s="475"/>
      <c r="C364" s="475"/>
      <c r="D364" s="475"/>
      <c r="E364" s="475"/>
      <c r="F364" s="475"/>
      <c r="G364" s="475"/>
      <c r="H364" s="475"/>
      <c r="M364" s="336"/>
      <c r="N364" s="386"/>
    </row>
    <row r="365" spans="1:14" x14ac:dyDescent="0.25">
      <c r="A365" s="614"/>
      <c r="B365" s="475"/>
      <c r="C365" s="475"/>
      <c r="D365" s="475"/>
      <c r="E365" s="475"/>
      <c r="F365" s="475"/>
      <c r="G365" s="475"/>
      <c r="H365" s="475"/>
      <c r="M365" s="336"/>
      <c r="N365" s="386"/>
    </row>
    <row r="366" spans="1:14" x14ac:dyDescent="0.25">
      <c r="A366" s="614"/>
      <c r="B366" s="475"/>
      <c r="C366" s="475"/>
      <c r="D366" s="475"/>
      <c r="E366" s="475"/>
      <c r="F366" s="475"/>
      <c r="G366" s="475"/>
      <c r="H366" s="475"/>
      <c r="M366" s="336"/>
      <c r="N366" s="386"/>
    </row>
    <row r="367" spans="1:14" x14ac:dyDescent="0.25">
      <c r="A367" s="614"/>
      <c r="B367" s="475"/>
      <c r="C367" s="475"/>
      <c r="D367" s="475"/>
      <c r="E367" s="475"/>
      <c r="F367" s="475"/>
      <c r="G367" s="475"/>
      <c r="H367" s="475"/>
      <c r="M367" s="336"/>
      <c r="N367" s="386"/>
    </row>
    <row r="368" spans="1:14" x14ac:dyDescent="0.25">
      <c r="A368" s="614"/>
      <c r="B368" s="475"/>
      <c r="C368" s="475"/>
      <c r="D368" s="475"/>
      <c r="E368" s="475"/>
      <c r="F368" s="475"/>
      <c r="G368" s="475"/>
      <c r="H368" s="475"/>
      <c r="M368" s="336"/>
      <c r="N368" s="386"/>
    </row>
    <row r="369" spans="1:14" ht="15" customHeight="1" x14ac:dyDescent="0.25">
      <c r="A369" s="614"/>
      <c r="B369" s="475"/>
      <c r="C369" s="475"/>
      <c r="D369" s="475"/>
      <c r="E369" s="475"/>
      <c r="F369" s="475"/>
      <c r="G369" s="475"/>
      <c r="H369" s="475"/>
      <c r="M369" s="336"/>
      <c r="N369" s="386"/>
    </row>
    <row r="370" spans="1:14" x14ac:dyDescent="0.25">
      <c r="A370" s="614"/>
      <c r="B370" s="475"/>
      <c r="C370" s="475"/>
      <c r="D370" s="475"/>
      <c r="E370" s="475"/>
      <c r="F370" s="475"/>
      <c r="G370" s="475"/>
      <c r="H370" s="475"/>
      <c r="M370" s="336"/>
      <c r="N370" s="386"/>
    </row>
    <row r="371" spans="1:14" x14ac:dyDescent="0.25">
      <c r="A371" s="614"/>
      <c r="B371" s="475"/>
      <c r="C371" s="475"/>
      <c r="D371" s="475"/>
      <c r="E371" s="475"/>
      <c r="F371" s="475"/>
      <c r="G371" s="475"/>
      <c r="H371" s="475"/>
      <c r="M371" s="336"/>
      <c r="N371" s="386"/>
    </row>
    <row r="372" spans="1:14" x14ac:dyDescent="0.25">
      <c r="A372" s="614"/>
      <c r="B372" s="475"/>
      <c r="C372" s="475"/>
      <c r="D372" s="475"/>
      <c r="E372" s="475"/>
      <c r="F372" s="475"/>
      <c r="G372" s="475"/>
      <c r="H372" s="475"/>
      <c r="M372" s="336"/>
      <c r="N372" s="386"/>
    </row>
    <row r="373" spans="1:14" x14ac:dyDescent="0.25">
      <c r="A373" s="614"/>
      <c r="B373" s="475"/>
      <c r="C373" s="475"/>
      <c r="D373" s="475"/>
      <c r="E373" s="475"/>
      <c r="F373" s="475"/>
      <c r="G373" s="475"/>
      <c r="H373" s="475"/>
      <c r="M373" s="336"/>
      <c r="N373" s="386"/>
    </row>
    <row r="374" spans="1:14" x14ac:dyDescent="0.25">
      <c r="A374" s="614"/>
      <c r="B374" s="475"/>
      <c r="C374" s="475"/>
      <c r="D374" s="475"/>
      <c r="E374" s="475"/>
      <c r="F374" s="475"/>
      <c r="G374" s="475"/>
      <c r="H374" s="475"/>
      <c r="M374" s="336"/>
      <c r="N374" s="386"/>
    </row>
    <row r="375" spans="1:14" x14ac:dyDescent="0.25">
      <c r="A375" s="614"/>
      <c r="B375" s="475"/>
      <c r="C375" s="475"/>
      <c r="D375" s="475"/>
      <c r="E375" s="475"/>
      <c r="F375" s="475"/>
      <c r="G375" s="475"/>
      <c r="H375" s="475"/>
      <c r="M375" s="336"/>
      <c r="N375" s="386"/>
    </row>
    <row r="376" spans="1:14" x14ac:dyDescent="0.25">
      <c r="A376" s="614"/>
      <c r="B376" s="475"/>
      <c r="C376" s="475"/>
      <c r="D376" s="475"/>
      <c r="E376" s="475"/>
      <c r="F376" s="475"/>
      <c r="G376" s="475"/>
      <c r="H376" s="475"/>
      <c r="M376" s="336"/>
      <c r="N376" s="386"/>
    </row>
    <row r="377" spans="1:14" x14ac:dyDescent="0.25">
      <c r="A377" s="614"/>
      <c r="B377" s="475"/>
      <c r="C377" s="475"/>
      <c r="D377" s="475"/>
      <c r="E377" s="475"/>
      <c r="F377" s="475"/>
      <c r="G377" s="475"/>
      <c r="H377" s="475"/>
      <c r="M377" s="336"/>
      <c r="N377" s="386"/>
    </row>
    <row r="378" spans="1:14" x14ac:dyDescent="0.25">
      <c r="A378" s="614"/>
      <c r="B378" s="475"/>
      <c r="C378" s="475"/>
      <c r="D378" s="475"/>
      <c r="E378" s="475"/>
      <c r="F378" s="475"/>
      <c r="G378" s="475"/>
      <c r="H378" s="475"/>
      <c r="M378" s="336"/>
      <c r="N378" s="386"/>
    </row>
    <row r="379" spans="1:14" x14ac:dyDescent="0.25">
      <c r="A379" s="614"/>
      <c r="B379" s="475"/>
      <c r="C379" s="475"/>
      <c r="D379" s="475"/>
      <c r="E379" s="475"/>
      <c r="F379" s="475"/>
      <c r="G379" s="475"/>
      <c r="H379" s="475"/>
      <c r="M379" s="336"/>
      <c r="N379" s="386"/>
    </row>
    <row r="380" spans="1:14" x14ac:dyDescent="0.25">
      <c r="A380" s="614"/>
      <c r="B380" s="475"/>
      <c r="C380" s="475"/>
      <c r="D380" s="475"/>
      <c r="E380" s="475"/>
      <c r="F380" s="475"/>
      <c r="G380" s="475"/>
      <c r="H380" s="475"/>
      <c r="M380" s="336"/>
      <c r="N380" s="386"/>
    </row>
    <row r="381" spans="1:14" x14ac:dyDescent="0.25">
      <c r="A381" s="614"/>
      <c r="B381" s="475"/>
      <c r="C381" s="475"/>
      <c r="D381" s="475"/>
      <c r="E381" s="475"/>
      <c r="F381" s="475"/>
      <c r="G381" s="475"/>
      <c r="H381" s="475"/>
      <c r="M381" s="336"/>
      <c r="N381" s="386"/>
    </row>
    <row r="382" spans="1:14" x14ac:dyDescent="0.25">
      <c r="A382" s="614"/>
      <c r="B382" s="475"/>
      <c r="C382" s="475"/>
      <c r="D382" s="475"/>
      <c r="E382" s="475"/>
      <c r="F382" s="475"/>
      <c r="G382" s="475"/>
      <c r="H382" s="475"/>
      <c r="M382" s="336"/>
      <c r="N382" s="386"/>
    </row>
    <row r="383" spans="1:14" x14ac:dyDescent="0.25">
      <c r="A383" s="614"/>
      <c r="B383" s="475"/>
      <c r="C383" s="475"/>
      <c r="D383" s="475"/>
      <c r="E383" s="475"/>
      <c r="F383" s="475"/>
      <c r="G383" s="475"/>
      <c r="H383" s="475"/>
      <c r="M383" s="336"/>
      <c r="N383" s="386"/>
    </row>
    <row r="384" spans="1:14" x14ac:dyDescent="0.25">
      <c r="A384" s="614"/>
      <c r="B384" s="475"/>
      <c r="C384" s="475"/>
      <c r="D384" s="475"/>
      <c r="E384" s="475"/>
      <c r="F384" s="475"/>
      <c r="G384" s="475"/>
      <c r="H384" s="475"/>
      <c r="M384" s="336"/>
      <c r="N384" s="386"/>
    </row>
    <row r="385" spans="1:14" x14ac:dyDescent="0.25">
      <c r="A385" s="614"/>
      <c r="B385" s="475"/>
      <c r="C385" s="475"/>
      <c r="D385" s="475"/>
      <c r="E385" s="475"/>
      <c r="F385" s="475"/>
      <c r="G385" s="475"/>
      <c r="H385" s="475"/>
      <c r="M385" s="336"/>
      <c r="N385" s="386"/>
    </row>
    <row r="386" spans="1:14" x14ac:dyDescent="0.25">
      <c r="A386" s="614"/>
      <c r="B386" s="475"/>
      <c r="C386" s="475"/>
      <c r="D386" s="475"/>
      <c r="E386" s="475"/>
      <c r="F386" s="475"/>
      <c r="G386" s="475"/>
      <c r="H386" s="475"/>
      <c r="M386" s="336"/>
      <c r="N386" s="386"/>
    </row>
    <row r="387" spans="1:14" x14ac:dyDescent="0.25">
      <c r="A387" s="614"/>
      <c r="B387" s="475"/>
      <c r="C387" s="475"/>
      <c r="D387" s="475"/>
      <c r="E387" s="475"/>
      <c r="F387" s="475"/>
      <c r="G387" s="475"/>
      <c r="H387" s="475"/>
      <c r="M387" s="336"/>
      <c r="N387" s="386"/>
    </row>
    <row r="388" spans="1:14" x14ac:dyDescent="0.25">
      <c r="A388" s="614"/>
      <c r="B388" s="475"/>
      <c r="C388" s="475"/>
      <c r="D388" s="475"/>
      <c r="E388" s="475"/>
      <c r="F388" s="475"/>
      <c r="G388" s="475"/>
      <c r="H388" s="475"/>
      <c r="M388" s="336"/>
      <c r="N388" s="386"/>
    </row>
    <row r="389" spans="1:14" x14ac:dyDescent="0.25">
      <c r="A389" s="614"/>
      <c r="B389" s="475"/>
      <c r="C389" s="475"/>
      <c r="D389" s="475"/>
      <c r="E389" s="475"/>
      <c r="F389" s="475"/>
      <c r="G389" s="475"/>
      <c r="H389" s="475"/>
      <c r="M389" s="336"/>
      <c r="N389" s="386"/>
    </row>
    <row r="390" spans="1:14" x14ac:dyDescent="0.25">
      <c r="A390" s="614"/>
      <c r="B390" s="475"/>
      <c r="C390" s="475"/>
      <c r="D390" s="475"/>
      <c r="E390" s="475"/>
      <c r="F390" s="475"/>
      <c r="G390" s="475"/>
      <c r="H390" s="475"/>
      <c r="M390" s="336"/>
      <c r="N390" s="386"/>
    </row>
    <row r="391" spans="1:14" x14ac:dyDescent="0.25">
      <c r="A391" s="614"/>
      <c r="B391" s="475"/>
      <c r="C391" s="475"/>
      <c r="D391" s="475"/>
      <c r="E391" s="475"/>
      <c r="F391" s="475"/>
      <c r="G391" s="475"/>
      <c r="H391" s="475"/>
      <c r="M391" s="336"/>
      <c r="N391" s="386"/>
    </row>
    <row r="392" spans="1:14" x14ac:dyDescent="0.25">
      <c r="A392" s="614"/>
      <c r="B392" s="475"/>
      <c r="C392" s="475"/>
      <c r="D392" s="475"/>
      <c r="E392" s="475"/>
      <c r="F392" s="475"/>
      <c r="G392" s="475"/>
      <c r="H392" s="475"/>
      <c r="M392" s="336"/>
      <c r="N392" s="386"/>
    </row>
    <row r="393" spans="1:14" x14ac:dyDescent="0.25">
      <c r="A393" s="614"/>
      <c r="B393" s="475"/>
      <c r="C393" s="475"/>
      <c r="D393" s="475"/>
      <c r="E393" s="475"/>
      <c r="F393" s="475"/>
      <c r="G393" s="475"/>
      <c r="H393" s="475"/>
      <c r="M393" s="336"/>
      <c r="N393" s="386"/>
    </row>
    <row r="394" spans="1:14" x14ac:dyDescent="0.25">
      <c r="A394" s="614"/>
      <c r="B394" s="475"/>
      <c r="C394" s="475"/>
      <c r="D394" s="475"/>
      <c r="E394" s="475"/>
      <c r="F394" s="475"/>
      <c r="G394" s="475"/>
      <c r="H394" s="475"/>
      <c r="M394" s="336"/>
      <c r="N394" s="386"/>
    </row>
    <row r="395" spans="1:14" x14ac:dyDescent="0.25">
      <c r="A395" s="614"/>
      <c r="B395" s="475"/>
      <c r="C395" s="475"/>
      <c r="D395" s="475"/>
      <c r="E395" s="475"/>
      <c r="F395" s="475"/>
      <c r="G395" s="475"/>
      <c r="H395" s="475"/>
      <c r="M395" s="336"/>
      <c r="N395" s="386"/>
    </row>
    <row r="396" spans="1:14" x14ac:dyDescent="0.25">
      <c r="A396" s="614"/>
      <c r="B396" s="475"/>
      <c r="C396" s="475"/>
      <c r="D396" s="475"/>
      <c r="E396" s="475"/>
      <c r="F396" s="475"/>
      <c r="G396" s="475"/>
      <c r="H396" s="475"/>
      <c r="M396" s="336"/>
      <c r="N396" s="386"/>
    </row>
    <row r="397" spans="1:14" x14ac:dyDescent="0.25">
      <c r="A397" s="614"/>
      <c r="B397" s="475"/>
      <c r="C397" s="475"/>
      <c r="D397" s="475"/>
      <c r="E397" s="475"/>
      <c r="F397" s="475"/>
      <c r="G397" s="475"/>
      <c r="H397" s="475"/>
      <c r="M397" s="336"/>
      <c r="N397" s="386"/>
    </row>
    <row r="398" spans="1:14" x14ac:dyDescent="0.25">
      <c r="A398" s="614"/>
      <c r="B398" s="475"/>
      <c r="C398" s="475"/>
      <c r="D398" s="475"/>
      <c r="E398" s="475"/>
      <c r="F398" s="475"/>
      <c r="G398" s="475"/>
      <c r="H398" s="475"/>
      <c r="M398" s="336"/>
      <c r="N398" s="386"/>
    </row>
    <row r="399" spans="1:14" x14ac:dyDescent="0.25">
      <c r="A399" s="614"/>
      <c r="B399" s="475"/>
      <c r="C399" s="475"/>
      <c r="D399" s="475"/>
      <c r="E399" s="475"/>
      <c r="F399" s="475"/>
      <c r="G399" s="475"/>
      <c r="H399" s="475"/>
      <c r="M399" s="336"/>
      <c r="N399" s="386"/>
    </row>
    <row r="400" spans="1:14" x14ac:dyDescent="0.25">
      <c r="A400" s="614"/>
      <c r="B400" s="475"/>
      <c r="C400" s="475"/>
      <c r="D400" s="475"/>
      <c r="E400" s="475"/>
      <c r="F400" s="475"/>
      <c r="G400" s="475"/>
      <c r="H400" s="475"/>
      <c r="M400" s="336"/>
      <c r="N400" s="386"/>
    </row>
    <row r="401" spans="1:14" x14ac:dyDescent="0.25">
      <c r="A401" s="614"/>
      <c r="B401" s="475"/>
      <c r="C401" s="475"/>
      <c r="D401" s="475"/>
      <c r="E401" s="475"/>
      <c r="F401" s="475"/>
      <c r="G401" s="475"/>
      <c r="H401" s="475"/>
      <c r="M401" s="336"/>
      <c r="N401" s="386"/>
    </row>
    <row r="402" spans="1:14" x14ac:dyDescent="0.25">
      <c r="A402" s="614"/>
      <c r="B402" s="475"/>
      <c r="C402" s="475"/>
      <c r="D402" s="475"/>
      <c r="E402" s="475"/>
      <c r="F402" s="475"/>
      <c r="G402" s="475"/>
      <c r="H402" s="475"/>
      <c r="M402" s="336"/>
      <c r="N402" s="386"/>
    </row>
    <row r="403" spans="1:14" x14ac:dyDescent="0.25">
      <c r="A403" s="614"/>
      <c r="B403" s="475"/>
      <c r="C403" s="475"/>
      <c r="D403" s="475"/>
      <c r="E403" s="475"/>
      <c r="F403" s="475"/>
      <c r="G403" s="475"/>
      <c r="H403" s="475"/>
      <c r="M403" s="336"/>
      <c r="N403" s="386"/>
    </row>
    <row r="404" spans="1:14" x14ac:dyDescent="0.25">
      <c r="A404" s="614"/>
      <c r="B404" s="475"/>
      <c r="C404" s="475"/>
      <c r="D404" s="475"/>
      <c r="E404" s="475"/>
      <c r="F404" s="475"/>
      <c r="G404" s="475"/>
      <c r="H404" s="475"/>
      <c r="M404" s="336"/>
      <c r="N404" s="386"/>
    </row>
    <row r="405" spans="1:14" x14ac:dyDescent="0.25">
      <c r="A405" s="614"/>
      <c r="B405" s="475"/>
      <c r="C405" s="475"/>
      <c r="D405" s="475"/>
      <c r="E405" s="475"/>
      <c r="F405" s="475"/>
      <c r="G405" s="475"/>
      <c r="H405" s="475"/>
      <c r="M405" s="336"/>
      <c r="N405" s="386"/>
    </row>
    <row r="406" spans="1:14" x14ac:dyDescent="0.25">
      <c r="A406" s="614"/>
      <c r="B406" s="475"/>
      <c r="C406" s="475"/>
      <c r="D406" s="475"/>
      <c r="E406" s="475"/>
      <c r="F406" s="475"/>
      <c r="G406" s="475"/>
      <c r="H406" s="475"/>
      <c r="M406" s="336"/>
      <c r="N406" s="386"/>
    </row>
    <row r="407" spans="1:14" x14ac:dyDescent="0.25">
      <c r="A407" s="614"/>
      <c r="B407" s="475"/>
      <c r="C407" s="475"/>
      <c r="D407" s="475"/>
      <c r="E407" s="475"/>
      <c r="F407" s="475"/>
      <c r="G407" s="475"/>
      <c r="H407" s="475"/>
      <c r="M407" s="336"/>
      <c r="N407" s="386"/>
    </row>
    <row r="408" spans="1:14" x14ac:dyDescent="0.25">
      <c r="A408" s="614"/>
      <c r="B408" s="475"/>
      <c r="C408" s="475"/>
      <c r="D408" s="475"/>
      <c r="E408" s="475"/>
      <c r="F408" s="475"/>
      <c r="G408" s="475"/>
      <c r="H408" s="475"/>
      <c r="M408" s="336"/>
      <c r="N408" s="386"/>
    </row>
    <row r="409" spans="1:14" x14ac:dyDescent="0.25">
      <c r="A409" s="614"/>
      <c r="B409" s="475"/>
      <c r="C409" s="475"/>
      <c r="D409" s="475"/>
      <c r="E409" s="475"/>
      <c r="F409" s="475"/>
      <c r="G409" s="475"/>
      <c r="H409" s="475"/>
      <c r="M409" s="336"/>
      <c r="N409" s="386"/>
    </row>
    <row r="410" spans="1:14" x14ac:dyDescent="0.25">
      <c r="A410" s="614"/>
      <c r="B410" s="475"/>
      <c r="C410" s="475"/>
      <c r="D410" s="475"/>
      <c r="E410" s="475"/>
      <c r="F410" s="475"/>
      <c r="G410" s="475"/>
      <c r="H410" s="475"/>
      <c r="M410" s="336"/>
      <c r="N410" s="386"/>
    </row>
    <row r="411" spans="1:14" x14ac:dyDescent="0.25">
      <c r="A411" s="614"/>
      <c r="B411" s="475"/>
      <c r="C411" s="475"/>
      <c r="D411" s="475"/>
      <c r="E411" s="475"/>
      <c r="F411" s="475"/>
      <c r="G411" s="475"/>
      <c r="H411" s="475"/>
      <c r="M411" s="336"/>
      <c r="N411" s="386"/>
    </row>
    <row r="412" spans="1:14" x14ac:dyDescent="0.25">
      <c r="A412" s="614"/>
      <c r="B412" s="475"/>
      <c r="C412" s="475"/>
      <c r="D412" s="475"/>
      <c r="E412" s="475"/>
      <c r="F412" s="475"/>
      <c r="G412" s="475"/>
      <c r="H412" s="475"/>
      <c r="M412" s="336"/>
      <c r="N412" s="386"/>
    </row>
    <row r="413" spans="1:14" x14ac:dyDescent="0.25">
      <c r="A413" s="614"/>
      <c r="B413" s="475"/>
      <c r="C413" s="475"/>
      <c r="D413" s="475"/>
      <c r="E413" s="475"/>
      <c r="F413" s="475"/>
      <c r="G413" s="475"/>
      <c r="H413" s="475"/>
      <c r="M413" s="336"/>
      <c r="N413" s="386"/>
    </row>
    <row r="414" spans="1:14" x14ac:dyDescent="0.25">
      <c r="A414" s="614"/>
      <c r="B414" s="475"/>
      <c r="C414" s="475"/>
      <c r="D414" s="475"/>
      <c r="E414" s="475"/>
      <c r="F414" s="475"/>
      <c r="G414" s="475"/>
      <c r="H414" s="475"/>
      <c r="M414" s="336"/>
      <c r="N414" s="386"/>
    </row>
    <row r="415" spans="1:14" x14ac:dyDescent="0.25">
      <c r="A415" s="614"/>
      <c r="B415" s="475"/>
      <c r="C415" s="475"/>
      <c r="D415" s="475"/>
      <c r="E415" s="475"/>
      <c r="F415" s="475"/>
      <c r="G415" s="475"/>
      <c r="H415" s="475"/>
      <c r="M415" s="336"/>
      <c r="N415" s="386"/>
    </row>
    <row r="416" spans="1:14" x14ac:dyDescent="0.25">
      <c r="A416" s="614"/>
      <c r="B416" s="475"/>
      <c r="C416" s="475"/>
      <c r="D416" s="475"/>
      <c r="E416" s="475"/>
      <c r="F416" s="475"/>
      <c r="G416" s="475"/>
      <c r="H416" s="475"/>
      <c r="M416" s="336"/>
      <c r="N416" s="386"/>
    </row>
    <row r="417" spans="1:14" x14ac:dyDescent="0.25">
      <c r="A417" s="614"/>
      <c r="B417" s="475"/>
      <c r="C417" s="475"/>
      <c r="D417" s="475"/>
      <c r="E417" s="475"/>
      <c r="F417" s="475"/>
      <c r="G417" s="475"/>
      <c r="H417" s="475"/>
      <c r="M417" s="336"/>
      <c r="N417" s="386"/>
    </row>
    <row r="418" spans="1:14" x14ac:dyDescent="0.25">
      <c r="A418" s="614"/>
      <c r="B418" s="475"/>
      <c r="C418" s="475"/>
      <c r="D418" s="475"/>
      <c r="E418" s="475"/>
      <c r="F418" s="475"/>
      <c r="G418" s="475"/>
      <c r="H418" s="475"/>
      <c r="M418" s="336"/>
      <c r="N418" s="386"/>
    </row>
    <row r="419" spans="1:14" x14ac:dyDescent="0.25">
      <c r="A419" s="614"/>
      <c r="B419" s="475"/>
      <c r="C419" s="475"/>
      <c r="D419" s="475"/>
      <c r="E419" s="475"/>
      <c r="F419" s="475"/>
      <c r="G419" s="475"/>
      <c r="H419" s="475"/>
      <c r="M419" s="336"/>
      <c r="N419" s="386"/>
    </row>
    <row r="420" spans="1:14" x14ac:dyDescent="0.25">
      <c r="A420" s="614"/>
      <c r="B420" s="475"/>
      <c r="C420" s="475"/>
      <c r="D420" s="475"/>
      <c r="E420" s="475"/>
      <c r="F420" s="475"/>
      <c r="G420" s="475"/>
      <c r="H420" s="475"/>
      <c r="M420" s="336"/>
      <c r="N420" s="386"/>
    </row>
    <row r="421" spans="1:14" x14ac:dyDescent="0.25">
      <c r="A421" s="614"/>
      <c r="B421" s="475"/>
      <c r="C421" s="475"/>
      <c r="D421" s="475"/>
      <c r="E421" s="475"/>
      <c r="F421" s="475"/>
      <c r="G421" s="475"/>
      <c r="H421" s="475"/>
      <c r="M421" s="336"/>
      <c r="N421" s="386"/>
    </row>
    <row r="422" spans="1:14" x14ac:dyDescent="0.25">
      <c r="A422" s="614"/>
      <c r="B422" s="475"/>
      <c r="C422" s="475"/>
      <c r="D422" s="475"/>
      <c r="E422" s="475"/>
      <c r="F422" s="475"/>
      <c r="G422" s="475"/>
      <c r="H422" s="475"/>
      <c r="M422" s="336"/>
      <c r="N422" s="386"/>
    </row>
    <row r="423" spans="1:14" x14ac:dyDescent="0.25">
      <c r="A423" s="614"/>
      <c r="B423" s="475"/>
      <c r="C423" s="475"/>
      <c r="D423" s="475"/>
      <c r="E423" s="475"/>
      <c r="F423" s="475"/>
      <c r="G423" s="475"/>
      <c r="H423" s="475"/>
      <c r="M423" s="336"/>
      <c r="N423" s="386"/>
    </row>
    <row r="424" spans="1:14" x14ac:dyDescent="0.25">
      <c r="A424" s="614"/>
      <c r="B424" s="475"/>
      <c r="C424" s="475"/>
      <c r="D424" s="475"/>
      <c r="E424" s="475"/>
      <c r="F424" s="475"/>
      <c r="G424" s="475"/>
      <c r="H424" s="475"/>
      <c r="M424" s="336"/>
      <c r="N424" s="386"/>
    </row>
    <row r="425" spans="1:14" x14ac:dyDescent="0.25">
      <c r="A425" s="614"/>
      <c r="B425" s="475"/>
      <c r="C425" s="475"/>
      <c r="D425" s="475"/>
      <c r="E425" s="475"/>
      <c r="F425" s="475"/>
      <c r="G425" s="475"/>
      <c r="H425" s="475"/>
      <c r="M425" s="336"/>
      <c r="N425" s="386"/>
    </row>
    <row r="426" spans="1:14" x14ac:dyDescent="0.25">
      <c r="A426" s="614"/>
      <c r="B426" s="475"/>
      <c r="C426" s="475"/>
      <c r="D426" s="475"/>
      <c r="E426" s="475"/>
      <c r="F426" s="475"/>
      <c r="G426" s="475"/>
      <c r="H426" s="475"/>
      <c r="M426" s="336"/>
      <c r="N426" s="386"/>
    </row>
    <row r="427" spans="1:14" x14ac:dyDescent="0.25">
      <c r="A427" s="614"/>
      <c r="B427" s="475"/>
      <c r="C427" s="475"/>
      <c r="D427" s="475"/>
      <c r="E427" s="475"/>
      <c r="F427" s="475"/>
      <c r="G427" s="475"/>
      <c r="H427" s="475"/>
      <c r="M427" s="336"/>
      <c r="N427" s="386"/>
    </row>
    <row r="428" spans="1:14" x14ac:dyDescent="0.25">
      <c r="A428" s="614"/>
      <c r="B428" s="475"/>
      <c r="C428" s="475"/>
      <c r="D428" s="475"/>
      <c r="E428" s="475"/>
      <c r="F428" s="475"/>
      <c r="G428" s="475"/>
      <c r="H428" s="475"/>
      <c r="M428" s="336"/>
      <c r="N428" s="386"/>
    </row>
    <row r="429" spans="1:14" x14ac:dyDescent="0.25">
      <c r="A429" s="614"/>
      <c r="B429" s="475"/>
      <c r="C429" s="475"/>
      <c r="D429" s="475"/>
      <c r="E429" s="475"/>
      <c r="F429" s="475"/>
      <c r="G429" s="475"/>
      <c r="H429" s="475"/>
      <c r="M429" s="336"/>
      <c r="N429" s="386"/>
    </row>
    <row r="430" spans="1:14" x14ac:dyDescent="0.25">
      <c r="A430" s="614"/>
      <c r="B430" s="475"/>
      <c r="C430" s="475"/>
      <c r="D430" s="475"/>
      <c r="E430" s="475"/>
      <c r="F430" s="475"/>
      <c r="G430" s="475"/>
      <c r="H430" s="475"/>
      <c r="M430" s="336"/>
      <c r="N430" s="386"/>
    </row>
    <row r="431" spans="1:14" x14ac:dyDescent="0.25">
      <c r="A431" s="614"/>
      <c r="B431" s="475"/>
      <c r="C431" s="475"/>
      <c r="D431" s="475"/>
      <c r="E431" s="475"/>
      <c r="F431" s="475"/>
      <c r="G431" s="475"/>
      <c r="H431" s="475"/>
      <c r="M431" s="336"/>
      <c r="N431" s="386"/>
    </row>
    <row r="432" spans="1:14" x14ac:dyDescent="0.25">
      <c r="A432" s="614"/>
      <c r="B432" s="475"/>
      <c r="C432" s="475"/>
      <c r="D432" s="475"/>
      <c r="E432" s="475"/>
      <c r="F432" s="475"/>
      <c r="G432" s="475"/>
      <c r="H432" s="475"/>
      <c r="M432" s="336"/>
      <c r="N432" s="386"/>
    </row>
    <row r="433" spans="1:14" x14ac:dyDescent="0.25">
      <c r="A433" s="614"/>
      <c r="B433" s="475"/>
      <c r="C433" s="475"/>
      <c r="D433" s="475"/>
      <c r="E433" s="475"/>
      <c r="F433" s="475"/>
      <c r="G433" s="475"/>
      <c r="H433" s="475"/>
      <c r="M433" s="336"/>
      <c r="N433" s="386"/>
    </row>
    <row r="434" spans="1:14" x14ac:dyDescent="0.25">
      <c r="A434" s="614"/>
      <c r="B434" s="475"/>
      <c r="C434" s="475"/>
      <c r="D434" s="475"/>
      <c r="E434" s="475"/>
      <c r="F434" s="475"/>
      <c r="G434" s="475"/>
      <c r="H434" s="475"/>
      <c r="M434" s="336"/>
      <c r="N434" s="386"/>
    </row>
    <row r="435" spans="1:14" x14ac:dyDescent="0.25">
      <c r="A435" s="614"/>
      <c r="B435" s="475"/>
      <c r="C435" s="475"/>
      <c r="D435" s="475"/>
      <c r="E435" s="475"/>
      <c r="F435" s="475"/>
      <c r="G435" s="475"/>
      <c r="H435" s="475"/>
      <c r="M435" s="336"/>
      <c r="N435" s="386"/>
    </row>
    <row r="436" spans="1:14" x14ac:dyDescent="0.25">
      <c r="A436" s="614"/>
      <c r="B436" s="475"/>
      <c r="C436" s="475"/>
      <c r="D436" s="475"/>
      <c r="E436" s="475"/>
      <c r="F436" s="475"/>
      <c r="G436" s="475"/>
      <c r="H436" s="475"/>
      <c r="M436" s="336"/>
      <c r="N436" s="386"/>
    </row>
    <row r="437" spans="1:14" ht="15.75" customHeight="1" x14ac:dyDescent="0.25">
      <c r="A437" s="614"/>
      <c r="B437" s="475"/>
      <c r="C437" s="475"/>
      <c r="D437" s="475"/>
      <c r="E437" s="475"/>
      <c r="F437" s="475"/>
      <c r="G437" s="475"/>
      <c r="H437" s="475"/>
      <c r="M437" s="336"/>
      <c r="N437" s="386"/>
    </row>
    <row r="438" spans="1:14" ht="15.75" customHeight="1" x14ac:dyDescent="0.25">
      <c r="A438" s="614"/>
      <c r="B438" s="475"/>
      <c r="C438" s="475"/>
      <c r="D438" s="475"/>
      <c r="E438" s="475"/>
      <c r="F438" s="475"/>
      <c r="G438" s="475"/>
      <c r="H438" s="475"/>
      <c r="M438" s="336"/>
      <c r="N438" s="386"/>
    </row>
    <row r="439" spans="1:14" x14ac:dyDescent="0.25">
      <c r="A439" s="614"/>
      <c r="B439" s="475"/>
      <c r="C439" s="475"/>
      <c r="D439" s="475"/>
      <c r="E439" s="475"/>
      <c r="F439" s="475"/>
      <c r="G439" s="475"/>
      <c r="H439" s="475"/>
      <c r="M439" s="336"/>
      <c r="N439" s="386"/>
    </row>
    <row r="440" spans="1:14" x14ac:dyDescent="0.25">
      <c r="A440" s="614"/>
      <c r="B440" s="475"/>
      <c r="C440" s="475"/>
      <c r="D440" s="475"/>
      <c r="E440" s="475"/>
      <c r="F440" s="475"/>
      <c r="G440" s="475"/>
      <c r="H440" s="475"/>
      <c r="M440" s="336"/>
      <c r="N440" s="386"/>
    </row>
    <row r="441" spans="1:14" x14ac:dyDescent="0.25">
      <c r="A441" s="614"/>
      <c r="B441" s="475"/>
      <c r="C441" s="475"/>
      <c r="D441" s="475"/>
      <c r="E441" s="475"/>
      <c r="F441" s="475"/>
      <c r="G441" s="475"/>
      <c r="H441" s="475"/>
      <c r="M441" s="336"/>
      <c r="N441" s="386"/>
    </row>
    <row r="442" spans="1:14" ht="15" customHeight="1" x14ac:dyDescent="0.25">
      <c r="A442" s="614"/>
      <c r="B442" s="475"/>
      <c r="C442" s="475"/>
      <c r="D442" s="475"/>
      <c r="E442" s="475"/>
      <c r="F442" s="475"/>
      <c r="G442" s="475"/>
      <c r="H442" s="475"/>
      <c r="M442" s="336"/>
      <c r="N442" s="386"/>
    </row>
    <row r="443" spans="1:14" x14ac:dyDescent="0.25">
      <c r="A443" s="614"/>
      <c r="B443" s="475"/>
      <c r="C443" s="475"/>
      <c r="D443" s="475"/>
      <c r="E443" s="475"/>
      <c r="F443" s="475"/>
      <c r="G443" s="475"/>
      <c r="H443" s="475"/>
      <c r="M443" s="336"/>
      <c r="N443" s="386"/>
    </row>
    <row r="444" spans="1:14" x14ac:dyDescent="0.25">
      <c r="A444" s="614"/>
      <c r="B444" s="475"/>
      <c r="C444" s="475"/>
      <c r="D444" s="475"/>
      <c r="E444" s="475"/>
      <c r="F444" s="475"/>
      <c r="G444" s="475"/>
      <c r="H444" s="475"/>
      <c r="M444" s="336"/>
      <c r="N444" s="386"/>
    </row>
    <row r="445" spans="1:14" x14ac:dyDescent="0.25">
      <c r="A445" s="614"/>
      <c r="B445" s="475"/>
      <c r="C445" s="475"/>
      <c r="D445" s="475"/>
      <c r="E445" s="475"/>
      <c r="F445" s="475"/>
      <c r="G445" s="475"/>
      <c r="H445" s="475"/>
      <c r="M445" s="336"/>
      <c r="N445" s="386"/>
    </row>
    <row r="446" spans="1:14" x14ac:dyDescent="0.25">
      <c r="A446" s="614"/>
      <c r="B446" s="475"/>
      <c r="C446" s="475"/>
      <c r="D446" s="475"/>
      <c r="E446" s="475"/>
      <c r="F446" s="475"/>
      <c r="G446" s="475"/>
      <c r="H446" s="475"/>
      <c r="M446" s="336"/>
      <c r="N446" s="386"/>
    </row>
    <row r="447" spans="1:14" x14ac:dyDescent="0.25">
      <c r="A447" s="614"/>
      <c r="B447" s="475"/>
      <c r="C447" s="475"/>
      <c r="D447" s="475"/>
      <c r="E447" s="475"/>
      <c r="F447" s="475"/>
      <c r="G447" s="475"/>
      <c r="H447" s="475"/>
      <c r="M447" s="336"/>
      <c r="N447" s="386"/>
    </row>
    <row r="448" spans="1:14" x14ac:dyDescent="0.25">
      <c r="A448" s="614"/>
      <c r="B448" s="475"/>
      <c r="C448" s="475"/>
      <c r="D448" s="475"/>
      <c r="E448" s="475"/>
      <c r="F448" s="475"/>
      <c r="G448" s="475"/>
      <c r="H448" s="475"/>
      <c r="M448" s="336"/>
      <c r="N448" s="386"/>
    </row>
    <row r="449" spans="1:14" x14ac:dyDescent="0.25">
      <c r="A449" s="614"/>
      <c r="B449" s="475"/>
      <c r="C449" s="475"/>
      <c r="D449" s="475"/>
      <c r="E449" s="475"/>
      <c r="F449" s="475"/>
      <c r="G449" s="475"/>
      <c r="H449" s="475"/>
      <c r="M449" s="336"/>
      <c r="N449" s="386"/>
    </row>
    <row r="450" spans="1:14" x14ac:dyDescent="0.25">
      <c r="A450" s="614"/>
      <c r="B450" s="475"/>
      <c r="C450" s="475"/>
      <c r="D450" s="475"/>
      <c r="E450" s="475"/>
      <c r="F450" s="475"/>
      <c r="G450" s="475"/>
      <c r="H450" s="475"/>
      <c r="M450" s="336"/>
      <c r="N450" s="386"/>
    </row>
    <row r="451" spans="1:14" x14ac:dyDescent="0.25">
      <c r="A451" s="614"/>
      <c r="B451" s="475"/>
      <c r="C451" s="475"/>
      <c r="D451" s="475"/>
      <c r="E451" s="475"/>
      <c r="F451" s="475"/>
      <c r="G451" s="475"/>
      <c r="H451" s="475"/>
      <c r="M451" s="336"/>
      <c r="N451" s="386"/>
    </row>
    <row r="452" spans="1:14" x14ac:dyDescent="0.25">
      <c r="A452" s="614"/>
      <c r="B452" s="475"/>
      <c r="C452" s="475"/>
      <c r="D452" s="475"/>
      <c r="E452" s="475"/>
      <c r="F452" s="475"/>
      <c r="G452" s="475"/>
      <c r="H452" s="475"/>
      <c r="M452" s="336"/>
      <c r="N452" s="386"/>
    </row>
    <row r="453" spans="1:14" x14ac:dyDescent="0.25">
      <c r="A453" s="614"/>
      <c r="B453" s="475"/>
      <c r="C453" s="475"/>
      <c r="D453" s="475"/>
      <c r="E453" s="475"/>
      <c r="F453" s="475"/>
      <c r="G453" s="475"/>
      <c r="H453" s="475"/>
      <c r="M453" s="336"/>
      <c r="N453" s="386"/>
    </row>
    <row r="454" spans="1:14" x14ac:dyDescent="0.25">
      <c r="A454" s="614"/>
      <c r="B454" s="475"/>
      <c r="C454" s="475"/>
      <c r="D454" s="475"/>
      <c r="E454" s="475"/>
      <c r="F454" s="475"/>
      <c r="G454" s="475"/>
      <c r="H454" s="475"/>
      <c r="M454" s="336"/>
      <c r="N454" s="386"/>
    </row>
    <row r="455" spans="1:14" x14ac:dyDescent="0.25">
      <c r="A455" s="614"/>
      <c r="B455" s="475"/>
      <c r="C455" s="475"/>
      <c r="D455" s="475"/>
      <c r="E455" s="475"/>
      <c r="F455" s="475"/>
      <c r="G455" s="475"/>
      <c r="H455" s="475"/>
      <c r="M455" s="336"/>
      <c r="N455" s="386"/>
    </row>
    <row r="456" spans="1:14" x14ac:dyDescent="0.25">
      <c r="A456" s="614"/>
      <c r="B456" s="475"/>
      <c r="C456" s="475"/>
      <c r="D456" s="475"/>
      <c r="E456" s="475"/>
      <c r="F456" s="475"/>
      <c r="G456" s="475"/>
      <c r="H456" s="475"/>
      <c r="M456" s="336"/>
      <c r="N456" s="386"/>
    </row>
    <row r="457" spans="1:14" x14ac:dyDescent="0.25">
      <c r="A457" s="614"/>
      <c r="B457" s="475"/>
      <c r="C457" s="475"/>
      <c r="D457" s="475"/>
      <c r="E457" s="475"/>
      <c r="F457" s="475"/>
      <c r="G457" s="475"/>
      <c r="H457" s="475"/>
      <c r="M457" s="336"/>
      <c r="N457" s="386"/>
    </row>
    <row r="458" spans="1:14" x14ac:dyDescent="0.25">
      <c r="A458" s="614"/>
      <c r="B458" s="475"/>
      <c r="C458" s="475"/>
      <c r="D458" s="475"/>
      <c r="E458" s="475"/>
      <c r="F458" s="475"/>
      <c r="G458" s="475"/>
      <c r="H458" s="475"/>
      <c r="M458" s="336"/>
      <c r="N458" s="386"/>
    </row>
    <row r="459" spans="1:14" x14ac:dyDescent="0.25">
      <c r="A459" s="614"/>
      <c r="B459" s="475"/>
      <c r="C459" s="475"/>
      <c r="D459" s="475"/>
      <c r="E459" s="475"/>
      <c r="F459" s="475"/>
      <c r="G459" s="475"/>
      <c r="H459" s="475"/>
      <c r="M459" s="336"/>
      <c r="N459" s="386"/>
    </row>
    <row r="460" spans="1:14" x14ac:dyDescent="0.25">
      <c r="A460" s="614"/>
      <c r="B460" s="475"/>
      <c r="C460" s="475"/>
      <c r="D460" s="475"/>
      <c r="E460" s="475"/>
      <c r="F460" s="475"/>
      <c r="G460" s="475"/>
      <c r="H460" s="475"/>
      <c r="M460" s="336"/>
      <c r="N460" s="386"/>
    </row>
    <row r="461" spans="1:14" x14ac:dyDescent="0.25">
      <c r="A461" s="614"/>
      <c r="B461" s="475"/>
      <c r="C461" s="475"/>
      <c r="D461" s="475"/>
      <c r="E461" s="475"/>
      <c r="F461" s="475"/>
      <c r="G461" s="475"/>
      <c r="H461" s="475"/>
      <c r="M461" s="336"/>
      <c r="N461" s="386"/>
    </row>
    <row r="462" spans="1:14" x14ac:dyDescent="0.25">
      <c r="A462" s="614"/>
      <c r="B462" s="475"/>
      <c r="C462" s="475"/>
      <c r="D462" s="475"/>
      <c r="E462" s="475"/>
      <c r="F462" s="475"/>
      <c r="G462" s="475"/>
      <c r="H462" s="475"/>
      <c r="M462" s="336"/>
      <c r="N462" s="386"/>
    </row>
    <row r="463" spans="1:14" x14ac:dyDescent="0.25">
      <c r="A463" s="614"/>
      <c r="B463" s="475"/>
      <c r="C463" s="475"/>
      <c r="D463" s="475"/>
      <c r="E463" s="475"/>
      <c r="F463" s="475"/>
      <c r="G463" s="475"/>
      <c r="H463" s="475"/>
      <c r="M463" s="336"/>
      <c r="N463" s="386"/>
    </row>
    <row r="464" spans="1:14" x14ac:dyDescent="0.25">
      <c r="A464" s="614"/>
      <c r="B464" s="475"/>
      <c r="C464" s="475"/>
      <c r="D464" s="475"/>
      <c r="E464" s="475"/>
      <c r="F464" s="475"/>
      <c r="G464" s="475"/>
      <c r="H464" s="475"/>
      <c r="M464" s="336"/>
      <c r="N464" s="386"/>
    </row>
    <row r="465" spans="1:14" x14ac:dyDescent="0.25">
      <c r="A465" s="614"/>
      <c r="B465" s="475"/>
      <c r="C465" s="475"/>
      <c r="D465" s="475"/>
      <c r="E465" s="475"/>
      <c r="F465" s="475"/>
      <c r="G465" s="475"/>
      <c r="H465" s="475"/>
      <c r="M465" s="336"/>
      <c r="N465" s="386"/>
    </row>
    <row r="466" spans="1:14" x14ac:dyDescent="0.25">
      <c r="A466" s="614"/>
      <c r="B466" s="475"/>
      <c r="C466" s="475"/>
      <c r="D466" s="475"/>
      <c r="E466" s="475"/>
      <c r="F466" s="475"/>
      <c r="G466" s="475"/>
      <c r="H466" s="475"/>
      <c r="M466" s="336"/>
      <c r="N466" s="386"/>
    </row>
    <row r="467" spans="1:14" x14ac:dyDescent="0.25">
      <c r="A467" s="614"/>
      <c r="B467" s="475"/>
      <c r="C467" s="475"/>
      <c r="D467" s="475"/>
      <c r="E467" s="475"/>
      <c r="F467" s="475"/>
      <c r="G467" s="475"/>
      <c r="H467" s="475"/>
      <c r="M467" s="336"/>
      <c r="N467" s="386"/>
    </row>
    <row r="468" spans="1:14" x14ac:dyDescent="0.25">
      <c r="A468" s="614"/>
      <c r="B468" s="475"/>
      <c r="C468" s="475"/>
      <c r="D468" s="475"/>
      <c r="E468" s="475"/>
      <c r="F468" s="475"/>
      <c r="G468" s="475"/>
      <c r="H468" s="475"/>
      <c r="M468" s="336"/>
      <c r="N468" s="386"/>
    </row>
    <row r="469" spans="1:14" x14ac:dyDescent="0.25">
      <c r="A469" s="614"/>
      <c r="B469" s="475"/>
      <c r="C469" s="475"/>
      <c r="D469" s="475"/>
      <c r="E469" s="475"/>
      <c r="F469" s="475"/>
      <c r="G469" s="475"/>
      <c r="H469" s="475"/>
      <c r="M469" s="336"/>
      <c r="N469" s="386"/>
    </row>
    <row r="470" spans="1:14" x14ac:dyDescent="0.25">
      <c r="A470" s="614"/>
      <c r="B470" s="475"/>
      <c r="C470" s="475"/>
      <c r="D470" s="475"/>
      <c r="E470" s="475"/>
      <c r="F470" s="475"/>
      <c r="G470" s="475"/>
      <c r="H470" s="475"/>
      <c r="M470" s="336"/>
      <c r="N470" s="386"/>
    </row>
    <row r="471" spans="1:14" x14ac:dyDescent="0.25">
      <c r="A471" s="614"/>
      <c r="B471" s="475"/>
      <c r="C471" s="475"/>
      <c r="D471" s="475"/>
      <c r="E471" s="475"/>
      <c r="F471" s="475"/>
      <c r="G471" s="475"/>
      <c r="H471" s="475"/>
      <c r="M471" s="336"/>
      <c r="N471" s="386"/>
    </row>
    <row r="472" spans="1:14" x14ac:dyDescent="0.25">
      <c r="A472" s="614"/>
      <c r="B472" s="475"/>
      <c r="C472" s="475"/>
      <c r="D472" s="475"/>
      <c r="E472" s="475"/>
      <c r="F472" s="475"/>
      <c r="G472" s="475"/>
      <c r="H472" s="475"/>
      <c r="M472" s="336"/>
      <c r="N472" s="386"/>
    </row>
    <row r="473" spans="1:14" x14ac:dyDescent="0.25">
      <c r="A473" s="614"/>
      <c r="B473" s="475"/>
      <c r="C473" s="475"/>
      <c r="D473" s="475"/>
      <c r="E473" s="475"/>
      <c r="F473" s="475"/>
      <c r="G473" s="475"/>
      <c r="H473" s="475"/>
      <c r="M473" s="336"/>
      <c r="N473" s="386"/>
    </row>
    <row r="474" spans="1:14" ht="15.75" customHeight="1" x14ac:dyDescent="0.25">
      <c r="A474" s="614"/>
      <c r="B474" s="475"/>
      <c r="C474" s="475"/>
      <c r="D474" s="475"/>
      <c r="E474" s="475"/>
      <c r="F474" s="475"/>
      <c r="G474" s="475"/>
      <c r="H474" s="475"/>
      <c r="M474" s="336"/>
      <c r="N474" s="386"/>
    </row>
    <row r="475" spans="1:14" ht="15.75" customHeight="1" x14ac:dyDescent="0.25">
      <c r="A475" s="614"/>
      <c r="B475" s="475"/>
      <c r="C475" s="475"/>
      <c r="D475" s="475"/>
      <c r="E475" s="475"/>
      <c r="F475" s="475"/>
      <c r="G475" s="475"/>
      <c r="H475" s="475"/>
      <c r="M475" s="336"/>
      <c r="N475" s="386"/>
    </row>
    <row r="476" spans="1:14" x14ac:dyDescent="0.25">
      <c r="A476" s="614"/>
      <c r="B476" s="475"/>
      <c r="C476" s="475"/>
      <c r="D476" s="475"/>
      <c r="E476" s="475"/>
      <c r="F476" s="475"/>
      <c r="G476" s="475"/>
      <c r="H476" s="475"/>
      <c r="M476" s="336"/>
      <c r="N476" s="386"/>
    </row>
    <row r="477" spans="1:14" x14ac:dyDescent="0.25">
      <c r="A477" s="614"/>
      <c r="B477" s="475"/>
      <c r="C477" s="475"/>
      <c r="D477" s="475"/>
      <c r="E477" s="475"/>
      <c r="F477" s="475"/>
      <c r="G477" s="475"/>
      <c r="H477" s="475"/>
      <c r="M477" s="336"/>
      <c r="N477" s="386"/>
    </row>
    <row r="478" spans="1:14" x14ac:dyDescent="0.25">
      <c r="A478" s="614"/>
      <c r="B478" s="475"/>
      <c r="C478" s="475"/>
      <c r="D478" s="475"/>
      <c r="E478" s="475"/>
      <c r="F478" s="475"/>
      <c r="G478" s="475"/>
      <c r="H478" s="475"/>
      <c r="M478" s="336"/>
      <c r="N478" s="386"/>
    </row>
    <row r="479" spans="1:14" x14ac:dyDescent="0.25">
      <c r="A479" s="614"/>
      <c r="B479" s="475"/>
      <c r="C479" s="475"/>
      <c r="D479" s="475"/>
      <c r="E479" s="475"/>
      <c r="F479" s="475"/>
      <c r="G479" s="475"/>
      <c r="H479" s="475"/>
      <c r="M479" s="336"/>
      <c r="N479" s="386"/>
    </row>
    <row r="480" spans="1:14" x14ac:dyDescent="0.25">
      <c r="A480" s="614"/>
      <c r="B480" s="475"/>
      <c r="C480" s="475"/>
      <c r="D480" s="475"/>
      <c r="E480" s="475"/>
      <c r="F480" s="475"/>
      <c r="G480" s="475"/>
      <c r="H480" s="475"/>
      <c r="M480" s="336"/>
      <c r="N480" s="386"/>
    </row>
    <row r="481" spans="1:14" x14ac:dyDescent="0.25">
      <c r="A481" s="614"/>
      <c r="B481" s="475"/>
      <c r="C481" s="475"/>
      <c r="D481" s="475"/>
      <c r="E481" s="475"/>
      <c r="F481" s="475"/>
      <c r="G481" s="475"/>
      <c r="H481" s="475"/>
      <c r="M481" s="336"/>
      <c r="N481" s="386"/>
    </row>
    <row r="482" spans="1:14" x14ac:dyDescent="0.25">
      <c r="A482" s="614"/>
      <c r="B482" s="475"/>
      <c r="C482" s="475"/>
      <c r="D482" s="475"/>
      <c r="E482" s="475"/>
      <c r="F482" s="475"/>
      <c r="G482" s="475"/>
      <c r="H482" s="475"/>
      <c r="M482" s="336"/>
      <c r="N482" s="386"/>
    </row>
    <row r="483" spans="1:14" x14ac:dyDescent="0.25">
      <c r="A483" s="614"/>
      <c r="B483" s="475"/>
      <c r="C483" s="475"/>
      <c r="D483" s="475"/>
      <c r="E483" s="475"/>
      <c r="F483" s="475"/>
      <c r="G483" s="475"/>
      <c r="H483" s="475"/>
      <c r="M483" s="336"/>
      <c r="N483" s="386"/>
    </row>
    <row r="484" spans="1:14" x14ac:dyDescent="0.25">
      <c r="A484" s="614"/>
      <c r="B484" s="475"/>
      <c r="C484" s="475"/>
      <c r="D484" s="475"/>
      <c r="E484" s="475"/>
      <c r="F484" s="475"/>
      <c r="G484" s="475"/>
      <c r="H484" s="475"/>
      <c r="M484" s="336"/>
      <c r="N484" s="386"/>
    </row>
    <row r="485" spans="1:14" ht="15.75" customHeight="1" x14ac:dyDescent="0.25">
      <c r="A485" s="614"/>
      <c r="B485" s="475"/>
      <c r="C485" s="475"/>
      <c r="D485" s="475"/>
      <c r="E485" s="475"/>
      <c r="F485" s="475"/>
      <c r="G485" s="475"/>
      <c r="H485" s="475"/>
      <c r="M485" s="336"/>
      <c r="N485" s="386"/>
    </row>
    <row r="486" spans="1:14" x14ac:dyDescent="0.25">
      <c r="A486" s="614"/>
      <c r="B486" s="475"/>
      <c r="C486" s="475"/>
      <c r="D486" s="475"/>
      <c r="E486" s="475"/>
      <c r="F486" s="475"/>
      <c r="G486" s="475"/>
      <c r="H486" s="475"/>
      <c r="M486" s="336"/>
      <c r="N486" s="386"/>
    </row>
    <row r="487" spans="1:14" x14ac:dyDescent="0.25">
      <c r="A487" s="614"/>
      <c r="B487" s="475"/>
      <c r="C487" s="475"/>
      <c r="D487" s="475"/>
      <c r="E487" s="475"/>
      <c r="F487" s="475"/>
      <c r="G487" s="475"/>
      <c r="H487" s="475"/>
      <c r="M487" s="336"/>
      <c r="N487" s="386"/>
    </row>
    <row r="488" spans="1:14" x14ac:dyDescent="0.25">
      <c r="A488" s="614"/>
      <c r="B488" s="475"/>
      <c r="C488" s="475"/>
      <c r="D488" s="475"/>
      <c r="E488" s="475"/>
      <c r="F488" s="475"/>
      <c r="G488" s="475"/>
      <c r="H488" s="475"/>
      <c r="M488" s="336"/>
      <c r="N488" s="386"/>
    </row>
    <row r="489" spans="1:14" x14ac:dyDescent="0.25">
      <c r="A489" s="614"/>
      <c r="B489" s="475"/>
      <c r="C489" s="475"/>
      <c r="D489" s="475"/>
      <c r="E489" s="475"/>
      <c r="F489" s="475"/>
      <c r="G489" s="475"/>
      <c r="H489" s="475"/>
      <c r="M489" s="336"/>
      <c r="N489" s="386"/>
    </row>
    <row r="490" spans="1:14" x14ac:dyDescent="0.25">
      <c r="A490" s="614"/>
      <c r="B490" s="475"/>
      <c r="C490" s="475"/>
      <c r="D490" s="475"/>
      <c r="E490" s="475"/>
      <c r="F490" s="475"/>
      <c r="G490" s="475"/>
      <c r="H490" s="475"/>
      <c r="M490" s="336"/>
      <c r="N490" s="386"/>
    </row>
    <row r="491" spans="1:14" x14ac:dyDescent="0.25">
      <c r="A491" s="614"/>
      <c r="B491" s="475"/>
      <c r="C491" s="475"/>
      <c r="D491" s="475"/>
      <c r="E491" s="475"/>
      <c r="F491" s="475"/>
      <c r="G491" s="475"/>
      <c r="H491" s="475"/>
      <c r="M491" s="336"/>
      <c r="N491" s="386"/>
    </row>
    <row r="492" spans="1:14" x14ac:dyDescent="0.25">
      <c r="A492" s="614"/>
      <c r="B492" s="475"/>
      <c r="C492" s="475"/>
      <c r="D492" s="475"/>
      <c r="E492" s="475"/>
      <c r="F492" s="475"/>
      <c r="G492" s="475"/>
      <c r="H492" s="475"/>
      <c r="M492" s="336"/>
      <c r="N492" s="386"/>
    </row>
    <row r="493" spans="1:14" x14ac:dyDescent="0.25">
      <c r="A493" s="614"/>
      <c r="B493" s="475"/>
      <c r="C493" s="475"/>
      <c r="D493" s="475"/>
      <c r="E493" s="475"/>
      <c r="F493" s="475"/>
      <c r="G493" s="475"/>
      <c r="H493" s="475"/>
      <c r="M493" s="336"/>
      <c r="N493" s="386"/>
    </row>
    <row r="494" spans="1:14" x14ac:dyDescent="0.25">
      <c r="A494" s="614"/>
      <c r="B494" s="475"/>
      <c r="C494" s="475"/>
      <c r="D494" s="475"/>
      <c r="E494" s="475"/>
      <c r="F494" s="475"/>
      <c r="G494" s="475"/>
      <c r="H494" s="475"/>
      <c r="M494" s="336"/>
      <c r="N494" s="386"/>
    </row>
    <row r="495" spans="1:14" x14ac:dyDescent="0.25">
      <c r="A495" s="614"/>
      <c r="B495" s="475"/>
      <c r="C495" s="475"/>
      <c r="D495" s="475"/>
      <c r="E495" s="475"/>
      <c r="F495" s="475"/>
      <c r="G495" s="475"/>
      <c r="H495" s="475"/>
      <c r="M495" s="336"/>
      <c r="N495" s="386"/>
    </row>
    <row r="496" spans="1:14" x14ac:dyDescent="0.25">
      <c r="A496" s="614"/>
      <c r="B496" s="475"/>
      <c r="C496" s="475"/>
      <c r="D496" s="475"/>
      <c r="E496" s="475"/>
      <c r="F496" s="475"/>
      <c r="G496" s="475"/>
      <c r="H496" s="475"/>
      <c r="M496" s="336"/>
      <c r="N496" s="386"/>
    </row>
    <row r="497" spans="1:14" x14ac:dyDescent="0.25">
      <c r="A497" s="614"/>
      <c r="B497" s="475"/>
      <c r="C497" s="475"/>
      <c r="D497" s="475"/>
      <c r="E497" s="475"/>
      <c r="F497" s="475"/>
      <c r="G497" s="475"/>
      <c r="H497" s="475"/>
      <c r="M497" s="336"/>
      <c r="N497" s="386"/>
    </row>
    <row r="498" spans="1:14" x14ac:dyDescent="0.25">
      <c r="A498" s="614"/>
      <c r="B498" s="475"/>
      <c r="C498" s="475"/>
      <c r="D498" s="475"/>
      <c r="E498" s="475"/>
      <c r="F498" s="475"/>
      <c r="G498" s="475"/>
      <c r="H498" s="475"/>
      <c r="M498" s="336"/>
      <c r="N498" s="386"/>
    </row>
    <row r="499" spans="1:14" x14ac:dyDescent="0.25">
      <c r="A499" s="614"/>
      <c r="B499" s="475"/>
      <c r="C499" s="475"/>
      <c r="D499" s="475"/>
      <c r="E499" s="475"/>
      <c r="F499" s="475"/>
      <c r="G499" s="475"/>
      <c r="H499" s="475"/>
      <c r="M499" s="336"/>
      <c r="N499" s="386"/>
    </row>
    <row r="500" spans="1:14" x14ac:dyDescent="0.25">
      <c r="A500" s="614"/>
      <c r="B500" s="475"/>
      <c r="C500" s="475"/>
      <c r="D500" s="475"/>
      <c r="E500" s="475"/>
      <c r="F500" s="475"/>
      <c r="G500" s="475"/>
      <c r="H500" s="475"/>
      <c r="M500" s="336"/>
      <c r="N500" s="386"/>
    </row>
    <row r="501" spans="1:14" x14ac:dyDescent="0.25">
      <c r="A501" s="614"/>
      <c r="B501" s="475"/>
      <c r="C501" s="475"/>
      <c r="D501" s="475"/>
      <c r="E501" s="475"/>
      <c r="F501" s="475"/>
      <c r="G501" s="475"/>
      <c r="H501" s="475"/>
      <c r="M501" s="336"/>
      <c r="N501" s="386"/>
    </row>
    <row r="502" spans="1:14" x14ac:dyDescent="0.25">
      <c r="A502" s="614"/>
      <c r="B502" s="475"/>
      <c r="C502" s="475"/>
      <c r="D502" s="475"/>
      <c r="E502" s="475"/>
      <c r="F502" s="475"/>
      <c r="G502" s="475"/>
      <c r="H502" s="475"/>
      <c r="M502" s="336"/>
      <c r="N502" s="386"/>
    </row>
    <row r="503" spans="1:14" x14ac:dyDescent="0.25">
      <c r="A503" s="614"/>
      <c r="B503" s="475"/>
      <c r="C503" s="475"/>
      <c r="D503" s="475"/>
      <c r="E503" s="475"/>
      <c r="F503" s="475"/>
      <c r="G503" s="475"/>
      <c r="H503" s="475"/>
      <c r="M503" s="336"/>
      <c r="N503" s="386"/>
    </row>
    <row r="504" spans="1:14" x14ac:dyDescent="0.25">
      <c r="A504" s="614"/>
      <c r="B504" s="475"/>
      <c r="C504" s="475"/>
      <c r="D504" s="475"/>
      <c r="E504" s="475"/>
      <c r="F504" s="475"/>
      <c r="G504" s="475"/>
      <c r="H504" s="475"/>
      <c r="M504" s="336"/>
      <c r="N504" s="386"/>
    </row>
    <row r="505" spans="1:14" x14ac:dyDescent="0.25">
      <c r="A505" s="614"/>
      <c r="B505" s="475"/>
      <c r="C505" s="475"/>
      <c r="D505" s="475"/>
      <c r="E505" s="475"/>
      <c r="F505" s="475"/>
      <c r="G505" s="475"/>
      <c r="H505" s="475"/>
      <c r="M505" s="336"/>
      <c r="N505" s="386"/>
    </row>
    <row r="506" spans="1:14" x14ac:dyDescent="0.25">
      <c r="A506" s="614"/>
      <c r="B506" s="475"/>
      <c r="C506" s="475"/>
      <c r="D506" s="475"/>
      <c r="E506" s="475"/>
      <c r="F506" s="475"/>
      <c r="G506" s="475"/>
      <c r="H506" s="475"/>
      <c r="M506" s="336"/>
      <c r="N506" s="386"/>
    </row>
    <row r="507" spans="1:14" ht="15.75" customHeight="1" x14ac:dyDescent="0.25">
      <c r="A507" s="614"/>
      <c r="B507" s="475"/>
      <c r="C507" s="475"/>
      <c r="D507" s="475"/>
      <c r="E507" s="475"/>
      <c r="F507" s="475"/>
      <c r="G507" s="475"/>
      <c r="H507" s="475"/>
      <c r="M507" s="336"/>
      <c r="N507" s="386"/>
    </row>
    <row r="508" spans="1:14" ht="15.75" customHeight="1" x14ac:dyDescent="0.25">
      <c r="A508" s="614"/>
      <c r="B508" s="475"/>
      <c r="C508" s="475"/>
      <c r="D508" s="475"/>
      <c r="E508" s="475"/>
      <c r="F508" s="475"/>
      <c r="G508" s="475"/>
      <c r="H508" s="475"/>
      <c r="M508" s="336"/>
      <c r="N508" s="386"/>
    </row>
    <row r="509" spans="1:14" x14ac:dyDescent="0.25">
      <c r="A509" s="614"/>
      <c r="B509" s="475"/>
      <c r="C509" s="475"/>
      <c r="D509" s="475"/>
      <c r="E509" s="475"/>
      <c r="F509" s="475"/>
      <c r="G509" s="475"/>
      <c r="H509" s="475"/>
      <c r="M509" s="336"/>
      <c r="N509" s="386"/>
    </row>
    <row r="510" spans="1:14" x14ac:dyDescent="0.25">
      <c r="A510" s="614"/>
      <c r="B510" s="475"/>
      <c r="C510" s="475"/>
      <c r="D510" s="475"/>
      <c r="E510" s="475"/>
      <c r="F510" s="475"/>
      <c r="G510" s="475"/>
      <c r="H510" s="475"/>
      <c r="M510" s="336"/>
      <c r="N510" s="386"/>
    </row>
    <row r="511" spans="1:14" x14ac:dyDescent="0.25">
      <c r="A511" s="614"/>
      <c r="B511" s="475"/>
      <c r="C511" s="475"/>
      <c r="D511" s="475"/>
      <c r="E511" s="475"/>
      <c r="F511" s="475"/>
      <c r="G511" s="475"/>
      <c r="H511" s="475"/>
      <c r="M511" s="336"/>
      <c r="N511" s="386"/>
    </row>
    <row r="512" spans="1:14" x14ac:dyDescent="0.25">
      <c r="A512" s="614"/>
      <c r="B512" s="475"/>
      <c r="C512" s="475"/>
      <c r="D512" s="475"/>
      <c r="E512" s="475"/>
      <c r="F512" s="475"/>
      <c r="G512" s="475"/>
      <c r="H512" s="475"/>
      <c r="M512" s="336"/>
      <c r="N512" s="386"/>
    </row>
    <row r="513" spans="1:14" x14ac:dyDescent="0.25">
      <c r="A513" s="614"/>
      <c r="B513" s="475"/>
      <c r="C513" s="475"/>
      <c r="D513" s="475"/>
      <c r="E513" s="475"/>
      <c r="F513" s="475"/>
      <c r="G513" s="475"/>
      <c r="H513" s="475"/>
      <c r="M513" s="336"/>
      <c r="N513" s="386"/>
    </row>
    <row r="514" spans="1:14" x14ac:dyDescent="0.25">
      <c r="A514" s="614"/>
      <c r="B514" s="475"/>
      <c r="C514" s="475"/>
      <c r="D514" s="475"/>
      <c r="E514" s="475"/>
      <c r="F514" s="475"/>
      <c r="G514" s="475"/>
      <c r="H514" s="475"/>
      <c r="M514" s="336"/>
      <c r="N514" s="386"/>
    </row>
    <row r="515" spans="1:14" x14ac:dyDescent="0.25">
      <c r="A515" s="614"/>
      <c r="B515" s="475"/>
      <c r="C515" s="475"/>
      <c r="D515" s="475"/>
      <c r="E515" s="475"/>
      <c r="F515" s="475"/>
      <c r="G515" s="475"/>
      <c r="H515" s="475"/>
      <c r="M515" s="336"/>
      <c r="N515" s="386"/>
    </row>
    <row r="516" spans="1:14" x14ac:dyDescent="0.25">
      <c r="A516" s="614"/>
      <c r="B516" s="475"/>
      <c r="C516" s="475"/>
      <c r="D516" s="475"/>
      <c r="E516" s="475"/>
      <c r="F516" s="475"/>
      <c r="G516" s="475"/>
      <c r="H516" s="475"/>
      <c r="M516" s="336"/>
      <c r="N516" s="386"/>
    </row>
    <row r="517" spans="1:14" x14ac:dyDescent="0.25">
      <c r="A517" s="614"/>
      <c r="B517" s="475"/>
      <c r="C517" s="475"/>
      <c r="D517" s="475"/>
      <c r="E517" s="475"/>
      <c r="F517" s="475"/>
      <c r="G517" s="475"/>
      <c r="H517" s="475"/>
      <c r="M517" s="336"/>
      <c r="N517" s="386"/>
    </row>
    <row r="518" spans="1:14" x14ac:dyDescent="0.25">
      <c r="A518" s="614"/>
      <c r="B518" s="475"/>
      <c r="C518" s="475"/>
      <c r="D518" s="475"/>
      <c r="E518" s="475"/>
      <c r="F518" s="475"/>
      <c r="G518" s="475"/>
      <c r="H518" s="475"/>
      <c r="M518" s="336"/>
      <c r="N518" s="386"/>
    </row>
    <row r="519" spans="1:14" x14ac:dyDescent="0.25">
      <c r="A519" s="614"/>
      <c r="B519" s="475"/>
      <c r="C519" s="475"/>
      <c r="D519" s="475"/>
      <c r="E519" s="475"/>
      <c r="F519" s="475"/>
      <c r="G519" s="475"/>
      <c r="H519" s="475"/>
      <c r="M519" s="336"/>
      <c r="N519" s="386"/>
    </row>
    <row r="520" spans="1:14" x14ac:dyDescent="0.25">
      <c r="A520" s="614"/>
      <c r="B520" s="475"/>
      <c r="C520" s="475"/>
      <c r="D520" s="475"/>
      <c r="E520" s="475"/>
      <c r="F520" s="475"/>
      <c r="G520" s="475"/>
      <c r="H520" s="475"/>
      <c r="M520" s="336"/>
      <c r="N520" s="386"/>
    </row>
    <row r="521" spans="1:14" x14ac:dyDescent="0.25">
      <c r="A521" s="614"/>
      <c r="B521" s="475"/>
      <c r="C521" s="475"/>
      <c r="D521" s="475"/>
      <c r="E521" s="475"/>
      <c r="F521" s="475"/>
      <c r="G521" s="475"/>
      <c r="H521" s="475"/>
      <c r="M521" s="336"/>
      <c r="N521" s="386"/>
    </row>
    <row r="522" spans="1:14" x14ac:dyDescent="0.25">
      <c r="A522" s="614"/>
      <c r="B522" s="475"/>
      <c r="C522" s="475"/>
      <c r="D522" s="475"/>
      <c r="E522" s="475"/>
      <c r="F522" s="475"/>
      <c r="G522" s="475"/>
      <c r="H522" s="475"/>
      <c r="M522" s="336"/>
      <c r="N522" s="386"/>
    </row>
    <row r="523" spans="1:14" x14ac:dyDescent="0.25">
      <c r="A523" s="614"/>
      <c r="B523" s="475"/>
      <c r="C523" s="475"/>
      <c r="D523" s="475"/>
      <c r="E523" s="475"/>
      <c r="F523" s="475"/>
      <c r="G523" s="475"/>
      <c r="H523" s="475"/>
      <c r="M523" s="336"/>
      <c r="N523" s="386"/>
    </row>
    <row r="524" spans="1:14" ht="15.75" customHeight="1" x14ac:dyDescent="0.25">
      <c r="A524" s="614"/>
      <c r="B524" s="475"/>
      <c r="C524" s="475"/>
      <c r="D524" s="475"/>
      <c r="E524" s="475"/>
      <c r="F524" s="475"/>
      <c r="G524" s="475"/>
      <c r="H524" s="475"/>
      <c r="M524" s="336"/>
      <c r="N524" s="386"/>
    </row>
    <row r="525" spans="1:14" ht="15.75" customHeight="1" x14ac:dyDescent="0.25">
      <c r="A525" s="614"/>
      <c r="B525" s="475"/>
      <c r="C525" s="475"/>
      <c r="D525" s="475"/>
      <c r="E525" s="475"/>
      <c r="F525" s="475"/>
      <c r="G525" s="475"/>
      <c r="H525" s="475"/>
      <c r="M525" s="336"/>
      <c r="N525" s="386"/>
    </row>
    <row r="526" spans="1:14" x14ac:dyDescent="0.25">
      <c r="A526" s="614"/>
      <c r="B526" s="475"/>
      <c r="C526" s="475"/>
      <c r="D526" s="475"/>
      <c r="E526" s="475"/>
      <c r="F526" s="475"/>
      <c r="G526" s="475"/>
      <c r="H526" s="475"/>
      <c r="M526" s="336"/>
      <c r="N526" s="386"/>
    </row>
    <row r="527" spans="1:14" x14ac:dyDescent="0.25">
      <c r="A527" s="614"/>
      <c r="B527" s="475"/>
      <c r="C527" s="475"/>
      <c r="D527" s="475"/>
      <c r="E527" s="475"/>
      <c r="F527" s="475"/>
      <c r="G527" s="475"/>
      <c r="H527" s="475"/>
      <c r="M527" s="336"/>
      <c r="N527" s="386"/>
    </row>
    <row r="528" spans="1:14" x14ac:dyDescent="0.25">
      <c r="A528" s="614"/>
      <c r="B528" s="475"/>
      <c r="C528" s="475"/>
      <c r="D528" s="475"/>
      <c r="E528" s="475"/>
      <c r="F528" s="475"/>
      <c r="G528" s="475"/>
      <c r="H528" s="475"/>
      <c r="M528" s="336"/>
      <c r="N528" s="386"/>
    </row>
    <row r="529" spans="1:14" ht="15.75" customHeight="1" x14ac:dyDescent="0.25">
      <c r="A529" s="614"/>
      <c r="B529" s="475"/>
      <c r="C529" s="475"/>
      <c r="D529" s="475"/>
      <c r="E529" s="475"/>
      <c r="F529" s="475"/>
      <c r="G529" s="475"/>
      <c r="H529" s="475"/>
      <c r="M529" s="336"/>
      <c r="N529" s="386"/>
    </row>
    <row r="530" spans="1:14" x14ac:dyDescent="0.25">
      <c r="A530" s="614"/>
      <c r="B530" s="475"/>
      <c r="C530" s="475"/>
      <c r="D530" s="475"/>
      <c r="E530" s="475"/>
      <c r="F530" s="475"/>
      <c r="G530" s="475"/>
      <c r="H530" s="475"/>
      <c r="M530" s="336"/>
      <c r="N530" s="386"/>
    </row>
    <row r="531" spans="1:14" x14ac:dyDescent="0.25">
      <c r="A531" s="614"/>
      <c r="B531" s="475"/>
      <c r="C531" s="475"/>
      <c r="D531" s="475"/>
      <c r="E531" s="475"/>
      <c r="F531" s="475"/>
      <c r="G531" s="475"/>
      <c r="H531" s="475"/>
      <c r="M531" s="336"/>
      <c r="N531" s="386"/>
    </row>
    <row r="532" spans="1:14" x14ac:dyDescent="0.25">
      <c r="A532" s="614"/>
      <c r="B532" s="475"/>
      <c r="C532" s="475"/>
      <c r="D532" s="475"/>
      <c r="E532" s="475"/>
      <c r="F532" s="475"/>
      <c r="G532" s="475"/>
      <c r="H532" s="475"/>
      <c r="M532" s="336"/>
      <c r="N532" s="386"/>
    </row>
    <row r="533" spans="1:14" x14ac:dyDescent="0.25">
      <c r="A533" s="614"/>
      <c r="B533" s="475"/>
      <c r="C533" s="475"/>
      <c r="D533" s="475"/>
      <c r="E533" s="475"/>
      <c r="F533" s="475"/>
      <c r="G533" s="475"/>
      <c r="H533" s="475"/>
      <c r="M533" s="336"/>
      <c r="N533" s="386"/>
    </row>
    <row r="534" spans="1:14" x14ac:dyDescent="0.25">
      <c r="A534" s="614"/>
      <c r="B534" s="475"/>
      <c r="C534" s="475"/>
      <c r="D534" s="475"/>
      <c r="E534" s="475"/>
      <c r="F534" s="475"/>
      <c r="G534" s="475"/>
      <c r="H534" s="475"/>
      <c r="M534" s="336"/>
      <c r="N534" s="386"/>
    </row>
    <row r="535" spans="1:14" x14ac:dyDescent="0.25">
      <c r="A535" s="614"/>
      <c r="B535" s="475"/>
      <c r="C535" s="475"/>
      <c r="D535" s="475"/>
      <c r="E535" s="475"/>
      <c r="F535" s="475"/>
      <c r="G535" s="475"/>
      <c r="H535" s="475"/>
      <c r="M535" s="336"/>
      <c r="N535" s="386"/>
    </row>
    <row r="536" spans="1:14" x14ac:dyDescent="0.25">
      <c r="A536" s="614"/>
      <c r="B536" s="475"/>
      <c r="C536" s="475"/>
      <c r="D536" s="475"/>
      <c r="E536" s="475"/>
      <c r="F536" s="475"/>
      <c r="G536" s="475"/>
      <c r="H536" s="475"/>
      <c r="M536" s="336"/>
      <c r="N536" s="386"/>
    </row>
    <row r="537" spans="1:14" x14ac:dyDescent="0.25">
      <c r="A537" s="614"/>
      <c r="B537" s="475"/>
      <c r="C537" s="475"/>
      <c r="D537" s="475"/>
      <c r="E537" s="475"/>
      <c r="F537" s="475"/>
      <c r="G537" s="475"/>
      <c r="H537" s="475"/>
      <c r="M537" s="336"/>
      <c r="N537" s="386"/>
    </row>
    <row r="538" spans="1:14" x14ac:dyDescent="0.25">
      <c r="A538" s="614"/>
      <c r="B538" s="475"/>
      <c r="C538" s="475"/>
      <c r="D538" s="475"/>
      <c r="E538" s="475"/>
      <c r="F538" s="475"/>
      <c r="G538" s="475"/>
      <c r="H538" s="475"/>
      <c r="M538" s="336"/>
      <c r="N538" s="386"/>
    </row>
    <row r="539" spans="1:14" x14ac:dyDescent="0.25">
      <c r="A539" s="614"/>
      <c r="B539" s="475"/>
      <c r="C539" s="475"/>
      <c r="D539" s="475"/>
      <c r="E539" s="475"/>
      <c r="F539" s="475"/>
      <c r="G539" s="475"/>
      <c r="H539" s="475"/>
      <c r="M539" s="336"/>
      <c r="N539" s="386"/>
    </row>
    <row r="540" spans="1:14" x14ac:dyDescent="0.25">
      <c r="A540" s="614"/>
      <c r="B540" s="475"/>
      <c r="C540" s="475"/>
      <c r="D540" s="475"/>
      <c r="E540" s="475"/>
      <c r="F540" s="475"/>
      <c r="G540" s="475"/>
      <c r="H540" s="475"/>
      <c r="M540" s="336"/>
      <c r="N540" s="386"/>
    </row>
    <row r="541" spans="1:14" x14ac:dyDescent="0.25">
      <c r="A541" s="614"/>
      <c r="B541" s="475"/>
      <c r="C541" s="475"/>
      <c r="D541" s="475"/>
      <c r="E541" s="475"/>
      <c r="F541" s="475"/>
      <c r="G541" s="475"/>
      <c r="H541" s="475"/>
      <c r="M541" s="336"/>
      <c r="N541" s="386"/>
    </row>
    <row r="542" spans="1:14" x14ac:dyDescent="0.25">
      <c r="A542" s="614"/>
      <c r="B542" s="475"/>
      <c r="C542" s="475"/>
      <c r="D542" s="475"/>
      <c r="E542" s="475"/>
      <c r="F542" s="475"/>
      <c r="G542" s="475"/>
      <c r="H542" s="475"/>
      <c r="M542" s="336"/>
      <c r="N542" s="386"/>
    </row>
    <row r="543" spans="1:14" x14ac:dyDescent="0.25">
      <c r="A543" s="614"/>
      <c r="B543" s="475"/>
      <c r="C543" s="475"/>
      <c r="D543" s="475"/>
      <c r="E543" s="475"/>
      <c r="F543" s="475"/>
      <c r="G543" s="475"/>
      <c r="H543" s="475"/>
      <c r="M543" s="336"/>
      <c r="N543" s="386"/>
    </row>
    <row r="544" spans="1:14" x14ac:dyDescent="0.25">
      <c r="A544" s="614"/>
      <c r="B544" s="475"/>
      <c r="C544" s="475"/>
      <c r="D544" s="475"/>
      <c r="E544" s="475"/>
      <c r="F544" s="475"/>
      <c r="G544" s="475"/>
      <c r="H544" s="475"/>
      <c r="M544" s="336"/>
      <c r="N544" s="386"/>
    </row>
    <row r="545" spans="1:14" x14ac:dyDescent="0.25">
      <c r="A545" s="614"/>
      <c r="B545" s="475"/>
      <c r="C545" s="475"/>
      <c r="D545" s="475"/>
      <c r="E545" s="475"/>
      <c r="F545" s="475"/>
      <c r="G545" s="475"/>
      <c r="H545" s="475"/>
      <c r="M545" s="336"/>
      <c r="N545" s="386"/>
    </row>
    <row r="546" spans="1:14" x14ac:dyDescent="0.25">
      <c r="A546" s="614"/>
      <c r="B546" s="475"/>
      <c r="C546" s="475"/>
      <c r="D546" s="475"/>
      <c r="E546" s="475"/>
      <c r="F546" s="475"/>
      <c r="G546" s="475"/>
      <c r="H546" s="475"/>
      <c r="M546" s="336"/>
      <c r="N546" s="386"/>
    </row>
    <row r="547" spans="1:14" x14ac:dyDescent="0.25">
      <c r="A547" s="614"/>
      <c r="B547" s="475"/>
      <c r="C547" s="475"/>
      <c r="D547" s="475"/>
      <c r="E547" s="475"/>
      <c r="F547" s="475"/>
      <c r="G547" s="475"/>
      <c r="H547" s="475"/>
      <c r="M547" s="336"/>
      <c r="N547" s="386"/>
    </row>
    <row r="548" spans="1:14" x14ac:dyDescent="0.25">
      <c r="A548" s="614"/>
      <c r="B548" s="475"/>
      <c r="C548" s="475"/>
      <c r="D548" s="475"/>
      <c r="E548" s="475"/>
      <c r="F548" s="475"/>
      <c r="G548" s="475"/>
      <c r="H548" s="475"/>
      <c r="M548" s="336"/>
      <c r="N548" s="386"/>
    </row>
    <row r="549" spans="1:14" x14ac:dyDescent="0.25">
      <c r="A549" s="614"/>
      <c r="B549" s="475"/>
      <c r="C549" s="475"/>
      <c r="D549" s="475"/>
      <c r="E549" s="475"/>
      <c r="F549" s="475"/>
      <c r="G549" s="475"/>
      <c r="H549" s="475"/>
      <c r="M549" s="336"/>
      <c r="N549" s="386"/>
    </row>
    <row r="550" spans="1:14" x14ac:dyDescent="0.25">
      <c r="A550" s="614"/>
      <c r="B550" s="475"/>
      <c r="C550" s="475"/>
      <c r="D550" s="475"/>
      <c r="E550" s="475"/>
      <c r="F550" s="475"/>
      <c r="G550" s="475"/>
      <c r="H550" s="475"/>
      <c r="M550" s="336"/>
      <c r="N550" s="386"/>
    </row>
    <row r="551" spans="1:14" x14ac:dyDescent="0.25">
      <c r="A551" s="614"/>
      <c r="B551" s="475"/>
      <c r="C551" s="475"/>
      <c r="D551" s="475"/>
      <c r="E551" s="475"/>
      <c r="F551" s="475"/>
      <c r="G551" s="475"/>
      <c r="H551" s="475"/>
      <c r="M551" s="336"/>
      <c r="N551" s="386"/>
    </row>
    <row r="552" spans="1:14" x14ac:dyDescent="0.25">
      <c r="A552" s="614"/>
      <c r="B552" s="475"/>
      <c r="C552" s="475"/>
      <c r="D552" s="475"/>
      <c r="E552" s="475"/>
      <c r="F552" s="475"/>
      <c r="G552" s="475"/>
      <c r="H552" s="475"/>
      <c r="M552" s="336"/>
      <c r="N552" s="386"/>
    </row>
    <row r="553" spans="1:14" x14ac:dyDescent="0.25">
      <c r="A553" s="614"/>
      <c r="B553" s="475"/>
      <c r="C553" s="475"/>
      <c r="D553" s="475"/>
      <c r="E553" s="475"/>
      <c r="F553" s="475"/>
      <c r="G553" s="475"/>
      <c r="H553" s="475"/>
      <c r="M553" s="336"/>
      <c r="N553" s="386"/>
    </row>
    <row r="554" spans="1:14" x14ac:dyDescent="0.25">
      <c r="A554" s="614"/>
      <c r="B554" s="475"/>
      <c r="C554" s="475"/>
      <c r="D554" s="475"/>
      <c r="E554" s="475"/>
      <c r="F554" s="475"/>
      <c r="G554" s="475"/>
      <c r="H554" s="475"/>
      <c r="M554" s="336"/>
      <c r="N554" s="386"/>
    </row>
    <row r="555" spans="1:14" x14ac:dyDescent="0.25">
      <c r="A555" s="614"/>
      <c r="B555" s="475"/>
      <c r="C555" s="475"/>
      <c r="D555" s="475"/>
      <c r="E555" s="475"/>
      <c r="F555" s="475"/>
      <c r="G555" s="475"/>
      <c r="H555" s="475"/>
      <c r="M555" s="336"/>
      <c r="N555" s="386"/>
    </row>
  </sheetData>
  <mergeCells count="381">
    <mergeCell ref="G198:M198"/>
    <mergeCell ref="G199:I199"/>
    <mergeCell ref="G244:M244"/>
    <mergeCell ref="G276:M276"/>
    <mergeCell ref="G278:I278"/>
    <mergeCell ref="G181:M181"/>
    <mergeCell ref="G182:I182"/>
    <mergeCell ref="G139:M139"/>
    <mergeCell ref="G140:I140"/>
    <mergeCell ref="J278:K278"/>
    <mergeCell ref="G268:M268"/>
    <mergeCell ref="G272:I272"/>
    <mergeCell ref="G212:M212"/>
    <mergeCell ref="G213:I213"/>
    <mergeCell ref="G237:M237"/>
    <mergeCell ref="G231:M231"/>
    <mergeCell ref="G224:M224"/>
    <mergeCell ref="G217:M217"/>
    <mergeCell ref="G245:I245"/>
    <mergeCell ref="G250:M250"/>
    <mergeCell ref="G241:M241"/>
    <mergeCell ref="G247:I247"/>
    <mergeCell ref="G262:M262"/>
    <mergeCell ref="J140:K140"/>
    <mergeCell ref="A282:B282"/>
    <mergeCell ref="G281:I281"/>
    <mergeCell ref="G273:I273"/>
    <mergeCell ref="G240:I240"/>
    <mergeCell ref="G255:M255"/>
    <mergeCell ref="G214:I214"/>
    <mergeCell ref="G249:I249"/>
    <mergeCell ref="G187:I187"/>
    <mergeCell ref="A274:A276"/>
    <mergeCell ref="A237:A238"/>
    <mergeCell ref="G279:I279"/>
    <mergeCell ref="B274:B275"/>
    <mergeCell ref="C274:C275"/>
    <mergeCell ref="D274:D275"/>
    <mergeCell ref="G274:M274"/>
    <mergeCell ref="C237:C238"/>
    <mergeCell ref="C191:C192"/>
    <mergeCell ref="C215:C216"/>
    <mergeCell ref="G234:M234"/>
    <mergeCell ref="G235:I235"/>
    <mergeCell ref="G264:M264"/>
    <mergeCell ref="G207:M207"/>
    <mergeCell ref="G228:M228"/>
    <mergeCell ref="G229:I229"/>
    <mergeCell ref="A87:A88"/>
    <mergeCell ref="B87:B88"/>
    <mergeCell ref="G87:M87"/>
    <mergeCell ref="A105:A106"/>
    <mergeCell ref="B105:B106"/>
    <mergeCell ref="C105:C106"/>
    <mergeCell ref="D105:D106"/>
    <mergeCell ref="E105:F106"/>
    <mergeCell ref="J103:K103"/>
    <mergeCell ref="A97:A98"/>
    <mergeCell ref="B97:B98"/>
    <mergeCell ref="G101:I101"/>
    <mergeCell ref="G89:M89"/>
    <mergeCell ref="G90:I90"/>
    <mergeCell ref="G92:M92"/>
    <mergeCell ref="G93:I93"/>
    <mergeCell ref="G99:M99"/>
    <mergeCell ref="G94:I94"/>
    <mergeCell ref="G96:I96"/>
    <mergeCell ref="J90:K90"/>
    <mergeCell ref="J100:K100"/>
    <mergeCell ref="C97:C98"/>
    <mergeCell ref="D97:D98"/>
    <mergeCell ref="G97:M97"/>
    <mergeCell ref="C126:C127"/>
    <mergeCell ref="D126:D127"/>
    <mergeCell ref="A191:A192"/>
    <mergeCell ref="B191:B192"/>
    <mergeCell ref="G196:M196"/>
    <mergeCell ref="G125:I125"/>
    <mergeCell ref="G120:I120"/>
    <mergeCell ref="G170:I170"/>
    <mergeCell ref="C174:C175"/>
    <mergeCell ref="C184:C185"/>
    <mergeCell ref="D184:D185"/>
    <mergeCell ref="E184:E185"/>
    <mergeCell ref="F184:F185"/>
    <mergeCell ref="G174:M174"/>
    <mergeCell ref="G159:I159"/>
    <mergeCell ref="G150:I150"/>
    <mergeCell ref="G163:M163"/>
    <mergeCell ref="G179:M179"/>
    <mergeCell ref="G157:M157"/>
    <mergeCell ref="G158:I158"/>
    <mergeCell ref="J150:K150"/>
    <mergeCell ref="J158:K158"/>
    <mergeCell ref="G143:I143"/>
    <mergeCell ref="G173:I173"/>
    <mergeCell ref="G27:M27"/>
    <mergeCell ref="G36:I36"/>
    <mergeCell ref="G34:I34"/>
    <mergeCell ref="G70:I70"/>
    <mergeCell ref="G67:M67"/>
    <mergeCell ref="C87:C88"/>
    <mergeCell ref="D87:D88"/>
    <mergeCell ref="G39:I39"/>
    <mergeCell ref="G43:I43"/>
    <mergeCell ref="G41:I41"/>
    <mergeCell ref="G58:M58"/>
    <mergeCell ref="C74:C75"/>
    <mergeCell ref="C46:C47"/>
    <mergeCell ref="D46:D47"/>
    <mergeCell ref="D74:D75"/>
    <mergeCell ref="C81:C82"/>
    <mergeCell ref="G66:I66"/>
    <mergeCell ref="G64:M64"/>
    <mergeCell ref="G83:M83"/>
    <mergeCell ref="G86:I86"/>
    <mergeCell ref="J85:K85"/>
    <mergeCell ref="G85:I85"/>
    <mergeCell ref="G62:I62"/>
    <mergeCell ref="G49:I49"/>
    <mergeCell ref="J10:K10"/>
    <mergeCell ref="G12:M12"/>
    <mergeCell ref="J18:K18"/>
    <mergeCell ref="J23:K23"/>
    <mergeCell ref="A46:A47"/>
    <mergeCell ref="B46:B47"/>
    <mergeCell ref="G71:I71"/>
    <mergeCell ref="G81:M81"/>
    <mergeCell ref="A81:A82"/>
    <mergeCell ref="B81:B82"/>
    <mergeCell ref="G51:M51"/>
    <mergeCell ref="G52:I52"/>
    <mergeCell ref="J38:K38"/>
    <mergeCell ref="J49:K49"/>
    <mergeCell ref="J52:K52"/>
    <mergeCell ref="J62:K62"/>
    <mergeCell ref="J70:K70"/>
    <mergeCell ref="J79:K79"/>
    <mergeCell ref="G29:I29"/>
    <mergeCell ref="G54:M54"/>
    <mergeCell ref="A25:A26"/>
    <mergeCell ref="B25:F26"/>
    <mergeCell ref="G25:M25"/>
    <mergeCell ref="A74:A75"/>
    <mergeCell ref="A2:A6"/>
    <mergeCell ref="G2:M2"/>
    <mergeCell ref="G3:M4"/>
    <mergeCell ref="B2:F6"/>
    <mergeCell ref="B7:F7"/>
    <mergeCell ref="G19:I19"/>
    <mergeCell ref="G11:I11"/>
    <mergeCell ref="G14:I14"/>
    <mergeCell ref="G24:I24"/>
    <mergeCell ref="G15:M15"/>
    <mergeCell ref="G20:M20"/>
    <mergeCell ref="G17:M17"/>
    <mergeCell ref="G18:I18"/>
    <mergeCell ref="G22:M22"/>
    <mergeCell ref="G23:I23"/>
    <mergeCell ref="G5:G6"/>
    <mergeCell ref="H5:H6"/>
    <mergeCell ref="I5:I6"/>
    <mergeCell ref="L5:L6"/>
    <mergeCell ref="M5:M6"/>
    <mergeCell ref="G9:M9"/>
    <mergeCell ref="G10:I10"/>
    <mergeCell ref="G13:I13"/>
    <mergeCell ref="J13:K13"/>
    <mergeCell ref="G48:M48"/>
    <mergeCell ref="N37:T37"/>
    <mergeCell ref="N39:P39"/>
    <mergeCell ref="N41:P41"/>
    <mergeCell ref="N43:P43"/>
    <mergeCell ref="N45:P45"/>
    <mergeCell ref="G76:M76"/>
    <mergeCell ref="G50:I50"/>
    <mergeCell ref="G63:I63"/>
    <mergeCell ref="G53:I53"/>
    <mergeCell ref="G61:M61"/>
    <mergeCell ref="N64:T64"/>
    <mergeCell ref="N29:P29"/>
    <mergeCell ref="N31:P31"/>
    <mergeCell ref="N34:P34"/>
    <mergeCell ref="N36:P36"/>
    <mergeCell ref="G31:I31"/>
    <mergeCell ref="G46:M46"/>
    <mergeCell ref="G37:M37"/>
    <mergeCell ref="G38:I38"/>
    <mergeCell ref="G32:M32"/>
    <mergeCell ref="A250:A251"/>
    <mergeCell ref="B250:B251"/>
    <mergeCell ref="A126:A127"/>
    <mergeCell ref="B126:B127"/>
    <mergeCell ref="A174:A175"/>
    <mergeCell ref="A205:A206"/>
    <mergeCell ref="A184:A185"/>
    <mergeCell ref="B184:B185"/>
    <mergeCell ref="A224:A225"/>
    <mergeCell ref="B224:B225"/>
    <mergeCell ref="A241:A242"/>
    <mergeCell ref="B241:B242"/>
    <mergeCell ref="B174:B175"/>
    <mergeCell ref="B205:B206"/>
    <mergeCell ref="A215:A216"/>
    <mergeCell ref="A188:A190"/>
    <mergeCell ref="B237:B238"/>
    <mergeCell ref="B215:B216"/>
    <mergeCell ref="G203:I203"/>
    <mergeCell ref="G194:M194"/>
    <mergeCell ref="B74:B75"/>
    <mergeCell ref="D81:D82"/>
    <mergeCell ref="N281:P281"/>
    <mergeCell ref="N224:T224"/>
    <mergeCell ref="N230:P230"/>
    <mergeCell ref="N236:P236"/>
    <mergeCell ref="N237:T237"/>
    <mergeCell ref="N250:T250"/>
    <mergeCell ref="N255:T255"/>
    <mergeCell ref="N273:P273"/>
    <mergeCell ref="N279:P279"/>
    <mergeCell ref="N240:P240"/>
    <mergeCell ref="N241:T241"/>
    <mergeCell ref="N243:P243"/>
    <mergeCell ref="N247:P247"/>
    <mergeCell ref="N249:P249"/>
    <mergeCell ref="N274:T274"/>
    <mergeCell ref="G257:M257"/>
    <mergeCell ref="J213:K213"/>
    <mergeCell ref="J229:K229"/>
    <mergeCell ref="J235:K235"/>
    <mergeCell ref="J245:K245"/>
    <mergeCell ref="N223:P223"/>
    <mergeCell ref="N187:P187"/>
    <mergeCell ref="N190:P190"/>
    <mergeCell ref="N148:P148"/>
    <mergeCell ref="N151:P151"/>
    <mergeCell ref="N221:P221"/>
    <mergeCell ref="N125:P125"/>
    <mergeCell ref="N91:P91"/>
    <mergeCell ref="N94:P94"/>
    <mergeCell ref="N122:P122"/>
    <mergeCell ref="N120:P120"/>
    <mergeCell ref="N193:P193"/>
    <mergeCell ref="N200:P200"/>
    <mergeCell ref="N204:P204"/>
    <mergeCell ref="N183:P183"/>
    <mergeCell ref="N156:P156"/>
    <mergeCell ref="N211:P211"/>
    <mergeCell ref="N214:P214"/>
    <mergeCell ref="N144:T144"/>
    <mergeCell ref="A1:T1"/>
    <mergeCell ref="N165:P165"/>
    <mergeCell ref="N170:P170"/>
    <mergeCell ref="N173:P173"/>
    <mergeCell ref="N174:T174"/>
    <mergeCell ref="D174:D175"/>
    <mergeCell ref="N115:P115"/>
    <mergeCell ref="N53:P53"/>
    <mergeCell ref="N50:P50"/>
    <mergeCell ref="N2:T2"/>
    <mergeCell ref="N66:P66"/>
    <mergeCell ref="N71:P71"/>
    <mergeCell ref="N73:P73"/>
    <mergeCell ref="N3:T4"/>
    <mergeCell ref="N11:P11"/>
    <mergeCell ref="N14:P14"/>
    <mergeCell ref="N19:P19"/>
    <mergeCell ref="N24:P24"/>
    <mergeCell ref="N96:P96"/>
    <mergeCell ref="N101:P101"/>
    <mergeCell ref="A37:A38"/>
    <mergeCell ref="B37:B38"/>
    <mergeCell ref="N162:P162"/>
    <mergeCell ref="N80:P80"/>
    <mergeCell ref="J272:K272"/>
    <mergeCell ref="G74:M74"/>
    <mergeCell ref="G91:I91"/>
    <mergeCell ref="G45:I45"/>
    <mergeCell ref="G243:I243"/>
    <mergeCell ref="G221:I221"/>
    <mergeCell ref="G201:M201"/>
    <mergeCell ref="G184:M184"/>
    <mergeCell ref="G183:I183"/>
    <mergeCell ref="G162:I162"/>
    <mergeCell ref="G148:I148"/>
    <mergeCell ref="G151:I151"/>
    <mergeCell ref="G236:I236"/>
    <mergeCell ref="G204:I204"/>
    <mergeCell ref="G215:M215"/>
    <mergeCell ref="G205:M205"/>
    <mergeCell ref="G219:M219"/>
    <mergeCell ref="G223:I223"/>
    <mergeCell ref="G230:I230"/>
    <mergeCell ref="G176:M176"/>
    <mergeCell ref="G160:M160"/>
    <mergeCell ref="G161:I161"/>
    <mergeCell ref="G128:M128"/>
    <mergeCell ref="G165:I165"/>
    <mergeCell ref="G166:M166"/>
    <mergeCell ref="G113:I113"/>
    <mergeCell ref="G156:I156"/>
    <mergeCell ref="G111:M111"/>
    <mergeCell ref="G141:I141"/>
    <mergeCell ref="G146:M146"/>
    <mergeCell ref="G147:I147"/>
    <mergeCell ref="G130:M130"/>
    <mergeCell ref="G123:M123"/>
    <mergeCell ref="G126:M126"/>
    <mergeCell ref="G149:M149"/>
    <mergeCell ref="J147:K147"/>
    <mergeCell ref="G118:M118"/>
    <mergeCell ref="G119:I119"/>
    <mergeCell ref="J119:K119"/>
    <mergeCell ref="G154:M154"/>
    <mergeCell ref="G155:I155"/>
    <mergeCell ref="J155:K155"/>
    <mergeCell ref="N5:N6"/>
    <mergeCell ref="O5:O6"/>
    <mergeCell ref="P5:P6"/>
    <mergeCell ref="G226:M226"/>
    <mergeCell ref="G209:M209"/>
    <mergeCell ref="G210:I210"/>
    <mergeCell ref="G211:I211"/>
    <mergeCell ref="G193:I193"/>
    <mergeCell ref="G190:I190"/>
    <mergeCell ref="N159:P159"/>
    <mergeCell ref="G69:M69"/>
    <mergeCell ref="G56:M56"/>
    <mergeCell ref="G73:I73"/>
    <mergeCell ref="G80:I80"/>
    <mergeCell ref="N86:P86"/>
    <mergeCell ref="N63:P63"/>
    <mergeCell ref="N143:P143"/>
    <mergeCell ref="N141:P141"/>
    <mergeCell ref="N113:P113"/>
    <mergeCell ref="N166:T166"/>
    <mergeCell ref="N168:T168"/>
    <mergeCell ref="S5:S6"/>
    <mergeCell ref="T5:T6"/>
    <mergeCell ref="N176:T176"/>
    <mergeCell ref="D237:D238"/>
    <mergeCell ref="C250:C251"/>
    <mergeCell ref="D250:D251"/>
    <mergeCell ref="C241:C242"/>
    <mergeCell ref="D241:D242"/>
    <mergeCell ref="D215:D216"/>
    <mergeCell ref="G200:I200"/>
    <mergeCell ref="G191:M191"/>
    <mergeCell ref="G132:M132"/>
    <mergeCell ref="G144:M144"/>
    <mergeCell ref="G152:M152"/>
    <mergeCell ref="C205:C206"/>
    <mergeCell ref="D224:D225"/>
    <mergeCell ref="C224:C225"/>
    <mergeCell ref="D205:D206"/>
    <mergeCell ref="D191:D192"/>
    <mergeCell ref="G171:M171"/>
    <mergeCell ref="G172:I172"/>
    <mergeCell ref="J161:K161"/>
    <mergeCell ref="J172:K172"/>
    <mergeCell ref="J182:K182"/>
    <mergeCell ref="J199:K199"/>
    <mergeCell ref="J203:K203"/>
    <mergeCell ref="J210:K210"/>
    <mergeCell ref="N81:T81"/>
    <mergeCell ref="G78:M78"/>
    <mergeCell ref="G79:I79"/>
    <mergeCell ref="J93:K93"/>
    <mergeCell ref="G102:M102"/>
    <mergeCell ref="G103:I103"/>
    <mergeCell ref="G105:M105"/>
    <mergeCell ref="G104:I104"/>
    <mergeCell ref="N123:T123"/>
    <mergeCell ref="G100:I100"/>
    <mergeCell ref="G116:M116"/>
    <mergeCell ref="G115:I115"/>
    <mergeCell ref="G122:I122"/>
    <mergeCell ref="G107:I107"/>
    <mergeCell ref="G108:M108"/>
    <mergeCell ref="N104:P104"/>
    <mergeCell ref="N107:P107"/>
  </mergeCells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T663"/>
  <sheetViews>
    <sheetView zoomScale="70" zoomScaleNormal="70" workbookViewId="0">
      <pane ySplit="7" topLeftCell="A332" activePane="bottomLeft" state="frozen"/>
      <selection pane="bottomLeft" activeCell="J375" sqref="J375"/>
    </sheetView>
  </sheetViews>
  <sheetFormatPr defaultRowHeight="15.75" x14ac:dyDescent="0.25"/>
  <cols>
    <col min="1" max="1" width="30.7109375" style="335" customWidth="1"/>
    <col min="2" max="6" width="5.7109375" style="301" customWidth="1"/>
    <col min="7" max="9" width="20.7109375" style="301" customWidth="1"/>
    <col min="10" max="10" width="11.5703125" style="336" customWidth="1"/>
    <col min="11" max="11" width="10.7109375" style="336" customWidth="1"/>
    <col min="12" max="12" width="10.7109375" style="301" customWidth="1"/>
    <col min="13" max="13" width="10.7109375" style="337" customWidth="1"/>
    <col min="14" max="16" width="20.7109375" style="386" customWidth="1"/>
    <col min="17" max="17" width="12.28515625" style="386" customWidth="1"/>
    <col min="18" max="18" width="10.7109375" style="621" customWidth="1"/>
    <col min="19" max="19" width="10.7109375" style="386" customWidth="1"/>
    <col min="20" max="20" width="10.7109375" style="621" customWidth="1"/>
    <col min="21" max="16384" width="9.140625" style="386"/>
  </cols>
  <sheetData>
    <row r="1" spans="1:20" ht="15" customHeight="1" x14ac:dyDescent="0.25">
      <c r="A1" s="1131" t="s">
        <v>1433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0" ht="15" customHeight="1" x14ac:dyDescent="0.25">
      <c r="A2" s="1132" t="s">
        <v>244</v>
      </c>
      <c r="B2" s="1138" t="s">
        <v>1136</v>
      </c>
      <c r="C2" s="1139"/>
      <c r="D2" s="1139"/>
      <c r="E2" s="1139"/>
      <c r="F2" s="1140"/>
      <c r="G2" s="1146" t="s">
        <v>1187</v>
      </c>
      <c r="H2" s="1147"/>
      <c r="I2" s="1147"/>
      <c r="J2" s="1147"/>
      <c r="K2" s="1147"/>
      <c r="L2" s="1147"/>
      <c r="M2" s="1041"/>
      <c r="N2" s="1033" t="s">
        <v>1668</v>
      </c>
      <c r="O2" s="1033"/>
      <c r="P2" s="1033"/>
      <c r="Q2" s="1033"/>
      <c r="R2" s="1033"/>
      <c r="S2" s="1033"/>
      <c r="T2" s="1033"/>
    </row>
    <row r="3" spans="1:20" ht="15" customHeight="1" x14ac:dyDescent="0.25">
      <c r="A3" s="1133"/>
      <c r="B3" s="1141"/>
      <c r="C3" s="1039"/>
      <c r="D3" s="1039"/>
      <c r="E3" s="1039"/>
      <c r="F3" s="1142"/>
      <c r="G3" s="1034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0" ht="15" customHeight="1" x14ac:dyDescent="0.25">
      <c r="A4" s="1133"/>
      <c r="B4" s="1141"/>
      <c r="C4" s="1039"/>
      <c r="D4" s="1039"/>
      <c r="E4" s="1039"/>
      <c r="F4" s="1142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0" ht="15" customHeight="1" x14ac:dyDescent="0.25">
      <c r="A5" s="1133"/>
      <c r="B5" s="1141"/>
      <c r="C5" s="1039"/>
      <c r="D5" s="1039"/>
      <c r="E5" s="1039"/>
      <c r="F5" s="1142"/>
      <c r="G5" s="1007" t="s">
        <v>1189</v>
      </c>
      <c r="H5" s="1007" t="s">
        <v>1195</v>
      </c>
      <c r="I5" s="1007" t="s">
        <v>1191</v>
      </c>
      <c r="J5" s="205" t="s">
        <v>19510</v>
      </c>
      <c r="K5" s="205" t="s">
        <v>19511</v>
      </c>
      <c r="L5" s="1007" t="s">
        <v>1193</v>
      </c>
      <c r="M5" s="1011" t="s">
        <v>1194</v>
      </c>
      <c r="N5" s="1007" t="s">
        <v>1189</v>
      </c>
      <c r="O5" s="1007" t="s">
        <v>1195</v>
      </c>
      <c r="P5" s="1007" t="s">
        <v>1191</v>
      </c>
      <c r="Q5" s="543" t="s">
        <v>19510</v>
      </c>
      <c r="R5" s="543" t="s">
        <v>19511</v>
      </c>
      <c r="S5" s="1007" t="s">
        <v>1193</v>
      </c>
      <c r="T5" s="1011" t="s">
        <v>1194</v>
      </c>
    </row>
    <row r="6" spans="1:20" x14ac:dyDescent="0.25">
      <c r="A6" s="1134"/>
      <c r="B6" s="1143"/>
      <c r="C6" s="1144"/>
      <c r="D6" s="1144"/>
      <c r="E6" s="1144"/>
      <c r="F6" s="1145"/>
      <c r="G6" s="1008"/>
      <c r="H6" s="1008"/>
      <c r="I6" s="1008"/>
      <c r="J6" s="205" t="s">
        <v>1192</v>
      </c>
      <c r="K6" s="205" t="s">
        <v>1192</v>
      </c>
      <c r="L6" s="1008"/>
      <c r="M6" s="1012"/>
      <c r="N6" s="1008"/>
      <c r="O6" s="1008"/>
      <c r="P6" s="1008"/>
      <c r="Q6" s="205" t="s">
        <v>1192</v>
      </c>
      <c r="R6" s="205" t="s">
        <v>1192</v>
      </c>
      <c r="S6" s="1008"/>
      <c r="T6" s="1012"/>
    </row>
    <row r="7" spans="1:20" ht="15" customHeight="1" thickBot="1" x14ac:dyDescent="0.3">
      <c r="A7" s="617">
        <v>1</v>
      </c>
      <c r="B7" s="1013">
        <v>2</v>
      </c>
      <c r="C7" s="1014"/>
      <c r="D7" s="1014"/>
      <c r="E7" s="1014"/>
      <c r="F7" s="1015"/>
      <c r="G7" s="208">
        <v>3</v>
      </c>
      <c r="H7" s="208">
        <v>4</v>
      </c>
      <c r="I7" s="208">
        <v>5</v>
      </c>
      <c r="J7" s="209">
        <v>6</v>
      </c>
      <c r="K7" s="209">
        <v>7</v>
      </c>
      <c r="L7" s="208">
        <v>8</v>
      </c>
      <c r="M7" s="210">
        <v>9</v>
      </c>
      <c r="N7" s="208">
        <v>10</v>
      </c>
      <c r="O7" s="208">
        <v>11</v>
      </c>
      <c r="P7" s="208">
        <v>12</v>
      </c>
      <c r="Q7" s="208">
        <v>13</v>
      </c>
      <c r="R7" s="208">
        <v>14</v>
      </c>
      <c r="S7" s="208">
        <v>15</v>
      </c>
      <c r="T7" s="210">
        <v>16</v>
      </c>
    </row>
    <row r="8" spans="1:20" s="385" customFormat="1" ht="15" customHeight="1" x14ac:dyDescent="0.25">
      <c r="A8" s="576" t="str">
        <f>Итоговая!C157</f>
        <v xml:space="preserve">ПС  35/6 кВ Микрорайонная </v>
      </c>
      <c r="B8" s="606">
        <f>Итоговая!D157</f>
        <v>6.3</v>
      </c>
      <c r="C8" s="604"/>
      <c r="D8" s="604"/>
      <c r="E8" s="604"/>
      <c r="F8" s="608"/>
      <c r="G8" s="1100" t="s">
        <v>1325</v>
      </c>
      <c r="H8" s="1101"/>
      <c r="I8" s="1101"/>
      <c r="J8" s="1101"/>
      <c r="K8" s="1101"/>
      <c r="L8" s="1101"/>
      <c r="M8" s="1101"/>
      <c r="N8" s="1125"/>
      <c r="O8" s="1125"/>
      <c r="P8" s="1125"/>
      <c r="Q8" s="1125"/>
      <c r="R8" s="1125"/>
      <c r="S8" s="1125"/>
      <c r="T8" s="1126"/>
    </row>
    <row r="9" spans="1:20" s="385" customFormat="1" ht="15" customHeight="1" x14ac:dyDescent="0.25">
      <c r="A9" s="577"/>
      <c r="B9" s="607"/>
      <c r="C9" s="605"/>
      <c r="D9" s="605"/>
      <c r="E9" s="605"/>
      <c r="F9" s="609"/>
      <c r="G9" s="572" t="s">
        <v>1577</v>
      </c>
      <c r="H9" s="572" t="s">
        <v>1578</v>
      </c>
      <c r="I9" s="572" t="s">
        <v>1633</v>
      </c>
      <c r="J9" s="262"/>
      <c r="K9" s="262">
        <v>9.9000000000000005E-2</v>
      </c>
      <c r="L9" s="572"/>
      <c r="M9" s="262"/>
      <c r="N9" s="572"/>
      <c r="O9" s="572"/>
      <c r="P9" s="572"/>
      <c r="Q9" s="572"/>
      <c r="R9" s="262"/>
      <c r="S9" s="572"/>
      <c r="T9" s="348"/>
    </row>
    <row r="10" spans="1:20" s="385" customFormat="1" ht="15" customHeight="1" x14ac:dyDescent="0.25">
      <c r="A10" s="577"/>
      <c r="B10" s="607"/>
      <c r="C10" s="605"/>
      <c r="D10" s="605"/>
      <c r="E10" s="605"/>
      <c r="F10" s="609"/>
      <c r="G10" s="1102" t="s">
        <v>2010</v>
      </c>
      <c r="H10" s="1103"/>
      <c r="I10" s="1103"/>
      <c r="J10" s="1103"/>
      <c r="K10" s="1103"/>
      <c r="L10" s="1103"/>
      <c r="M10" s="1103"/>
      <c r="N10" s="572"/>
      <c r="O10" s="572"/>
      <c r="P10" s="572"/>
      <c r="Q10" s="572"/>
      <c r="R10" s="262"/>
      <c r="S10" s="572"/>
      <c r="T10" s="348"/>
    </row>
    <row r="11" spans="1:20" s="385" customFormat="1" ht="15" customHeight="1" x14ac:dyDescent="0.25">
      <c r="A11" s="577"/>
      <c r="B11" s="607"/>
      <c r="C11" s="605"/>
      <c r="D11" s="605"/>
      <c r="E11" s="605"/>
      <c r="F11" s="609"/>
      <c r="G11" s="1104"/>
      <c r="H11" s="1104"/>
      <c r="I11" s="1104"/>
      <c r="J11" s="519"/>
      <c r="K11" s="519"/>
      <c r="L11" s="580"/>
      <c r="M11" s="519"/>
      <c r="N11" s="572"/>
      <c r="O11" s="572"/>
      <c r="P11" s="572"/>
      <c r="Q11" s="572"/>
      <c r="R11" s="262"/>
      <c r="S11" s="572"/>
      <c r="T11" s="348"/>
    </row>
    <row r="12" spans="1:20" s="385" customFormat="1" ht="15" customHeight="1" x14ac:dyDescent="0.25">
      <c r="A12" s="577"/>
      <c r="B12" s="607"/>
      <c r="C12" s="605"/>
      <c r="D12" s="605"/>
      <c r="E12" s="605"/>
      <c r="F12" s="609"/>
      <c r="G12" s="1102" t="s">
        <v>2266</v>
      </c>
      <c r="H12" s="1103"/>
      <c r="I12" s="1103"/>
      <c r="J12" s="1103"/>
      <c r="K12" s="1103"/>
      <c r="L12" s="1103"/>
      <c r="M12" s="1103"/>
      <c r="N12" s="572"/>
      <c r="O12" s="572"/>
      <c r="P12" s="572"/>
      <c r="Q12" s="572"/>
      <c r="R12" s="262"/>
      <c r="S12" s="572"/>
      <c r="T12" s="348"/>
    </row>
    <row r="13" spans="1:20" s="385" customFormat="1" ht="15" customHeight="1" x14ac:dyDescent="0.25">
      <c r="A13" s="577"/>
      <c r="B13" s="607"/>
      <c r="C13" s="605"/>
      <c r="D13" s="605"/>
      <c r="E13" s="605"/>
      <c r="F13" s="609"/>
      <c r="G13" s="349" t="s">
        <v>13414</v>
      </c>
      <c r="H13" s="572" t="s">
        <v>13415</v>
      </c>
      <c r="I13" s="572" t="s">
        <v>14854</v>
      </c>
      <c r="J13" s="262"/>
      <c r="K13" s="519">
        <f>0.1*0.9</f>
        <v>9.0000000000000011E-2</v>
      </c>
      <c r="L13" s="580"/>
      <c r="M13" s="519"/>
      <c r="N13" s="572"/>
      <c r="O13" s="572"/>
      <c r="P13" s="572"/>
      <c r="Q13" s="572"/>
      <c r="R13" s="262"/>
      <c r="S13" s="572"/>
      <c r="T13" s="348"/>
    </row>
    <row r="14" spans="1:20" s="385" customFormat="1" ht="15" customHeight="1" x14ac:dyDescent="0.25">
      <c r="A14" s="577"/>
      <c r="B14" s="607"/>
      <c r="C14" s="605"/>
      <c r="D14" s="605"/>
      <c r="E14" s="605"/>
      <c r="F14" s="609"/>
      <c r="G14" s="1102" t="s">
        <v>14978</v>
      </c>
      <c r="H14" s="1103"/>
      <c r="I14" s="1103"/>
      <c r="J14" s="1103"/>
      <c r="K14" s="1103"/>
      <c r="L14" s="1103"/>
      <c r="M14" s="1103"/>
      <c r="N14" s="572"/>
      <c r="O14" s="572"/>
      <c r="P14" s="572"/>
      <c r="Q14" s="572"/>
      <c r="R14" s="262"/>
      <c r="S14" s="572"/>
      <c r="T14" s="348"/>
    </row>
    <row r="15" spans="1:20" s="385" customFormat="1" ht="15" customHeight="1" x14ac:dyDescent="0.25">
      <c r="A15" s="577"/>
      <c r="B15" s="607"/>
      <c r="C15" s="605"/>
      <c r="D15" s="605"/>
      <c r="E15" s="605"/>
      <c r="F15" s="609"/>
      <c r="G15" s="349" t="s">
        <v>14928</v>
      </c>
      <c r="H15" s="572" t="s">
        <v>14929</v>
      </c>
      <c r="I15" s="572" t="s">
        <v>14987</v>
      </c>
      <c r="J15" s="262"/>
      <c r="K15" s="519">
        <f>0.1*0.15</f>
        <v>1.4999999999999999E-2</v>
      </c>
      <c r="L15" s="580"/>
      <c r="M15" s="519"/>
      <c r="N15" s="572"/>
      <c r="O15" s="572"/>
      <c r="P15" s="572"/>
      <c r="Q15" s="572"/>
      <c r="R15" s="262"/>
      <c r="S15" s="572"/>
      <c r="T15" s="348"/>
    </row>
    <row r="16" spans="1:20" s="385" customFormat="1" ht="15" customHeight="1" x14ac:dyDescent="0.25">
      <c r="A16" s="577"/>
      <c r="B16" s="607"/>
      <c r="C16" s="605"/>
      <c r="D16" s="605"/>
      <c r="E16" s="605"/>
      <c r="F16" s="609"/>
      <c r="G16" s="1065" t="s">
        <v>2262</v>
      </c>
      <c r="H16" s="1065"/>
      <c r="I16" s="1065"/>
      <c r="J16" s="994">
        <f>0.422*0.9</f>
        <v>0.37979999999999997</v>
      </c>
      <c r="K16" s="995"/>
      <c r="L16" s="580"/>
      <c r="M16" s="519"/>
      <c r="N16" s="572"/>
      <c r="O16" s="572"/>
      <c r="P16" s="572"/>
      <c r="Q16" s="572"/>
      <c r="R16" s="262"/>
      <c r="S16" s="572"/>
      <c r="T16" s="348"/>
    </row>
    <row r="17" spans="1:20" s="385" customFormat="1" ht="15" customHeight="1" x14ac:dyDescent="0.25">
      <c r="A17" s="733"/>
      <c r="B17" s="749"/>
      <c r="C17" s="748"/>
      <c r="D17" s="748"/>
      <c r="E17" s="748"/>
      <c r="F17" s="750"/>
      <c r="G17" s="1102" t="s">
        <v>18842</v>
      </c>
      <c r="H17" s="1103"/>
      <c r="I17" s="1103"/>
      <c r="J17" s="1103"/>
      <c r="K17" s="1103"/>
      <c r="L17" s="1103"/>
      <c r="M17" s="1103"/>
      <c r="N17" s="350"/>
      <c r="O17" s="350"/>
      <c r="P17" s="350"/>
      <c r="Q17" s="350"/>
      <c r="R17" s="351"/>
      <c r="S17" s="350"/>
      <c r="T17" s="352"/>
    </row>
    <row r="18" spans="1:20" s="385" customFormat="1" ht="15" customHeight="1" x14ac:dyDescent="0.25">
      <c r="A18" s="733"/>
      <c r="B18" s="749"/>
      <c r="C18" s="748"/>
      <c r="D18" s="748"/>
      <c r="E18" s="748"/>
      <c r="F18" s="750"/>
      <c r="G18" s="1099" t="s">
        <v>2262</v>
      </c>
      <c r="H18" s="1099"/>
      <c r="I18" s="1099"/>
      <c r="J18" s="994">
        <f>0.86*0.9*0.6</f>
        <v>0.46439999999999998</v>
      </c>
      <c r="K18" s="995"/>
      <c r="L18" s="345"/>
      <c r="M18" s="718"/>
      <c r="N18" s="350"/>
      <c r="O18" s="350"/>
      <c r="P18" s="350"/>
      <c r="Q18" s="350"/>
      <c r="R18" s="351"/>
      <c r="S18" s="350"/>
      <c r="T18" s="352"/>
    </row>
    <row r="19" spans="1:20" ht="15" customHeight="1" thickBot="1" x14ac:dyDescent="0.3">
      <c r="A19" s="394"/>
      <c r="B19" s="395"/>
      <c r="C19" s="396"/>
      <c r="D19" s="396"/>
      <c r="E19" s="396"/>
      <c r="F19" s="397"/>
      <c r="G19" s="1096" t="s">
        <v>1199</v>
      </c>
      <c r="H19" s="1096"/>
      <c r="I19" s="1096"/>
      <c r="J19" s="544"/>
      <c r="K19" s="247">
        <f>SUM(J15:K18)</f>
        <v>0.85919999999999996</v>
      </c>
      <c r="L19" s="569">
        <v>0.92</v>
      </c>
      <c r="M19" s="247">
        <f>K19/L19</f>
        <v>0.93391304347826076</v>
      </c>
      <c r="N19" s="1096" t="s">
        <v>1199</v>
      </c>
      <c r="O19" s="1096"/>
      <c r="P19" s="1096"/>
      <c r="Q19" s="569"/>
      <c r="R19" s="247">
        <f>SUM(R9)</f>
        <v>0</v>
      </c>
      <c r="S19" s="569">
        <v>0.92</v>
      </c>
      <c r="T19" s="249">
        <f>R19/S19</f>
        <v>0</v>
      </c>
    </row>
    <row r="20" spans="1:20" s="385" customFormat="1" ht="15" customHeight="1" x14ac:dyDescent="0.25">
      <c r="A20" s="1111" t="str">
        <f>Итоговая!C158</f>
        <v xml:space="preserve">ПС  35/10 кВ Барыково </v>
      </c>
      <c r="B20" s="1113">
        <f>Итоговая!D158</f>
        <v>2.5</v>
      </c>
      <c r="C20" s="1109" t="str">
        <f>Итоговая!E158</f>
        <v>+</v>
      </c>
      <c r="D20" s="1109">
        <f>Итоговая!F158</f>
        <v>2.5</v>
      </c>
      <c r="E20" s="574"/>
      <c r="F20" s="583"/>
      <c r="G20" s="1100" t="s">
        <v>1287</v>
      </c>
      <c r="H20" s="1101"/>
      <c r="I20" s="1101"/>
      <c r="J20" s="1101"/>
      <c r="K20" s="1101"/>
      <c r="L20" s="1101"/>
      <c r="M20" s="1101"/>
      <c r="N20" s="1102" t="s">
        <v>14933</v>
      </c>
      <c r="O20" s="1103"/>
      <c r="P20" s="1103"/>
      <c r="Q20" s="1103"/>
      <c r="R20" s="1103"/>
      <c r="S20" s="1103"/>
      <c r="T20" s="1128"/>
    </row>
    <row r="21" spans="1:20" s="385" customFormat="1" ht="15" customHeight="1" x14ac:dyDescent="0.25">
      <c r="A21" s="1112"/>
      <c r="B21" s="1114"/>
      <c r="C21" s="1110"/>
      <c r="D21" s="1110"/>
      <c r="E21" s="575"/>
      <c r="F21" s="584"/>
      <c r="G21" s="572" t="s">
        <v>394</v>
      </c>
      <c r="H21" s="572" t="s">
        <v>395</v>
      </c>
      <c r="I21" s="572" t="s">
        <v>396</v>
      </c>
      <c r="J21" s="262"/>
      <c r="K21" s="262">
        <v>0.03</v>
      </c>
      <c r="L21" s="572"/>
      <c r="M21" s="262"/>
      <c r="N21" s="731" t="s">
        <v>1793</v>
      </c>
      <c r="O21" s="731" t="s">
        <v>1794</v>
      </c>
      <c r="P21" s="731" t="s">
        <v>17431</v>
      </c>
      <c r="Q21" s="731"/>
      <c r="R21" s="262">
        <v>0.25</v>
      </c>
      <c r="S21" s="731"/>
      <c r="T21" s="348"/>
    </row>
    <row r="22" spans="1:20" s="385" customFormat="1" ht="15" customHeight="1" x14ac:dyDescent="0.25">
      <c r="A22" s="1112"/>
      <c r="B22" s="1114"/>
      <c r="C22" s="1110"/>
      <c r="D22" s="1110"/>
      <c r="E22" s="575"/>
      <c r="F22" s="584"/>
      <c r="G22" s="572" t="s">
        <v>397</v>
      </c>
      <c r="H22" s="572" t="s">
        <v>398</v>
      </c>
      <c r="I22" s="572" t="s">
        <v>399</v>
      </c>
      <c r="J22" s="262"/>
      <c r="K22" s="262">
        <v>0.03</v>
      </c>
      <c r="L22" s="572"/>
      <c r="M22" s="262"/>
      <c r="N22" s="731" t="s">
        <v>409</v>
      </c>
      <c r="O22" s="731" t="s">
        <v>1768</v>
      </c>
      <c r="P22" s="731" t="s">
        <v>17450</v>
      </c>
      <c r="Q22" s="731"/>
      <c r="R22" s="262">
        <v>7.0000000000000007E-2</v>
      </c>
      <c r="S22" s="731"/>
      <c r="T22" s="348"/>
    </row>
    <row r="23" spans="1:20" s="385" customFormat="1" ht="15" customHeight="1" x14ac:dyDescent="0.25">
      <c r="A23" s="1112"/>
      <c r="B23" s="1114"/>
      <c r="C23" s="1110"/>
      <c r="D23" s="1110"/>
      <c r="E23" s="575"/>
      <c r="F23" s="584"/>
      <c r="G23" s="572" t="s">
        <v>400</v>
      </c>
      <c r="H23" s="572" t="s">
        <v>401</v>
      </c>
      <c r="I23" s="572" t="s">
        <v>402</v>
      </c>
      <c r="J23" s="262"/>
      <c r="K23" s="262">
        <v>0.03</v>
      </c>
      <c r="L23" s="572"/>
      <c r="M23" s="262"/>
      <c r="N23" s="572"/>
      <c r="O23" s="572"/>
      <c r="P23" s="572"/>
      <c r="Q23" s="572"/>
      <c r="R23" s="262"/>
      <c r="S23" s="572"/>
      <c r="T23" s="348"/>
    </row>
    <row r="24" spans="1:20" s="385" customFormat="1" ht="15" customHeight="1" x14ac:dyDescent="0.25">
      <c r="A24" s="577"/>
      <c r="B24" s="579"/>
      <c r="C24" s="575"/>
      <c r="D24" s="575"/>
      <c r="E24" s="575"/>
      <c r="F24" s="584"/>
      <c r="G24" s="1102" t="s">
        <v>1286</v>
      </c>
      <c r="H24" s="1103"/>
      <c r="I24" s="1103"/>
      <c r="J24" s="1103"/>
      <c r="K24" s="1103"/>
      <c r="L24" s="1103"/>
      <c r="M24" s="1103"/>
      <c r="N24" s="760"/>
      <c r="O24" s="760"/>
      <c r="P24" s="760"/>
      <c r="Q24" s="760"/>
      <c r="R24" s="760"/>
      <c r="S24" s="760"/>
      <c r="T24" s="760"/>
    </row>
    <row r="25" spans="1:20" s="385" customFormat="1" ht="15" customHeight="1" x14ac:dyDescent="0.25">
      <c r="A25" s="577"/>
      <c r="B25" s="579"/>
      <c r="C25" s="575"/>
      <c r="D25" s="575"/>
      <c r="E25" s="575"/>
      <c r="F25" s="584"/>
      <c r="G25" s="572" t="s">
        <v>406</v>
      </c>
      <c r="H25" s="572" t="s">
        <v>404</v>
      </c>
      <c r="I25" s="572" t="s">
        <v>51</v>
      </c>
      <c r="J25" s="262"/>
      <c r="K25" s="262">
        <v>1.7000000000000001E-2</v>
      </c>
      <c r="L25" s="572"/>
      <c r="M25" s="262"/>
      <c r="N25" s="572"/>
      <c r="O25" s="572"/>
      <c r="P25" s="572"/>
      <c r="Q25" s="572"/>
      <c r="R25" s="262"/>
      <c r="S25" s="572"/>
      <c r="T25" s="348"/>
    </row>
    <row r="26" spans="1:20" s="385" customFormat="1" ht="15" customHeight="1" x14ac:dyDescent="0.25">
      <c r="A26" s="577"/>
      <c r="B26" s="579"/>
      <c r="C26" s="575"/>
      <c r="D26" s="575"/>
      <c r="E26" s="575"/>
      <c r="F26" s="584"/>
      <c r="G26" s="572" t="s">
        <v>408</v>
      </c>
      <c r="H26" s="572" t="s">
        <v>404</v>
      </c>
      <c r="I26" s="572" t="s">
        <v>52</v>
      </c>
      <c r="J26" s="262"/>
      <c r="K26" s="262">
        <v>1.7000000000000001E-2</v>
      </c>
      <c r="L26" s="572"/>
      <c r="M26" s="262"/>
      <c r="N26" s="572"/>
      <c r="O26" s="572"/>
      <c r="P26" s="572"/>
      <c r="Q26" s="572"/>
      <c r="R26" s="262"/>
      <c r="S26" s="572"/>
      <c r="T26" s="348"/>
    </row>
    <row r="27" spans="1:20" s="385" customFormat="1" ht="15" customHeight="1" x14ac:dyDescent="0.25">
      <c r="A27" s="577"/>
      <c r="B27" s="579"/>
      <c r="C27" s="575"/>
      <c r="D27" s="575"/>
      <c r="E27" s="575"/>
      <c r="F27" s="584"/>
      <c r="G27" s="572" t="s">
        <v>403</v>
      </c>
      <c r="H27" s="572" t="s">
        <v>404</v>
      </c>
      <c r="I27" s="572" t="s">
        <v>52</v>
      </c>
      <c r="J27" s="262"/>
      <c r="K27" s="262">
        <v>1.7000000000000001E-2</v>
      </c>
      <c r="L27" s="572"/>
      <c r="M27" s="262"/>
      <c r="N27" s="572"/>
      <c r="O27" s="572"/>
      <c r="P27" s="572"/>
      <c r="Q27" s="572"/>
      <c r="R27" s="262"/>
      <c r="S27" s="572"/>
      <c r="T27" s="348"/>
    </row>
    <row r="28" spans="1:20" s="385" customFormat="1" ht="15" customHeight="1" x14ac:dyDescent="0.25">
      <c r="A28" s="562"/>
      <c r="B28" s="534"/>
      <c r="C28" s="537"/>
      <c r="D28" s="537"/>
      <c r="E28" s="537"/>
      <c r="F28" s="310"/>
      <c r="G28" s="572" t="s">
        <v>407</v>
      </c>
      <c r="H28" s="572" t="s">
        <v>404</v>
      </c>
      <c r="I28" s="572" t="s">
        <v>53</v>
      </c>
      <c r="J28" s="262"/>
      <c r="K28" s="262">
        <v>1.7000000000000001E-2</v>
      </c>
      <c r="L28" s="572"/>
      <c r="M28" s="262"/>
      <c r="N28" s="572"/>
      <c r="O28" s="572"/>
      <c r="P28" s="572"/>
      <c r="Q28" s="572"/>
      <c r="R28" s="262"/>
      <c r="S28" s="572"/>
      <c r="T28" s="348"/>
    </row>
    <row r="29" spans="1:20" s="385" customFormat="1" ht="15" customHeight="1" x14ac:dyDescent="0.25">
      <c r="A29" s="577"/>
      <c r="B29" s="579"/>
      <c r="C29" s="575"/>
      <c r="D29" s="575"/>
      <c r="E29" s="575"/>
      <c r="F29" s="584"/>
      <c r="G29" s="572" t="s">
        <v>405</v>
      </c>
      <c r="H29" s="572" t="s">
        <v>404</v>
      </c>
      <c r="I29" s="572" t="s">
        <v>54</v>
      </c>
      <c r="J29" s="262"/>
      <c r="K29" s="262">
        <v>1.7000000000000001E-2</v>
      </c>
      <c r="L29" s="572"/>
      <c r="M29" s="262"/>
      <c r="N29" s="572"/>
      <c r="O29" s="572"/>
      <c r="P29" s="572"/>
      <c r="Q29" s="572"/>
      <c r="R29" s="262"/>
      <c r="S29" s="572"/>
      <c r="T29" s="348"/>
    </row>
    <row r="30" spans="1:20" s="385" customFormat="1" ht="15" customHeight="1" x14ac:dyDescent="0.25">
      <c r="A30" s="577"/>
      <c r="B30" s="579"/>
      <c r="C30" s="575"/>
      <c r="D30" s="575"/>
      <c r="E30" s="575"/>
      <c r="F30" s="584"/>
      <c r="G30" s="1102" t="s">
        <v>1324</v>
      </c>
      <c r="H30" s="1103"/>
      <c r="I30" s="1103"/>
      <c r="J30" s="1103"/>
      <c r="K30" s="1103"/>
      <c r="L30" s="1103"/>
      <c r="M30" s="1103"/>
      <c r="N30" s="572"/>
      <c r="O30" s="572"/>
      <c r="P30" s="572"/>
      <c r="Q30" s="572"/>
      <c r="R30" s="262"/>
      <c r="S30" s="572"/>
      <c r="T30" s="348"/>
    </row>
    <row r="31" spans="1:20" s="385" customFormat="1" ht="15" customHeight="1" x14ac:dyDescent="0.25">
      <c r="A31" s="577"/>
      <c r="B31" s="579"/>
      <c r="C31" s="575"/>
      <c r="D31" s="575"/>
      <c r="E31" s="575"/>
      <c r="F31" s="584"/>
      <c r="G31" s="572" t="s">
        <v>409</v>
      </c>
      <c r="H31" s="572" t="s">
        <v>410</v>
      </c>
      <c r="I31" s="572" t="s">
        <v>1508</v>
      </c>
      <c r="J31" s="262"/>
      <c r="K31" s="262">
        <v>0.3</v>
      </c>
      <c r="L31" s="572"/>
      <c r="M31" s="262"/>
      <c r="N31" s="572"/>
      <c r="O31" s="572"/>
      <c r="P31" s="572"/>
      <c r="Q31" s="572"/>
      <c r="R31" s="262"/>
      <c r="S31" s="572"/>
      <c r="T31" s="348"/>
    </row>
    <row r="32" spans="1:20" s="385" customFormat="1" ht="15" customHeight="1" x14ac:dyDescent="0.25">
      <c r="A32" s="577"/>
      <c r="B32" s="579"/>
      <c r="C32" s="575"/>
      <c r="D32" s="575"/>
      <c r="E32" s="575"/>
      <c r="F32" s="584"/>
      <c r="G32" s="1102" t="s">
        <v>1645</v>
      </c>
      <c r="H32" s="1103"/>
      <c r="I32" s="1103"/>
      <c r="J32" s="1103"/>
      <c r="K32" s="1103"/>
      <c r="L32" s="1103"/>
      <c r="M32" s="1103"/>
      <c r="N32" s="572"/>
      <c r="O32" s="572"/>
      <c r="P32" s="572"/>
      <c r="Q32" s="572"/>
      <c r="R32" s="262"/>
      <c r="S32" s="572"/>
      <c r="T32" s="348"/>
    </row>
    <row r="33" spans="1:20" s="385" customFormat="1" ht="15" customHeight="1" x14ac:dyDescent="0.25">
      <c r="A33" s="577"/>
      <c r="B33" s="579"/>
      <c r="C33" s="575"/>
      <c r="D33" s="575"/>
      <c r="E33" s="575"/>
      <c r="F33" s="584"/>
      <c r="G33" s="572" t="s">
        <v>1615</v>
      </c>
      <c r="H33" s="572" t="s">
        <v>1616</v>
      </c>
      <c r="I33" s="572" t="s">
        <v>1737</v>
      </c>
      <c r="J33" s="262"/>
      <c r="K33" s="262">
        <f>0.57-0.3</f>
        <v>0.26999999999999996</v>
      </c>
      <c r="L33" s="572"/>
      <c r="M33" s="262"/>
      <c r="N33" s="572"/>
      <c r="O33" s="572"/>
      <c r="P33" s="572"/>
      <c r="Q33" s="572"/>
      <c r="R33" s="262"/>
      <c r="S33" s="572"/>
      <c r="T33" s="348"/>
    </row>
    <row r="34" spans="1:20" s="385" customFormat="1" ht="15" customHeight="1" x14ac:dyDescent="0.25">
      <c r="A34" s="577"/>
      <c r="B34" s="579"/>
      <c r="C34" s="575"/>
      <c r="D34" s="575"/>
      <c r="E34" s="575"/>
      <c r="F34" s="584"/>
      <c r="G34" s="572"/>
      <c r="H34" s="572"/>
      <c r="I34" s="572"/>
      <c r="J34" s="262"/>
      <c r="K34" s="262"/>
      <c r="L34" s="572"/>
      <c r="M34" s="262"/>
      <c r="N34" s="759"/>
      <c r="O34" s="759"/>
      <c r="P34" s="759"/>
      <c r="Q34" s="759"/>
      <c r="R34" s="759"/>
      <c r="S34" s="759"/>
      <c r="T34" s="759"/>
    </row>
    <row r="35" spans="1:20" s="385" customFormat="1" ht="15" customHeight="1" x14ac:dyDescent="0.25">
      <c r="A35" s="577"/>
      <c r="B35" s="579"/>
      <c r="C35" s="575"/>
      <c r="D35" s="575"/>
      <c r="E35" s="575"/>
      <c r="F35" s="584"/>
      <c r="G35" s="572"/>
      <c r="H35" s="572"/>
      <c r="I35" s="572"/>
      <c r="J35" s="262"/>
      <c r="K35" s="262"/>
      <c r="L35" s="572"/>
      <c r="M35" s="262"/>
      <c r="N35" s="572"/>
      <c r="O35" s="572"/>
      <c r="P35" s="572"/>
      <c r="Q35" s="572"/>
      <c r="R35" s="262"/>
      <c r="S35" s="572"/>
      <c r="T35" s="348"/>
    </row>
    <row r="36" spans="1:20" s="385" customFormat="1" ht="15" customHeight="1" x14ac:dyDescent="0.25">
      <c r="A36" s="577"/>
      <c r="B36" s="579"/>
      <c r="C36" s="575"/>
      <c r="D36" s="575"/>
      <c r="E36" s="575"/>
      <c r="F36" s="584"/>
      <c r="G36" s="1102" t="s">
        <v>2011</v>
      </c>
      <c r="H36" s="1103"/>
      <c r="I36" s="1103"/>
      <c r="J36" s="1103"/>
      <c r="K36" s="1103"/>
      <c r="L36" s="1103"/>
      <c r="M36" s="1103"/>
      <c r="N36" s="572"/>
      <c r="O36" s="572"/>
      <c r="P36" s="572"/>
      <c r="Q36" s="572"/>
      <c r="R36" s="262"/>
      <c r="S36" s="572"/>
      <c r="T36" s="348"/>
    </row>
    <row r="37" spans="1:20" s="385" customFormat="1" ht="15" customHeight="1" x14ac:dyDescent="0.25">
      <c r="A37" s="577"/>
      <c r="B37" s="579"/>
      <c r="C37" s="575"/>
      <c r="D37" s="575"/>
      <c r="E37" s="575"/>
      <c r="F37" s="584"/>
      <c r="G37" s="572" t="s">
        <v>2157</v>
      </c>
      <c r="H37" s="572" t="s">
        <v>2190</v>
      </c>
      <c r="I37" s="572" t="s">
        <v>2232</v>
      </c>
      <c r="J37" s="262"/>
      <c r="K37" s="262">
        <f>0.15*0.9</f>
        <v>0.13500000000000001</v>
      </c>
      <c r="L37" s="572"/>
      <c r="M37" s="262"/>
      <c r="N37" s="572"/>
      <c r="O37" s="572"/>
      <c r="P37" s="572"/>
      <c r="Q37" s="572"/>
      <c r="R37" s="262"/>
      <c r="S37" s="572"/>
      <c r="T37" s="348"/>
    </row>
    <row r="38" spans="1:20" s="385" customFormat="1" ht="15" customHeight="1" x14ac:dyDescent="0.25">
      <c r="A38" s="577"/>
      <c r="B38" s="579"/>
      <c r="C38" s="575"/>
      <c r="D38" s="575"/>
      <c r="E38" s="575"/>
      <c r="F38" s="584"/>
      <c r="G38" s="1104"/>
      <c r="H38" s="1104"/>
      <c r="I38" s="1104"/>
      <c r="J38" s="519"/>
      <c r="K38" s="519"/>
      <c r="L38" s="580"/>
      <c r="M38" s="519"/>
      <c r="N38" s="572"/>
      <c r="O38" s="572"/>
      <c r="P38" s="572"/>
      <c r="Q38" s="572"/>
      <c r="R38" s="262"/>
      <c r="S38" s="572"/>
      <c r="T38" s="348"/>
    </row>
    <row r="39" spans="1:20" s="385" customFormat="1" ht="15" customHeight="1" x14ac:dyDescent="0.25">
      <c r="A39" s="577"/>
      <c r="B39" s="579"/>
      <c r="C39" s="575"/>
      <c r="D39" s="575"/>
      <c r="E39" s="575"/>
      <c r="F39" s="584"/>
      <c r="G39" s="1102" t="s">
        <v>2290</v>
      </c>
      <c r="H39" s="1103"/>
      <c r="I39" s="1103"/>
      <c r="J39" s="1103"/>
      <c r="K39" s="1103"/>
      <c r="L39" s="1103"/>
      <c r="M39" s="1103"/>
      <c r="N39" s="572"/>
      <c r="O39" s="572"/>
      <c r="P39" s="572"/>
      <c r="Q39" s="572"/>
      <c r="R39" s="262"/>
      <c r="S39" s="572"/>
      <c r="T39" s="348"/>
    </row>
    <row r="40" spans="1:20" s="385" customFormat="1" ht="15" customHeight="1" x14ac:dyDescent="0.25">
      <c r="A40" s="577"/>
      <c r="B40" s="579"/>
      <c r="C40" s="575"/>
      <c r="D40" s="575"/>
      <c r="E40" s="575"/>
      <c r="F40" s="584"/>
      <c r="G40" s="572" t="s">
        <v>13433</v>
      </c>
      <c r="H40" s="572" t="s">
        <v>13434</v>
      </c>
      <c r="I40" s="580" t="s">
        <v>14829</v>
      </c>
      <c r="J40" s="519"/>
      <c r="K40" s="519">
        <f>0.01*0.9</f>
        <v>9.0000000000000011E-3</v>
      </c>
      <c r="L40" s="580"/>
      <c r="M40" s="519"/>
      <c r="N40" s="572"/>
      <c r="O40" s="572"/>
      <c r="P40" s="572"/>
      <c r="Q40" s="572"/>
      <c r="R40" s="262"/>
      <c r="S40" s="572"/>
      <c r="T40" s="348"/>
    </row>
    <row r="41" spans="1:20" s="385" customFormat="1" ht="15" customHeight="1" x14ac:dyDescent="0.25">
      <c r="A41" s="577"/>
      <c r="B41" s="579"/>
      <c r="C41" s="575"/>
      <c r="D41" s="575"/>
      <c r="E41" s="575"/>
      <c r="F41" s="584"/>
      <c r="G41" s="1102" t="s">
        <v>14933</v>
      </c>
      <c r="H41" s="1103"/>
      <c r="I41" s="1103"/>
      <c r="J41" s="1103"/>
      <c r="K41" s="1103"/>
      <c r="L41" s="1103"/>
      <c r="M41" s="1103"/>
      <c r="N41" s="572"/>
      <c r="O41" s="572"/>
      <c r="P41" s="572"/>
      <c r="Q41" s="572"/>
      <c r="R41" s="262"/>
      <c r="S41" s="572"/>
      <c r="T41" s="348"/>
    </row>
    <row r="42" spans="1:20" s="385" customFormat="1" ht="15" customHeight="1" x14ac:dyDescent="0.25">
      <c r="A42" s="577"/>
      <c r="B42" s="579"/>
      <c r="C42" s="575"/>
      <c r="D42" s="575"/>
      <c r="E42" s="575"/>
      <c r="F42" s="584"/>
      <c r="G42" s="1065" t="s">
        <v>2262</v>
      </c>
      <c r="H42" s="1065"/>
      <c r="I42" s="1065"/>
      <c r="J42" s="994">
        <f>0.607*0.9</f>
        <v>0.54630000000000001</v>
      </c>
      <c r="K42" s="995"/>
      <c r="L42" s="580"/>
      <c r="M42" s="519"/>
      <c r="N42" s="572"/>
      <c r="O42" s="572"/>
      <c r="P42" s="572"/>
      <c r="Q42" s="572"/>
      <c r="R42" s="262"/>
      <c r="S42" s="572"/>
      <c r="T42" s="348"/>
    </row>
    <row r="43" spans="1:20" s="385" customFormat="1" ht="15" customHeight="1" x14ac:dyDescent="0.25">
      <c r="A43" s="577"/>
      <c r="B43" s="579"/>
      <c r="C43" s="575"/>
      <c r="D43" s="575"/>
      <c r="E43" s="575"/>
      <c r="F43" s="584"/>
      <c r="G43" s="580" t="s">
        <v>17466</v>
      </c>
      <c r="H43" s="580" t="s">
        <v>17467</v>
      </c>
      <c r="I43" s="580" t="s">
        <v>17468</v>
      </c>
      <c r="J43" s="519"/>
      <c r="K43" s="519">
        <f>0.015*0.9</f>
        <v>1.35E-2</v>
      </c>
      <c r="L43" s="580"/>
      <c r="M43" s="519"/>
      <c r="N43" s="572"/>
      <c r="O43" s="572"/>
      <c r="P43" s="572"/>
      <c r="Q43" s="572"/>
      <c r="R43" s="262"/>
      <c r="S43" s="572"/>
      <c r="T43" s="348"/>
    </row>
    <row r="44" spans="1:20" s="385" customFormat="1" ht="15" customHeight="1" x14ac:dyDescent="0.25">
      <c r="A44" s="577"/>
      <c r="B44" s="579"/>
      <c r="C44" s="575"/>
      <c r="D44" s="575"/>
      <c r="E44" s="575"/>
      <c r="F44" s="584"/>
      <c r="G44" s="580" t="s">
        <v>17560</v>
      </c>
      <c r="H44" s="580" t="s">
        <v>17561</v>
      </c>
      <c r="I44" s="580" t="s">
        <v>17562</v>
      </c>
      <c r="J44" s="519"/>
      <c r="K44" s="519">
        <f>0.9*0.015</f>
        <v>1.35E-2</v>
      </c>
      <c r="L44" s="580"/>
      <c r="M44" s="519"/>
      <c r="N44" s="572"/>
      <c r="O44" s="572"/>
      <c r="P44" s="572"/>
      <c r="Q44" s="572"/>
      <c r="R44" s="262"/>
      <c r="S44" s="572"/>
      <c r="T44" s="348"/>
    </row>
    <row r="45" spans="1:20" s="385" customFormat="1" ht="15" customHeight="1" x14ac:dyDescent="0.25">
      <c r="A45" s="577"/>
      <c r="B45" s="579"/>
      <c r="C45" s="575"/>
      <c r="D45" s="575"/>
      <c r="E45" s="575"/>
      <c r="F45" s="584"/>
      <c r="G45" s="1102" t="s">
        <v>18518</v>
      </c>
      <c r="H45" s="1103"/>
      <c r="I45" s="1103"/>
      <c r="J45" s="1103"/>
      <c r="K45" s="1103"/>
      <c r="L45" s="1103"/>
      <c r="M45" s="1103"/>
      <c r="N45" s="350"/>
      <c r="O45" s="350"/>
      <c r="P45" s="350"/>
      <c r="Q45" s="350"/>
      <c r="R45" s="351"/>
      <c r="S45" s="350"/>
      <c r="T45" s="352"/>
    </row>
    <row r="46" spans="1:20" s="385" customFormat="1" ht="15" customHeight="1" x14ac:dyDescent="0.25">
      <c r="A46" s="577"/>
      <c r="B46" s="579"/>
      <c r="C46" s="575"/>
      <c r="D46" s="575"/>
      <c r="E46" s="575"/>
      <c r="F46" s="584"/>
      <c r="G46" s="345" t="s">
        <v>18858</v>
      </c>
      <c r="H46" s="345" t="s">
        <v>18859</v>
      </c>
      <c r="I46" s="345" t="s">
        <v>18860</v>
      </c>
      <c r="J46" s="594">
        <f>0.015*0.9</f>
        <v>1.35E-2</v>
      </c>
      <c r="K46" s="594"/>
      <c r="L46" s="345"/>
      <c r="M46" s="594"/>
      <c r="N46" s="350"/>
      <c r="O46" s="350"/>
      <c r="P46" s="350"/>
      <c r="Q46" s="350"/>
      <c r="R46" s="351"/>
      <c r="S46" s="350"/>
      <c r="T46" s="352"/>
    </row>
    <row r="47" spans="1:20" s="385" customFormat="1" ht="15" customHeight="1" x14ac:dyDescent="0.25">
      <c r="A47" s="577"/>
      <c r="B47" s="579"/>
      <c r="C47" s="575"/>
      <c r="D47" s="575"/>
      <c r="E47" s="575"/>
      <c r="F47" s="584"/>
      <c r="G47" s="1099" t="s">
        <v>2262</v>
      </c>
      <c r="H47" s="1099"/>
      <c r="I47" s="1099"/>
      <c r="J47" s="994">
        <f>0.566*0.9*0.6</f>
        <v>0.30563999999999997</v>
      </c>
      <c r="K47" s="995"/>
      <c r="L47" s="345"/>
      <c r="M47" s="594"/>
      <c r="N47" s="350"/>
      <c r="O47" s="350"/>
      <c r="P47" s="350"/>
      <c r="Q47" s="350"/>
      <c r="R47" s="351"/>
      <c r="S47" s="350"/>
      <c r="T47" s="352"/>
    </row>
    <row r="48" spans="1:20" s="385" customFormat="1" ht="15" customHeight="1" x14ac:dyDescent="0.25">
      <c r="A48" s="777"/>
      <c r="B48" s="778"/>
      <c r="C48" s="779"/>
      <c r="D48" s="779"/>
      <c r="E48" s="779"/>
      <c r="F48" s="783"/>
      <c r="G48" s="1102" t="s">
        <v>19719</v>
      </c>
      <c r="H48" s="1103"/>
      <c r="I48" s="1103"/>
      <c r="J48" s="1103"/>
      <c r="K48" s="1103"/>
      <c r="L48" s="1103"/>
      <c r="M48" s="1103"/>
      <c r="N48" s="350"/>
      <c r="O48" s="350"/>
      <c r="P48" s="350"/>
      <c r="Q48" s="350"/>
      <c r="R48" s="351"/>
      <c r="S48" s="350"/>
      <c r="T48" s="352"/>
    </row>
    <row r="49" spans="1:20" s="385" customFormat="1" ht="15" customHeight="1" x14ac:dyDescent="0.25">
      <c r="A49" s="777"/>
      <c r="B49" s="778"/>
      <c r="C49" s="779"/>
      <c r="D49" s="779"/>
      <c r="E49" s="779"/>
      <c r="F49" s="783"/>
      <c r="G49" s="781" t="s">
        <v>19745</v>
      </c>
      <c r="H49" s="781" t="s">
        <v>19746</v>
      </c>
      <c r="I49" s="781" t="s">
        <v>19747</v>
      </c>
      <c r="J49" s="519"/>
      <c r="K49" s="519">
        <f>0.015*0.9</f>
        <v>1.35E-2</v>
      </c>
      <c r="L49" s="345"/>
      <c r="M49" s="774"/>
      <c r="N49" s="350"/>
      <c r="O49" s="350"/>
      <c r="P49" s="350"/>
      <c r="Q49" s="350"/>
      <c r="R49" s="351"/>
      <c r="S49" s="350"/>
      <c r="T49" s="352"/>
    </row>
    <row r="50" spans="1:20" ht="15" customHeight="1" thickBot="1" x14ac:dyDescent="0.3">
      <c r="A50" s="398"/>
      <c r="B50" s="399"/>
      <c r="C50" s="400"/>
      <c r="D50" s="400"/>
      <c r="E50" s="400"/>
      <c r="F50" s="401"/>
      <c r="G50" s="1096" t="s">
        <v>1199</v>
      </c>
      <c r="H50" s="1096"/>
      <c r="I50" s="1096"/>
      <c r="J50" s="544"/>
      <c r="K50" s="247">
        <f>SUM(J42:K49)</f>
        <v>0.90593999999999986</v>
      </c>
      <c r="L50" s="569">
        <v>0.92</v>
      </c>
      <c r="M50" s="247">
        <f>K50/L50</f>
        <v>0.98471739130434766</v>
      </c>
      <c r="N50" s="1096" t="s">
        <v>1199</v>
      </c>
      <c r="O50" s="1096"/>
      <c r="P50" s="1096"/>
      <c r="Q50" s="569"/>
      <c r="R50" s="247">
        <f>SUM(R21:R22)</f>
        <v>0.32</v>
      </c>
      <c r="S50" s="569">
        <v>0.92</v>
      </c>
      <c r="T50" s="249">
        <f>R50/S50</f>
        <v>0.34782608695652173</v>
      </c>
    </row>
    <row r="51" spans="1:20" s="385" customFormat="1" ht="15" customHeight="1" x14ac:dyDescent="0.25">
      <c r="A51" s="1111" t="str">
        <f>Итоговая!C159</f>
        <v xml:space="preserve">ПС  35/6 кВ Б.Городок </v>
      </c>
      <c r="B51" s="1113">
        <f>Итоговая!D159</f>
        <v>5.6</v>
      </c>
      <c r="C51" s="1109" t="str">
        <f>Итоговая!E159</f>
        <v>+</v>
      </c>
      <c r="D51" s="1109">
        <f>Итоговая!F159</f>
        <v>6.3</v>
      </c>
      <c r="E51" s="574"/>
      <c r="F51" s="583"/>
      <c r="G51" s="1100" t="s">
        <v>1288</v>
      </c>
      <c r="H51" s="1101"/>
      <c r="I51" s="1101"/>
      <c r="J51" s="1101"/>
      <c r="K51" s="1101"/>
      <c r="L51" s="1101"/>
      <c r="M51" s="1101"/>
      <c r="N51" s="1125"/>
      <c r="O51" s="1125"/>
      <c r="P51" s="1125"/>
      <c r="Q51" s="1125"/>
      <c r="R51" s="1125"/>
      <c r="S51" s="1125"/>
      <c r="T51" s="1126"/>
    </row>
    <row r="52" spans="1:20" s="385" customFormat="1" ht="15" customHeight="1" x14ac:dyDescent="0.25">
      <c r="A52" s="1112"/>
      <c r="B52" s="1114"/>
      <c r="C52" s="1110"/>
      <c r="D52" s="1110"/>
      <c r="E52" s="575"/>
      <c r="F52" s="584"/>
      <c r="G52" s="572" t="s">
        <v>1277</v>
      </c>
      <c r="H52" s="572" t="s">
        <v>1273</v>
      </c>
      <c r="I52" s="572" t="s">
        <v>1278</v>
      </c>
      <c r="J52" s="262"/>
      <c r="K52" s="262">
        <v>0.02</v>
      </c>
      <c r="L52" s="572"/>
      <c r="M52" s="262"/>
      <c r="N52" s="572"/>
      <c r="O52" s="572"/>
      <c r="P52" s="572"/>
      <c r="Q52" s="572"/>
      <c r="R52" s="262"/>
      <c r="S52" s="572"/>
      <c r="T52" s="348"/>
    </row>
    <row r="53" spans="1:20" s="385" customFormat="1" ht="15" customHeight="1" x14ac:dyDescent="0.25">
      <c r="A53" s="1112"/>
      <c r="B53" s="1114"/>
      <c r="C53" s="1110"/>
      <c r="D53" s="1110"/>
      <c r="E53" s="575"/>
      <c r="F53" s="584"/>
      <c r="G53" s="572" t="s">
        <v>1279</v>
      </c>
      <c r="H53" s="572" t="s">
        <v>1280</v>
      </c>
      <c r="I53" s="572" t="s">
        <v>1281</v>
      </c>
      <c r="J53" s="262"/>
      <c r="K53" s="262">
        <v>2</v>
      </c>
      <c r="L53" s="572"/>
      <c r="M53" s="262"/>
      <c r="N53" s="572"/>
      <c r="O53" s="572"/>
      <c r="P53" s="572"/>
      <c r="Q53" s="572"/>
      <c r="R53" s="262"/>
      <c r="S53" s="572"/>
      <c r="T53" s="348"/>
    </row>
    <row r="54" spans="1:20" s="385" customFormat="1" ht="15" customHeight="1" x14ac:dyDescent="0.25">
      <c r="A54" s="577"/>
      <c r="B54" s="579"/>
      <c r="C54" s="575"/>
      <c r="D54" s="575"/>
      <c r="E54" s="575"/>
      <c r="F54" s="584"/>
      <c r="G54" s="1102" t="s">
        <v>1287</v>
      </c>
      <c r="H54" s="1137"/>
      <c r="I54" s="1137"/>
      <c r="J54" s="1137"/>
      <c r="K54" s="1137"/>
      <c r="L54" s="1137"/>
      <c r="M54" s="1137"/>
      <c r="N54" s="1129"/>
      <c r="O54" s="1129"/>
      <c r="P54" s="1129"/>
      <c r="Q54" s="1129"/>
      <c r="R54" s="1129"/>
      <c r="S54" s="1129"/>
      <c r="T54" s="1130"/>
    </row>
    <row r="55" spans="1:20" s="385" customFormat="1" ht="15" customHeight="1" x14ac:dyDescent="0.25">
      <c r="A55" s="577"/>
      <c r="B55" s="534"/>
      <c r="C55" s="537"/>
      <c r="D55" s="537"/>
      <c r="E55" s="537"/>
      <c r="F55" s="310"/>
      <c r="G55" s="572" t="s">
        <v>1272</v>
      </c>
      <c r="H55" s="572" t="s">
        <v>1273</v>
      </c>
      <c r="I55" s="572" t="s">
        <v>1274</v>
      </c>
      <c r="J55" s="262"/>
      <c r="K55" s="262">
        <v>2.5000000000000001E-2</v>
      </c>
      <c r="L55" s="572"/>
      <c r="M55" s="262"/>
      <c r="N55" s="572"/>
      <c r="O55" s="572"/>
      <c r="P55" s="572"/>
      <c r="Q55" s="572"/>
      <c r="R55" s="262"/>
      <c r="S55" s="572"/>
      <c r="T55" s="348"/>
    </row>
    <row r="56" spans="1:20" s="385" customFormat="1" ht="15" customHeight="1" x14ac:dyDescent="0.25">
      <c r="A56" s="577"/>
      <c r="B56" s="579"/>
      <c r="C56" s="575"/>
      <c r="D56" s="575"/>
      <c r="E56" s="575"/>
      <c r="F56" s="584"/>
      <c r="G56" s="572" t="s">
        <v>1275</v>
      </c>
      <c r="H56" s="572" t="s">
        <v>1273</v>
      </c>
      <c r="I56" s="572" t="s">
        <v>1276</v>
      </c>
      <c r="J56" s="262"/>
      <c r="K56" s="262">
        <v>2.5000000000000001E-2</v>
      </c>
      <c r="L56" s="572"/>
      <c r="M56" s="262"/>
      <c r="N56" s="572"/>
      <c r="O56" s="572"/>
      <c r="P56" s="572"/>
      <c r="Q56" s="572"/>
      <c r="R56" s="262"/>
      <c r="S56" s="572"/>
      <c r="T56" s="348"/>
    </row>
    <row r="57" spans="1:20" s="385" customFormat="1" ht="15" customHeight="1" x14ac:dyDescent="0.25">
      <c r="A57" s="577"/>
      <c r="B57" s="579"/>
      <c r="C57" s="575"/>
      <c r="D57" s="575"/>
      <c r="E57" s="575"/>
      <c r="F57" s="584"/>
      <c r="G57" s="1102" t="s">
        <v>1324</v>
      </c>
      <c r="H57" s="1103"/>
      <c r="I57" s="1103"/>
      <c r="J57" s="1103"/>
      <c r="K57" s="1103"/>
      <c r="L57" s="1103"/>
      <c r="M57" s="1103"/>
      <c r="N57" s="572"/>
      <c r="O57" s="572"/>
      <c r="P57" s="572"/>
      <c r="Q57" s="572"/>
      <c r="R57" s="262"/>
      <c r="S57" s="572"/>
      <c r="T57" s="348"/>
    </row>
    <row r="58" spans="1:20" s="385" customFormat="1" ht="15" customHeight="1" x14ac:dyDescent="0.25">
      <c r="A58" s="577"/>
      <c r="B58" s="579"/>
      <c r="C58" s="575"/>
      <c r="D58" s="575"/>
      <c r="E58" s="575"/>
      <c r="F58" s="584"/>
      <c r="G58" s="572" t="s">
        <v>22</v>
      </c>
      <c r="H58" s="572" t="s">
        <v>23</v>
      </c>
      <c r="I58" s="572" t="s">
        <v>1498</v>
      </c>
      <c r="J58" s="262"/>
      <c r="K58" s="262">
        <v>0.03</v>
      </c>
      <c r="L58" s="572"/>
      <c r="M58" s="262"/>
      <c r="N58" s="572"/>
      <c r="O58" s="572"/>
      <c r="P58" s="572"/>
      <c r="Q58" s="572"/>
      <c r="R58" s="262"/>
      <c r="S58" s="572"/>
      <c r="T58" s="348"/>
    </row>
    <row r="59" spans="1:20" s="385" customFormat="1" ht="15" customHeight="1" x14ac:dyDescent="0.25">
      <c r="A59" s="577"/>
      <c r="B59" s="579"/>
      <c r="C59" s="575"/>
      <c r="D59" s="575"/>
      <c r="E59" s="575"/>
      <c r="F59" s="584"/>
      <c r="G59" s="572" t="s">
        <v>20</v>
      </c>
      <c r="H59" s="572" t="s">
        <v>21</v>
      </c>
      <c r="I59" s="572" t="s">
        <v>1497</v>
      </c>
      <c r="J59" s="262"/>
      <c r="K59" s="262">
        <v>0.03</v>
      </c>
      <c r="L59" s="572"/>
      <c r="M59" s="262"/>
      <c r="N59" s="572"/>
      <c r="O59" s="572"/>
      <c r="P59" s="572"/>
      <c r="Q59" s="572"/>
      <c r="R59" s="262"/>
      <c r="S59" s="572"/>
      <c r="T59" s="348"/>
    </row>
    <row r="60" spans="1:20" s="385" customFormat="1" ht="15" customHeight="1" x14ac:dyDescent="0.25">
      <c r="A60" s="577"/>
      <c r="B60" s="579"/>
      <c r="C60" s="575"/>
      <c r="D60" s="575"/>
      <c r="E60" s="575"/>
      <c r="F60" s="584"/>
      <c r="G60" s="1102" t="s">
        <v>1645</v>
      </c>
      <c r="H60" s="1103"/>
      <c r="I60" s="1103"/>
      <c r="J60" s="1103"/>
      <c r="K60" s="1103"/>
      <c r="L60" s="1103"/>
      <c r="M60" s="1103"/>
      <c r="N60" s="572"/>
      <c r="O60" s="572"/>
      <c r="P60" s="572"/>
      <c r="Q60" s="572"/>
      <c r="R60" s="262"/>
      <c r="S60" s="572"/>
      <c r="T60" s="348"/>
    </row>
    <row r="61" spans="1:20" s="385" customFormat="1" ht="15" customHeight="1" x14ac:dyDescent="0.25">
      <c r="A61" s="577"/>
      <c r="B61" s="579"/>
      <c r="C61" s="575"/>
      <c r="D61" s="575"/>
      <c r="E61" s="575"/>
      <c r="F61" s="584"/>
      <c r="G61" s="571" t="s">
        <v>1828</v>
      </c>
      <c r="H61" s="571" t="s">
        <v>1829</v>
      </c>
      <c r="I61" s="572" t="s">
        <v>1873</v>
      </c>
      <c r="J61" s="262"/>
      <c r="K61" s="262">
        <v>0.4</v>
      </c>
      <c r="L61" s="572"/>
      <c r="M61" s="262"/>
      <c r="N61" s="572"/>
      <c r="O61" s="572"/>
      <c r="P61" s="572"/>
      <c r="Q61" s="572"/>
      <c r="R61" s="262"/>
      <c r="S61" s="572"/>
      <c r="T61" s="348"/>
    </row>
    <row r="62" spans="1:20" s="385" customFormat="1" ht="15" customHeight="1" x14ac:dyDescent="0.25">
      <c r="A62" s="577"/>
      <c r="B62" s="579"/>
      <c r="C62" s="575"/>
      <c r="D62" s="575"/>
      <c r="E62" s="575"/>
      <c r="F62" s="584"/>
      <c r="G62" s="1102" t="s">
        <v>2011</v>
      </c>
      <c r="H62" s="1103"/>
      <c r="I62" s="1103"/>
      <c r="J62" s="1103"/>
      <c r="K62" s="1103"/>
      <c r="L62" s="1103"/>
      <c r="M62" s="1103"/>
      <c r="N62" s="572"/>
      <c r="O62" s="572"/>
      <c r="P62" s="572"/>
      <c r="Q62" s="572"/>
      <c r="R62" s="262"/>
      <c r="S62" s="572"/>
      <c r="T62" s="348"/>
    </row>
    <row r="63" spans="1:20" s="385" customFormat="1" ht="15" customHeight="1" x14ac:dyDescent="0.25">
      <c r="A63" s="577"/>
      <c r="B63" s="579"/>
      <c r="C63" s="575"/>
      <c r="D63" s="575"/>
      <c r="E63" s="575"/>
      <c r="F63" s="584"/>
      <c r="G63" s="571" t="s">
        <v>2077</v>
      </c>
      <c r="H63" s="571" t="s">
        <v>2078</v>
      </c>
      <c r="I63" s="572" t="s">
        <v>2085</v>
      </c>
      <c r="J63" s="262"/>
      <c r="K63" s="353">
        <f>(0.02-0.015)*0.9</f>
        <v>4.5000000000000014E-3</v>
      </c>
      <c r="L63" s="572"/>
      <c r="M63" s="262"/>
      <c r="N63" s="572"/>
      <c r="O63" s="572"/>
      <c r="P63" s="572"/>
      <c r="Q63" s="572"/>
      <c r="R63" s="262"/>
      <c r="S63" s="572"/>
      <c r="T63" s="348"/>
    </row>
    <row r="64" spans="1:20" s="385" customFormat="1" ht="15" customHeight="1" x14ac:dyDescent="0.25">
      <c r="A64" s="577"/>
      <c r="B64" s="579"/>
      <c r="C64" s="575"/>
      <c r="D64" s="575"/>
      <c r="E64" s="575"/>
      <c r="F64" s="584"/>
      <c r="G64" s="571" t="s">
        <v>2133</v>
      </c>
      <c r="H64" s="571" t="s">
        <v>2134</v>
      </c>
      <c r="I64" s="572" t="s">
        <v>2135</v>
      </c>
      <c r="J64" s="262"/>
      <c r="K64" s="353">
        <f>(0.05-0.015)*0.75</f>
        <v>2.6250000000000002E-2</v>
      </c>
      <c r="L64" s="572"/>
      <c r="M64" s="262"/>
      <c r="N64" s="572"/>
      <c r="O64" s="572"/>
      <c r="P64" s="572"/>
      <c r="Q64" s="572"/>
      <c r="R64" s="262"/>
      <c r="S64" s="572"/>
      <c r="T64" s="348"/>
    </row>
    <row r="65" spans="1:20" s="385" customFormat="1" ht="15" customHeight="1" x14ac:dyDescent="0.25">
      <c r="A65" s="577"/>
      <c r="B65" s="579"/>
      <c r="C65" s="575"/>
      <c r="D65" s="575"/>
      <c r="E65" s="575"/>
      <c r="F65" s="584"/>
      <c r="G65" s="1105"/>
      <c r="H65" s="1105"/>
      <c r="I65" s="1105"/>
      <c r="J65" s="414"/>
      <c r="K65" s="519"/>
      <c r="L65" s="580"/>
      <c r="M65" s="519"/>
      <c r="N65" s="572"/>
      <c r="O65" s="572"/>
      <c r="P65" s="572"/>
      <c r="Q65" s="572"/>
      <c r="R65" s="262"/>
      <c r="S65" s="572"/>
      <c r="T65" s="348"/>
    </row>
    <row r="66" spans="1:20" s="385" customFormat="1" ht="15" customHeight="1" x14ac:dyDescent="0.25">
      <c r="A66" s="577"/>
      <c r="B66" s="579"/>
      <c r="C66" s="575"/>
      <c r="D66" s="575"/>
      <c r="E66" s="575"/>
      <c r="F66" s="584"/>
      <c r="G66" s="1102" t="s">
        <v>2290</v>
      </c>
      <c r="H66" s="1103"/>
      <c r="I66" s="1103"/>
      <c r="J66" s="1103"/>
      <c r="K66" s="1103"/>
      <c r="L66" s="1103"/>
      <c r="M66" s="1103"/>
      <c r="N66" s="572"/>
      <c r="O66" s="572"/>
      <c r="P66" s="572"/>
      <c r="Q66" s="572"/>
      <c r="R66" s="262"/>
      <c r="S66" s="572"/>
      <c r="T66" s="348"/>
    </row>
    <row r="67" spans="1:20" s="385" customFormat="1" ht="15" customHeight="1" x14ac:dyDescent="0.25">
      <c r="A67" s="577"/>
      <c r="B67" s="579"/>
      <c r="C67" s="575"/>
      <c r="D67" s="575"/>
      <c r="E67" s="575"/>
      <c r="F67" s="584"/>
      <c r="G67" s="572" t="s">
        <v>1834</v>
      </c>
      <c r="H67" s="572" t="s">
        <v>2402</v>
      </c>
      <c r="I67" s="573" t="s">
        <v>14762</v>
      </c>
      <c r="J67" s="414"/>
      <c r="K67" s="519">
        <f>0.1*0.15</f>
        <v>1.4999999999999999E-2</v>
      </c>
      <c r="L67" s="580"/>
      <c r="M67" s="519"/>
      <c r="N67" s="572"/>
      <c r="O67" s="572"/>
      <c r="P67" s="572"/>
      <c r="Q67" s="572"/>
      <c r="R67" s="262"/>
      <c r="S67" s="572"/>
      <c r="T67" s="348"/>
    </row>
    <row r="68" spans="1:20" s="385" customFormat="1" ht="15" customHeight="1" x14ac:dyDescent="0.25">
      <c r="A68" s="577"/>
      <c r="B68" s="579"/>
      <c r="C68" s="575"/>
      <c r="D68" s="575"/>
      <c r="E68" s="575"/>
      <c r="F68" s="584"/>
      <c r="G68" s="1102" t="s">
        <v>14933</v>
      </c>
      <c r="H68" s="1103"/>
      <c r="I68" s="1103"/>
      <c r="J68" s="1103"/>
      <c r="K68" s="1103"/>
      <c r="L68" s="1103"/>
      <c r="M68" s="1103"/>
      <c r="N68" s="572"/>
      <c r="O68" s="572"/>
      <c r="P68" s="572"/>
      <c r="Q68" s="572"/>
      <c r="R68" s="262"/>
      <c r="S68" s="572"/>
      <c r="T68" s="348"/>
    </row>
    <row r="69" spans="1:20" s="385" customFormat="1" ht="15" customHeight="1" x14ac:dyDescent="0.25">
      <c r="A69" s="577"/>
      <c r="B69" s="579"/>
      <c r="C69" s="575"/>
      <c r="D69" s="575"/>
      <c r="E69" s="575"/>
      <c r="F69" s="584"/>
      <c r="G69" s="573" t="s">
        <v>14972</v>
      </c>
      <c r="H69" s="573" t="s">
        <v>17296</v>
      </c>
      <c r="I69" s="573" t="s">
        <v>17297</v>
      </c>
      <c r="J69" s="414"/>
      <c r="K69" s="519">
        <f>(0.115-0.015)*0.9</f>
        <v>9.0000000000000011E-2</v>
      </c>
      <c r="L69" s="580"/>
      <c r="M69" s="519"/>
      <c r="N69" s="572"/>
      <c r="O69" s="572"/>
      <c r="P69" s="572"/>
      <c r="Q69" s="572"/>
      <c r="R69" s="262"/>
      <c r="S69" s="572"/>
      <c r="T69" s="348"/>
    </row>
    <row r="70" spans="1:20" s="385" customFormat="1" ht="15" customHeight="1" x14ac:dyDescent="0.25">
      <c r="A70" s="577"/>
      <c r="B70" s="579"/>
      <c r="C70" s="575"/>
      <c r="D70" s="575"/>
      <c r="E70" s="575"/>
      <c r="F70" s="584"/>
      <c r="G70" s="1099" t="s">
        <v>2262</v>
      </c>
      <c r="H70" s="1099"/>
      <c r="I70" s="1099"/>
      <c r="J70" s="994">
        <f>0.3234*0.9</f>
        <v>0.29106000000000004</v>
      </c>
      <c r="K70" s="995"/>
      <c r="L70" s="580"/>
      <c r="M70" s="519"/>
      <c r="N70" s="572"/>
      <c r="O70" s="572"/>
      <c r="P70" s="572"/>
      <c r="Q70" s="572"/>
      <c r="R70" s="262"/>
      <c r="S70" s="572"/>
      <c r="T70" s="348"/>
    </row>
    <row r="71" spans="1:20" s="385" customFormat="1" ht="15" customHeight="1" x14ac:dyDescent="0.25">
      <c r="A71" s="577"/>
      <c r="B71" s="579"/>
      <c r="C71" s="575"/>
      <c r="D71" s="575"/>
      <c r="E71" s="575"/>
      <c r="F71" s="584"/>
      <c r="G71" s="1102" t="s">
        <v>18842</v>
      </c>
      <c r="H71" s="1103"/>
      <c r="I71" s="1103"/>
      <c r="J71" s="1103"/>
      <c r="K71" s="1103"/>
      <c r="L71" s="1103"/>
      <c r="M71" s="1103"/>
      <c r="N71" s="350"/>
      <c r="O71" s="350"/>
      <c r="P71" s="350"/>
      <c r="Q71" s="350"/>
      <c r="R71" s="351"/>
      <c r="S71" s="350"/>
      <c r="T71" s="352"/>
    </row>
    <row r="72" spans="1:20" s="385" customFormat="1" ht="15" customHeight="1" x14ac:dyDescent="0.25">
      <c r="A72" s="577"/>
      <c r="B72" s="579"/>
      <c r="C72" s="575"/>
      <c r="D72" s="575"/>
      <c r="E72" s="575"/>
      <c r="F72" s="584"/>
      <c r="G72" s="573" t="s">
        <v>19233</v>
      </c>
      <c r="H72" s="573" t="s">
        <v>19234</v>
      </c>
      <c r="I72" s="573" t="s">
        <v>19235</v>
      </c>
      <c r="J72" s="414"/>
      <c r="K72" s="414">
        <f>0.08*0.9</f>
        <v>7.2000000000000008E-2</v>
      </c>
      <c r="L72" s="354"/>
      <c r="M72" s="354"/>
      <c r="N72" s="350"/>
      <c r="O72" s="350"/>
      <c r="P72" s="350"/>
      <c r="Q72" s="350"/>
      <c r="R72" s="351"/>
      <c r="S72" s="350"/>
      <c r="T72" s="352"/>
    </row>
    <row r="73" spans="1:20" s="385" customFormat="1" ht="15" customHeight="1" x14ac:dyDescent="0.25">
      <c r="A73" s="577"/>
      <c r="B73" s="579"/>
      <c r="C73" s="575"/>
      <c r="D73" s="575"/>
      <c r="E73" s="575"/>
      <c r="F73" s="584"/>
      <c r="G73" s="1099" t="s">
        <v>2262</v>
      </c>
      <c r="H73" s="1099"/>
      <c r="I73" s="1099"/>
      <c r="J73" s="994">
        <f>1.231*0.9*0.6</f>
        <v>0.66474</v>
      </c>
      <c r="K73" s="995"/>
      <c r="L73" s="345"/>
      <c r="M73" s="594"/>
      <c r="N73" s="350"/>
      <c r="O73" s="350"/>
      <c r="P73" s="350"/>
      <c r="Q73" s="350"/>
      <c r="R73" s="351"/>
      <c r="S73" s="350"/>
      <c r="T73" s="352"/>
    </row>
    <row r="74" spans="1:20" ht="15" customHeight="1" thickBot="1" x14ac:dyDescent="0.3">
      <c r="A74" s="394"/>
      <c r="B74" s="399"/>
      <c r="C74" s="400"/>
      <c r="D74" s="400"/>
      <c r="E74" s="400"/>
      <c r="F74" s="401"/>
      <c r="G74" s="1096" t="s">
        <v>1199</v>
      </c>
      <c r="H74" s="1096"/>
      <c r="I74" s="1096"/>
      <c r="J74" s="544"/>
      <c r="K74" s="247">
        <f>SUM(J69:K73)</f>
        <v>1.1178000000000001</v>
      </c>
      <c r="L74" s="569">
        <v>0.93</v>
      </c>
      <c r="M74" s="247">
        <f>K74/L74</f>
        <v>1.2019354838709677</v>
      </c>
      <c r="N74" s="1096" t="s">
        <v>1199</v>
      </c>
      <c r="O74" s="1096"/>
      <c r="P74" s="1096"/>
      <c r="Q74" s="569"/>
      <c r="R74" s="247">
        <f>SUM(R55:R59)</f>
        <v>0</v>
      </c>
      <c r="S74" s="569">
        <v>0.92</v>
      </c>
      <c r="T74" s="249">
        <f>R74/S74</f>
        <v>0</v>
      </c>
    </row>
    <row r="75" spans="1:20" s="385" customFormat="1" ht="15" customHeight="1" x14ac:dyDescent="0.25">
      <c r="A75" s="1135" t="str">
        <f>Итоговая!C160</f>
        <v xml:space="preserve">ПС 35/10 кВ Вега </v>
      </c>
      <c r="B75" s="1113">
        <f>Итоговая!D160</f>
        <v>2.5</v>
      </c>
      <c r="C75" s="1109" t="str">
        <f>Итоговая!E160</f>
        <v>+</v>
      </c>
      <c r="D75" s="1109">
        <f>Итоговая!F160</f>
        <v>2.5</v>
      </c>
      <c r="E75" s="574"/>
      <c r="F75" s="583"/>
      <c r="G75" s="1100" t="s">
        <v>1288</v>
      </c>
      <c r="H75" s="1101"/>
      <c r="I75" s="1101"/>
      <c r="J75" s="1101"/>
      <c r="K75" s="1101"/>
      <c r="L75" s="1101"/>
      <c r="M75" s="1101"/>
      <c r="N75" s="1125"/>
      <c r="O75" s="1125"/>
      <c r="P75" s="1125"/>
      <c r="Q75" s="1125"/>
      <c r="R75" s="1125"/>
      <c r="S75" s="1125"/>
      <c r="T75" s="1126"/>
    </row>
    <row r="76" spans="1:20" s="385" customFormat="1" ht="15" customHeight="1" x14ac:dyDescent="0.25">
      <c r="A76" s="1136"/>
      <c r="B76" s="1114"/>
      <c r="C76" s="1110"/>
      <c r="D76" s="1110"/>
      <c r="E76" s="575"/>
      <c r="F76" s="584"/>
      <c r="G76" s="572" t="s">
        <v>447</v>
      </c>
      <c r="H76" s="572" t="s">
        <v>448</v>
      </c>
      <c r="I76" s="572" t="s">
        <v>449</v>
      </c>
      <c r="J76" s="262"/>
      <c r="K76" s="262">
        <v>8.5000000000000006E-2</v>
      </c>
      <c r="L76" s="572"/>
      <c r="M76" s="262"/>
      <c r="N76" s="572"/>
      <c r="O76" s="572"/>
      <c r="P76" s="572"/>
      <c r="Q76" s="572"/>
      <c r="R76" s="262"/>
      <c r="S76" s="572"/>
      <c r="T76" s="348"/>
    </row>
    <row r="77" spans="1:20" s="385" customFormat="1" ht="15" customHeight="1" x14ac:dyDescent="0.25">
      <c r="A77" s="1136"/>
      <c r="B77" s="1114"/>
      <c r="C77" s="1110"/>
      <c r="D77" s="1110"/>
      <c r="E77" s="575"/>
      <c r="F77" s="584"/>
      <c r="G77" s="1102" t="s">
        <v>1286</v>
      </c>
      <c r="H77" s="1103"/>
      <c r="I77" s="1103"/>
      <c r="J77" s="1103"/>
      <c r="K77" s="1103"/>
      <c r="L77" s="1103"/>
      <c r="M77" s="1103"/>
      <c r="N77" s="1129"/>
      <c r="O77" s="1129"/>
      <c r="P77" s="1129"/>
      <c r="Q77" s="1129"/>
      <c r="R77" s="1129"/>
      <c r="S77" s="1129"/>
      <c r="T77" s="1130"/>
    </row>
    <row r="78" spans="1:20" s="385" customFormat="1" ht="15" customHeight="1" x14ac:dyDescent="0.25">
      <c r="A78" s="1136"/>
      <c r="B78" s="1114"/>
      <c r="C78" s="1110"/>
      <c r="D78" s="1110"/>
      <c r="E78" s="575"/>
      <c r="F78" s="584"/>
      <c r="G78" s="572" t="s">
        <v>450</v>
      </c>
      <c r="H78" s="572" t="s">
        <v>451</v>
      </c>
      <c r="I78" s="572" t="s">
        <v>452</v>
      </c>
      <c r="J78" s="262"/>
      <c r="K78" s="262">
        <v>0.1</v>
      </c>
      <c r="L78" s="572"/>
      <c r="M78" s="262"/>
      <c r="N78" s="572"/>
      <c r="O78" s="572"/>
      <c r="P78" s="572"/>
      <c r="Q78" s="572"/>
      <c r="R78" s="262"/>
      <c r="S78" s="572"/>
      <c r="T78" s="348"/>
    </row>
    <row r="79" spans="1:20" s="385" customFormat="1" ht="15" customHeight="1" x14ac:dyDescent="0.25">
      <c r="A79" s="1136"/>
      <c r="B79" s="1114"/>
      <c r="C79" s="1110"/>
      <c r="D79" s="1110"/>
      <c r="E79" s="575"/>
      <c r="F79" s="584"/>
      <c r="G79" s="1102" t="s">
        <v>1325</v>
      </c>
      <c r="H79" s="1103"/>
      <c r="I79" s="1103"/>
      <c r="J79" s="1103"/>
      <c r="K79" s="1103"/>
      <c r="L79" s="1103"/>
      <c r="M79" s="1103"/>
      <c r="N79" s="1129"/>
      <c r="O79" s="1129"/>
      <c r="P79" s="1129"/>
      <c r="Q79" s="1129"/>
      <c r="R79" s="1129"/>
      <c r="S79" s="1129"/>
      <c r="T79" s="1130"/>
    </row>
    <row r="80" spans="1:20" s="385" customFormat="1" ht="15" customHeight="1" x14ac:dyDescent="0.25">
      <c r="A80" s="1136"/>
      <c r="B80" s="1114"/>
      <c r="C80" s="1110"/>
      <c r="D80" s="1110"/>
      <c r="E80" s="575"/>
      <c r="F80" s="584"/>
      <c r="G80" s="572" t="s">
        <v>1316</v>
      </c>
      <c r="H80" s="572" t="s">
        <v>1317</v>
      </c>
      <c r="I80" s="572" t="s">
        <v>1471</v>
      </c>
      <c r="J80" s="262"/>
      <c r="K80" s="262">
        <v>0.22</v>
      </c>
      <c r="L80" s="572"/>
      <c r="M80" s="262"/>
      <c r="N80" s="572"/>
      <c r="O80" s="572"/>
      <c r="P80" s="572"/>
      <c r="Q80" s="572"/>
      <c r="R80" s="262"/>
      <c r="S80" s="572"/>
      <c r="T80" s="348"/>
    </row>
    <row r="81" spans="1:20" s="385" customFormat="1" ht="15" customHeight="1" x14ac:dyDescent="0.25">
      <c r="A81" s="1136"/>
      <c r="B81" s="1114"/>
      <c r="C81" s="1110"/>
      <c r="D81" s="1110"/>
      <c r="E81" s="575"/>
      <c r="F81" s="584"/>
      <c r="G81" s="572" t="s">
        <v>14</v>
      </c>
      <c r="H81" s="572" t="s">
        <v>15</v>
      </c>
      <c r="I81" s="572" t="s">
        <v>1512</v>
      </c>
      <c r="J81" s="262"/>
      <c r="K81" s="262">
        <v>0.2</v>
      </c>
      <c r="L81" s="572"/>
      <c r="M81" s="262"/>
      <c r="N81" s="572"/>
      <c r="O81" s="572"/>
      <c r="P81" s="572"/>
      <c r="Q81" s="572"/>
      <c r="R81" s="262"/>
      <c r="S81" s="572"/>
      <c r="T81" s="348"/>
    </row>
    <row r="82" spans="1:20" s="385" customFormat="1" ht="15" customHeight="1" x14ac:dyDescent="0.25">
      <c r="A82" s="1136"/>
      <c r="B82" s="1114"/>
      <c r="C82" s="1110"/>
      <c r="D82" s="1110"/>
      <c r="E82" s="575"/>
      <c r="F82" s="584"/>
      <c r="G82" s="572" t="s">
        <v>530</v>
      </c>
      <c r="H82" s="572" t="s">
        <v>531</v>
      </c>
      <c r="I82" s="572" t="s">
        <v>1635</v>
      </c>
      <c r="J82" s="262"/>
      <c r="K82" s="262">
        <v>1</v>
      </c>
      <c r="L82" s="572"/>
      <c r="M82" s="262"/>
      <c r="N82" s="572"/>
      <c r="O82" s="572"/>
      <c r="P82" s="572"/>
      <c r="Q82" s="572"/>
      <c r="R82" s="262"/>
      <c r="S82" s="572"/>
      <c r="T82" s="348"/>
    </row>
    <row r="83" spans="1:20" s="385" customFormat="1" ht="15" customHeight="1" x14ac:dyDescent="0.25">
      <c r="A83" s="1136"/>
      <c r="B83" s="1114"/>
      <c r="C83" s="1110"/>
      <c r="D83" s="1110"/>
      <c r="E83" s="575"/>
      <c r="F83" s="584"/>
      <c r="G83" s="1102" t="s">
        <v>2010</v>
      </c>
      <c r="H83" s="1103"/>
      <c r="I83" s="1103"/>
      <c r="J83" s="1103"/>
      <c r="K83" s="1103"/>
      <c r="L83" s="1103"/>
      <c r="M83" s="1103"/>
      <c r="N83" s="572"/>
      <c r="O83" s="572"/>
      <c r="P83" s="572"/>
      <c r="Q83" s="572"/>
      <c r="R83" s="262"/>
      <c r="S83" s="572"/>
      <c r="T83" s="348"/>
    </row>
    <row r="84" spans="1:20" s="385" customFormat="1" ht="15" customHeight="1" x14ac:dyDescent="0.25">
      <c r="A84" s="1136"/>
      <c r="B84" s="1114"/>
      <c r="C84" s="1110"/>
      <c r="D84" s="1110"/>
      <c r="E84" s="575"/>
      <c r="F84" s="584"/>
      <c r="G84" s="1105"/>
      <c r="H84" s="1105"/>
      <c r="I84" s="1105"/>
      <c r="J84" s="414"/>
      <c r="K84" s="519"/>
      <c r="L84" s="580"/>
      <c r="M84" s="519"/>
      <c r="N84" s="572"/>
      <c r="O84" s="572"/>
      <c r="P84" s="572"/>
      <c r="Q84" s="572"/>
      <c r="R84" s="262"/>
      <c r="S84" s="572"/>
      <c r="T84" s="348"/>
    </row>
    <row r="85" spans="1:20" s="385" customFormat="1" ht="15" customHeight="1" x14ac:dyDescent="0.25">
      <c r="A85" s="1136"/>
      <c r="B85" s="1114"/>
      <c r="C85" s="1110"/>
      <c r="D85" s="1110"/>
      <c r="E85" s="575"/>
      <c r="F85" s="584"/>
      <c r="G85" s="1102" t="s">
        <v>2266</v>
      </c>
      <c r="H85" s="1103"/>
      <c r="I85" s="1103"/>
      <c r="J85" s="1103"/>
      <c r="K85" s="1103"/>
      <c r="L85" s="1103"/>
      <c r="M85" s="1103"/>
      <c r="N85" s="572"/>
      <c r="O85" s="572"/>
      <c r="P85" s="572"/>
      <c r="Q85" s="572"/>
      <c r="R85" s="262"/>
      <c r="S85" s="572"/>
      <c r="T85" s="348"/>
    </row>
    <row r="86" spans="1:20" s="385" customFormat="1" ht="15" customHeight="1" x14ac:dyDescent="0.25">
      <c r="A86" s="1136"/>
      <c r="B86" s="1114"/>
      <c r="C86" s="1110"/>
      <c r="D86" s="1110"/>
      <c r="E86" s="575"/>
      <c r="F86" s="584"/>
      <c r="G86" s="572" t="s">
        <v>2335</v>
      </c>
      <c r="H86" s="572" t="s">
        <v>2336</v>
      </c>
      <c r="I86" s="572" t="s">
        <v>2424</v>
      </c>
      <c r="J86" s="262"/>
      <c r="K86" s="262">
        <f>0.005*0.9</f>
        <v>4.5000000000000005E-3</v>
      </c>
      <c r="L86" s="572"/>
      <c r="M86" s="262"/>
      <c r="N86" s="572"/>
      <c r="O86" s="572"/>
      <c r="P86" s="572"/>
      <c r="Q86" s="572"/>
      <c r="R86" s="262"/>
      <c r="S86" s="572"/>
      <c r="T86" s="348"/>
    </row>
    <row r="87" spans="1:20" s="385" customFormat="1" ht="15" customHeight="1" x14ac:dyDescent="0.25">
      <c r="A87" s="577"/>
      <c r="B87" s="579"/>
      <c r="C87" s="575"/>
      <c r="D87" s="575"/>
      <c r="E87" s="575"/>
      <c r="F87" s="584"/>
      <c r="G87" s="1102" t="s">
        <v>14978</v>
      </c>
      <c r="H87" s="1103"/>
      <c r="I87" s="1103"/>
      <c r="J87" s="1103"/>
      <c r="K87" s="1103"/>
      <c r="L87" s="1103"/>
      <c r="M87" s="1103"/>
      <c r="N87" s="572"/>
      <c r="O87" s="572"/>
      <c r="P87" s="572"/>
      <c r="Q87" s="572"/>
      <c r="R87" s="262"/>
      <c r="S87" s="572"/>
      <c r="T87" s="348"/>
    </row>
    <row r="88" spans="1:20" s="385" customFormat="1" ht="15" customHeight="1" x14ac:dyDescent="0.25">
      <c r="A88" s="577"/>
      <c r="B88" s="579"/>
      <c r="C88" s="575"/>
      <c r="D88" s="575"/>
      <c r="E88" s="575"/>
      <c r="F88" s="584"/>
      <c r="G88" s="573" t="s">
        <v>17224</v>
      </c>
      <c r="H88" s="573" t="s">
        <v>17225</v>
      </c>
      <c r="I88" s="573" t="s">
        <v>17226</v>
      </c>
      <c r="J88" s="414"/>
      <c r="K88" s="519">
        <f>1.5*0.15</f>
        <v>0.22499999999999998</v>
      </c>
      <c r="L88" s="580"/>
      <c r="M88" s="519"/>
      <c r="N88" s="572"/>
      <c r="O88" s="572"/>
      <c r="P88" s="572"/>
      <c r="Q88" s="572"/>
      <c r="R88" s="262"/>
      <c r="S88" s="572"/>
      <c r="T88" s="348"/>
    </row>
    <row r="89" spans="1:20" s="385" customFormat="1" ht="15" customHeight="1" x14ac:dyDescent="0.25">
      <c r="A89" s="577"/>
      <c r="B89" s="579"/>
      <c r="C89" s="575"/>
      <c r="D89" s="575"/>
      <c r="E89" s="575"/>
      <c r="F89" s="584"/>
      <c r="G89" s="1099" t="s">
        <v>2262</v>
      </c>
      <c r="H89" s="1099"/>
      <c r="I89" s="1099"/>
      <c r="J89" s="994">
        <f>0.508*0.9</f>
        <v>0.4572</v>
      </c>
      <c r="K89" s="995"/>
      <c r="L89" s="580"/>
      <c r="M89" s="519"/>
      <c r="N89" s="572"/>
      <c r="O89" s="572"/>
      <c r="P89" s="572"/>
      <c r="Q89" s="572"/>
      <c r="R89" s="262"/>
      <c r="S89" s="572"/>
      <c r="T89" s="348"/>
    </row>
    <row r="90" spans="1:20" s="385" customFormat="1" ht="15" customHeight="1" x14ac:dyDescent="0.25">
      <c r="A90" s="577"/>
      <c r="B90" s="579"/>
      <c r="C90" s="575"/>
      <c r="D90" s="575"/>
      <c r="E90" s="575"/>
      <c r="F90" s="584"/>
      <c r="G90" s="1102" t="s">
        <v>18842</v>
      </c>
      <c r="H90" s="1103"/>
      <c r="I90" s="1103"/>
      <c r="J90" s="1103"/>
      <c r="K90" s="1103"/>
      <c r="L90" s="1103"/>
      <c r="M90" s="1103"/>
      <c r="N90" s="350"/>
      <c r="O90" s="350"/>
      <c r="P90" s="350"/>
      <c r="Q90" s="350"/>
      <c r="R90" s="351"/>
      <c r="S90" s="350"/>
      <c r="T90" s="352"/>
    </row>
    <row r="91" spans="1:20" s="385" customFormat="1" ht="15" customHeight="1" x14ac:dyDescent="0.25">
      <c r="A91" s="577"/>
      <c r="B91" s="579"/>
      <c r="C91" s="575"/>
      <c r="D91" s="575"/>
      <c r="E91" s="575"/>
      <c r="F91" s="584"/>
      <c r="G91" s="354" t="s">
        <v>18843</v>
      </c>
      <c r="H91" s="354" t="s">
        <v>18844</v>
      </c>
      <c r="I91" s="354" t="s">
        <v>18845</v>
      </c>
      <c r="J91" s="594">
        <f>0.015*0.9</f>
        <v>1.35E-2</v>
      </c>
      <c r="K91" s="594"/>
      <c r="L91" s="345"/>
      <c r="M91" s="594"/>
      <c r="N91" s="350"/>
      <c r="O91" s="350"/>
      <c r="P91" s="350"/>
      <c r="Q91" s="350"/>
      <c r="R91" s="351"/>
      <c r="S91" s="350"/>
      <c r="T91" s="352"/>
    </row>
    <row r="92" spans="1:20" s="385" customFormat="1" ht="15" customHeight="1" x14ac:dyDescent="0.25">
      <c r="A92" s="577"/>
      <c r="B92" s="579"/>
      <c r="C92" s="575"/>
      <c r="D92" s="575"/>
      <c r="E92" s="575"/>
      <c r="F92" s="584"/>
      <c r="G92" s="1099" t="s">
        <v>2262</v>
      </c>
      <c r="H92" s="1099"/>
      <c r="I92" s="1099"/>
      <c r="J92" s="994">
        <f>0.519*0.9*0.6</f>
        <v>0.28026000000000001</v>
      </c>
      <c r="K92" s="995"/>
      <c r="L92" s="345"/>
      <c r="M92" s="594"/>
      <c r="N92" s="350"/>
      <c r="O92" s="350"/>
      <c r="P92" s="350"/>
      <c r="Q92" s="350"/>
      <c r="R92" s="351"/>
      <c r="S92" s="350"/>
      <c r="T92" s="352"/>
    </row>
    <row r="93" spans="1:20" s="385" customFormat="1" ht="15" customHeight="1" x14ac:dyDescent="0.25">
      <c r="A93" s="777"/>
      <c r="B93" s="778"/>
      <c r="C93" s="779"/>
      <c r="D93" s="779"/>
      <c r="E93" s="779"/>
      <c r="F93" s="783"/>
      <c r="G93" s="1102" t="s">
        <v>19748</v>
      </c>
      <c r="H93" s="1103"/>
      <c r="I93" s="1103"/>
      <c r="J93" s="1103"/>
      <c r="K93" s="1103"/>
      <c r="L93" s="1103"/>
      <c r="M93" s="1103"/>
      <c r="N93" s="350"/>
      <c r="O93" s="350"/>
      <c r="P93" s="350"/>
      <c r="Q93" s="350"/>
      <c r="R93" s="351"/>
      <c r="S93" s="350"/>
      <c r="T93" s="352"/>
    </row>
    <row r="94" spans="1:20" s="385" customFormat="1" ht="15" customHeight="1" x14ac:dyDescent="0.25">
      <c r="A94" s="777"/>
      <c r="B94" s="778"/>
      <c r="C94" s="779"/>
      <c r="D94" s="779"/>
      <c r="E94" s="779"/>
      <c r="F94" s="783"/>
      <c r="G94" s="781" t="s">
        <v>19749</v>
      </c>
      <c r="H94" s="781" t="s">
        <v>19750</v>
      </c>
      <c r="I94" s="781" t="s">
        <v>19751</v>
      </c>
      <c r="J94" s="519">
        <f>0.021*0.9</f>
        <v>1.89E-2</v>
      </c>
      <c r="K94" s="519"/>
      <c r="L94" s="345"/>
      <c r="M94" s="774"/>
      <c r="N94" s="350"/>
      <c r="O94" s="350"/>
      <c r="P94" s="350"/>
      <c r="Q94" s="350"/>
      <c r="R94" s="351"/>
      <c r="S94" s="350"/>
      <c r="T94" s="352"/>
    </row>
    <row r="95" spans="1:20" ht="15" customHeight="1" thickBot="1" x14ac:dyDescent="0.3">
      <c r="A95" s="394"/>
      <c r="B95" s="399"/>
      <c r="C95" s="400"/>
      <c r="D95" s="400"/>
      <c r="E95" s="400"/>
      <c r="F95" s="401"/>
      <c r="G95" s="1096" t="s">
        <v>1199</v>
      </c>
      <c r="H95" s="1096"/>
      <c r="I95" s="1096"/>
      <c r="J95" s="544"/>
      <c r="K95" s="247">
        <f>SUM(J88:K94)</f>
        <v>0.99485999999999997</v>
      </c>
      <c r="L95" s="569">
        <v>0.92</v>
      </c>
      <c r="M95" s="247">
        <f>K95/L95</f>
        <v>1.0813695652173911</v>
      </c>
      <c r="N95" s="1096" t="s">
        <v>1199</v>
      </c>
      <c r="O95" s="1096"/>
      <c r="P95" s="1096"/>
      <c r="Q95" s="569"/>
      <c r="R95" s="247">
        <f>SUM(R78:R84)</f>
        <v>0</v>
      </c>
      <c r="S95" s="569">
        <v>0.92</v>
      </c>
      <c r="T95" s="249">
        <f>R95/S95</f>
        <v>0</v>
      </c>
    </row>
    <row r="96" spans="1:20" ht="15" customHeight="1" x14ac:dyDescent="0.25">
      <c r="A96" s="576" t="str">
        <f>Итоговая!C161</f>
        <v xml:space="preserve"> ПС 35/10 кВ Волга </v>
      </c>
      <c r="B96" s="578">
        <f>Итоговая!D161</f>
        <v>6.3</v>
      </c>
      <c r="C96" s="574" t="str">
        <f>Итоговая!E161</f>
        <v>+</v>
      </c>
      <c r="D96" s="574">
        <f>Итоговая!F161</f>
        <v>6.3</v>
      </c>
      <c r="E96" s="574"/>
      <c r="F96" s="583"/>
      <c r="G96" s="355"/>
      <c r="H96" s="355"/>
      <c r="I96" s="355"/>
      <c r="J96" s="216"/>
      <c r="K96" s="216"/>
      <c r="L96" s="355"/>
      <c r="M96" s="264"/>
      <c r="N96" s="355"/>
      <c r="O96" s="355"/>
      <c r="P96" s="355"/>
      <c r="Q96" s="355"/>
      <c r="R96" s="216"/>
      <c r="S96" s="355"/>
      <c r="T96" s="217"/>
    </row>
    <row r="97" spans="1:20" ht="15" customHeight="1" thickBot="1" x14ac:dyDescent="0.3">
      <c r="A97" s="394"/>
      <c r="B97" s="399"/>
      <c r="C97" s="400"/>
      <c r="D97" s="400"/>
      <c r="E97" s="400"/>
      <c r="F97" s="401"/>
      <c r="G97" s="1096" t="s">
        <v>1199</v>
      </c>
      <c r="H97" s="1096"/>
      <c r="I97" s="1096"/>
      <c r="J97" s="544"/>
      <c r="K97" s="247">
        <f>SUM(K96)</f>
        <v>0</v>
      </c>
      <c r="L97" s="569">
        <v>0.92</v>
      </c>
      <c r="M97" s="247">
        <f>K97/L97</f>
        <v>0</v>
      </c>
      <c r="N97" s="1096" t="s">
        <v>1199</v>
      </c>
      <c r="O97" s="1096"/>
      <c r="P97" s="1096"/>
      <c r="Q97" s="569"/>
      <c r="R97" s="247">
        <f>SUM(R96)</f>
        <v>0</v>
      </c>
      <c r="S97" s="569">
        <v>0.92</v>
      </c>
      <c r="T97" s="249">
        <f>R97/S97</f>
        <v>0</v>
      </c>
    </row>
    <row r="98" spans="1:20" s="385" customFormat="1" ht="15" customHeight="1" x14ac:dyDescent="0.25">
      <c r="A98" s="1111" t="str">
        <f>Итоговая!C162</f>
        <v xml:space="preserve">ПС 35/10 кВ Ильинское </v>
      </c>
      <c r="B98" s="1113">
        <f>Итоговая!D162</f>
        <v>4</v>
      </c>
      <c r="C98" s="1109" t="str">
        <f>Итоговая!E162</f>
        <v>+</v>
      </c>
      <c r="D98" s="1109">
        <f>Итоговая!F162</f>
        <v>2.5</v>
      </c>
      <c r="E98" s="574"/>
      <c r="F98" s="583"/>
      <c r="G98" s="1100" t="s">
        <v>1324</v>
      </c>
      <c r="H98" s="1101"/>
      <c r="I98" s="1101"/>
      <c r="J98" s="1101"/>
      <c r="K98" s="1101"/>
      <c r="L98" s="1101"/>
      <c r="M98" s="1101"/>
      <c r="N98" s="1125"/>
      <c r="O98" s="1125"/>
      <c r="P98" s="1125"/>
      <c r="Q98" s="1125"/>
      <c r="R98" s="1125"/>
      <c r="S98" s="1125"/>
      <c r="T98" s="1126"/>
    </row>
    <row r="99" spans="1:20" s="385" customFormat="1" ht="15" customHeight="1" x14ac:dyDescent="0.25">
      <c r="A99" s="1112"/>
      <c r="B99" s="1114"/>
      <c r="C99" s="1110"/>
      <c r="D99" s="1110"/>
      <c r="E99" s="575"/>
      <c r="F99" s="584"/>
      <c r="G99" s="572" t="s">
        <v>56</v>
      </c>
      <c r="H99" s="572" t="s">
        <v>57</v>
      </c>
      <c r="I99" s="572" t="s">
        <v>1519</v>
      </c>
      <c r="J99" s="262"/>
      <c r="K99" s="262">
        <v>0.2</v>
      </c>
      <c r="L99" s="572"/>
      <c r="M99" s="262"/>
      <c r="N99" s="572"/>
      <c r="O99" s="572"/>
      <c r="P99" s="572"/>
      <c r="Q99" s="572"/>
      <c r="R99" s="262"/>
      <c r="S99" s="572"/>
      <c r="T99" s="348"/>
    </row>
    <row r="100" spans="1:20" s="385" customFormat="1" ht="15" customHeight="1" x14ac:dyDescent="0.25">
      <c r="A100" s="577"/>
      <c r="B100" s="579"/>
      <c r="C100" s="575"/>
      <c r="D100" s="575"/>
      <c r="E100" s="575"/>
      <c r="F100" s="584"/>
      <c r="G100" s="1102" t="s">
        <v>1645</v>
      </c>
      <c r="H100" s="1103"/>
      <c r="I100" s="1103"/>
      <c r="J100" s="1103"/>
      <c r="K100" s="1103"/>
      <c r="L100" s="1103"/>
      <c r="M100" s="1103"/>
      <c r="N100" s="572"/>
      <c r="O100" s="572"/>
      <c r="P100" s="572"/>
      <c r="Q100" s="572"/>
      <c r="R100" s="262"/>
      <c r="S100" s="572"/>
      <c r="T100" s="348"/>
    </row>
    <row r="101" spans="1:20" s="385" customFormat="1" ht="15" customHeight="1" x14ac:dyDescent="0.25">
      <c r="A101" s="577"/>
      <c r="B101" s="579"/>
      <c r="C101" s="575"/>
      <c r="D101" s="575"/>
      <c r="E101" s="575"/>
      <c r="F101" s="584"/>
      <c r="G101" s="572" t="s">
        <v>1809</v>
      </c>
      <c r="H101" s="572" t="s">
        <v>1810</v>
      </c>
      <c r="I101" s="572" t="s">
        <v>1811</v>
      </c>
      <c r="J101" s="262"/>
      <c r="K101" s="262">
        <f>0.06-0.015</f>
        <v>4.4999999999999998E-2</v>
      </c>
      <c r="L101" s="572"/>
      <c r="M101" s="262"/>
      <c r="N101" s="572"/>
      <c r="O101" s="572"/>
      <c r="P101" s="572"/>
      <c r="Q101" s="572"/>
      <c r="R101" s="262"/>
      <c r="S101" s="572"/>
      <c r="T101" s="348"/>
    </row>
    <row r="102" spans="1:20" s="385" customFormat="1" ht="15" customHeight="1" x14ac:dyDescent="0.25">
      <c r="A102" s="577"/>
      <c r="B102" s="579"/>
      <c r="C102" s="575"/>
      <c r="D102" s="575"/>
      <c r="E102" s="575"/>
      <c r="F102" s="584"/>
      <c r="G102" s="1102" t="s">
        <v>14933</v>
      </c>
      <c r="H102" s="1103"/>
      <c r="I102" s="1103"/>
      <c r="J102" s="1103"/>
      <c r="K102" s="1103"/>
      <c r="L102" s="1103"/>
      <c r="M102" s="1103"/>
      <c r="N102" s="572"/>
      <c r="O102" s="572"/>
      <c r="P102" s="572"/>
      <c r="Q102" s="572"/>
      <c r="R102" s="262"/>
      <c r="S102" s="572"/>
      <c r="T102" s="348"/>
    </row>
    <row r="103" spans="1:20" s="385" customFormat="1" ht="15" customHeight="1" x14ac:dyDescent="0.25">
      <c r="A103" s="577"/>
      <c r="B103" s="579"/>
      <c r="C103" s="575"/>
      <c r="D103" s="575"/>
      <c r="E103" s="575"/>
      <c r="F103" s="584"/>
      <c r="G103" s="1099" t="s">
        <v>2262</v>
      </c>
      <c r="H103" s="1099"/>
      <c r="I103" s="1099"/>
      <c r="J103" s="994">
        <f>0.2975*0.9*0.6</f>
        <v>0.16064999999999999</v>
      </c>
      <c r="K103" s="995"/>
      <c r="L103" s="580"/>
      <c r="M103" s="519"/>
      <c r="N103" s="572"/>
      <c r="O103" s="572"/>
      <c r="P103" s="572"/>
      <c r="Q103" s="572"/>
      <c r="R103" s="262"/>
      <c r="S103" s="572"/>
      <c r="T103" s="348"/>
    </row>
    <row r="104" spans="1:20" s="385" customFormat="1" ht="15" customHeight="1" x14ac:dyDescent="0.25">
      <c r="A104" s="577"/>
      <c r="B104" s="579"/>
      <c r="C104" s="575"/>
      <c r="D104" s="575"/>
      <c r="E104" s="575"/>
      <c r="F104" s="584"/>
      <c r="G104" s="1102" t="s">
        <v>18842</v>
      </c>
      <c r="H104" s="1103"/>
      <c r="I104" s="1103"/>
      <c r="J104" s="1103"/>
      <c r="K104" s="1103"/>
      <c r="L104" s="1103"/>
      <c r="M104" s="1103"/>
      <c r="N104" s="350"/>
      <c r="O104" s="350"/>
      <c r="P104" s="350"/>
      <c r="Q104" s="350"/>
      <c r="R104" s="351"/>
      <c r="S104" s="350"/>
      <c r="T104" s="352"/>
    </row>
    <row r="105" spans="1:20" s="385" customFormat="1" ht="15" customHeight="1" x14ac:dyDescent="0.25">
      <c r="A105" s="577"/>
      <c r="B105" s="579"/>
      <c r="C105" s="575"/>
      <c r="D105" s="575"/>
      <c r="E105" s="575"/>
      <c r="F105" s="584"/>
      <c r="G105" s="1099" t="s">
        <v>2262</v>
      </c>
      <c r="H105" s="1099"/>
      <c r="I105" s="1099"/>
      <c r="J105" s="994">
        <f>0.713*0.9*0.6</f>
        <v>0.38501999999999997</v>
      </c>
      <c r="K105" s="995"/>
      <c r="L105" s="345"/>
      <c r="M105" s="594"/>
      <c r="N105" s="350"/>
      <c r="O105" s="350"/>
      <c r="P105" s="350"/>
      <c r="Q105" s="350"/>
      <c r="R105" s="351"/>
      <c r="S105" s="350"/>
      <c r="T105" s="352"/>
    </row>
    <row r="106" spans="1:20" ht="15" customHeight="1" thickBot="1" x14ac:dyDescent="0.3">
      <c r="A106" s="394"/>
      <c r="B106" s="399"/>
      <c r="C106" s="400"/>
      <c r="D106" s="400"/>
      <c r="E106" s="400"/>
      <c r="F106" s="401"/>
      <c r="G106" s="1096" t="s">
        <v>1199</v>
      </c>
      <c r="H106" s="1096"/>
      <c r="I106" s="1096"/>
      <c r="J106" s="544"/>
      <c r="K106" s="247">
        <f>SUM(J103:K105)</f>
        <v>0.54566999999999999</v>
      </c>
      <c r="L106" s="569">
        <v>0.92</v>
      </c>
      <c r="M106" s="247">
        <f>K106/L106</f>
        <v>0.59311956521739129</v>
      </c>
      <c r="N106" s="1096" t="s">
        <v>1199</v>
      </c>
      <c r="O106" s="1096"/>
      <c r="P106" s="1096"/>
      <c r="Q106" s="569"/>
      <c r="R106" s="247">
        <f>SUM(R99:R100)</f>
        <v>0</v>
      </c>
      <c r="S106" s="569">
        <v>0.92</v>
      </c>
      <c r="T106" s="249">
        <f>R106/S106</f>
        <v>0</v>
      </c>
    </row>
    <row r="107" spans="1:20" s="385" customFormat="1" ht="15" customHeight="1" x14ac:dyDescent="0.25">
      <c r="A107" s="1111" t="str">
        <f>Итоговая!C163</f>
        <v xml:space="preserve">ПС  35/10 кВ Калязин </v>
      </c>
      <c r="B107" s="1113">
        <f>Итоговая!D163</f>
        <v>6.3</v>
      </c>
      <c r="C107" s="1109" t="str">
        <f>Итоговая!E163</f>
        <v>+</v>
      </c>
      <c r="D107" s="1109">
        <f>Итоговая!F163</f>
        <v>6.3</v>
      </c>
      <c r="E107" s="574"/>
      <c r="F107" s="583"/>
      <c r="G107" s="1100" t="s">
        <v>1676</v>
      </c>
      <c r="H107" s="1101"/>
      <c r="I107" s="1101"/>
      <c r="J107" s="1101"/>
      <c r="K107" s="1101"/>
      <c r="L107" s="1101"/>
      <c r="M107" s="1101"/>
      <c r="N107" s="1125"/>
      <c r="O107" s="1125"/>
      <c r="P107" s="1125"/>
      <c r="Q107" s="1125"/>
      <c r="R107" s="1125"/>
      <c r="S107" s="1125"/>
      <c r="T107" s="1126"/>
    </row>
    <row r="108" spans="1:20" s="385" customFormat="1" ht="15" customHeight="1" x14ac:dyDescent="0.25">
      <c r="A108" s="1112"/>
      <c r="B108" s="1114"/>
      <c r="C108" s="1110"/>
      <c r="D108" s="1110"/>
      <c r="E108" s="575"/>
      <c r="F108" s="584"/>
      <c r="G108" s="356" t="s">
        <v>1220</v>
      </c>
      <c r="H108" s="356" t="s">
        <v>831</v>
      </c>
      <c r="I108" s="356" t="s">
        <v>832</v>
      </c>
      <c r="J108" s="357"/>
      <c r="K108" s="357">
        <v>3.0000000000000001E-3</v>
      </c>
      <c r="L108" s="356"/>
      <c r="M108" s="357"/>
      <c r="N108" s="356"/>
      <c r="O108" s="356"/>
      <c r="P108" s="356"/>
      <c r="Q108" s="356"/>
      <c r="R108" s="357"/>
      <c r="S108" s="356"/>
      <c r="T108" s="358"/>
    </row>
    <row r="109" spans="1:20" s="385" customFormat="1" ht="15" customHeight="1" x14ac:dyDescent="0.25">
      <c r="A109" s="577"/>
      <c r="B109" s="579"/>
      <c r="C109" s="575"/>
      <c r="D109" s="575"/>
      <c r="E109" s="575"/>
      <c r="F109" s="584"/>
      <c r="G109" s="356" t="s">
        <v>1220</v>
      </c>
      <c r="H109" s="356" t="s">
        <v>833</v>
      </c>
      <c r="I109" s="356" t="s">
        <v>834</v>
      </c>
      <c r="J109" s="357"/>
      <c r="K109" s="357">
        <v>2E-3</v>
      </c>
      <c r="L109" s="356"/>
      <c r="M109" s="357"/>
      <c r="N109" s="356"/>
      <c r="O109" s="356"/>
      <c r="P109" s="356"/>
      <c r="Q109" s="356"/>
      <c r="R109" s="357"/>
      <c r="S109" s="356"/>
      <c r="T109" s="358"/>
    </row>
    <row r="110" spans="1:20" s="385" customFormat="1" ht="15" customHeight="1" x14ac:dyDescent="0.25">
      <c r="A110" s="577"/>
      <c r="B110" s="579"/>
      <c r="C110" s="575"/>
      <c r="D110" s="575"/>
      <c r="E110" s="575"/>
      <c r="F110" s="584"/>
      <c r="G110" s="1102" t="s">
        <v>1288</v>
      </c>
      <c r="H110" s="1103"/>
      <c r="I110" s="1103"/>
      <c r="J110" s="1103"/>
      <c r="K110" s="1103"/>
      <c r="L110" s="1103"/>
      <c r="M110" s="1103"/>
      <c r="N110" s="356"/>
      <c r="O110" s="356"/>
      <c r="P110" s="356"/>
      <c r="Q110" s="356"/>
      <c r="R110" s="357"/>
      <c r="S110" s="356"/>
      <c r="T110" s="358"/>
    </row>
    <row r="111" spans="1:20" s="385" customFormat="1" ht="15" customHeight="1" x14ac:dyDescent="0.25">
      <c r="A111" s="577"/>
      <c r="B111" s="579"/>
      <c r="C111" s="575"/>
      <c r="D111" s="575"/>
      <c r="E111" s="575"/>
      <c r="F111" s="584"/>
      <c r="G111" s="356" t="s">
        <v>453</v>
      </c>
      <c r="H111" s="356" t="s">
        <v>454</v>
      </c>
      <c r="I111" s="356" t="s">
        <v>455</v>
      </c>
      <c r="J111" s="357"/>
      <c r="K111" s="357">
        <v>7.2999999999999995E-2</v>
      </c>
      <c r="L111" s="356"/>
      <c r="M111" s="357"/>
      <c r="N111" s="356"/>
      <c r="O111" s="356"/>
      <c r="P111" s="356"/>
      <c r="Q111" s="356"/>
      <c r="R111" s="357"/>
      <c r="S111" s="356"/>
      <c r="T111" s="358"/>
    </row>
    <row r="112" spans="1:20" s="385" customFormat="1" ht="15" customHeight="1" x14ac:dyDescent="0.25">
      <c r="A112" s="577"/>
      <c r="B112" s="579"/>
      <c r="C112" s="575"/>
      <c r="D112" s="575"/>
      <c r="E112" s="575"/>
      <c r="F112" s="584"/>
      <c r="G112" s="1102" t="s">
        <v>1286</v>
      </c>
      <c r="H112" s="1103"/>
      <c r="I112" s="1103"/>
      <c r="J112" s="1103"/>
      <c r="K112" s="1103"/>
      <c r="L112" s="1103"/>
      <c r="M112" s="1103"/>
      <c r="N112" s="1129"/>
      <c r="O112" s="1129"/>
      <c r="P112" s="1129"/>
      <c r="Q112" s="1129"/>
      <c r="R112" s="1129"/>
      <c r="S112" s="1129"/>
      <c r="T112" s="1130"/>
    </row>
    <row r="113" spans="1:20" s="385" customFormat="1" ht="15" customHeight="1" x14ac:dyDescent="0.25">
      <c r="A113" s="577"/>
      <c r="B113" s="402"/>
      <c r="C113" s="403"/>
      <c r="D113" s="403"/>
      <c r="E113" s="403"/>
      <c r="F113" s="404"/>
      <c r="G113" s="356" t="s">
        <v>456</v>
      </c>
      <c r="H113" s="356" t="s">
        <v>457</v>
      </c>
      <c r="I113" s="356" t="s">
        <v>458</v>
      </c>
      <c r="J113" s="357"/>
      <c r="K113" s="357">
        <v>0.2</v>
      </c>
      <c r="L113" s="356"/>
      <c r="M113" s="357"/>
      <c r="N113" s="356"/>
      <c r="O113" s="356"/>
      <c r="P113" s="356"/>
      <c r="Q113" s="356"/>
      <c r="R113" s="357"/>
      <c r="S113" s="356"/>
      <c r="T113" s="358"/>
    </row>
    <row r="114" spans="1:20" s="385" customFormat="1" ht="15" customHeight="1" x14ac:dyDescent="0.25">
      <c r="A114" s="577"/>
      <c r="B114" s="402"/>
      <c r="C114" s="403"/>
      <c r="D114" s="403"/>
      <c r="E114" s="403"/>
      <c r="F114" s="404"/>
      <c r="G114" s="356" t="s">
        <v>821</v>
      </c>
      <c r="H114" s="356" t="s">
        <v>822</v>
      </c>
      <c r="I114" s="356" t="s">
        <v>823</v>
      </c>
      <c r="J114" s="357"/>
      <c r="K114" s="357">
        <v>2.4E-2</v>
      </c>
      <c r="L114" s="356"/>
      <c r="M114" s="357"/>
      <c r="N114" s="356"/>
      <c r="O114" s="356"/>
      <c r="P114" s="356"/>
      <c r="Q114" s="356"/>
      <c r="R114" s="357"/>
      <c r="S114" s="356"/>
      <c r="T114" s="358"/>
    </row>
    <row r="115" spans="1:20" s="385" customFormat="1" ht="15" customHeight="1" x14ac:dyDescent="0.25">
      <c r="A115" s="577"/>
      <c r="B115" s="402"/>
      <c r="C115" s="403"/>
      <c r="D115" s="403"/>
      <c r="E115" s="403"/>
      <c r="F115" s="404"/>
      <c r="G115" s="356" t="s">
        <v>825</v>
      </c>
      <c r="H115" s="572" t="s">
        <v>826</v>
      </c>
      <c r="I115" s="356" t="s">
        <v>827</v>
      </c>
      <c r="J115" s="357"/>
      <c r="K115" s="357">
        <v>0.5</v>
      </c>
      <c r="L115" s="356"/>
      <c r="M115" s="357"/>
      <c r="N115" s="356"/>
      <c r="O115" s="572"/>
      <c r="P115" s="356"/>
      <c r="Q115" s="356"/>
      <c r="R115" s="357"/>
      <c r="S115" s="356"/>
      <c r="T115" s="358"/>
    </row>
    <row r="116" spans="1:20" s="385" customFormat="1" ht="15" customHeight="1" x14ac:dyDescent="0.25">
      <c r="A116" s="577"/>
      <c r="B116" s="402"/>
      <c r="C116" s="403"/>
      <c r="D116" s="403"/>
      <c r="E116" s="403"/>
      <c r="F116" s="404"/>
      <c r="G116" s="356" t="s">
        <v>828</v>
      </c>
      <c r="H116" s="356" t="s">
        <v>829</v>
      </c>
      <c r="I116" s="356" t="s">
        <v>830</v>
      </c>
      <c r="J116" s="357"/>
      <c r="K116" s="357">
        <v>0.74</v>
      </c>
      <c r="L116" s="356"/>
      <c r="M116" s="357"/>
      <c r="N116" s="356"/>
      <c r="O116" s="356"/>
      <c r="P116" s="356"/>
      <c r="Q116" s="356"/>
      <c r="R116" s="357"/>
      <c r="S116" s="356"/>
      <c r="T116" s="358"/>
    </row>
    <row r="117" spans="1:20" s="385" customFormat="1" ht="15" customHeight="1" x14ac:dyDescent="0.25">
      <c r="A117" s="577"/>
      <c r="B117" s="402"/>
      <c r="C117" s="403"/>
      <c r="D117" s="403"/>
      <c r="E117" s="403"/>
      <c r="F117" s="404"/>
      <c r="G117" s="356" t="s">
        <v>459</v>
      </c>
      <c r="H117" s="356" t="s">
        <v>824</v>
      </c>
      <c r="I117" s="356" t="s">
        <v>60</v>
      </c>
      <c r="J117" s="357"/>
      <c r="K117" s="357">
        <v>7.0000000000000007E-2</v>
      </c>
      <c r="L117" s="356"/>
      <c r="M117" s="357"/>
      <c r="N117" s="356"/>
      <c r="O117" s="356"/>
      <c r="P117" s="356"/>
      <c r="Q117" s="356"/>
      <c r="R117" s="357"/>
      <c r="S117" s="356"/>
      <c r="T117" s="358"/>
    </row>
    <row r="118" spans="1:20" s="385" customFormat="1" ht="15" customHeight="1" x14ac:dyDescent="0.25">
      <c r="A118" s="577"/>
      <c r="B118" s="402"/>
      <c r="C118" s="403"/>
      <c r="D118" s="403"/>
      <c r="E118" s="403"/>
      <c r="F118" s="404"/>
      <c r="G118" s="1102" t="s">
        <v>1324</v>
      </c>
      <c r="H118" s="1103"/>
      <c r="I118" s="1103"/>
      <c r="J118" s="1103"/>
      <c r="K118" s="1103"/>
      <c r="L118" s="1103"/>
      <c r="M118" s="1103"/>
      <c r="N118" s="356"/>
      <c r="O118" s="356"/>
      <c r="P118" s="356"/>
      <c r="Q118" s="356"/>
      <c r="R118" s="357"/>
      <c r="S118" s="356"/>
      <c r="T118" s="358"/>
    </row>
    <row r="119" spans="1:20" s="385" customFormat="1" ht="15" customHeight="1" x14ac:dyDescent="0.25">
      <c r="A119" s="577"/>
      <c r="B119" s="402"/>
      <c r="C119" s="403"/>
      <c r="D119" s="403"/>
      <c r="E119" s="403"/>
      <c r="F119" s="404"/>
      <c r="G119" s="572" t="s">
        <v>1302</v>
      </c>
      <c r="H119" s="572" t="s">
        <v>1301</v>
      </c>
      <c r="I119" s="356" t="s">
        <v>1486</v>
      </c>
      <c r="J119" s="357"/>
      <c r="K119" s="357">
        <v>0.5</v>
      </c>
      <c r="L119" s="356"/>
      <c r="M119" s="357"/>
      <c r="N119" s="572"/>
      <c r="O119" s="572"/>
      <c r="P119" s="356"/>
      <c r="Q119" s="356"/>
      <c r="R119" s="357"/>
      <c r="S119" s="356"/>
      <c r="T119" s="358"/>
    </row>
    <row r="120" spans="1:20" s="385" customFormat="1" ht="15" customHeight="1" x14ac:dyDescent="0.25">
      <c r="A120" s="577"/>
      <c r="B120" s="402"/>
      <c r="C120" s="403"/>
      <c r="D120" s="403"/>
      <c r="E120" s="403"/>
      <c r="F120" s="404"/>
      <c r="G120" s="572" t="s">
        <v>1884</v>
      </c>
      <c r="H120" s="572" t="s">
        <v>1885</v>
      </c>
      <c r="I120" s="359" t="s">
        <v>1890</v>
      </c>
      <c r="J120" s="302"/>
      <c r="K120" s="357">
        <v>0.03</v>
      </c>
      <c r="L120" s="356"/>
      <c r="M120" s="357"/>
      <c r="N120" s="572"/>
      <c r="O120" s="572"/>
      <c r="P120" s="356"/>
      <c r="Q120" s="356"/>
      <c r="R120" s="357"/>
      <c r="S120" s="356"/>
      <c r="T120" s="358"/>
    </row>
    <row r="121" spans="1:20" s="385" customFormat="1" ht="15" customHeight="1" x14ac:dyDescent="0.25">
      <c r="A121" s="577"/>
      <c r="B121" s="402"/>
      <c r="C121" s="403"/>
      <c r="D121" s="403"/>
      <c r="E121" s="403"/>
      <c r="F121" s="404"/>
      <c r="G121" s="1102" t="s">
        <v>2011</v>
      </c>
      <c r="H121" s="1103"/>
      <c r="I121" s="1103"/>
      <c r="J121" s="1103"/>
      <c r="K121" s="1103"/>
      <c r="L121" s="1103"/>
      <c r="M121" s="1103"/>
      <c r="N121" s="572"/>
      <c r="O121" s="572"/>
      <c r="P121" s="356"/>
      <c r="Q121" s="356"/>
      <c r="R121" s="357"/>
      <c r="S121" s="356"/>
      <c r="T121" s="358"/>
    </row>
    <row r="122" spans="1:20" s="385" customFormat="1" ht="15" customHeight="1" x14ac:dyDescent="0.25">
      <c r="A122" s="577"/>
      <c r="B122" s="402"/>
      <c r="C122" s="403"/>
      <c r="D122" s="403"/>
      <c r="E122" s="403"/>
      <c r="F122" s="404"/>
      <c r="G122" s="1105"/>
      <c r="H122" s="1105"/>
      <c r="I122" s="1105"/>
      <c r="J122" s="414"/>
      <c r="K122" s="519"/>
      <c r="L122" s="580"/>
      <c r="M122" s="519"/>
      <c r="N122" s="572"/>
      <c r="O122" s="572"/>
      <c r="P122" s="356"/>
      <c r="Q122" s="356"/>
      <c r="R122" s="357"/>
      <c r="S122" s="356"/>
      <c r="T122" s="358"/>
    </row>
    <row r="123" spans="1:20" s="385" customFormat="1" ht="15" customHeight="1" x14ac:dyDescent="0.25">
      <c r="A123" s="577"/>
      <c r="B123" s="402"/>
      <c r="C123" s="403"/>
      <c r="D123" s="403"/>
      <c r="E123" s="403"/>
      <c r="F123" s="404"/>
      <c r="G123" s="1102" t="s">
        <v>2290</v>
      </c>
      <c r="H123" s="1103"/>
      <c r="I123" s="1103"/>
      <c r="J123" s="1103"/>
      <c r="K123" s="1103"/>
      <c r="L123" s="1103"/>
      <c r="M123" s="1103"/>
      <c r="N123" s="572"/>
      <c r="O123" s="572"/>
      <c r="P123" s="356"/>
      <c r="Q123" s="356"/>
      <c r="R123" s="357"/>
      <c r="S123" s="356"/>
      <c r="T123" s="358"/>
    </row>
    <row r="124" spans="1:20" s="385" customFormat="1" ht="15" customHeight="1" x14ac:dyDescent="0.25">
      <c r="A124" s="577"/>
      <c r="B124" s="402"/>
      <c r="C124" s="403"/>
      <c r="D124" s="403"/>
      <c r="E124" s="403"/>
      <c r="F124" s="404"/>
      <c r="G124" s="572" t="s">
        <v>2350</v>
      </c>
      <c r="H124" s="572" t="s">
        <v>2351</v>
      </c>
      <c r="I124" s="573" t="s">
        <v>14837</v>
      </c>
      <c r="J124" s="414"/>
      <c r="K124" s="519">
        <f>0.6*0.9</f>
        <v>0.54</v>
      </c>
      <c r="L124" s="580"/>
      <c r="M124" s="519"/>
      <c r="N124" s="572"/>
      <c r="O124" s="572"/>
      <c r="P124" s="356"/>
      <c r="Q124" s="356"/>
      <c r="R124" s="357"/>
      <c r="S124" s="356"/>
      <c r="T124" s="358"/>
    </row>
    <row r="125" spans="1:20" s="385" customFormat="1" ht="15" customHeight="1" x14ac:dyDescent="0.25">
      <c r="A125" s="577"/>
      <c r="B125" s="402"/>
      <c r="C125" s="403"/>
      <c r="D125" s="403"/>
      <c r="E125" s="403"/>
      <c r="F125" s="404"/>
      <c r="G125" s="1102" t="s">
        <v>14933</v>
      </c>
      <c r="H125" s="1103"/>
      <c r="I125" s="1103"/>
      <c r="J125" s="1103"/>
      <c r="K125" s="1103"/>
      <c r="L125" s="1103"/>
      <c r="M125" s="1103"/>
      <c r="N125" s="572"/>
      <c r="O125" s="572"/>
      <c r="P125" s="356"/>
      <c r="Q125" s="356"/>
      <c r="R125" s="357"/>
      <c r="S125" s="356"/>
      <c r="T125" s="358"/>
    </row>
    <row r="126" spans="1:20" s="385" customFormat="1" ht="15" customHeight="1" x14ac:dyDescent="0.25">
      <c r="A126" s="577"/>
      <c r="B126" s="402"/>
      <c r="C126" s="403"/>
      <c r="D126" s="403"/>
      <c r="E126" s="403"/>
      <c r="F126" s="404"/>
      <c r="G126" s="572" t="s">
        <v>17383</v>
      </c>
      <c r="H126" s="572" t="s">
        <v>17384</v>
      </c>
      <c r="I126" s="573" t="s">
        <v>19687</v>
      </c>
      <c r="J126" s="414"/>
      <c r="K126" s="519">
        <f>(0.1-0.048)*0.9</f>
        <v>4.6800000000000008E-2</v>
      </c>
      <c r="L126" s="580"/>
      <c r="M126" s="519"/>
      <c r="N126" s="572"/>
      <c r="O126" s="572"/>
      <c r="P126" s="356"/>
      <c r="Q126" s="356"/>
      <c r="R126" s="357"/>
      <c r="S126" s="356"/>
      <c r="T126" s="358"/>
    </row>
    <row r="127" spans="1:20" s="385" customFormat="1" ht="15" customHeight="1" x14ac:dyDescent="0.25">
      <c r="A127" s="577"/>
      <c r="B127" s="402"/>
      <c r="C127" s="403"/>
      <c r="D127" s="403"/>
      <c r="E127" s="403"/>
      <c r="F127" s="404"/>
      <c r="G127" s="1099" t="s">
        <v>2262</v>
      </c>
      <c r="H127" s="1099"/>
      <c r="I127" s="1099"/>
      <c r="J127" s="994">
        <f>0.187*0.9*0.6</f>
        <v>0.10098</v>
      </c>
      <c r="K127" s="995"/>
      <c r="L127" s="580"/>
      <c r="M127" s="519"/>
      <c r="N127" s="572"/>
      <c r="O127" s="572"/>
      <c r="P127" s="356"/>
      <c r="Q127" s="356"/>
      <c r="R127" s="357"/>
      <c r="S127" s="356"/>
      <c r="T127" s="358"/>
    </row>
    <row r="128" spans="1:20" s="385" customFormat="1" ht="15" customHeight="1" x14ac:dyDescent="0.25">
      <c r="A128" s="577"/>
      <c r="B128" s="402"/>
      <c r="C128" s="403"/>
      <c r="D128" s="403"/>
      <c r="E128" s="403"/>
      <c r="F128" s="404"/>
      <c r="G128" s="1102" t="s">
        <v>18842</v>
      </c>
      <c r="H128" s="1103"/>
      <c r="I128" s="1103"/>
      <c r="J128" s="1103"/>
      <c r="K128" s="1103"/>
      <c r="L128" s="1103"/>
      <c r="M128" s="1103"/>
      <c r="N128" s="350"/>
      <c r="O128" s="350"/>
      <c r="P128" s="360"/>
      <c r="Q128" s="360"/>
      <c r="R128" s="361"/>
      <c r="S128" s="360"/>
      <c r="T128" s="362"/>
    </row>
    <row r="129" spans="1:20" s="385" customFormat="1" ht="15" customHeight="1" x14ac:dyDescent="0.25">
      <c r="A129" s="577"/>
      <c r="B129" s="402"/>
      <c r="C129" s="403"/>
      <c r="D129" s="403"/>
      <c r="E129" s="403"/>
      <c r="F129" s="404"/>
      <c r="G129" s="573" t="s">
        <v>19688</v>
      </c>
      <c r="H129" s="573" t="s">
        <v>19689</v>
      </c>
      <c r="I129" s="573" t="s">
        <v>19690</v>
      </c>
      <c r="J129" s="573"/>
      <c r="K129" s="573">
        <f>0.1*0.9</f>
        <v>9.0000000000000011E-2</v>
      </c>
      <c r="L129" s="354"/>
      <c r="M129" s="354"/>
      <c r="N129" s="350"/>
      <c r="O129" s="350"/>
      <c r="P129" s="360"/>
      <c r="Q129" s="360"/>
      <c r="R129" s="361"/>
      <c r="S129" s="360"/>
      <c r="T129" s="362"/>
    </row>
    <row r="130" spans="1:20" s="385" customFormat="1" ht="15" customHeight="1" x14ac:dyDescent="0.25">
      <c r="A130" s="577"/>
      <c r="B130" s="402"/>
      <c r="C130" s="403"/>
      <c r="D130" s="403"/>
      <c r="E130" s="403"/>
      <c r="F130" s="404"/>
      <c r="G130" s="1099" t="s">
        <v>2262</v>
      </c>
      <c r="H130" s="1099"/>
      <c r="I130" s="1099"/>
      <c r="J130" s="994">
        <f>0.274*0.9*0.6</f>
        <v>0.14796000000000001</v>
      </c>
      <c r="K130" s="995"/>
      <c r="L130" s="345"/>
      <c r="M130" s="594"/>
      <c r="N130" s="350"/>
      <c r="O130" s="350"/>
      <c r="P130" s="360"/>
      <c r="Q130" s="360"/>
      <c r="R130" s="361"/>
      <c r="S130" s="360"/>
      <c r="T130" s="362"/>
    </row>
    <row r="131" spans="1:20" ht="15" customHeight="1" thickBot="1" x14ac:dyDescent="0.3">
      <c r="A131" s="394"/>
      <c r="B131" s="399"/>
      <c r="C131" s="400"/>
      <c r="D131" s="400"/>
      <c r="E131" s="400"/>
      <c r="F131" s="401"/>
      <c r="G131" s="1096" t="s">
        <v>1199</v>
      </c>
      <c r="H131" s="1096"/>
      <c r="I131" s="1096"/>
      <c r="J131" s="544"/>
      <c r="K131" s="247">
        <f>SUM(J126:K130)</f>
        <v>0.38574000000000008</v>
      </c>
      <c r="L131" s="569">
        <v>0.92</v>
      </c>
      <c r="M131" s="247">
        <f>K131/L131</f>
        <v>0.41928260869565226</v>
      </c>
      <c r="N131" s="1096" t="s">
        <v>1199</v>
      </c>
      <c r="O131" s="1096"/>
      <c r="P131" s="1096"/>
      <c r="Q131" s="569"/>
      <c r="R131" s="247">
        <f>SUM(R113:R119)</f>
        <v>0</v>
      </c>
      <c r="S131" s="569">
        <v>0.92</v>
      </c>
      <c r="T131" s="249">
        <f>R131/S131</f>
        <v>0</v>
      </c>
    </row>
    <row r="132" spans="1:20" ht="15" customHeight="1" x14ac:dyDescent="0.25">
      <c r="A132" s="405" t="str">
        <f>Итоговая!C164</f>
        <v xml:space="preserve">ПС 35/10 кВ Кимры </v>
      </c>
      <c r="B132" s="578">
        <f>Итоговая!D164</f>
        <v>16</v>
      </c>
      <c r="C132" s="574" t="str">
        <f>Итоговая!E164</f>
        <v>+</v>
      </c>
      <c r="D132" s="574">
        <f>Итоговая!F164</f>
        <v>16</v>
      </c>
      <c r="E132" s="574"/>
      <c r="F132" s="583"/>
      <c r="G132" s="355"/>
      <c r="H132" s="355"/>
      <c r="I132" s="355"/>
      <c r="J132" s="216"/>
      <c r="K132" s="216"/>
      <c r="L132" s="355"/>
      <c r="M132" s="264"/>
      <c r="N132" s="355"/>
      <c r="O132" s="355"/>
      <c r="P132" s="355"/>
      <c r="Q132" s="355"/>
      <c r="R132" s="216"/>
      <c r="S132" s="355"/>
      <c r="T132" s="217"/>
    </row>
    <row r="133" spans="1:20" ht="15" customHeight="1" thickBot="1" x14ac:dyDescent="0.3">
      <c r="A133" s="394"/>
      <c r="B133" s="399"/>
      <c r="C133" s="400"/>
      <c r="D133" s="400"/>
      <c r="E133" s="400"/>
      <c r="F133" s="401"/>
      <c r="G133" s="1096" t="s">
        <v>1199</v>
      </c>
      <c r="H133" s="1096"/>
      <c r="I133" s="1096"/>
      <c r="J133" s="544"/>
      <c r="K133" s="247">
        <f>SUM(K132:K132)</f>
        <v>0</v>
      </c>
      <c r="L133" s="569">
        <v>0.92</v>
      </c>
      <c r="M133" s="247">
        <f>K133/L133</f>
        <v>0</v>
      </c>
      <c r="N133" s="1096" t="s">
        <v>1199</v>
      </c>
      <c r="O133" s="1096"/>
      <c r="P133" s="1096"/>
      <c r="Q133" s="569"/>
      <c r="R133" s="247">
        <f>SUM(R132:R132)</f>
        <v>0</v>
      </c>
      <c r="S133" s="569">
        <v>0.92</v>
      </c>
      <c r="T133" s="249">
        <f>R133/S133</f>
        <v>0</v>
      </c>
    </row>
    <row r="134" spans="1:20" ht="15" customHeight="1" x14ac:dyDescent="0.25">
      <c r="A134" s="761" t="str">
        <f>Итоговая!C165</f>
        <v xml:space="preserve"> ПС 35/10 кВ Козьмодемьяновская </v>
      </c>
      <c r="B134" s="578">
        <f>Итоговая!D165</f>
        <v>2.5</v>
      </c>
      <c r="C134" s="574" t="str">
        <f>Итоговая!E165</f>
        <v>+</v>
      </c>
      <c r="D134" s="574">
        <f>Итоговая!F165</f>
        <v>2.5</v>
      </c>
      <c r="E134" s="574"/>
      <c r="F134" s="583"/>
      <c r="G134" s="1100" t="s">
        <v>1324</v>
      </c>
      <c r="H134" s="1101"/>
      <c r="I134" s="1101"/>
      <c r="J134" s="1101"/>
      <c r="K134" s="1101"/>
      <c r="L134" s="1101"/>
      <c r="M134" s="1101"/>
      <c r="N134" s="355"/>
      <c r="O134" s="355"/>
      <c r="P134" s="355"/>
      <c r="Q134" s="355"/>
      <c r="R134" s="216"/>
      <c r="S134" s="355"/>
      <c r="T134" s="217"/>
    </row>
    <row r="135" spans="1:20" ht="15" customHeight="1" x14ac:dyDescent="0.25">
      <c r="A135" s="577"/>
      <c r="B135" s="579"/>
      <c r="C135" s="575"/>
      <c r="D135" s="575"/>
      <c r="E135" s="575"/>
      <c r="F135" s="584"/>
      <c r="G135" s="344" t="s">
        <v>1402</v>
      </c>
      <c r="H135" s="344" t="s">
        <v>25</v>
      </c>
      <c r="I135" s="344" t="s">
        <v>1591</v>
      </c>
      <c r="J135" s="205"/>
      <c r="K135" s="205">
        <v>0.05</v>
      </c>
      <c r="L135" s="344"/>
      <c r="M135" s="519"/>
      <c r="N135" s="344"/>
      <c r="O135" s="344"/>
      <c r="P135" s="344"/>
      <c r="Q135" s="344"/>
      <c r="R135" s="205"/>
      <c r="S135" s="344"/>
      <c r="T135" s="241"/>
    </row>
    <row r="136" spans="1:20" ht="15" customHeight="1" thickBot="1" x14ac:dyDescent="0.3">
      <c r="A136" s="394"/>
      <c r="B136" s="399"/>
      <c r="C136" s="400"/>
      <c r="D136" s="400"/>
      <c r="E136" s="400"/>
      <c r="F136" s="401"/>
      <c r="G136" s="1096" t="s">
        <v>1199</v>
      </c>
      <c r="H136" s="1096"/>
      <c r="I136" s="1096"/>
      <c r="J136" s="544"/>
      <c r="K136" s="247">
        <f>SUM(0)</f>
        <v>0</v>
      </c>
      <c r="L136" s="569">
        <v>0.92</v>
      </c>
      <c r="M136" s="247">
        <f>K136/L136</f>
        <v>0</v>
      </c>
      <c r="N136" s="1096" t="s">
        <v>1199</v>
      </c>
      <c r="O136" s="1096"/>
      <c r="P136" s="1096"/>
      <c r="Q136" s="569"/>
      <c r="R136" s="247">
        <f>SUM(R134:R134)</f>
        <v>0</v>
      </c>
      <c r="S136" s="569">
        <v>0.92</v>
      </c>
      <c r="T136" s="249">
        <f>R136/S136</f>
        <v>0</v>
      </c>
    </row>
    <row r="137" spans="1:20" ht="15" customHeight="1" x14ac:dyDescent="0.25">
      <c r="A137" s="581"/>
      <c r="B137" s="578"/>
      <c r="C137" s="574"/>
      <c r="D137" s="574"/>
      <c r="E137" s="574"/>
      <c r="F137" s="583"/>
      <c r="G137" s="1156"/>
      <c r="H137" s="1156"/>
      <c r="I137" s="1156"/>
      <c r="J137" s="1156"/>
      <c r="K137" s="1156"/>
      <c r="L137" s="1156"/>
      <c r="M137" s="1156"/>
      <c r="N137" s="1100" t="s">
        <v>1324</v>
      </c>
      <c r="O137" s="1101"/>
      <c r="P137" s="1101"/>
      <c r="Q137" s="1101"/>
      <c r="R137" s="1101"/>
      <c r="S137" s="1101"/>
      <c r="T137" s="1127"/>
    </row>
    <row r="138" spans="1:20" s="385" customFormat="1" ht="15" customHeight="1" x14ac:dyDescent="0.25">
      <c r="A138" s="582" t="str">
        <f>Итоговая!C166</f>
        <v xml:space="preserve">ПС  35/10 кВ Курортная </v>
      </c>
      <c r="B138" s="579">
        <f>Итоговая!D166</f>
        <v>4</v>
      </c>
      <c r="C138" s="575" t="str">
        <f>Итоговая!E166</f>
        <v>+</v>
      </c>
      <c r="D138" s="575">
        <f>Итоговая!F166</f>
        <v>4</v>
      </c>
      <c r="E138" s="575"/>
      <c r="F138" s="584"/>
      <c r="G138" s="363"/>
      <c r="H138" s="363"/>
      <c r="I138" s="363"/>
      <c r="J138" s="364"/>
      <c r="K138" s="364"/>
      <c r="L138" s="363"/>
      <c r="M138" s="364"/>
      <c r="N138" s="349" t="s">
        <v>418</v>
      </c>
      <c r="O138" s="349" t="s">
        <v>419</v>
      </c>
      <c r="P138" s="349" t="s">
        <v>1661</v>
      </c>
      <c r="Q138" s="349"/>
      <c r="R138" s="365">
        <v>0.02</v>
      </c>
      <c r="S138" s="349"/>
      <c r="T138" s="366"/>
    </row>
    <row r="139" spans="1:20" s="385" customFormat="1" ht="15" customHeight="1" x14ac:dyDescent="0.25">
      <c r="A139" s="582"/>
      <c r="B139" s="579"/>
      <c r="C139" s="575"/>
      <c r="D139" s="575"/>
      <c r="E139" s="575"/>
      <c r="F139" s="584"/>
      <c r="G139" s="1097" t="s">
        <v>1286</v>
      </c>
      <c r="H139" s="1098"/>
      <c r="I139" s="1098"/>
      <c r="J139" s="1098"/>
      <c r="K139" s="1098"/>
      <c r="L139" s="1098"/>
      <c r="M139" s="1098"/>
      <c r="N139" s="572"/>
      <c r="O139" s="572"/>
      <c r="P139" s="572"/>
      <c r="Q139" s="572"/>
      <c r="R139" s="262"/>
      <c r="S139" s="572"/>
      <c r="T139" s="348"/>
    </row>
    <row r="140" spans="1:20" s="385" customFormat="1" ht="15" customHeight="1" x14ac:dyDescent="0.25">
      <c r="A140" s="582"/>
      <c r="B140" s="579"/>
      <c r="C140" s="575"/>
      <c r="D140" s="575"/>
      <c r="E140" s="575"/>
      <c r="F140" s="584"/>
      <c r="G140" s="572" t="s">
        <v>421</v>
      </c>
      <c r="H140" s="572" t="s">
        <v>422</v>
      </c>
      <c r="I140" s="572" t="s">
        <v>423</v>
      </c>
      <c r="J140" s="262"/>
      <c r="K140" s="262">
        <v>0.13600000000000001</v>
      </c>
      <c r="L140" s="572"/>
      <c r="M140" s="262"/>
      <c r="N140" s="572"/>
      <c r="O140" s="572"/>
      <c r="P140" s="572"/>
      <c r="Q140" s="572"/>
      <c r="R140" s="262"/>
      <c r="S140" s="572"/>
      <c r="T140" s="348"/>
    </row>
    <row r="141" spans="1:20" s="385" customFormat="1" ht="15" customHeight="1" x14ac:dyDescent="0.25">
      <c r="A141" s="582"/>
      <c r="B141" s="579"/>
      <c r="C141" s="575"/>
      <c r="D141" s="575"/>
      <c r="E141" s="575"/>
      <c r="F141" s="584"/>
      <c r="G141" s="572" t="s">
        <v>1718</v>
      </c>
      <c r="H141" s="572" t="s">
        <v>424</v>
      </c>
      <c r="I141" s="572" t="s">
        <v>1717</v>
      </c>
      <c r="J141" s="262"/>
      <c r="K141" s="262">
        <v>0.125</v>
      </c>
      <c r="L141" s="572"/>
      <c r="M141" s="262"/>
      <c r="N141" s="572"/>
      <c r="O141" s="572"/>
      <c r="P141" s="572"/>
      <c r="Q141" s="572"/>
      <c r="R141" s="262"/>
      <c r="S141" s="572"/>
      <c r="T141" s="348"/>
    </row>
    <row r="142" spans="1:20" ht="15" customHeight="1" thickBot="1" x14ac:dyDescent="0.3">
      <c r="A142" s="406"/>
      <c r="B142" s="407"/>
      <c r="C142" s="408"/>
      <c r="D142" s="408"/>
      <c r="E142" s="408"/>
      <c r="F142" s="409"/>
      <c r="G142" s="1096" t="s">
        <v>1199</v>
      </c>
      <c r="H142" s="1096"/>
      <c r="I142" s="1096"/>
      <c r="J142" s="544"/>
      <c r="K142" s="247">
        <f>SUM(0)</f>
        <v>0</v>
      </c>
      <c r="L142" s="569">
        <v>0.92</v>
      </c>
      <c r="M142" s="247">
        <f>K142/L142</f>
        <v>0</v>
      </c>
      <c r="N142" s="1096" t="s">
        <v>1199</v>
      </c>
      <c r="O142" s="1096"/>
      <c r="P142" s="1096"/>
      <c r="Q142" s="569"/>
      <c r="R142" s="247">
        <f>SUM(R138)</f>
        <v>0.02</v>
      </c>
      <c r="S142" s="569">
        <v>0.92</v>
      </c>
      <c r="T142" s="249">
        <f>R142/S142</f>
        <v>2.1739130434782608E-2</v>
      </c>
    </row>
    <row r="143" spans="1:20" s="385" customFormat="1" ht="15" customHeight="1" x14ac:dyDescent="0.25">
      <c r="A143" s="576"/>
      <c r="B143" s="578"/>
      <c r="C143" s="574"/>
      <c r="D143" s="574"/>
      <c r="E143" s="574"/>
      <c r="F143" s="583"/>
      <c r="G143" s="1106" t="s">
        <v>1288</v>
      </c>
      <c r="H143" s="1107"/>
      <c r="I143" s="1107"/>
      <c r="J143" s="1107"/>
      <c r="K143" s="1107"/>
      <c r="L143" s="1107"/>
      <c r="M143" s="1107"/>
      <c r="N143" s="570"/>
      <c r="O143" s="570"/>
      <c r="P143" s="570"/>
      <c r="Q143" s="570"/>
      <c r="R143" s="367"/>
      <c r="S143" s="570"/>
      <c r="T143" s="368"/>
    </row>
    <row r="144" spans="1:20" s="385" customFormat="1" ht="15" customHeight="1" x14ac:dyDescent="0.25">
      <c r="A144" s="577" t="str">
        <f>Итоговая!C167</f>
        <v xml:space="preserve"> ПС 35/10 кВ Маяк </v>
      </c>
      <c r="B144" s="579">
        <f>Итоговая!D167</f>
        <v>6.3</v>
      </c>
      <c r="C144" s="575" t="str">
        <f>Итоговая!E167</f>
        <v>+</v>
      </c>
      <c r="D144" s="575">
        <f>Итоговая!F167</f>
        <v>6.3</v>
      </c>
      <c r="E144" s="575"/>
      <c r="F144" s="584"/>
      <c r="G144" s="572" t="s">
        <v>369</v>
      </c>
      <c r="H144" s="572" t="s">
        <v>370</v>
      </c>
      <c r="I144" s="572" t="s">
        <v>371</v>
      </c>
      <c r="J144" s="262"/>
      <c r="K144" s="262">
        <v>0.77</v>
      </c>
      <c r="L144" s="572"/>
      <c r="M144" s="262"/>
      <c r="N144" s="572"/>
      <c r="O144" s="572"/>
      <c r="P144" s="572"/>
      <c r="Q144" s="572"/>
      <c r="R144" s="262"/>
      <c r="S144" s="572"/>
      <c r="T144" s="348"/>
    </row>
    <row r="145" spans="1:20" s="385" customFormat="1" ht="15" customHeight="1" x14ac:dyDescent="0.25">
      <c r="A145" s="577"/>
      <c r="B145" s="579"/>
      <c r="C145" s="575"/>
      <c r="D145" s="575"/>
      <c r="E145" s="575"/>
      <c r="F145" s="584"/>
      <c r="G145" s="1097" t="s">
        <v>1549</v>
      </c>
      <c r="H145" s="1098"/>
      <c r="I145" s="1098"/>
      <c r="J145" s="1098"/>
      <c r="K145" s="1098"/>
      <c r="L145" s="1098"/>
      <c r="M145" s="1098"/>
      <c r="N145" s="1115" t="s">
        <v>1287</v>
      </c>
      <c r="O145" s="1115"/>
      <c r="P145" s="1115"/>
      <c r="Q145" s="1115"/>
      <c r="R145" s="1115"/>
      <c r="S145" s="1115"/>
      <c r="T145" s="1123"/>
    </row>
    <row r="146" spans="1:20" s="385" customFormat="1" ht="15" customHeight="1" x14ac:dyDescent="0.25">
      <c r="A146" s="577"/>
      <c r="B146" s="579"/>
      <c r="C146" s="575"/>
      <c r="D146" s="575"/>
      <c r="E146" s="575"/>
      <c r="F146" s="584"/>
      <c r="G146" s="572" t="s">
        <v>372</v>
      </c>
      <c r="H146" s="572" t="s">
        <v>373</v>
      </c>
      <c r="I146" s="572" t="s">
        <v>374</v>
      </c>
      <c r="J146" s="262"/>
      <c r="K146" s="262">
        <v>0.74</v>
      </c>
      <c r="L146" s="572"/>
      <c r="M146" s="262"/>
      <c r="N146" s="349" t="s">
        <v>1664</v>
      </c>
      <c r="O146" s="349" t="s">
        <v>1665</v>
      </c>
      <c r="P146" s="349" t="s">
        <v>1666</v>
      </c>
      <c r="Q146" s="349"/>
      <c r="R146" s="365">
        <v>1.25</v>
      </c>
      <c r="S146" s="349"/>
      <c r="T146" s="366"/>
    </row>
    <row r="147" spans="1:20" ht="15" customHeight="1" thickBot="1" x14ac:dyDescent="0.3">
      <c r="A147" s="394"/>
      <c r="B147" s="399"/>
      <c r="C147" s="400"/>
      <c r="D147" s="400"/>
      <c r="E147" s="400"/>
      <c r="F147" s="401"/>
      <c r="G147" s="1096" t="s">
        <v>1199</v>
      </c>
      <c r="H147" s="1096"/>
      <c r="I147" s="1096"/>
      <c r="J147" s="544"/>
      <c r="K147" s="247">
        <f>SUM(0)</f>
        <v>0</v>
      </c>
      <c r="L147" s="569">
        <v>0.92</v>
      </c>
      <c r="M147" s="247">
        <f>K147/L147</f>
        <v>0</v>
      </c>
      <c r="N147" s="1096" t="s">
        <v>1199</v>
      </c>
      <c r="O147" s="1096"/>
      <c r="P147" s="1096"/>
      <c r="Q147" s="569"/>
      <c r="R147" s="247">
        <f>SUM(R146)</f>
        <v>1.25</v>
      </c>
      <c r="S147" s="569">
        <v>0.92</v>
      </c>
      <c r="T147" s="249">
        <f>R147/S147</f>
        <v>1.3586956521739131</v>
      </c>
    </row>
    <row r="148" spans="1:20" ht="15" customHeight="1" x14ac:dyDescent="0.25">
      <c r="A148" s="1116" t="str">
        <f>Итоговая!C168</f>
        <v xml:space="preserve"> ПС 35/10 кВ Микрорайонная </v>
      </c>
      <c r="B148" s="1113">
        <f>Итоговая!D168</f>
        <v>4</v>
      </c>
      <c r="C148" s="1109" t="str">
        <f>Итоговая!E168</f>
        <v>+</v>
      </c>
      <c r="D148" s="1109">
        <f>Итоговая!F168</f>
        <v>4</v>
      </c>
      <c r="E148" s="1109"/>
      <c r="F148" s="1118"/>
      <c r="G148" s="1106" t="s">
        <v>1324</v>
      </c>
      <c r="H148" s="1107"/>
      <c r="I148" s="1107"/>
      <c r="J148" s="1107"/>
      <c r="K148" s="1107"/>
      <c r="L148" s="1107"/>
      <c r="M148" s="1107"/>
      <c r="N148" s="355"/>
      <c r="O148" s="355"/>
      <c r="P148" s="585"/>
      <c r="Q148" s="585"/>
      <c r="R148" s="264"/>
      <c r="S148" s="585"/>
      <c r="T148" s="217"/>
    </row>
    <row r="149" spans="1:20" ht="15" customHeight="1" x14ac:dyDescent="0.25">
      <c r="A149" s="1117"/>
      <c r="B149" s="1114"/>
      <c r="C149" s="1110"/>
      <c r="D149" s="1110"/>
      <c r="E149" s="1110"/>
      <c r="F149" s="1119"/>
      <c r="G149" s="344" t="s">
        <v>1409</v>
      </c>
      <c r="H149" s="344" t="s">
        <v>1410</v>
      </c>
      <c r="I149" s="344" t="s">
        <v>1495</v>
      </c>
      <c r="J149" s="205"/>
      <c r="K149" s="205">
        <v>0.04</v>
      </c>
      <c r="L149" s="344"/>
      <c r="M149" s="519"/>
      <c r="N149" s="344"/>
      <c r="O149" s="344"/>
      <c r="P149" s="580"/>
      <c r="Q149" s="580"/>
      <c r="R149" s="519"/>
      <c r="S149" s="580"/>
      <c r="T149" s="241"/>
    </row>
    <row r="150" spans="1:20" ht="15" customHeight="1" x14ac:dyDescent="0.25">
      <c r="A150" s="577"/>
      <c r="B150" s="579"/>
      <c r="C150" s="575"/>
      <c r="D150" s="575"/>
      <c r="E150" s="575"/>
      <c r="F150" s="584"/>
      <c r="G150" s="1097" t="s">
        <v>2010</v>
      </c>
      <c r="H150" s="1098"/>
      <c r="I150" s="1098"/>
      <c r="J150" s="1098"/>
      <c r="K150" s="1098"/>
      <c r="L150" s="1098"/>
      <c r="M150" s="1098"/>
      <c r="N150" s="344"/>
      <c r="O150" s="344"/>
      <c r="P150" s="580"/>
      <c r="Q150" s="580"/>
      <c r="R150" s="519"/>
      <c r="S150" s="580"/>
      <c r="T150" s="241"/>
    </row>
    <row r="151" spans="1:20" ht="15" customHeight="1" x14ac:dyDescent="0.25">
      <c r="A151" s="577"/>
      <c r="B151" s="579"/>
      <c r="C151" s="575"/>
      <c r="D151" s="575"/>
      <c r="E151" s="605"/>
      <c r="F151" s="609"/>
      <c r="G151" s="344" t="s">
        <v>1965</v>
      </c>
      <c r="H151" s="344" t="s">
        <v>1966</v>
      </c>
      <c r="I151" s="344" t="s">
        <v>2009</v>
      </c>
      <c r="J151" s="205"/>
      <c r="K151" s="205">
        <f>0.03*0.9</f>
        <v>2.7E-2</v>
      </c>
      <c r="L151" s="344"/>
      <c r="M151" s="519"/>
      <c r="N151" s="344"/>
      <c r="O151" s="344"/>
      <c r="P151" s="344"/>
      <c r="Q151" s="344"/>
      <c r="R151" s="205"/>
      <c r="S151" s="344"/>
      <c r="T151" s="241"/>
    </row>
    <row r="152" spans="1:20" ht="15" customHeight="1" x14ac:dyDescent="0.25">
      <c r="A152" s="577"/>
      <c r="B152" s="579"/>
      <c r="C152" s="575"/>
      <c r="D152" s="575"/>
      <c r="E152" s="605"/>
      <c r="F152" s="609"/>
      <c r="G152" s="1097" t="s">
        <v>2266</v>
      </c>
      <c r="H152" s="1098"/>
      <c r="I152" s="1098"/>
      <c r="J152" s="1098"/>
      <c r="K152" s="1098"/>
      <c r="L152" s="1098"/>
      <c r="M152" s="1098"/>
      <c r="N152" s="344"/>
      <c r="O152" s="344"/>
      <c r="P152" s="344"/>
      <c r="Q152" s="344"/>
      <c r="R152" s="205"/>
      <c r="S152" s="344"/>
      <c r="T152" s="241"/>
    </row>
    <row r="153" spans="1:20" ht="15" customHeight="1" x14ac:dyDescent="0.25">
      <c r="A153" s="577"/>
      <c r="B153" s="579"/>
      <c r="C153" s="575"/>
      <c r="D153" s="575"/>
      <c r="E153" s="605"/>
      <c r="F153" s="609"/>
      <c r="G153" s="580" t="s">
        <v>1409</v>
      </c>
      <c r="H153" s="580" t="s">
        <v>2308</v>
      </c>
      <c r="I153" s="344" t="s">
        <v>2328</v>
      </c>
      <c r="J153" s="205"/>
      <c r="K153" s="205">
        <f>0.023*0.75</f>
        <v>1.7250000000000001E-2</v>
      </c>
      <c r="L153" s="344"/>
      <c r="M153" s="519"/>
      <c r="N153" s="344"/>
      <c r="O153" s="344"/>
      <c r="P153" s="344"/>
      <c r="Q153" s="344"/>
      <c r="R153" s="205"/>
      <c r="S153" s="344"/>
      <c r="T153" s="241"/>
    </row>
    <row r="154" spans="1:20" ht="15" customHeight="1" x14ac:dyDescent="0.25">
      <c r="A154" s="577"/>
      <c r="B154" s="579"/>
      <c r="C154" s="575"/>
      <c r="D154" s="575"/>
      <c r="E154" s="605"/>
      <c r="F154" s="609"/>
      <c r="G154" s="1097" t="s">
        <v>14978</v>
      </c>
      <c r="H154" s="1098"/>
      <c r="I154" s="1098"/>
      <c r="J154" s="1098"/>
      <c r="K154" s="1098"/>
      <c r="L154" s="1098"/>
      <c r="M154" s="1098"/>
      <c r="N154" s="344"/>
      <c r="O154" s="344"/>
      <c r="P154" s="344"/>
      <c r="Q154" s="344"/>
      <c r="R154" s="205"/>
      <c r="S154" s="344"/>
      <c r="T154" s="241"/>
    </row>
    <row r="155" spans="1:20" ht="15" customHeight="1" x14ac:dyDescent="0.25">
      <c r="A155" s="577"/>
      <c r="B155" s="579"/>
      <c r="C155" s="575"/>
      <c r="D155" s="575"/>
      <c r="E155" s="605"/>
      <c r="F155" s="609"/>
      <c r="G155" s="369" t="s">
        <v>2157</v>
      </c>
      <c r="H155" s="369" t="s">
        <v>17291</v>
      </c>
      <c r="I155" s="369" t="s">
        <v>17292</v>
      </c>
      <c r="J155" s="370"/>
      <c r="K155" s="519">
        <f>(0.05-0.015)*0.75</f>
        <v>2.6250000000000002E-2</v>
      </c>
      <c r="L155" s="580"/>
      <c r="M155" s="519"/>
      <c r="N155" s="344"/>
      <c r="O155" s="344"/>
      <c r="P155" s="344"/>
      <c r="Q155" s="344"/>
      <c r="R155" s="205"/>
      <c r="S155" s="344"/>
      <c r="T155" s="241"/>
    </row>
    <row r="156" spans="1:20" ht="15" customHeight="1" x14ac:dyDescent="0.25">
      <c r="A156" s="577"/>
      <c r="B156" s="579"/>
      <c r="C156" s="575"/>
      <c r="D156" s="575"/>
      <c r="E156" s="605"/>
      <c r="F156" s="609"/>
      <c r="G156" s="369" t="s">
        <v>17300</v>
      </c>
      <c r="H156" s="369" t="s">
        <v>17301</v>
      </c>
      <c r="I156" s="369" t="s">
        <v>17302</v>
      </c>
      <c r="J156" s="370"/>
      <c r="K156" s="519">
        <f>(0.21-0.11)*0.15</f>
        <v>1.4999999999999998E-2</v>
      </c>
      <c r="L156" s="580"/>
      <c r="M156" s="519"/>
      <c r="N156" s="344"/>
      <c r="O156" s="344"/>
      <c r="P156" s="344"/>
      <c r="Q156" s="344"/>
      <c r="R156" s="205"/>
      <c r="S156" s="344"/>
      <c r="T156" s="241"/>
    </row>
    <row r="157" spans="1:20" ht="15" customHeight="1" x14ac:dyDescent="0.25">
      <c r="A157" s="577"/>
      <c r="B157" s="579"/>
      <c r="C157" s="575"/>
      <c r="D157" s="575"/>
      <c r="E157" s="605"/>
      <c r="F157" s="609"/>
      <c r="G157" s="369" t="s">
        <v>17574</v>
      </c>
      <c r="H157" s="369" t="s">
        <v>17575</v>
      </c>
      <c r="I157" s="369" t="s">
        <v>17576</v>
      </c>
      <c r="J157" s="370"/>
      <c r="K157" s="519">
        <f>0.015*0.9</f>
        <v>1.35E-2</v>
      </c>
      <c r="L157" s="580"/>
      <c r="M157" s="519"/>
      <c r="N157" s="344"/>
      <c r="O157" s="344"/>
      <c r="P157" s="344"/>
      <c r="Q157" s="344"/>
      <c r="R157" s="205"/>
      <c r="S157" s="344"/>
      <c r="T157" s="241"/>
    </row>
    <row r="158" spans="1:20" ht="15" customHeight="1" x14ac:dyDescent="0.25">
      <c r="A158" s="577"/>
      <c r="B158" s="579"/>
      <c r="C158" s="575"/>
      <c r="D158" s="575"/>
      <c r="E158" s="605"/>
      <c r="F158" s="609"/>
      <c r="G158" s="1097" t="s">
        <v>18842</v>
      </c>
      <c r="H158" s="1098"/>
      <c r="I158" s="1098"/>
      <c r="J158" s="1098"/>
      <c r="K158" s="1098"/>
      <c r="L158" s="1098"/>
      <c r="M158" s="1098"/>
      <c r="N158" s="209"/>
      <c r="O158" s="209"/>
      <c r="P158" s="209"/>
      <c r="Q158" s="209"/>
      <c r="R158" s="230"/>
      <c r="S158" s="209"/>
      <c r="T158" s="259"/>
    </row>
    <row r="159" spans="1:20" ht="15" customHeight="1" x14ac:dyDescent="0.25">
      <c r="A159" s="577"/>
      <c r="B159" s="579"/>
      <c r="C159" s="575"/>
      <c r="D159" s="575"/>
      <c r="E159" s="605"/>
      <c r="F159" s="609"/>
      <c r="G159" s="265" t="s">
        <v>18979</v>
      </c>
      <c r="H159" s="266" t="s">
        <v>18980</v>
      </c>
      <c r="I159" s="265">
        <v>41088070</v>
      </c>
      <c r="J159" s="267"/>
      <c r="K159" s="268">
        <f>0.05*0.75</f>
        <v>3.7500000000000006E-2</v>
      </c>
      <c r="L159" s="580"/>
      <c r="M159" s="580"/>
      <c r="N159" s="209"/>
      <c r="O159" s="209"/>
      <c r="P159" s="209"/>
      <c r="Q159" s="209"/>
      <c r="R159" s="230"/>
      <c r="S159" s="209"/>
      <c r="T159" s="259"/>
    </row>
    <row r="160" spans="1:20" ht="15" customHeight="1" x14ac:dyDescent="0.25">
      <c r="A160" s="577"/>
      <c r="B160" s="579"/>
      <c r="C160" s="575"/>
      <c r="D160" s="575"/>
      <c r="E160" s="605"/>
      <c r="F160" s="609"/>
      <c r="G160" s="1108" t="s">
        <v>2262</v>
      </c>
      <c r="H160" s="1108"/>
      <c r="I160" s="1108"/>
      <c r="J160" s="994">
        <f>0.373*0.9</f>
        <v>0.3357</v>
      </c>
      <c r="K160" s="995"/>
      <c r="L160" s="369"/>
      <c r="M160" s="370"/>
      <c r="N160" s="209"/>
      <c r="O160" s="209"/>
      <c r="P160" s="209"/>
      <c r="Q160" s="209"/>
      <c r="R160" s="230"/>
      <c r="S160" s="209"/>
      <c r="T160" s="259"/>
    </row>
    <row r="161" spans="1:20" ht="15" customHeight="1" thickBot="1" x14ac:dyDescent="0.3">
      <c r="A161" s="394"/>
      <c r="B161" s="395"/>
      <c r="C161" s="396"/>
      <c r="D161" s="396"/>
      <c r="E161" s="396"/>
      <c r="F161" s="397"/>
      <c r="G161" s="1096" t="s">
        <v>1199</v>
      </c>
      <c r="H161" s="1096"/>
      <c r="I161" s="1096"/>
      <c r="J161" s="544"/>
      <c r="K161" s="247">
        <f>SUM(J155:K160)</f>
        <v>0.42795</v>
      </c>
      <c r="L161" s="569">
        <v>0.92</v>
      </c>
      <c r="M161" s="247">
        <f>K161/L161</f>
        <v>0.46516304347826087</v>
      </c>
      <c r="N161" s="1096" t="s">
        <v>1199</v>
      </c>
      <c r="O161" s="1096"/>
      <c r="P161" s="1096"/>
      <c r="Q161" s="569"/>
      <c r="R161" s="247">
        <f>SUM(R149:R149)</f>
        <v>0</v>
      </c>
      <c r="S161" s="569">
        <v>0.92</v>
      </c>
      <c r="T161" s="249">
        <f>R161/S161</f>
        <v>0</v>
      </c>
    </row>
    <row r="162" spans="1:20" s="385" customFormat="1" ht="15" customHeight="1" x14ac:dyDescent="0.25">
      <c r="A162" s="581"/>
      <c r="B162" s="604"/>
      <c r="C162" s="604"/>
      <c r="D162" s="604"/>
      <c r="E162" s="604"/>
      <c r="F162" s="608"/>
      <c r="G162" s="1106" t="s">
        <v>1286</v>
      </c>
      <c r="H162" s="1107"/>
      <c r="I162" s="1107"/>
      <c r="J162" s="1107"/>
      <c r="K162" s="1107"/>
      <c r="L162" s="1107"/>
      <c r="M162" s="1107"/>
      <c r="N162" s="1120"/>
      <c r="O162" s="1120"/>
      <c r="P162" s="1120"/>
      <c r="Q162" s="1120"/>
      <c r="R162" s="1120"/>
      <c r="S162" s="1120"/>
      <c r="T162" s="1121"/>
    </row>
    <row r="163" spans="1:20" s="385" customFormat="1" ht="15" customHeight="1" x14ac:dyDescent="0.25">
      <c r="A163" s="582" t="str">
        <f>Итоговая!C169</f>
        <v>ПС 35/10 кВ Нагорское</v>
      </c>
      <c r="B163" s="575">
        <f>Итоговая!D169</f>
        <v>2.5</v>
      </c>
      <c r="C163" s="575" t="str">
        <f>Итоговая!E169</f>
        <v>+</v>
      </c>
      <c r="D163" s="575">
        <f>Итоговая!F169</f>
        <v>1.8</v>
      </c>
      <c r="E163" s="575"/>
      <c r="F163" s="584"/>
      <c r="G163" s="572" t="s">
        <v>849</v>
      </c>
      <c r="H163" s="572" t="s">
        <v>850</v>
      </c>
      <c r="I163" s="572" t="s">
        <v>1522</v>
      </c>
      <c r="J163" s="262"/>
      <c r="K163" s="262">
        <f>0.03-0.006</f>
        <v>2.4E-2</v>
      </c>
      <c r="L163" s="572"/>
      <c r="M163" s="262"/>
      <c r="N163" s="572"/>
      <c r="O163" s="572"/>
      <c r="P163" s="572"/>
      <c r="Q163" s="572"/>
      <c r="R163" s="262"/>
      <c r="S163" s="572"/>
      <c r="T163" s="348"/>
    </row>
    <row r="164" spans="1:20" s="385" customFormat="1" ht="15" customHeight="1" x14ac:dyDescent="0.25">
      <c r="A164" s="582"/>
      <c r="B164" s="575"/>
      <c r="C164" s="575"/>
      <c r="D164" s="575"/>
      <c r="E164" s="575"/>
      <c r="F164" s="584"/>
      <c r="G164" s="1097" t="s">
        <v>1325</v>
      </c>
      <c r="H164" s="1098"/>
      <c r="I164" s="1098"/>
      <c r="J164" s="1098"/>
      <c r="K164" s="1098"/>
      <c r="L164" s="1098"/>
      <c r="M164" s="1098"/>
      <c r="N164" s="1115"/>
      <c r="O164" s="1115"/>
      <c r="P164" s="1115"/>
      <c r="Q164" s="1115"/>
      <c r="R164" s="1115"/>
      <c r="S164" s="1115"/>
      <c r="T164" s="1123"/>
    </row>
    <row r="165" spans="1:20" s="385" customFormat="1" ht="15" customHeight="1" x14ac:dyDescent="0.25">
      <c r="A165" s="582"/>
      <c r="B165" s="575"/>
      <c r="C165" s="575"/>
      <c r="D165" s="575"/>
      <c r="E165" s="575"/>
      <c r="F165" s="584"/>
      <c r="G165" s="572" t="s">
        <v>411</v>
      </c>
      <c r="H165" s="572" t="s">
        <v>412</v>
      </c>
      <c r="I165" s="572" t="s">
        <v>1464</v>
      </c>
      <c r="J165" s="262"/>
      <c r="K165" s="262">
        <v>0.25</v>
      </c>
      <c r="L165" s="572"/>
      <c r="M165" s="262"/>
      <c r="N165" s="572"/>
      <c r="O165" s="572"/>
      <c r="P165" s="572"/>
      <c r="Q165" s="572"/>
      <c r="R165" s="262"/>
      <c r="S165" s="572"/>
      <c r="T165" s="348"/>
    </row>
    <row r="166" spans="1:20" s="385" customFormat="1" ht="15" customHeight="1" x14ac:dyDescent="0.25">
      <c r="A166" s="582"/>
      <c r="B166" s="575"/>
      <c r="C166" s="575"/>
      <c r="D166" s="575"/>
      <c r="E166" s="575"/>
      <c r="F166" s="584"/>
      <c r="G166" s="349" t="s">
        <v>1601</v>
      </c>
      <c r="H166" s="349" t="s">
        <v>1602</v>
      </c>
      <c r="I166" s="572" t="s">
        <v>1639</v>
      </c>
      <c r="J166" s="262"/>
      <c r="K166" s="262">
        <v>2.5000000000000001E-2</v>
      </c>
      <c r="L166" s="572"/>
      <c r="M166" s="262"/>
      <c r="N166" s="349"/>
      <c r="O166" s="349"/>
      <c r="P166" s="572"/>
      <c r="Q166" s="572"/>
      <c r="R166" s="262"/>
      <c r="S166" s="572"/>
      <c r="T166" s="348"/>
    </row>
    <row r="167" spans="1:20" s="385" customFormat="1" ht="15" customHeight="1" x14ac:dyDescent="0.25">
      <c r="A167" s="582"/>
      <c r="B167" s="575"/>
      <c r="C167" s="575"/>
      <c r="D167" s="575"/>
      <c r="E167" s="575"/>
      <c r="F167" s="584"/>
      <c r="G167" s="1097" t="s">
        <v>14978</v>
      </c>
      <c r="H167" s="1098"/>
      <c r="I167" s="1098"/>
      <c r="J167" s="1098"/>
      <c r="K167" s="1098"/>
      <c r="L167" s="1098"/>
      <c r="M167" s="1098"/>
      <c r="N167" s="349"/>
      <c r="O167" s="349"/>
      <c r="P167" s="572"/>
      <c r="Q167" s="572"/>
      <c r="R167" s="262"/>
      <c r="S167" s="572"/>
      <c r="T167" s="348"/>
    </row>
    <row r="168" spans="1:20" s="385" customFormat="1" ht="15" customHeight="1" x14ac:dyDescent="0.25">
      <c r="A168" s="582"/>
      <c r="B168" s="575"/>
      <c r="C168" s="575"/>
      <c r="D168" s="575"/>
      <c r="E168" s="575"/>
      <c r="F168" s="584"/>
      <c r="G168" s="1108" t="s">
        <v>2262</v>
      </c>
      <c r="H168" s="1108"/>
      <c r="I168" s="1108"/>
      <c r="J168" s="994">
        <f>0.3555*0.9</f>
        <v>0.31995000000000001</v>
      </c>
      <c r="K168" s="995"/>
      <c r="L168" s="369"/>
      <c r="M168" s="370"/>
      <c r="N168" s="349"/>
      <c r="O168" s="349"/>
      <c r="P168" s="572"/>
      <c r="Q168" s="572"/>
      <c r="R168" s="262"/>
      <c r="S168" s="572"/>
      <c r="T168" s="348"/>
    </row>
    <row r="169" spans="1:20" s="385" customFormat="1" ht="15" customHeight="1" x14ac:dyDescent="0.25">
      <c r="A169" s="582"/>
      <c r="B169" s="575"/>
      <c r="C169" s="575"/>
      <c r="D169" s="575"/>
      <c r="E169" s="575"/>
      <c r="F169" s="584"/>
      <c r="G169" s="1097" t="s">
        <v>18842</v>
      </c>
      <c r="H169" s="1098"/>
      <c r="I169" s="1098"/>
      <c r="J169" s="1098"/>
      <c r="K169" s="1098"/>
      <c r="L169" s="1098"/>
      <c r="M169" s="1098"/>
      <c r="N169" s="371"/>
      <c r="O169" s="371"/>
      <c r="P169" s="350"/>
      <c r="Q169" s="350"/>
      <c r="R169" s="351"/>
      <c r="S169" s="350"/>
      <c r="T169" s="352"/>
    </row>
    <row r="170" spans="1:20" s="385" customFormat="1" ht="15" customHeight="1" x14ac:dyDescent="0.25">
      <c r="A170" s="582"/>
      <c r="B170" s="575"/>
      <c r="C170" s="575"/>
      <c r="D170" s="575"/>
      <c r="E170" s="575"/>
      <c r="F170" s="584"/>
      <c r="G170" s="1108" t="s">
        <v>2262</v>
      </c>
      <c r="H170" s="1108"/>
      <c r="I170" s="1108"/>
      <c r="J170" s="994">
        <f>0.527*0.9*0.6</f>
        <v>0.28458</v>
      </c>
      <c r="K170" s="995"/>
      <c r="L170" s="369"/>
      <c r="M170" s="370"/>
      <c r="N170" s="371"/>
      <c r="O170" s="371"/>
      <c r="P170" s="350"/>
      <c r="Q170" s="350"/>
      <c r="R170" s="351"/>
      <c r="S170" s="350"/>
      <c r="T170" s="352"/>
    </row>
    <row r="171" spans="1:20" ht="15" customHeight="1" thickBot="1" x14ac:dyDescent="0.3">
      <c r="A171" s="406"/>
      <c r="B171" s="400"/>
      <c r="C171" s="400"/>
      <c r="D171" s="400"/>
      <c r="E171" s="400"/>
      <c r="F171" s="401"/>
      <c r="G171" s="1096" t="s">
        <v>1199</v>
      </c>
      <c r="H171" s="1096"/>
      <c r="I171" s="1096"/>
      <c r="J171" s="544"/>
      <c r="K171" s="247">
        <f>SUM(J168:K170)</f>
        <v>0.60453000000000001</v>
      </c>
      <c r="L171" s="569">
        <v>0.92</v>
      </c>
      <c r="M171" s="247">
        <f>K171/L171</f>
        <v>0.65709782608695655</v>
      </c>
      <c r="N171" s="1096" t="s">
        <v>1199</v>
      </c>
      <c r="O171" s="1096"/>
      <c r="P171" s="1096"/>
      <c r="Q171" s="569"/>
      <c r="R171" s="247">
        <f>SUM(R163:R163,R166)</f>
        <v>0</v>
      </c>
      <c r="S171" s="569">
        <v>0.92</v>
      </c>
      <c r="T171" s="249">
        <f>R171/S171</f>
        <v>0</v>
      </c>
    </row>
    <row r="172" spans="1:20" s="385" customFormat="1" ht="15" customHeight="1" x14ac:dyDescent="0.25">
      <c r="A172" s="581"/>
      <c r="B172" s="574"/>
      <c r="C172" s="574"/>
      <c r="D172" s="574"/>
      <c r="E172" s="574"/>
      <c r="F172" s="583"/>
      <c r="G172" s="1106" t="s">
        <v>1287</v>
      </c>
      <c r="H172" s="1107"/>
      <c r="I172" s="1107"/>
      <c r="J172" s="1107"/>
      <c r="K172" s="1107"/>
      <c r="L172" s="1107"/>
      <c r="M172" s="1107"/>
      <c r="N172" s="1097" t="s">
        <v>14978</v>
      </c>
      <c r="O172" s="1098"/>
      <c r="P172" s="1098"/>
      <c r="Q172" s="1098"/>
      <c r="R172" s="1098"/>
      <c r="S172" s="1098"/>
      <c r="T172" s="1098"/>
    </row>
    <row r="173" spans="1:20" s="385" customFormat="1" ht="15" customHeight="1" x14ac:dyDescent="0.25">
      <c r="A173" s="582" t="str">
        <f>Итоговая!C170</f>
        <v>ПС 35/10 кВ Неклюдово</v>
      </c>
      <c r="B173" s="575">
        <f>Итоговая!D170</f>
        <v>1.6</v>
      </c>
      <c r="C173" s="575" t="str">
        <f>Итоговая!E170</f>
        <v>+</v>
      </c>
      <c r="D173" s="575">
        <f>Итоговая!F170</f>
        <v>1.6</v>
      </c>
      <c r="E173" s="575"/>
      <c r="F173" s="584"/>
      <c r="G173" s="572" t="s">
        <v>375</v>
      </c>
      <c r="H173" s="572" t="s">
        <v>376</v>
      </c>
      <c r="I173" s="572" t="s">
        <v>377</v>
      </c>
      <c r="J173" s="262"/>
      <c r="K173" s="262">
        <v>0.06</v>
      </c>
      <c r="L173" s="572"/>
      <c r="M173" s="262"/>
      <c r="N173" s="731" t="s">
        <v>58</v>
      </c>
      <c r="O173" s="731" t="s">
        <v>17303</v>
      </c>
      <c r="P173" s="736" t="s">
        <v>17304</v>
      </c>
      <c r="Q173" s="519"/>
      <c r="R173" s="519">
        <f>0.09*0.15</f>
        <v>1.35E-2</v>
      </c>
      <c r="S173" s="736"/>
      <c r="T173" s="519"/>
    </row>
    <row r="174" spans="1:20" s="385" customFormat="1" ht="15" customHeight="1" x14ac:dyDescent="0.25">
      <c r="A174" s="582"/>
      <c r="B174" s="575"/>
      <c r="C174" s="575"/>
      <c r="D174" s="575"/>
      <c r="E174" s="575"/>
      <c r="F174" s="584"/>
      <c r="G174" s="1097" t="s">
        <v>2266</v>
      </c>
      <c r="H174" s="1098"/>
      <c r="I174" s="1098"/>
      <c r="J174" s="1098"/>
      <c r="K174" s="1098"/>
      <c r="L174" s="1098"/>
      <c r="M174" s="1098"/>
      <c r="N174" s="572"/>
      <c r="O174" s="572"/>
      <c r="P174" s="572"/>
      <c r="Q174" s="572"/>
      <c r="R174" s="262"/>
      <c r="S174" s="572"/>
      <c r="T174" s="348"/>
    </row>
    <row r="175" spans="1:20" s="387" customFormat="1" ht="15" customHeight="1" x14ac:dyDescent="0.25">
      <c r="A175" s="582"/>
      <c r="B175" s="575"/>
      <c r="C175" s="575"/>
      <c r="D175" s="575"/>
      <c r="E175" s="575"/>
      <c r="F175" s="584"/>
      <c r="G175" s="572" t="s">
        <v>14733</v>
      </c>
      <c r="H175" s="572" t="s">
        <v>14734</v>
      </c>
      <c r="I175" s="580" t="s">
        <v>14845</v>
      </c>
      <c r="J175" s="519"/>
      <c r="K175" s="519">
        <f>0.4*0.75</f>
        <v>0.30000000000000004</v>
      </c>
      <c r="L175" s="580"/>
      <c r="M175" s="519"/>
      <c r="N175" s="580"/>
      <c r="O175" s="580"/>
      <c r="P175" s="580"/>
      <c r="Q175" s="580"/>
      <c r="R175" s="519"/>
      <c r="S175" s="580"/>
      <c r="T175" s="241"/>
    </row>
    <row r="176" spans="1:20" s="387" customFormat="1" ht="15" customHeight="1" x14ac:dyDescent="0.25">
      <c r="A176" s="582"/>
      <c r="B176" s="575"/>
      <c r="C176" s="575"/>
      <c r="D176" s="575"/>
      <c r="E176" s="575"/>
      <c r="F176" s="584"/>
      <c r="G176" s="1097" t="s">
        <v>14978</v>
      </c>
      <c r="H176" s="1098"/>
      <c r="I176" s="1098"/>
      <c r="J176" s="1098"/>
      <c r="K176" s="1098"/>
      <c r="L176" s="1098"/>
      <c r="M176" s="1098"/>
      <c r="N176" s="580"/>
      <c r="O176" s="580"/>
      <c r="P176" s="580"/>
      <c r="Q176" s="580"/>
      <c r="R176" s="519"/>
      <c r="S176" s="580"/>
      <c r="T176" s="241"/>
    </row>
    <row r="177" spans="1:20" s="387" customFormat="1" ht="15" customHeight="1" x14ac:dyDescent="0.25">
      <c r="A177" s="582"/>
      <c r="B177" s="575"/>
      <c r="C177" s="575"/>
      <c r="D177" s="575"/>
      <c r="E177" s="575"/>
      <c r="F177" s="584"/>
      <c r="G177" s="369" t="s">
        <v>17628</v>
      </c>
      <c r="H177" s="369" t="s">
        <v>17629</v>
      </c>
      <c r="I177" s="369" t="s">
        <v>17630</v>
      </c>
      <c r="J177" s="370"/>
      <c r="K177" s="519">
        <f>0.12*0.75</f>
        <v>0.09</v>
      </c>
      <c r="L177" s="580"/>
      <c r="M177" s="519"/>
      <c r="N177" s="580"/>
      <c r="O177" s="580"/>
      <c r="P177" s="580"/>
      <c r="Q177" s="580"/>
      <c r="R177" s="519"/>
      <c r="S177" s="580"/>
      <c r="T177" s="241"/>
    </row>
    <row r="178" spans="1:20" s="387" customFormat="1" ht="15" customHeight="1" x14ac:dyDescent="0.25">
      <c r="A178" s="582"/>
      <c r="B178" s="575"/>
      <c r="C178" s="575"/>
      <c r="D178" s="575"/>
      <c r="E178" s="575"/>
      <c r="F178" s="584"/>
      <c r="G178" s="1108" t="s">
        <v>2262</v>
      </c>
      <c r="H178" s="1108"/>
      <c r="I178" s="1108"/>
      <c r="J178" s="994">
        <f>0.313*0.9</f>
        <v>0.28170000000000001</v>
      </c>
      <c r="K178" s="995"/>
      <c r="L178" s="580"/>
      <c r="M178" s="519"/>
      <c r="N178" s="580"/>
      <c r="O178" s="580"/>
      <c r="P178" s="580"/>
      <c r="Q178" s="580"/>
      <c r="R178" s="519"/>
      <c r="S178" s="580"/>
      <c r="T178" s="241"/>
    </row>
    <row r="179" spans="1:20" s="387" customFormat="1" ht="15" customHeight="1" x14ac:dyDescent="0.25">
      <c r="A179" s="582"/>
      <c r="B179" s="575"/>
      <c r="C179" s="575"/>
      <c r="D179" s="575"/>
      <c r="E179" s="575"/>
      <c r="F179" s="584"/>
      <c r="G179" s="1097" t="s">
        <v>18842</v>
      </c>
      <c r="H179" s="1098"/>
      <c r="I179" s="1098"/>
      <c r="J179" s="1098"/>
      <c r="K179" s="1098"/>
      <c r="L179" s="1098"/>
      <c r="M179" s="1098"/>
      <c r="N179" s="345"/>
      <c r="O179" s="345"/>
      <c r="P179" s="345"/>
      <c r="Q179" s="345"/>
      <c r="R179" s="594"/>
      <c r="S179" s="345"/>
      <c r="T179" s="259"/>
    </row>
    <row r="180" spans="1:20" s="387" customFormat="1" ht="15" customHeight="1" x14ac:dyDescent="0.25">
      <c r="A180" s="582"/>
      <c r="B180" s="575"/>
      <c r="C180" s="575"/>
      <c r="D180" s="575"/>
      <c r="E180" s="575"/>
      <c r="F180" s="584"/>
      <c r="G180" s="1108" t="s">
        <v>2262</v>
      </c>
      <c r="H180" s="1108"/>
      <c r="I180" s="1108"/>
      <c r="J180" s="994">
        <f>1.019*0.9*0.6</f>
        <v>0.55025999999999997</v>
      </c>
      <c r="K180" s="995"/>
      <c r="L180" s="369"/>
      <c r="M180" s="370"/>
      <c r="N180" s="345"/>
      <c r="O180" s="345"/>
      <c r="P180" s="345"/>
      <c r="Q180" s="345"/>
      <c r="R180" s="594"/>
      <c r="S180" s="345"/>
      <c r="T180" s="259"/>
    </row>
    <row r="181" spans="1:20" ht="15" customHeight="1" thickBot="1" x14ac:dyDescent="0.3">
      <c r="A181" s="406"/>
      <c r="B181" s="408"/>
      <c r="C181" s="408"/>
      <c r="D181" s="408"/>
      <c r="E181" s="408"/>
      <c r="F181" s="409"/>
      <c r="G181" s="1096" t="s">
        <v>1199</v>
      </c>
      <c r="H181" s="1096"/>
      <c r="I181" s="1096"/>
      <c r="J181" s="544"/>
      <c r="K181" s="247">
        <f>SUM(J177:K180)</f>
        <v>0.92196</v>
      </c>
      <c r="L181" s="569">
        <v>0.92</v>
      </c>
      <c r="M181" s="247">
        <f>K181/L181</f>
        <v>1.0021304347826085</v>
      </c>
      <c r="N181" s="1096" t="s">
        <v>1199</v>
      </c>
      <c r="O181" s="1096"/>
      <c r="P181" s="1096"/>
      <c r="Q181" s="569"/>
      <c r="R181" s="247">
        <f>SUM(R173:R173)</f>
        <v>1.35E-2</v>
      </c>
      <c r="S181" s="569">
        <v>0.92</v>
      </c>
      <c r="T181" s="249">
        <f>R181/S181</f>
        <v>1.4673913043478259E-2</v>
      </c>
    </row>
    <row r="182" spans="1:20" s="385" customFormat="1" ht="15" customHeight="1" x14ac:dyDescent="0.25">
      <c r="A182" s="581"/>
      <c r="B182" s="574"/>
      <c r="C182" s="574"/>
      <c r="D182" s="574"/>
      <c r="E182" s="574"/>
      <c r="F182" s="583"/>
      <c r="G182" s="1106" t="s">
        <v>1287</v>
      </c>
      <c r="H182" s="1107"/>
      <c r="I182" s="1107"/>
      <c r="J182" s="1107"/>
      <c r="K182" s="1107"/>
      <c r="L182" s="1107"/>
      <c r="M182" s="1107"/>
      <c r="N182" s="1120"/>
      <c r="O182" s="1120"/>
      <c r="P182" s="1120"/>
      <c r="Q182" s="1120"/>
      <c r="R182" s="1120"/>
      <c r="S182" s="1120"/>
      <c r="T182" s="1121"/>
    </row>
    <row r="183" spans="1:20" s="385" customFormat="1" ht="15" customHeight="1" x14ac:dyDescent="0.25">
      <c r="A183" s="582" t="str">
        <f>Итоговая!C171</f>
        <v>ПС 35/10 кВ Нерль</v>
      </c>
      <c r="B183" s="575">
        <f>Итоговая!D171</f>
        <v>4</v>
      </c>
      <c r="C183" s="575" t="str">
        <f>Итоговая!E171</f>
        <v>+</v>
      </c>
      <c r="D183" s="575">
        <f>Итоговая!F171</f>
        <v>2.5</v>
      </c>
      <c r="E183" s="575"/>
      <c r="F183" s="584"/>
      <c r="G183" s="572" t="s">
        <v>858</v>
      </c>
      <c r="H183" s="572" t="s">
        <v>859</v>
      </c>
      <c r="I183" s="572" t="s">
        <v>860</v>
      </c>
      <c r="J183" s="262"/>
      <c r="K183" s="262">
        <v>0.19500000000000001</v>
      </c>
      <c r="L183" s="572"/>
      <c r="M183" s="262"/>
      <c r="N183" s="572"/>
      <c r="O183" s="572"/>
      <c r="P183" s="572"/>
      <c r="Q183" s="572"/>
      <c r="R183" s="262"/>
      <c r="S183" s="572"/>
      <c r="T183" s="348"/>
    </row>
    <row r="184" spans="1:20" s="385" customFormat="1" ht="15" customHeight="1" x14ac:dyDescent="0.25">
      <c r="A184" s="582"/>
      <c r="B184" s="575"/>
      <c r="C184" s="575"/>
      <c r="D184" s="575"/>
      <c r="E184" s="575"/>
      <c r="F184" s="584"/>
      <c r="G184" s="1097" t="s">
        <v>2266</v>
      </c>
      <c r="H184" s="1098"/>
      <c r="I184" s="1098"/>
      <c r="J184" s="1098"/>
      <c r="K184" s="1098"/>
      <c r="L184" s="1098"/>
      <c r="M184" s="1098"/>
      <c r="N184" s="572"/>
      <c r="O184" s="572"/>
      <c r="P184" s="572"/>
      <c r="Q184" s="572"/>
      <c r="R184" s="262"/>
      <c r="S184" s="572"/>
      <c r="T184" s="348"/>
    </row>
    <row r="185" spans="1:20" s="385" customFormat="1" ht="15" customHeight="1" x14ac:dyDescent="0.25">
      <c r="A185" s="582"/>
      <c r="B185" s="575"/>
      <c r="C185" s="575"/>
      <c r="D185" s="575"/>
      <c r="E185" s="575"/>
      <c r="F185" s="584"/>
      <c r="G185" s="580" t="s">
        <v>13412</v>
      </c>
      <c r="H185" s="580" t="s">
        <v>13413</v>
      </c>
      <c r="I185" s="580" t="s">
        <v>14711</v>
      </c>
      <c r="J185" s="519"/>
      <c r="K185" s="519">
        <f>0.121*0.75</f>
        <v>9.0749999999999997E-2</v>
      </c>
      <c r="L185" s="580"/>
      <c r="M185" s="519"/>
      <c r="N185" s="572"/>
      <c r="O185" s="572"/>
      <c r="P185" s="572"/>
      <c r="Q185" s="572"/>
      <c r="R185" s="262"/>
      <c r="S185" s="572"/>
      <c r="T185" s="348"/>
    </row>
    <row r="186" spans="1:20" s="385" customFormat="1" ht="15" customHeight="1" x14ac:dyDescent="0.25">
      <c r="A186" s="582"/>
      <c r="B186" s="575"/>
      <c r="C186" s="575"/>
      <c r="D186" s="575"/>
      <c r="E186" s="575"/>
      <c r="F186" s="584"/>
      <c r="G186" s="1097" t="s">
        <v>14978</v>
      </c>
      <c r="H186" s="1098"/>
      <c r="I186" s="1098"/>
      <c r="J186" s="1098"/>
      <c r="K186" s="1098"/>
      <c r="L186" s="1098"/>
      <c r="M186" s="1098"/>
      <c r="N186" s="572"/>
      <c r="O186" s="572"/>
      <c r="P186" s="572"/>
      <c r="Q186" s="572"/>
      <c r="R186" s="262"/>
      <c r="S186" s="572"/>
      <c r="T186" s="348"/>
    </row>
    <row r="187" spans="1:20" s="385" customFormat="1" ht="15" customHeight="1" x14ac:dyDescent="0.25">
      <c r="A187" s="582"/>
      <c r="B187" s="575"/>
      <c r="C187" s="575"/>
      <c r="D187" s="575"/>
      <c r="E187" s="575"/>
      <c r="F187" s="584"/>
      <c r="G187" s="1065" t="s">
        <v>2262</v>
      </c>
      <c r="H187" s="1065"/>
      <c r="I187" s="1065"/>
      <c r="J187" s="994">
        <f>0.824*0.9*0.6</f>
        <v>0.44495999999999997</v>
      </c>
      <c r="K187" s="995"/>
      <c r="L187" s="580"/>
      <c r="M187" s="519"/>
      <c r="N187" s="572"/>
      <c r="O187" s="572"/>
      <c r="P187" s="572"/>
      <c r="Q187" s="572"/>
      <c r="R187" s="262"/>
      <c r="S187" s="572"/>
      <c r="T187" s="348"/>
    </row>
    <row r="188" spans="1:20" s="385" customFormat="1" ht="15" customHeight="1" x14ac:dyDescent="0.25">
      <c r="A188" s="582"/>
      <c r="B188" s="575"/>
      <c r="C188" s="575"/>
      <c r="D188" s="575"/>
      <c r="E188" s="575"/>
      <c r="F188" s="584"/>
      <c r="G188" s="1097" t="s">
        <v>18842</v>
      </c>
      <c r="H188" s="1098"/>
      <c r="I188" s="1098"/>
      <c r="J188" s="1098"/>
      <c r="K188" s="1098"/>
      <c r="L188" s="1098"/>
      <c r="M188" s="1098"/>
      <c r="N188" s="350"/>
      <c r="O188" s="350"/>
      <c r="P188" s="350"/>
      <c r="Q188" s="350"/>
      <c r="R188" s="351"/>
      <c r="S188" s="350"/>
      <c r="T188" s="352"/>
    </row>
    <row r="189" spans="1:20" s="385" customFormat="1" ht="15" customHeight="1" x14ac:dyDescent="0.25">
      <c r="A189" s="582"/>
      <c r="B189" s="575"/>
      <c r="C189" s="575"/>
      <c r="D189" s="575"/>
      <c r="E189" s="575"/>
      <c r="F189" s="584"/>
      <c r="G189" s="1108" t="s">
        <v>2262</v>
      </c>
      <c r="H189" s="1108"/>
      <c r="I189" s="1108"/>
      <c r="J189" s="994">
        <f>1.289*0.9*0.6</f>
        <v>0.6960599999999999</v>
      </c>
      <c r="K189" s="995"/>
      <c r="L189" s="369"/>
      <c r="M189" s="370"/>
      <c r="N189" s="350"/>
      <c r="O189" s="350"/>
      <c r="P189" s="350"/>
      <c r="Q189" s="350"/>
      <c r="R189" s="351"/>
      <c r="S189" s="350"/>
      <c r="T189" s="352"/>
    </row>
    <row r="190" spans="1:20" ht="15" customHeight="1" thickBot="1" x14ac:dyDescent="0.3">
      <c r="A190" s="410"/>
      <c r="B190" s="400"/>
      <c r="C190" s="400"/>
      <c r="D190" s="400"/>
      <c r="E190" s="400"/>
      <c r="F190" s="401"/>
      <c r="G190" s="1096" t="s">
        <v>1199</v>
      </c>
      <c r="H190" s="1096"/>
      <c r="I190" s="1096"/>
      <c r="J190" s="544"/>
      <c r="K190" s="247">
        <f>SUM(J187:K189)</f>
        <v>1.1410199999999999</v>
      </c>
      <c r="L190" s="569">
        <v>0.92</v>
      </c>
      <c r="M190" s="247">
        <f>K190/L190</f>
        <v>1.2402391304347824</v>
      </c>
      <c r="N190" s="1096" t="s">
        <v>1199</v>
      </c>
      <c r="O190" s="1096"/>
      <c r="P190" s="1096"/>
      <c r="Q190" s="569"/>
      <c r="R190" s="247">
        <f>SUM(R183:R183)</f>
        <v>0</v>
      </c>
      <c r="S190" s="569">
        <v>0.92</v>
      </c>
      <c r="T190" s="249">
        <f>R190/S190</f>
        <v>0</v>
      </c>
    </row>
    <row r="191" spans="1:20" s="385" customFormat="1" ht="15" customHeight="1" x14ac:dyDescent="0.25">
      <c r="A191" s="1111" t="str">
        <f>Итоговая!C172</f>
        <v xml:space="preserve">ПС 35/10 кВ Плутково  </v>
      </c>
      <c r="B191" s="1113">
        <f>Итоговая!D172</f>
        <v>2.5</v>
      </c>
      <c r="C191" s="1109" t="str">
        <f>Итоговая!E172</f>
        <v>+</v>
      </c>
      <c r="D191" s="1109">
        <f>Итоговая!F172</f>
        <v>2.5</v>
      </c>
      <c r="E191" s="574"/>
      <c r="F191" s="583"/>
      <c r="G191" s="1106" t="s">
        <v>1286</v>
      </c>
      <c r="H191" s="1107"/>
      <c r="I191" s="1107"/>
      <c r="J191" s="1107"/>
      <c r="K191" s="1107"/>
      <c r="L191" s="1107"/>
      <c r="M191" s="1107"/>
      <c r="N191" s="1120"/>
      <c r="O191" s="1120"/>
      <c r="P191" s="1120"/>
      <c r="Q191" s="1120"/>
      <c r="R191" s="1120"/>
      <c r="S191" s="1120"/>
      <c r="T191" s="1121"/>
    </row>
    <row r="192" spans="1:20" s="385" customFormat="1" ht="15" customHeight="1" x14ac:dyDescent="0.25">
      <c r="A192" s="1112"/>
      <c r="B192" s="1114"/>
      <c r="C192" s="1110"/>
      <c r="D192" s="1110"/>
      <c r="E192" s="575"/>
      <c r="F192" s="584"/>
      <c r="G192" s="572" t="s">
        <v>852</v>
      </c>
      <c r="H192" s="572" t="s">
        <v>853</v>
      </c>
      <c r="I192" s="572" t="s">
        <v>851</v>
      </c>
      <c r="J192" s="262"/>
      <c r="K192" s="262">
        <v>0.1</v>
      </c>
      <c r="L192" s="572"/>
      <c r="M192" s="262"/>
      <c r="N192" s="572"/>
      <c r="O192" s="572"/>
      <c r="P192" s="572"/>
      <c r="Q192" s="572"/>
      <c r="R192" s="262"/>
      <c r="S192" s="572"/>
      <c r="T192" s="348"/>
    </row>
    <row r="193" spans="1:20" s="385" customFormat="1" ht="15" customHeight="1" x14ac:dyDescent="0.25">
      <c r="A193" s="577"/>
      <c r="B193" s="579"/>
      <c r="C193" s="575"/>
      <c r="D193" s="575"/>
      <c r="E193" s="575"/>
      <c r="F193" s="584"/>
      <c r="G193" s="572" t="s">
        <v>854</v>
      </c>
      <c r="H193" s="572" t="s">
        <v>853</v>
      </c>
      <c r="I193" s="572" t="s">
        <v>855</v>
      </c>
      <c r="J193" s="262"/>
      <c r="K193" s="262">
        <v>0.1</v>
      </c>
      <c r="L193" s="572"/>
      <c r="M193" s="262"/>
      <c r="N193" s="572"/>
      <c r="O193" s="572"/>
      <c r="P193" s="572"/>
      <c r="Q193" s="572"/>
      <c r="R193" s="262"/>
      <c r="S193" s="572"/>
      <c r="T193" s="348"/>
    </row>
    <row r="194" spans="1:20" s="385" customFormat="1" ht="15" customHeight="1" x14ac:dyDescent="0.25">
      <c r="A194" s="577"/>
      <c r="B194" s="579"/>
      <c r="C194" s="575"/>
      <c r="D194" s="575"/>
      <c r="E194" s="575"/>
      <c r="F194" s="584"/>
      <c r="G194" s="572" t="s">
        <v>61</v>
      </c>
      <c r="H194" s="572" t="s">
        <v>62</v>
      </c>
      <c r="I194" s="572" t="s">
        <v>1532</v>
      </c>
      <c r="J194" s="262"/>
      <c r="K194" s="262">
        <v>0.1</v>
      </c>
      <c r="L194" s="572"/>
      <c r="M194" s="262"/>
      <c r="N194" s="572"/>
      <c r="O194" s="572"/>
      <c r="P194" s="572"/>
      <c r="Q194" s="572"/>
      <c r="R194" s="262"/>
      <c r="S194" s="572"/>
      <c r="T194" s="348"/>
    </row>
    <row r="195" spans="1:20" s="385" customFormat="1" ht="15" customHeight="1" x14ac:dyDescent="0.25">
      <c r="A195" s="577"/>
      <c r="B195" s="579"/>
      <c r="C195" s="575"/>
      <c r="D195" s="575"/>
      <c r="E195" s="575"/>
      <c r="F195" s="584"/>
      <c r="G195" s="1097" t="s">
        <v>1324</v>
      </c>
      <c r="H195" s="1098"/>
      <c r="I195" s="1098"/>
      <c r="J195" s="1098"/>
      <c r="K195" s="1098"/>
      <c r="L195" s="1098"/>
      <c r="M195" s="1098"/>
      <c r="N195" s="1115"/>
      <c r="O195" s="1115"/>
      <c r="P195" s="1115"/>
      <c r="Q195" s="1115"/>
      <c r="R195" s="1115"/>
      <c r="S195" s="1115"/>
      <c r="T195" s="1123"/>
    </row>
    <row r="196" spans="1:20" s="385" customFormat="1" ht="15" customHeight="1" x14ac:dyDescent="0.25">
      <c r="A196" s="577"/>
      <c r="B196" s="579"/>
      <c r="C196" s="575"/>
      <c r="D196" s="575"/>
      <c r="E196" s="575"/>
      <c r="F196" s="584"/>
      <c r="G196" s="572" t="s">
        <v>535</v>
      </c>
      <c r="H196" s="572" t="s">
        <v>536</v>
      </c>
      <c r="I196" s="572" t="s">
        <v>1490</v>
      </c>
      <c r="J196" s="262"/>
      <c r="K196" s="262">
        <v>0.04</v>
      </c>
      <c r="L196" s="572"/>
      <c r="M196" s="262"/>
      <c r="N196" s="572"/>
      <c r="O196" s="572"/>
      <c r="P196" s="572"/>
      <c r="Q196" s="572"/>
      <c r="R196" s="262"/>
      <c r="S196" s="572"/>
      <c r="T196" s="348"/>
    </row>
    <row r="197" spans="1:20" s="385" customFormat="1" ht="15" customHeight="1" x14ac:dyDescent="0.25">
      <c r="A197" s="577"/>
      <c r="B197" s="579"/>
      <c r="C197" s="575"/>
      <c r="D197" s="575"/>
      <c r="E197" s="575"/>
      <c r="F197" s="584"/>
      <c r="G197" s="572" t="s">
        <v>16</v>
      </c>
      <c r="H197" s="572" t="s">
        <v>17</v>
      </c>
      <c r="I197" s="572" t="s">
        <v>1513</v>
      </c>
      <c r="J197" s="262"/>
      <c r="K197" s="262">
        <v>0.2</v>
      </c>
      <c r="L197" s="572"/>
      <c r="M197" s="262"/>
      <c r="N197" s="572"/>
      <c r="O197" s="572"/>
      <c r="P197" s="572"/>
      <c r="Q197" s="572"/>
      <c r="R197" s="262"/>
      <c r="S197" s="572"/>
      <c r="T197" s="348"/>
    </row>
    <row r="198" spans="1:20" s="385" customFormat="1" ht="15" customHeight="1" x14ac:dyDescent="0.25">
      <c r="A198" s="577"/>
      <c r="B198" s="579"/>
      <c r="C198" s="575"/>
      <c r="D198" s="575"/>
      <c r="E198" s="575"/>
      <c r="F198" s="584"/>
      <c r="G198" s="1097" t="s">
        <v>1645</v>
      </c>
      <c r="H198" s="1098"/>
      <c r="I198" s="1098"/>
      <c r="J198" s="1098"/>
      <c r="K198" s="1098"/>
      <c r="L198" s="1098"/>
      <c r="M198" s="1098"/>
      <c r="N198" s="572"/>
      <c r="O198" s="572"/>
      <c r="P198" s="572"/>
      <c r="Q198" s="572"/>
      <c r="R198" s="262"/>
      <c r="S198" s="572"/>
      <c r="T198" s="348"/>
    </row>
    <row r="199" spans="1:20" s="385" customFormat="1" ht="15" customHeight="1" x14ac:dyDescent="0.25">
      <c r="A199" s="577"/>
      <c r="B199" s="579"/>
      <c r="C199" s="575"/>
      <c r="D199" s="575"/>
      <c r="E199" s="575"/>
      <c r="F199" s="584"/>
      <c r="G199" s="572" t="s">
        <v>1719</v>
      </c>
      <c r="H199" s="572" t="s">
        <v>1771</v>
      </c>
      <c r="I199" s="572" t="s">
        <v>1772</v>
      </c>
      <c r="J199" s="262"/>
      <c r="K199" s="262">
        <v>0.04</v>
      </c>
      <c r="L199" s="572"/>
      <c r="M199" s="262"/>
      <c r="N199" s="572"/>
      <c r="O199" s="572"/>
      <c r="P199" s="572"/>
      <c r="Q199" s="572"/>
      <c r="R199" s="262"/>
      <c r="S199" s="572"/>
      <c r="T199" s="348"/>
    </row>
    <row r="200" spans="1:20" s="385" customFormat="1" ht="15" customHeight="1" x14ac:dyDescent="0.25">
      <c r="A200" s="577"/>
      <c r="B200" s="579"/>
      <c r="C200" s="575"/>
      <c r="D200" s="575"/>
      <c r="E200" s="575"/>
      <c r="F200" s="584"/>
      <c r="G200" s="572" t="s">
        <v>1752</v>
      </c>
      <c r="H200" s="572" t="s">
        <v>1753</v>
      </c>
      <c r="I200" s="572" t="s">
        <v>1783</v>
      </c>
      <c r="J200" s="262"/>
      <c r="K200" s="262">
        <v>0.4</v>
      </c>
      <c r="L200" s="572"/>
      <c r="M200" s="262"/>
      <c r="N200" s="572"/>
      <c r="O200" s="572"/>
      <c r="P200" s="572"/>
      <c r="Q200" s="572"/>
      <c r="R200" s="262"/>
      <c r="S200" s="572"/>
      <c r="T200" s="348"/>
    </row>
    <row r="201" spans="1:20" s="385" customFormat="1" ht="15" customHeight="1" x14ac:dyDescent="0.25">
      <c r="A201" s="577"/>
      <c r="B201" s="579"/>
      <c r="C201" s="575"/>
      <c r="D201" s="575"/>
      <c r="E201" s="575"/>
      <c r="F201" s="584"/>
      <c r="G201" s="1097" t="s">
        <v>14978</v>
      </c>
      <c r="H201" s="1098"/>
      <c r="I201" s="1098"/>
      <c r="J201" s="1098"/>
      <c r="K201" s="1098"/>
      <c r="L201" s="1098"/>
      <c r="M201" s="1098"/>
      <c r="N201" s="572"/>
      <c r="O201" s="572"/>
      <c r="P201" s="572"/>
      <c r="Q201" s="572"/>
      <c r="R201" s="262"/>
      <c r="S201" s="572"/>
      <c r="T201" s="348"/>
    </row>
    <row r="202" spans="1:20" s="385" customFormat="1" ht="15" customHeight="1" x14ac:dyDescent="0.25">
      <c r="A202" s="577"/>
      <c r="B202" s="579"/>
      <c r="C202" s="575"/>
      <c r="D202" s="575"/>
      <c r="E202" s="575"/>
      <c r="F202" s="584"/>
      <c r="G202" s="580" t="s">
        <v>17245</v>
      </c>
      <c r="H202" s="580" t="s">
        <v>17246</v>
      </c>
      <c r="I202" s="580" t="s">
        <v>17247</v>
      </c>
      <c r="J202" s="519"/>
      <c r="K202" s="519">
        <f>0.03*0.9</f>
        <v>2.7E-2</v>
      </c>
      <c r="L202" s="580"/>
      <c r="M202" s="519"/>
      <c r="N202" s="572"/>
      <c r="O202" s="572"/>
      <c r="P202" s="572"/>
      <c r="Q202" s="572"/>
      <c r="R202" s="262"/>
      <c r="S202" s="572"/>
      <c r="T202" s="348"/>
    </row>
    <row r="203" spans="1:20" s="385" customFormat="1" ht="15" customHeight="1" x14ac:dyDescent="0.25">
      <c r="A203" s="577"/>
      <c r="B203" s="579"/>
      <c r="C203" s="575"/>
      <c r="D203" s="575"/>
      <c r="E203" s="575"/>
      <c r="F203" s="584"/>
      <c r="G203" s="580" t="s">
        <v>17489</v>
      </c>
      <c r="H203" s="580" t="s">
        <v>17490</v>
      </c>
      <c r="I203" s="580" t="s">
        <v>17491</v>
      </c>
      <c r="J203" s="519"/>
      <c r="K203" s="519">
        <f>0.02*0.9</f>
        <v>1.8000000000000002E-2</v>
      </c>
      <c r="L203" s="580"/>
      <c r="M203" s="519"/>
      <c r="N203" s="572"/>
      <c r="O203" s="572"/>
      <c r="P203" s="572"/>
      <c r="Q203" s="572"/>
      <c r="R203" s="262"/>
      <c r="S203" s="572"/>
      <c r="T203" s="348"/>
    </row>
    <row r="204" spans="1:20" s="385" customFormat="1" ht="15" customHeight="1" x14ac:dyDescent="0.25">
      <c r="A204" s="577"/>
      <c r="B204" s="579"/>
      <c r="C204" s="575"/>
      <c r="D204" s="575"/>
      <c r="E204" s="575"/>
      <c r="F204" s="584"/>
      <c r="G204" s="580" t="s">
        <v>17489</v>
      </c>
      <c r="H204" s="580" t="s">
        <v>17492</v>
      </c>
      <c r="I204" s="580" t="s">
        <v>17493</v>
      </c>
      <c r="J204" s="519"/>
      <c r="K204" s="519">
        <f>0.11*0.9</f>
        <v>9.9000000000000005E-2</v>
      </c>
      <c r="L204" s="580"/>
      <c r="M204" s="519"/>
      <c r="N204" s="572"/>
      <c r="O204" s="572"/>
      <c r="P204" s="572"/>
      <c r="Q204" s="572"/>
      <c r="R204" s="262"/>
      <c r="S204" s="572"/>
      <c r="T204" s="348"/>
    </row>
    <row r="205" spans="1:20" s="385" customFormat="1" ht="15" customHeight="1" x14ac:dyDescent="0.25">
      <c r="A205" s="577"/>
      <c r="B205" s="579"/>
      <c r="C205" s="575"/>
      <c r="D205" s="575"/>
      <c r="E205" s="575"/>
      <c r="F205" s="584"/>
      <c r="G205" s="1065" t="s">
        <v>2262</v>
      </c>
      <c r="H205" s="1065"/>
      <c r="I205" s="1065"/>
      <c r="J205" s="994">
        <f>0.8815*0.9*0.6</f>
        <v>0.47600999999999999</v>
      </c>
      <c r="K205" s="995"/>
      <c r="L205" s="580"/>
      <c r="M205" s="519"/>
      <c r="N205" s="572"/>
      <c r="O205" s="572"/>
      <c r="P205" s="572"/>
      <c r="Q205" s="572"/>
      <c r="R205" s="262"/>
      <c r="S205" s="572"/>
      <c r="T205" s="348"/>
    </row>
    <row r="206" spans="1:20" s="385" customFormat="1" ht="15" customHeight="1" x14ac:dyDescent="0.25">
      <c r="A206" s="577"/>
      <c r="B206" s="579"/>
      <c r="C206" s="575"/>
      <c r="D206" s="575"/>
      <c r="E206" s="575"/>
      <c r="F206" s="584"/>
      <c r="G206" s="1097" t="s">
        <v>18842</v>
      </c>
      <c r="H206" s="1098"/>
      <c r="I206" s="1098"/>
      <c r="J206" s="1098"/>
      <c r="K206" s="1098"/>
      <c r="L206" s="1098"/>
      <c r="M206" s="1098"/>
      <c r="N206" s="350"/>
      <c r="O206" s="350"/>
      <c r="P206" s="350"/>
      <c r="Q206" s="350"/>
      <c r="R206" s="351"/>
      <c r="S206" s="350"/>
      <c r="T206" s="352"/>
    </row>
    <row r="207" spans="1:20" s="385" customFormat="1" ht="15" customHeight="1" x14ac:dyDescent="0.25">
      <c r="A207" s="577"/>
      <c r="B207" s="579"/>
      <c r="C207" s="575"/>
      <c r="D207" s="575"/>
      <c r="E207" s="575"/>
      <c r="F207" s="584"/>
      <c r="G207" s="345" t="s">
        <v>19673</v>
      </c>
      <c r="H207" s="345" t="s">
        <v>19674</v>
      </c>
      <c r="I207" s="345" t="s">
        <v>19675</v>
      </c>
      <c r="J207" s="594"/>
      <c r="K207" s="594">
        <f>0.005*0.9</f>
        <v>4.5000000000000005E-3</v>
      </c>
      <c r="L207" s="345"/>
      <c r="M207" s="594"/>
      <c r="N207" s="350"/>
      <c r="O207" s="350"/>
      <c r="P207" s="350"/>
      <c r="Q207" s="350"/>
      <c r="R207" s="351"/>
      <c r="S207" s="350"/>
      <c r="T207" s="352"/>
    </row>
    <row r="208" spans="1:20" s="385" customFormat="1" ht="15" customHeight="1" x14ac:dyDescent="0.25">
      <c r="A208" s="577"/>
      <c r="B208" s="579"/>
      <c r="C208" s="575"/>
      <c r="D208" s="575"/>
      <c r="E208" s="575"/>
      <c r="F208" s="584"/>
      <c r="G208" s="345" t="s">
        <v>19676</v>
      </c>
      <c r="H208" s="345" t="s">
        <v>19677</v>
      </c>
      <c r="I208" s="345" t="s">
        <v>19678</v>
      </c>
      <c r="J208" s="594">
        <f>0.008*0.9</f>
        <v>7.2000000000000007E-3</v>
      </c>
      <c r="K208" s="594"/>
      <c r="L208" s="345"/>
      <c r="M208" s="594"/>
      <c r="N208" s="350"/>
      <c r="O208" s="350"/>
      <c r="P208" s="350"/>
      <c r="Q208" s="350"/>
      <c r="R208" s="351"/>
      <c r="S208" s="350"/>
      <c r="T208" s="352"/>
    </row>
    <row r="209" spans="1:20" s="385" customFormat="1" ht="15" customHeight="1" x14ac:dyDescent="0.25">
      <c r="A209" s="577"/>
      <c r="B209" s="579"/>
      <c r="C209" s="575"/>
      <c r="D209" s="575"/>
      <c r="E209" s="575"/>
      <c r="F209" s="584"/>
      <c r="G209" s="345" t="s">
        <v>18904</v>
      </c>
      <c r="H209" s="345" t="s">
        <v>18905</v>
      </c>
      <c r="I209" s="345" t="s">
        <v>19679</v>
      </c>
      <c r="J209" s="594">
        <f>0.016*0.9</f>
        <v>1.4400000000000001E-2</v>
      </c>
      <c r="K209" s="594"/>
      <c r="L209" s="345"/>
      <c r="M209" s="594"/>
      <c r="N209" s="350"/>
      <c r="O209" s="350"/>
      <c r="P209" s="350"/>
      <c r="Q209" s="350"/>
      <c r="R209" s="351"/>
      <c r="S209" s="350"/>
      <c r="T209" s="352"/>
    </row>
    <row r="210" spans="1:20" s="385" customFormat="1" ht="15" customHeight="1" x14ac:dyDescent="0.25">
      <c r="A210" s="577"/>
      <c r="B210" s="579"/>
      <c r="C210" s="575"/>
      <c r="D210" s="575"/>
      <c r="E210" s="575"/>
      <c r="F210" s="584"/>
      <c r="G210" s="345" t="s">
        <v>19019</v>
      </c>
      <c r="H210" s="345" t="s">
        <v>19020</v>
      </c>
      <c r="I210" s="345" t="s">
        <v>19680</v>
      </c>
      <c r="J210" s="594"/>
      <c r="K210" s="594">
        <f>0.005*0.9</f>
        <v>4.5000000000000005E-3</v>
      </c>
      <c r="L210" s="345"/>
      <c r="M210" s="594"/>
      <c r="N210" s="350"/>
      <c r="O210" s="350"/>
      <c r="P210" s="350"/>
      <c r="Q210" s="350"/>
      <c r="R210" s="351"/>
      <c r="S210" s="350"/>
      <c r="T210" s="352"/>
    </row>
    <row r="211" spans="1:20" s="385" customFormat="1" ht="15" customHeight="1" x14ac:dyDescent="0.25">
      <c r="A211" s="577"/>
      <c r="B211" s="579"/>
      <c r="C211" s="575"/>
      <c r="D211" s="575"/>
      <c r="E211" s="575"/>
      <c r="F211" s="584"/>
      <c r="G211" s="1065" t="s">
        <v>2262</v>
      </c>
      <c r="H211" s="1065"/>
      <c r="I211" s="1065"/>
      <c r="J211" s="994">
        <f>1.095*0.9*0.6</f>
        <v>0.59130000000000005</v>
      </c>
      <c r="K211" s="995"/>
      <c r="L211" s="580"/>
      <c r="M211" s="519"/>
      <c r="N211" s="350"/>
      <c r="O211" s="350"/>
      <c r="P211" s="350"/>
      <c r="Q211" s="350"/>
      <c r="R211" s="351"/>
      <c r="S211" s="350"/>
      <c r="T211" s="352"/>
    </row>
    <row r="212" spans="1:20" ht="15" customHeight="1" thickBot="1" x14ac:dyDescent="0.3">
      <c r="A212" s="394"/>
      <c r="B212" s="399"/>
      <c r="C212" s="400"/>
      <c r="D212" s="400"/>
      <c r="E212" s="400"/>
      <c r="F212" s="401"/>
      <c r="G212" s="1096" t="s">
        <v>1199</v>
      </c>
      <c r="H212" s="1096"/>
      <c r="I212" s="1096"/>
      <c r="J212" s="544"/>
      <c r="K212" s="247">
        <f>SUM(J202:K211)</f>
        <v>1.2419099999999998</v>
      </c>
      <c r="L212" s="569">
        <v>0.92</v>
      </c>
      <c r="M212" s="247">
        <f>K212/L212</f>
        <v>1.3499021739130432</v>
      </c>
      <c r="N212" s="1096" t="s">
        <v>1199</v>
      </c>
      <c r="O212" s="1096"/>
      <c r="P212" s="1096"/>
      <c r="Q212" s="569"/>
      <c r="R212" s="247">
        <f>SUM(R192:R198)</f>
        <v>0</v>
      </c>
      <c r="S212" s="569">
        <v>0.92</v>
      </c>
      <c r="T212" s="249">
        <f>R212/S212</f>
        <v>0</v>
      </c>
    </row>
    <row r="213" spans="1:20" ht="15" customHeight="1" x14ac:dyDescent="0.25">
      <c r="A213" s="405" t="str">
        <f>Итоговая!C173</f>
        <v xml:space="preserve">ПС 35/10 кВ Савцино </v>
      </c>
      <c r="B213" s="578">
        <f>Итоговая!D173</f>
        <v>2.5</v>
      </c>
      <c r="C213" s="574" t="str">
        <f>Итоговая!E173</f>
        <v>+</v>
      </c>
      <c r="D213" s="574">
        <f>Итоговая!F173</f>
        <v>2.5</v>
      </c>
      <c r="E213" s="574"/>
      <c r="F213" s="583"/>
      <c r="G213" s="1106" t="s">
        <v>14933</v>
      </c>
      <c r="H213" s="1107"/>
      <c r="I213" s="1107"/>
      <c r="J213" s="1107"/>
      <c r="K213" s="1107"/>
      <c r="L213" s="1107"/>
      <c r="M213" s="1107"/>
      <c r="N213" s="355"/>
      <c r="O213" s="355"/>
      <c r="P213" s="355"/>
      <c r="Q213" s="355"/>
      <c r="R213" s="216"/>
      <c r="S213" s="355"/>
      <c r="T213" s="217"/>
    </row>
    <row r="214" spans="1:20" ht="15" customHeight="1" x14ac:dyDescent="0.25">
      <c r="A214" s="411"/>
      <c r="B214" s="579"/>
      <c r="C214" s="575"/>
      <c r="D214" s="575"/>
      <c r="E214" s="575"/>
      <c r="F214" s="584"/>
      <c r="G214" s="344" t="s">
        <v>17520</v>
      </c>
      <c r="H214" s="344" t="s">
        <v>17521</v>
      </c>
      <c r="I214" s="344" t="s">
        <v>17522</v>
      </c>
      <c r="J214" s="205"/>
      <c r="K214" s="205">
        <f>0.06*0.9</f>
        <v>5.3999999999999999E-2</v>
      </c>
      <c r="L214" s="344"/>
      <c r="M214" s="519"/>
      <c r="N214" s="344"/>
      <c r="O214" s="344"/>
      <c r="P214" s="344"/>
      <c r="Q214" s="344"/>
      <c r="R214" s="205"/>
      <c r="S214" s="344"/>
      <c r="T214" s="241"/>
    </row>
    <row r="215" spans="1:20" ht="15" customHeight="1" x14ac:dyDescent="0.25">
      <c r="A215" s="411"/>
      <c r="B215" s="579"/>
      <c r="C215" s="575"/>
      <c r="D215" s="575"/>
      <c r="E215" s="575"/>
      <c r="F215" s="584"/>
      <c r="G215" s="1097" t="s">
        <v>18842</v>
      </c>
      <c r="H215" s="1098"/>
      <c r="I215" s="1098"/>
      <c r="J215" s="1098"/>
      <c r="K215" s="1098"/>
      <c r="L215" s="1098"/>
      <c r="M215" s="1098"/>
      <c r="N215" s="209"/>
      <c r="O215" s="209"/>
      <c r="P215" s="209"/>
      <c r="Q215" s="209"/>
      <c r="R215" s="230"/>
      <c r="S215" s="209"/>
      <c r="T215" s="259"/>
    </row>
    <row r="216" spans="1:20" ht="15" customHeight="1" x14ac:dyDescent="0.25">
      <c r="A216" s="411"/>
      <c r="B216" s="579"/>
      <c r="C216" s="575"/>
      <c r="D216" s="575"/>
      <c r="E216" s="575"/>
      <c r="F216" s="584"/>
      <c r="G216" s="1108" t="s">
        <v>2262</v>
      </c>
      <c r="H216" s="1108"/>
      <c r="I216" s="1108"/>
      <c r="J216" s="994">
        <f>0.019*0.9</f>
        <v>1.7100000000000001E-2</v>
      </c>
      <c r="K216" s="995"/>
      <c r="L216" s="369"/>
      <c r="M216" s="370"/>
      <c r="N216" s="209"/>
      <c r="O216" s="209"/>
      <c r="P216" s="209"/>
      <c r="Q216" s="209"/>
      <c r="R216" s="230"/>
      <c r="S216" s="209"/>
      <c r="T216" s="259"/>
    </row>
    <row r="217" spans="1:20" ht="15" customHeight="1" thickBot="1" x14ac:dyDescent="0.3">
      <c r="A217" s="394"/>
      <c r="B217" s="399"/>
      <c r="C217" s="400"/>
      <c r="D217" s="400"/>
      <c r="E217" s="400"/>
      <c r="F217" s="401"/>
      <c r="G217" s="1096" t="s">
        <v>1199</v>
      </c>
      <c r="H217" s="1096"/>
      <c r="I217" s="1096"/>
      <c r="J217" s="544"/>
      <c r="K217" s="247">
        <f>SUM(J214:K216)</f>
        <v>7.1099999999999997E-2</v>
      </c>
      <c r="L217" s="569">
        <v>0.92</v>
      </c>
      <c r="M217" s="247">
        <f>K217/L217</f>
        <v>7.7282608695652164E-2</v>
      </c>
      <c r="N217" s="1096" t="s">
        <v>1199</v>
      </c>
      <c r="O217" s="1096"/>
      <c r="P217" s="1096"/>
      <c r="Q217" s="569"/>
      <c r="R217" s="247">
        <f>SUM(R213:R213)</f>
        <v>0</v>
      </c>
      <c r="S217" s="569">
        <v>0.92</v>
      </c>
      <c r="T217" s="249">
        <f>R217/S217</f>
        <v>0</v>
      </c>
    </row>
    <row r="218" spans="1:20" ht="15" customHeight="1" x14ac:dyDescent="0.25">
      <c r="A218" s="405" t="str">
        <f>Итоговая!C174</f>
        <v xml:space="preserve">ПС 35/10 кВ Сотское </v>
      </c>
      <c r="B218" s="578">
        <f>Итоговая!D174</f>
        <v>1.6</v>
      </c>
      <c r="C218" s="574" t="str">
        <f>Итоговая!E174</f>
        <v>+</v>
      </c>
      <c r="D218" s="574">
        <f>Итоговая!F174</f>
        <v>2.5</v>
      </c>
      <c r="E218" s="574"/>
      <c r="F218" s="583"/>
      <c r="G218" s="1097" t="s">
        <v>18842</v>
      </c>
      <c r="H218" s="1098"/>
      <c r="I218" s="1098"/>
      <c r="J218" s="1098"/>
      <c r="K218" s="1098"/>
      <c r="L218" s="1098"/>
      <c r="M218" s="1098"/>
      <c r="N218" s="355"/>
      <c r="O218" s="355"/>
      <c r="P218" s="355"/>
      <c r="Q218" s="355"/>
      <c r="R218" s="216"/>
      <c r="S218" s="355"/>
      <c r="T218" s="217"/>
    </row>
    <row r="219" spans="1:20" ht="15" customHeight="1" x14ac:dyDescent="0.25">
      <c r="A219" s="411"/>
      <c r="B219" s="579"/>
      <c r="C219" s="575"/>
      <c r="D219" s="575"/>
      <c r="E219" s="575"/>
      <c r="F219" s="584"/>
      <c r="G219" s="1108" t="s">
        <v>2262</v>
      </c>
      <c r="H219" s="1108"/>
      <c r="I219" s="1108"/>
      <c r="J219" s="994">
        <f>0.037*0.9*0.6</f>
        <v>1.9979999999999998E-2</v>
      </c>
      <c r="K219" s="995"/>
      <c r="L219" s="369"/>
      <c r="M219" s="370"/>
      <c r="N219" s="372"/>
      <c r="O219" s="372"/>
      <c r="P219" s="372"/>
      <c r="Q219" s="372"/>
      <c r="R219" s="224"/>
      <c r="S219" s="372"/>
      <c r="T219" s="225"/>
    </row>
    <row r="220" spans="1:20" ht="15" customHeight="1" thickBot="1" x14ac:dyDescent="0.3">
      <c r="A220" s="394"/>
      <c r="B220" s="399"/>
      <c r="C220" s="400"/>
      <c r="D220" s="400"/>
      <c r="E220" s="400"/>
      <c r="F220" s="401"/>
      <c r="G220" s="1096" t="s">
        <v>1199</v>
      </c>
      <c r="H220" s="1096"/>
      <c r="I220" s="1096"/>
      <c r="J220" s="544"/>
      <c r="K220" s="247">
        <f>SUM(J219)</f>
        <v>1.9979999999999998E-2</v>
      </c>
      <c r="L220" s="569">
        <v>0.92</v>
      </c>
      <c r="M220" s="247">
        <f>K220/L220</f>
        <v>2.1717391304347824E-2</v>
      </c>
      <c r="N220" s="1096" t="s">
        <v>1199</v>
      </c>
      <c r="O220" s="1096"/>
      <c r="P220" s="1096"/>
      <c r="Q220" s="569"/>
      <c r="R220" s="247">
        <f>SUM(R218:R218)</f>
        <v>0</v>
      </c>
      <c r="S220" s="569">
        <v>0.92</v>
      </c>
      <c r="T220" s="249">
        <f>R220/S220</f>
        <v>0</v>
      </c>
    </row>
    <row r="221" spans="1:20" ht="15" customHeight="1" x14ac:dyDescent="0.25">
      <c r="A221" s="405" t="str">
        <f>Итоговая!C175</f>
        <v xml:space="preserve">ПС 35/10 кВ Стоянцы </v>
      </c>
      <c r="B221" s="578">
        <f>Итоговая!D175</f>
        <v>2.5</v>
      </c>
      <c r="C221" s="574" t="str">
        <f>Итоговая!E175</f>
        <v>+</v>
      </c>
      <c r="D221" s="574">
        <f>Итоговая!F175</f>
        <v>2.5</v>
      </c>
      <c r="E221" s="574"/>
      <c r="F221" s="583"/>
      <c r="G221" s="1097" t="s">
        <v>18842</v>
      </c>
      <c r="H221" s="1098"/>
      <c r="I221" s="1098"/>
      <c r="J221" s="1098"/>
      <c r="K221" s="1098"/>
      <c r="L221" s="1098"/>
      <c r="M221" s="1098"/>
      <c r="N221" s="355"/>
      <c r="O221" s="355"/>
      <c r="P221" s="355"/>
      <c r="Q221" s="355"/>
      <c r="R221" s="216"/>
      <c r="S221" s="355"/>
      <c r="T221" s="217"/>
    </row>
    <row r="222" spans="1:20" ht="15" customHeight="1" x14ac:dyDescent="0.25">
      <c r="A222" s="411"/>
      <c r="B222" s="579"/>
      <c r="C222" s="575"/>
      <c r="D222" s="575"/>
      <c r="E222" s="575"/>
      <c r="F222" s="584"/>
      <c r="G222" s="373" t="s">
        <v>18997</v>
      </c>
      <c r="H222" s="373" t="s">
        <v>18998</v>
      </c>
      <c r="I222" s="373">
        <v>41075993</v>
      </c>
      <c r="J222" s="374"/>
      <c r="K222" s="374">
        <f>0.09*0.75</f>
        <v>6.7500000000000004E-2</v>
      </c>
      <c r="L222" s="580"/>
      <c r="M222" s="580"/>
      <c r="N222" s="372"/>
      <c r="O222" s="372"/>
      <c r="P222" s="372"/>
      <c r="Q222" s="372"/>
      <c r="R222" s="224"/>
      <c r="S222" s="372"/>
      <c r="T222" s="225"/>
    </row>
    <row r="223" spans="1:20" ht="15" customHeight="1" x14ac:dyDescent="0.25">
      <c r="A223" s="411"/>
      <c r="B223" s="579"/>
      <c r="C223" s="575"/>
      <c r="D223" s="575"/>
      <c r="E223" s="575"/>
      <c r="F223" s="584"/>
      <c r="G223" s="1108" t="s">
        <v>2262</v>
      </c>
      <c r="H223" s="1108"/>
      <c r="I223" s="1108"/>
      <c r="J223" s="994">
        <f>0.642*0.9*0.6</f>
        <v>0.34667999999999999</v>
      </c>
      <c r="K223" s="995"/>
      <c r="L223" s="369"/>
      <c r="M223" s="370"/>
      <c r="N223" s="372"/>
      <c r="O223" s="372"/>
      <c r="P223" s="372"/>
      <c r="Q223" s="372"/>
      <c r="R223" s="224"/>
      <c r="S223" s="372"/>
      <c r="T223" s="225"/>
    </row>
    <row r="224" spans="1:20" ht="15" customHeight="1" thickBot="1" x14ac:dyDescent="0.3">
      <c r="A224" s="394"/>
      <c r="B224" s="399"/>
      <c r="C224" s="400"/>
      <c r="D224" s="400"/>
      <c r="E224" s="400"/>
      <c r="F224" s="401"/>
      <c r="G224" s="1096" t="s">
        <v>1199</v>
      </c>
      <c r="H224" s="1096"/>
      <c r="I224" s="1096"/>
      <c r="J224" s="544"/>
      <c r="K224" s="247">
        <f>SUM(J222:K223)</f>
        <v>0.41417999999999999</v>
      </c>
      <c r="L224" s="569">
        <v>0.92</v>
      </c>
      <c r="M224" s="247">
        <f>K224/L224</f>
        <v>0.450195652173913</v>
      </c>
      <c r="N224" s="1096" t="s">
        <v>1199</v>
      </c>
      <c r="O224" s="1096"/>
      <c r="P224" s="1096"/>
      <c r="Q224" s="569"/>
      <c r="R224" s="247">
        <f>SUM(R221:R221)</f>
        <v>0</v>
      </c>
      <c r="S224" s="569">
        <v>0.92</v>
      </c>
      <c r="T224" s="249">
        <f>R224/S224</f>
        <v>0</v>
      </c>
    </row>
    <row r="225" spans="1:20" s="385" customFormat="1" ht="15" customHeight="1" x14ac:dyDescent="0.25">
      <c r="A225" s="576"/>
      <c r="B225" s="578"/>
      <c r="C225" s="574"/>
      <c r="D225" s="574"/>
      <c r="E225" s="574"/>
      <c r="F225" s="583"/>
      <c r="G225" s="1106" t="s">
        <v>1286</v>
      </c>
      <c r="H225" s="1107"/>
      <c r="I225" s="1107"/>
      <c r="J225" s="1107"/>
      <c r="K225" s="1107"/>
      <c r="L225" s="1107"/>
      <c r="M225" s="1107"/>
      <c r="N225" s="1120"/>
      <c r="O225" s="1120"/>
      <c r="P225" s="1120"/>
      <c r="Q225" s="1120"/>
      <c r="R225" s="1120"/>
      <c r="S225" s="1120"/>
      <c r="T225" s="1121"/>
    </row>
    <row r="226" spans="1:20" s="385" customFormat="1" ht="15" customHeight="1" x14ac:dyDescent="0.25">
      <c r="A226" s="577" t="str">
        <f>Итоговая!C176</f>
        <v xml:space="preserve">ПС 35/10 кВ Уланово </v>
      </c>
      <c r="B226" s="579">
        <f>Итоговая!D176</f>
        <v>1.6</v>
      </c>
      <c r="C226" s="575" t="str">
        <f>Итоговая!E176</f>
        <v>+</v>
      </c>
      <c r="D226" s="575">
        <f>Итоговая!F176</f>
        <v>1.6</v>
      </c>
      <c r="E226" s="575"/>
      <c r="F226" s="584"/>
      <c r="G226" s="572" t="s">
        <v>856</v>
      </c>
      <c r="H226" s="572" t="s">
        <v>1537</v>
      </c>
      <c r="I226" s="572" t="s">
        <v>1536</v>
      </c>
      <c r="J226" s="262"/>
      <c r="K226" s="262">
        <v>0.05</v>
      </c>
      <c r="L226" s="572"/>
      <c r="M226" s="262"/>
      <c r="N226" s="572"/>
      <c r="O226" s="572"/>
      <c r="P226" s="572"/>
      <c r="Q226" s="572"/>
      <c r="R226" s="262"/>
      <c r="S226" s="572"/>
      <c r="T226" s="348"/>
    </row>
    <row r="227" spans="1:20" s="385" customFormat="1" ht="15" customHeight="1" x14ac:dyDescent="0.25">
      <c r="A227" s="577"/>
      <c r="B227" s="579"/>
      <c r="C227" s="575"/>
      <c r="D227" s="575"/>
      <c r="E227" s="575"/>
      <c r="F227" s="584"/>
      <c r="G227" s="1097" t="s">
        <v>2011</v>
      </c>
      <c r="H227" s="1098"/>
      <c r="I227" s="1098"/>
      <c r="J227" s="1098"/>
      <c r="K227" s="1098"/>
      <c r="L227" s="1098"/>
      <c r="M227" s="1098"/>
      <c r="N227" s="572"/>
      <c r="O227" s="572"/>
      <c r="P227" s="572"/>
      <c r="Q227" s="572"/>
      <c r="R227" s="262"/>
      <c r="S227" s="572"/>
      <c r="T227" s="348"/>
    </row>
    <row r="228" spans="1:20" s="385" customFormat="1" ht="15" customHeight="1" x14ac:dyDescent="0.25">
      <c r="A228" s="577"/>
      <c r="B228" s="579"/>
      <c r="C228" s="575"/>
      <c r="D228" s="575"/>
      <c r="E228" s="575"/>
      <c r="F228" s="584"/>
      <c r="G228" s="572" t="s">
        <v>1960</v>
      </c>
      <c r="H228" s="572" t="s">
        <v>1961</v>
      </c>
      <c r="I228" s="572" t="s">
        <v>2152</v>
      </c>
      <c r="J228" s="262"/>
      <c r="K228" s="262">
        <v>0</v>
      </c>
      <c r="L228" s="572"/>
      <c r="M228" s="262"/>
      <c r="N228" s="572"/>
      <c r="O228" s="572"/>
      <c r="P228" s="572"/>
      <c r="Q228" s="572"/>
      <c r="R228" s="262"/>
      <c r="S228" s="572"/>
      <c r="T228" s="348"/>
    </row>
    <row r="229" spans="1:20" s="385" customFormat="1" ht="15" customHeight="1" x14ac:dyDescent="0.25">
      <c r="A229" s="577"/>
      <c r="B229" s="579"/>
      <c r="C229" s="575"/>
      <c r="D229" s="575"/>
      <c r="E229" s="575"/>
      <c r="F229" s="584"/>
      <c r="G229" s="572" t="s">
        <v>26</v>
      </c>
      <c r="H229" s="572" t="s">
        <v>27</v>
      </c>
      <c r="I229" s="572" t="s">
        <v>2203</v>
      </c>
      <c r="J229" s="262"/>
      <c r="K229" s="262">
        <f>(0.15-0.015)*0.75</f>
        <v>0.10125000000000001</v>
      </c>
      <c r="L229" s="572"/>
      <c r="M229" s="262"/>
      <c r="N229" s="572"/>
      <c r="O229" s="572"/>
      <c r="P229" s="572"/>
      <c r="Q229" s="572"/>
      <c r="R229" s="262"/>
      <c r="S229" s="572"/>
      <c r="T229" s="348"/>
    </row>
    <row r="230" spans="1:20" s="385" customFormat="1" ht="15" customHeight="1" x14ac:dyDescent="0.25">
      <c r="A230" s="577"/>
      <c r="B230" s="579"/>
      <c r="C230" s="575"/>
      <c r="D230" s="575"/>
      <c r="E230" s="575"/>
      <c r="F230" s="584"/>
      <c r="G230" s="1097" t="s">
        <v>2290</v>
      </c>
      <c r="H230" s="1098"/>
      <c r="I230" s="1098"/>
      <c r="J230" s="1098"/>
      <c r="K230" s="1098"/>
      <c r="L230" s="1098"/>
      <c r="M230" s="1098"/>
      <c r="N230" s="572"/>
      <c r="O230" s="572"/>
      <c r="P230" s="572"/>
      <c r="Q230" s="572"/>
      <c r="R230" s="262"/>
      <c r="S230" s="572"/>
      <c r="T230" s="348"/>
    </row>
    <row r="231" spans="1:20" s="385" customFormat="1" ht="15" customHeight="1" x14ac:dyDescent="0.25">
      <c r="A231" s="577"/>
      <c r="B231" s="579"/>
      <c r="C231" s="575"/>
      <c r="D231" s="575"/>
      <c r="E231" s="575"/>
      <c r="F231" s="584"/>
      <c r="G231" s="572" t="s">
        <v>857</v>
      </c>
      <c r="H231" s="572" t="s">
        <v>2401</v>
      </c>
      <c r="I231" s="580" t="s">
        <v>14702</v>
      </c>
      <c r="J231" s="519"/>
      <c r="K231" s="262">
        <f>(0.385-0.025)*0.85</f>
        <v>0.30599999999999999</v>
      </c>
      <c r="L231" s="580"/>
      <c r="M231" s="519"/>
      <c r="N231" s="572"/>
      <c r="O231" s="572"/>
      <c r="P231" s="572"/>
      <c r="Q231" s="572"/>
      <c r="R231" s="262"/>
      <c r="S231" s="572"/>
      <c r="T231" s="348"/>
    </row>
    <row r="232" spans="1:20" s="385" customFormat="1" ht="15" customHeight="1" x14ac:dyDescent="0.25">
      <c r="A232" s="577"/>
      <c r="B232" s="579"/>
      <c r="C232" s="575"/>
      <c r="D232" s="575"/>
      <c r="E232" s="575"/>
      <c r="F232" s="584"/>
      <c r="G232" s="1097" t="s">
        <v>14933</v>
      </c>
      <c r="H232" s="1098"/>
      <c r="I232" s="1098"/>
      <c r="J232" s="1098"/>
      <c r="K232" s="1098"/>
      <c r="L232" s="1098"/>
      <c r="M232" s="1098"/>
      <c r="N232" s="572"/>
      <c r="O232" s="572"/>
      <c r="P232" s="572"/>
      <c r="Q232" s="572"/>
      <c r="R232" s="262"/>
      <c r="S232" s="572"/>
      <c r="T232" s="348"/>
    </row>
    <row r="233" spans="1:20" s="385" customFormat="1" ht="15" customHeight="1" x14ac:dyDescent="0.25">
      <c r="A233" s="577"/>
      <c r="B233" s="579"/>
      <c r="C233" s="575"/>
      <c r="D233" s="575"/>
      <c r="E233" s="575"/>
      <c r="F233" s="584"/>
      <c r="G233" s="1065" t="s">
        <v>2262</v>
      </c>
      <c r="H233" s="1065"/>
      <c r="I233" s="1065"/>
      <c r="J233" s="994">
        <f>0.163*0.9</f>
        <v>0.1467</v>
      </c>
      <c r="K233" s="995"/>
      <c r="L233" s="580"/>
      <c r="M233" s="519"/>
      <c r="N233" s="572"/>
      <c r="O233" s="572"/>
      <c r="P233" s="572"/>
      <c r="Q233" s="572"/>
      <c r="R233" s="262"/>
      <c r="S233" s="572"/>
      <c r="T233" s="348"/>
    </row>
    <row r="234" spans="1:20" s="385" customFormat="1" ht="15" customHeight="1" x14ac:dyDescent="0.25">
      <c r="A234" s="577"/>
      <c r="B234" s="579"/>
      <c r="C234" s="575"/>
      <c r="D234" s="575"/>
      <c r="E234" s="575"/>
      <c r="F234" s="584"/>
      <c r="G234" s="1097" t="s">
        <v>18842</v>
      </c>
      <c r="H234" s="1098"/>
      <c r="I234" s="1098"/>
      <c r="J234" s="1098"/>
      <c r="K234" s="1098"/>
      <c r="L234" s="1098"/>
      <c r="M234" s="1098"/>
      <c r="N234" s="350"/>
      <c r="O234" s="350"/>
      <c r="P234" s="350"/>
      <c r="Q234" s="350"/>
      <c r="R234" s="351"/>
      <c r="S234" s="350"/>
      <c r="T234" s="352"/>
    </row>
    <row r="235" spans="1:20" s="385" customFormat="1" ht="15" customHeight="1" x14ac:dyDescent="0.25">
      <c r="A235" s="577"/>
      <c r="B235" s="579"/>
      <c r="C235" s="575"/>
      <c r="D235" s="575"/>
      <c r="E235" s="575"/>
      <c r="F235" s="584"/>
      <c r="G235" s="580" t="s">
        <v>19269</v>
      </c>
      <c r="H235" s="580" t="s">
        <v>19270</v>
      </c>
      <c r="I235" s="580" t="s">
        <v>19271</v>
      </c>
      <c r="J235" s="519">
        <f>0.015*0.9</f>
        <v>1.35E-2</v>
      </c>
      <c r="K235" s="519"/>
      <c r="L235" s="580"/>
      <c r="M235" s="580"/>
      <c r="N235" s="350"/>
      <c r="O235" s="350"/>
      <c r="P235" s="350"/>
      <c r="Q235" s="350"/>
      <c r="R235" s="351"/>
      <c r="S235" s="350"/>
      <c r="T235" s="352"/>
    </row>
    <row r="236" spans="1:20" s="385" customFormat="1" ht="15" customHeight="1" x14ac:dyDescent="0.25">
      <c r="A236" s="577"/>
      <c r="B236" s="579"/>
      <c r="C236" s="575"/>
      <c r="D236" s="575"/>
      <c r="E236" s="575"/>
      <c r="F236" s="584"/>
      <c r="G236" s="1108" t="s">
        <v>2262</v>
      </c>
      <c r="H236" s="1108"/>
      <c r="I236" s="1108"/>
      <c r="J236" s="994">
        <f>0.262*0.9*0.6</f>
        <v>0.14147999999999999</v>
      </c>
      <c r="K236" s="995"/>
      <c r="L236" s="369"/>
      <c r="M236" s="370"/>
      <c r="N236" s="350"/>
      <c r="O236" s="350"/>
      <c r="P236" s="350"/>
      <c r="Q236" s="350"/>
      <c r="R236" s="351"/>
      <c r="S236" s="350"/>
      <c r="T236" s="352"/>
    </row>
    <row r="237" spans="1:20" ht="15" customHeight="1" thickBot="1" x14ac:dyDescent="0.3">
      <c r="A237" s="394"/>
      <c r="B237" s="399"/>
      <c r="C237" s="400"/>
      <c r="D237" s="400"/>
      <c r="E237" s="400"/>
      <c r="F237" s="401"/>
      <c r="G237" s="1096" t="s">
        <v>1199</v>
      </c>
      <c r="H237" s="1096"/>
      <c r="I237" s="1096"/>
      <c r="J237" s="544"/>
      <c r="K237" s="247">
        <f>SUM(J233:K236)</f>
        <v>0.30168</v>
      </c>
      <c r="L237" s="569">
        <v>0.92</v>
      </c>
      <c r="M237" s="247">
        <f>K237/L237</f>
        <v>0.32791304347826083</v>
      </c>
      <c r="N237" s="1096" t="s">
        <v>1199</v>
      </c>
      <c r="O237" s="1096"/>
      <c r="P237" s="1096"/>
      <c r="Q237" s="569"/>
      <c r="R237" s="247">
        <f>SUM(R226:R226)</f>
        <v>0</v>
      </c>
      <c r="S237" s="569">
        <v>0.92</v>
      </c>
      <c r="T237" s="249">
        <f>R237/S237</f>
        <v>0</v>
      </c>
    </row>
    <row r="238" spans="1:20" ht="15" customHeight="1" x14ac:dyDescent="0.25">
      <c r="A238" s="405" t="str">
        <f>Итоговая!C177</f>
        <v xml:space="preserve">ПС 35/10 кВ Уницы </v>
      </c>
      <c r="B238" s="578">
        <f>Итоговая!D177</f>
        <v>4</v>
      </c>
      <c r="C238" s="574" t="str">
        <f>Итоговая!E177</f>
        <v>+</v>
      </c>
      <c r="D238" s="574">
        <f>Итоговая!F177</f>
        <v>4</v>
      </c>
      <c r="E238" s="574"/>
      <c r="F238" s="583"/>
      <c r="G238" s="355"/>
      <c r="H238" s="355"/>
      <c r="I238" s="355"/>
      <c r="J238" s="216"/>
      <c r="K238" s="216"/>
      <c r="L238" s="355"/>
      <c r="M238" s="264"/>
      <c r="N238" s="355"/>
      <c r="O238" s="355"/>
      <c r="P238" s="355"/>
      <c r="Q238" s="355"/>
      <c r="R238" s="216"/>
      <c r="S238" s="355"/>
      <c r="T238" s="217"/>
    </row>
    <row r="239" spans="1:20" ht="15" customHeight="1" thickBot="1" x14ac:dyDescent="0.3">
      <c r="A239" s="394"/>
      <c r="B239" s="399"/>
      <c r="C239" s="400"/>
      <c r="D239" s="400"/>
      <c r="E239" s="400"/>
      <c r="F239" s="401"/>
      <c r="G239" s="1096" t="s">
        <v>1199</v>
      </c>
      <c r="H239" s="1096"/>
      <c r="I239" s="1096"/>
      <c r="J239" s="544"/>
      <c r="K239" s="247">
        <f>SUM(K238:K238)</f>
        <v>0</v>
      </c>
      <c r="L239" s="569">
        <v>0.92</v>
      </c>
      <c r="M239" s="247">
        <f>K239/L239</f>
        <v>0</v>
      </c>
      <c r="N239" s="1096" t="s">
        <v>1199</v>
      </c>
      <c r="O239" s="1096"/>
      <c r="P239" s="1096"/>
      <c r="Q239" s="569"/>
      <c r="R239" s="247">
        <f>SUM(R238:R238)</f>
        <v>0</v>
      </c>
      <c r="S239" s="569">
        <v>0.92</v>
      </c>
      <c r="T239" s="249">
        <f>R239/S239</f>
        <v>0</v>
      </c>
    </row>
    <row r="240" spans="1:20" ht="15" customHeight="1" x14ac:dyDescent="0.25">
      <c r="A240" s="405" t="str">
        <f>Итоговая!C178</f>
        <v xml:space="preserve">ПС 35/10 кВ Фенево </v>
      </c>
      <c r="B240" s="578">
        <f>Итоговая!D178</f>
        <v>2.5</v>
      </c>
      <c r="C240" s="574" t="str">
        <f>Итоговая!E178</f>
        <v>+</v>
      </c>
      <c r="D240" s="574">
        <f>Итоговая!F178</f>
        <v>2.5</v>
      </c>
      <c r="E240" s="574"/>
      <c r="F240" s="583"/>
      <c r="G240" s="1097" t="s">
        <v>18842</v>
      </c>
      <c r="H240" s="1098"/>
      <c r="I240" s="1098"/>
      <c r="J240" s="1098"/>
      <c r="K240" s="1098"/>
      <c r="L240" s="1098"/>
      <c r="M240" s="1098"/>
      <c r="N240" s="355"/>
      <c r="O240" s="355"/>
      <c r="P240" s="355"/>
      <c r="Q240" s="355"/>
      <c r="R240" s="216"/>
      <c r="S240" s="355"/>
      <c r="T240" s="217"/>
    </row>
    <row r="241" spans="1:20" ht="15" customHeight="1" x14ac:dyDescent="0.25">
      <c r="A241" s="411"/>
      <c r="B241" s="579"/>
      <c r="C241" s="575"/>
      <c r="D241" s="575"/>
      <c r="E241" s="575"/>
      <c r="F241" s="584"/>
      <c r="G241" s="1108" t="s">
        <v>2262</v>
      </c>
      <c r="H241" s="1108"/>
      <c r="I241" s="1108"/>
      <c r="J241" s="994">
        <f>0.005*0.9</f>
        <v>4.5000000000000005E-3</v>
      </c>
      <c r="K241" s="995"/>
      <c r="L241" s="369"/>
      <c r="M241" s="370"/>
      <c r="N241" s="372"/>
      <c r="O241" s="372"/>
      <c r="P241" s="372"/>
      <c r="Q241" s="372"/>
      <c r="R241" s="224"/>
      <c r="S241" s="372"/>
      <c r="T241" s="225"/>
    </row>
    <row r="242" spans="1:20" ht="15" customHeight="1" thickBot="1" x14ac:dyDescent="0.3">
      <c r="A242" s="394"/>
      <c r="B242" s="399"/>
      <c r="C242" s="400"/>
      <c r="D242" s="400"/>
      <c r="E242" s="400"/>
      <c r="F242" s="401"/>
      <c r="G242" s="1096" t="s">
        <v>1199</v>
      </c>
      <c r="H242" s="1096"/>
      <c r="I242" s="1096"/>
      <c r="J242" s="544"/>
      <c r="K242" s="247">
        <f>SUM(K240:K241)</f>
        <v>0</v>
      </c>
      <c r="L242" s="569">
        <v>0.92</v>
      </c>
      <c r="M242" s="247">
        <f>K242/L242</f>
        <v>0</v>
      </c>
      <c r="N242" s="1096" t="s">
        <v>1199</v>
      </c>
      <c r="O242" s="1096"/>
      <c r="P242" s="1096"/>
      <c r="Q242" s="569"/>
      <c r="R242" s="247">
        <f>SUM(R240:R240)</f>
        <v>0</v>
      </c>
      <c r="S242" s="569">
        <v>0.92</v>
      </c>
      <c r="T242" s="249">
        <f>R242/S242</f>
        <v>0</v>
      </c>
    </row>
    <row r="243" spans="1:20" s="385" customFormat="1" ht="15" customHeight="1" x14ac:dyDescent="0.25">
      <c r="A243" s="581"/>
      <c r="B243" s="574"/>
      <c r="C243" s="574"/>
      <c r="D243" s="574"/>
      <c r="E243" s="574"/>
      <c r="F243" s="583"/>
      <c r="G243" s="1106" t="s">
        <v>1288</v>
      </c>
      <c r="H243" s="1107"/>
      <c r="I243" s="1107"/>
      <c r="J243" s="1107"/>
      <c r="K243" s="1107"/>
      <c r="L243" s="1107"/>
      <c r="M243" s="1107"/>
      <c r="N243" s="1120"/>
      <c r="O243" s="1120"/>
      <c r="P243" s="1120"/>
      <c r="Q243" s="1120"/>
      <c r="R243" s="1120"/>
      <c r="S243" s="1120"/>
      <c r="T243" s="1121"/>
    </row>
    <row r="244" spans="1:20" s="385" customFormat="1" ht="15" customHeight="1" x14ac:dyDescent="0.25">
      <c r="A244" s="582" t="str">
        <f>Итоговая!C179</f>
        <v xml:space="preserve">ПС 35/10 кВ Фролово </v>
      </c>
      <c r="B244" s="575">
        <f>Итоговая!D179</f>
        <v>2.5</v>
      </c>
      <c r="C244" s="575" t="str">
        <f>Итоговая!E179</f>
        <v>+</v>
      </c>
      <c r="D244" s="575">
        <f>Итоговая!F179</f>
        <v>2.5</v>
      </c>
      <c r="E244" s="575"/>
      <c r="F244" s="584"/>
      <c r="G244" s="572" t="s">
        <v>439</v>
      </c>
      <c r="H244" s="572" t="s">
        <v>440</v>
      </c>
      <c r="I244" s="572" t="s">
        <v>441</v>
      </c>
      <c r="J244" s="262"/>
      <c r="K244" s="262">
        <v>5.2999999999999999E-2</v>
      </c>
      <c r="L244" s="572"/>
      <c r="M244" s="262"/>
      <c r="N244" s="572"/>
      <c r="O244" s="572"/>
      <c r="P244" s="572"/>
      <c r="Q244" s="572"/>
      <c r="R244" s="262"/>
      <c r="S244" s="572"/>
      <c r="T244" s="348"/>
    </row>
    <row r="245" spans="1:20" s="385" customFormat="1" ht="15" customHeight="1" x14ac:dyDescent="0.25">
      <c r="A245" s="582"/>
      <c r="B245" s="575"/>
      <c r="C245" s="575"/>
      <c r="D245" s="575"/>
      <c r="E245" s="575"/>
      <c r="F245" s="584"/>
      <c r="G245" s="1097" t="s">
        <v>1286</v>
      </c>
      <c r="H245" s="1098"/>
      <c r="I245" s="1098"/>
      <c r="J245" s="1098"/>
      <c r="K245" s="1098"/>
      <c r="L245" s="1098"/>
      <c r="M245" s="1098"/>
      <c r="N245" s="1115"/>
      <c r="O245" s="1115"/>
      <c r="P245" s="1115"/>
      <c r="Q245" s="1115"/>
      <c r="R245" s="1115"/>
      <c r="S245" s="1115"/>
      <c r="T245" s="1123"/>
    </row>
    <row r="246" spans="1:20" s="385" customFormat="1" ht="15" customHeight="1" x14ac:dyDescent="0.25">
      <c r="A246" s="582"/>
      <c r="B246" s="575"/>
      <c r="C246" s="575"/>
      <c r="D246" s="575"/>
      <c r="E246" s="575"/>
      <c r="F246" s="584"/>
      <c r="G246" s="572" t="s">
        <v>442</v>
      </c>
      <c r="H246" s="572" t="s">
        <v>443</v>
      </c>
      <c r="I246" s="572" t="s">
        <v>444</v>
      </c>
      <c r="J246" s="262"/>
      <c r="K246" s="262">
        <v>0.12</v>
      </c>
      <c r="L246" s="572"/>
      <c r="M246" s="262"/>
      <c r="N246" s="572"/>
      <c r="O246" s="572"/>
      <c r="P246" s="572"/>
      <c r="Q246" s="572"/>
      <c r="R246" s="262"/>
      <c r="S246" s="572"/>
      <c r="T246" s="348"/>
    </row>
    <row r="247" spans="1:20" s="385" customFormat="1" ht="15" customHeight="1" x14ac:dyDescent="0.25">
      <c r="A247" s="582"/>
      <c r="B247" s="575"/>
      <c r="C247" s="575"/>
      <c r="D247" s="575"/>
      <c r="E247" s="575"/>
      <c r="F247" s="584"/>
      <c r="G247" s="572" t="s">
        <v>1718</v>
      </c>
      <c r="H247" s="572" t="s">
        <v>424</v>
      </c>
      <c r="I247" s="572" t="s">
        <v>1717</v>
      </c>
      <c r="J247" s="262"/>
      <c r="K247" s="262">
        <v>0.125</v>
      </c>
      <c r="L247" s="572"/>
      <c r="M247" s="262"/>
      <c r="N247" s="572"/>
      <c r="O247" s="572"/>
      <c r="P247" s="572"/>
      <c r="Q247" s="572"/>
      <c r="R247" s="262"/>
      <c r="S247" s="572"/>
      <c r="T247" s="348"/>
    </row>
    <row r="248" spans="1:20" s="385" customFormat="1" ht="15" customHeight="1" x14ac:dyDescent="0.25">
      <c r="A248" s="582"/>
      <c r="B248" s="575"/>
      <c r="C248" s="575"/>
      <c r="D248" s="575"/>
      <c r="E248" s="575"/>
      <c r="F248" s="584"/>
      <c r="G248" s="1097" t="s">
        <v>1324</v>
      </c>
      <c r="H248" s="1098"/>
      <c r="I248" s="1098"/>
      <c r="J248" s="1098"/>
      <c r="K248" s="1098"/>
      <c r="L248" s="1098"/>
      <c r="M248" s="1098"/>
      <c r="N248" s="1115"/>
      <c r="O248" s="1115"/>
      <c r="P248" s="1115"/>
      <c r="Q248" s="1115"/>
      <c r="R248" s="1115"/>
      <c r="S248" s="1115"/>
      <c r="T248" s="1123"/>
    </row>
    <row r="249" spans="1:20" s="385" customFormat="1" ht="15" customHeight="1" x14ac:dyDescent="0.25">
      <c r="A249" s="582"/>
      <c r="B249" s="575"/>
      <c r="C249" s="575"/>
      <c r="D249" s="575"/>
      <c r="E249" s="575"/>
      <c r="F249" s="584"/>
      <c r="G249" s="572" t="s">
        <v>446</v>
      </c>
      <c r="H249" s="572" t="s">
        <v>445</v>
      </c>
      <c r="I249" s="572" t="s">
        <v>1438</v>
      </c>
      <c r="J249" s="262"/>
      <c r="K249" s="262">
        <v>0.02</v>
      </c>
      <c r="L249" s="572"/>
      <c r="M249" s="262"/>
      <c r="N249" s="572"/>
      <c r="O249" s="572"/>
      <c r="P249" s="572"/>
      <c r="Q249" s="572"/>
      <c r="R249" s="262"/>
      <c r="S249" s="572"/>
      <c r="T249" s="348"/>
    </row>
    <row r="250" spans="1:20" s="385" customFormat="1" ht="15" customHeight="1" x14ac:dyDescent="0.25">
      <c r="A250" s="582"/>
      <c r="B250" s="575"/>
      <c r="C250" s="575"/>
      <c r="D250" s="575"/>
      <c r="E250" s="575"/>
      <c r="F250" s="584"/>
      <c r="G250" s="1097" t="s">
        <v>14933</v>
      </c>
      <c r="H250" s="1098"/>
      <c r="I250" s="1098"/>
      <c r="J250" s="1098"/>
      <c r="K250" s="1098"/>
      <c r="L250" s="1098"/>
      <c r="M250" s="1098"/>
      <c r="N250" s="572"/>
      <c r="O250" s="572"/>
      <c r="P250" s="572"/>
      <c r="Q250" s="572"/>
      <c r="R250" s="262"/>
      <c r="S250" s="572"/>
      <c r="T250" s="348"/>
    </row>
    <row r="251" spans="1:20" s="385" customFormat="1" ht="15" customHeight="1" x14ac:dyDescent="0.25">
      <c r="A251" s="582"/>
      <c r="B251" s="575"/>
      <c r="C251" s="575"/>
      <c r="D251" s="575"/>
      <c r="E251" s="575"/>
      <c r="F251" s="584"/>
      <c r="G251" s="1065" t="s">
        <v>2262</v>
      </c>
      <c r="H251" s="1065"/>
      <c r="I251" s="1065"/>
      <c r="J251" s="994">
        <f>0.263*0.9*0.6</f>
        <v>0.14202000000000001</v>
      </c>
      <c r="K251" s="995"/>
      <c r="L251" s="580"/>
      <c r="M251" s="519"/>
      <c r="N251" s="572"/>
      <c r="O251" s="572"/>
      <c r="P251" s="572"/>
      <c r="Q251" s="572"/>
      <c r="R251" s="262"/>
      <c r="S251" s="572"/>
      <c r="T251" s="348"/>
    </row>
    <row r="252" spans="1:20" s="385" customFormat="1" ht="15" customHeight="1" x14ac:dyDescent="0.25">
      <c r="A252" s="582"/>
      <c r="B252" s="575"/>
      <c r="C252" s="575"/>
      <c r="D252" s="575"/>
      <c r="E252" s="575"/>
      <c r="F252" s="584"/>
      <c r="G252" s="580" t="s">
        <v>17685</v>
      </c>
      <c r="H252" s="580" t="s">
        <v>17686</v>
      </c>
      <c r="I252" s="580" t="s">
        <v>17687</v>
      </c>
      <c r="J252" s="519"/>
      <c r="K252" s="519">
        <f>0.015*0.9</f>
        <v>1.35E-2</v>
      </c>
      <c r="L252" s="580"/>
      <c r="M252" s="519"/>
      <c r="N252" s="572"/>
      <c r="O252" s="572"/>
      <c r="P252" s="572"/>
      <c r="Q252" s="572"/>
      <c r="R252" s="262"/>
      <c r="S252" s="572"/>
      <c r="T252" s="348"/>
    </row>
    <row r="253" spans="1:20" s="385" customFormat="1" ht="15" customHeight="1" x14ac:dyDescent="0.25">
      <c r="A253" s="582"/>
      <c r="B253" s="575"/>
      <c r="C253" s="575"/>
      <c r="D253" s="575"/>
      <c r="E253" s="575"/>
      <c r="F253" s="584"/>
      <c r="G253" s="580" t="s">
        <v>18482</v>
      </c>
      <c r="H253" s="580" t="s">
        <v>18483</v>
      </c>
      <c r="I253" s="580" t="s">
        <v>18484</v>
      </c>
      <c r="J253" s="519"/>
      <c r="K253" s="519">
        <f>0.015*0.9</f>
        <v>1.35E-2</v>
      </c>
      <c r="L253" s="580"/>
      <c r="M253" s="519"/>
      <c r="N253" s="572"/>
      <c r="O253" s="572"/>
      <c r="P253" s="572"/>
      <c r="Q253" s="572"/>
      <c r="R253" s="262"/>
      <c r="S253" s="572"/>
      <c r="T253" s="348"/>
    </row>
    <row r="254" spans="1:20" s="385" customFormat="1" ht="15" customHeight="1" x14ac:dyDescent="0.25">
      <c r="A254" s="582"/>
      <c r="B254" s="575"/>
      <c r="C254" s="575"/>
      <c r="D254" s="575"/>
      <c r="E254" s="575"/>
      <c r="F254" s="584"/>
      <c r="G254" s="1097" t="s">
        <v>18842</v>
      </c>
      <c r="H254" s="1098"/>
      <c r="I254" s="1098"/>
      <c r="J254" s="1098"/>
      <c r="K254" s="1098"/>
      <c r="L254" s="1098"/>
      <c r="M254" s="1098"/>
      <c r="N254" s="350"/>
      <c r="O254" s="350"/>
      <c r="P254" s="350"/>
      <c r="Q254" s="350"/>
      <c r="R254" s="351"/>
      <c r="S254" s="350"/>
      <c r="T254" s="352"/>
    </row>
    <row r="255" spans="1:20" s="385" customFormat="1" ht="15" customHeight="1" x14ac:dyDescent="0.25">
      <c r="A255" s="582"/>
      <c r="B255" s="575"/>
      <c r="C255" s="575"/>
      <c r="D255" s="575"/>
      <c r="E255" s="575"/>
      <c r="F255" s="584"/>
      <c r="G255" s="572" t="s">
        <v>19221</v>
      </c>
      <c r="H255" s="375" t="s">
        <v>19222</v>
      </c>
      <c r="I255" s="572" t="s">
        <v>19223</v>
      </c>
      <c r="J255" s="262">
        <f>0.2*0.75</f>
        <v>0.15000000000000002</v>
      </c>
      <c r="K255" s="262"/>
      <c r="L255" s="572"/>
      <c r="M255" s="572"/>
      <c r="N255" s="350"/>
      <c r="O255" s="350"/>
      <c r="P255" s="350"/>
      <c r="Q255" s="350"/>
      <c r="R255" s="351"/>
      <c r="S255" s="350"/>
      <c r="T255" s="352"/>
    </row>
    <row r="256" spans="1:20" s="385" customFormat="1" ht="15" customHeight="1" x14ac:dyDescent="0.25">
      <c r="A256" s="582"/>
      <c r="B256" s="575"/>
      <c r="C256" s="575"/>
      <c r="D256" s="575"/>
      <c r="E256" s="575"/>
      <c r="F256" s="584"/>
      <c r="G256" s="1108" t="s">
        <v>2262</v>
      </c>
      <c r="H256" s="1108"/>
      <c r="I256" s="1108"/>
      <c r="J256" s="994">
        <f>0.479*0.9*0.6</f>
        <v>0.25866</v>
      </c>
      <c r="K256" s="995"/>
      <c r="L256" s="369"/>
      <c r="M256" s="370"/>
      <c r="N256" s="350"/>
      <c r="O256" s="350"/>
      <c r="P256" s="350"/>
      <c r="Q256" s="350"/>
      <c r="R256" s="351"/>
      <c r="S256" s="350"/>
      <c r="T256" s="352"/>
    </row>
    <row r="257" spans="1:20" ht="15" customHeight="1" thickBot="1" x14ac:dyDescent="0.3">
      <c r="A257" s="410"/>
      <c r="B257" s="400"/>
      <c r="C257" s="400"/>
      <c r="D257" s="400"/>
      <c r="E257" s="400"/>
      <c r="F257" s="401"/>
      <c r="G257" s="1096" t="s">
        <v>1199</v>
      </c>
      <c r="H257" s="1096"/>
      <c r="I257" s="1096"/>
      <c r="J257" s="544"/>
      <c r="K257" s="247">
        <f>SUM(J251:K256)</f>
        <v>0.57768000000000008</v>
      </c>
      <c r="L257" s="569">
        <v>0.92</v>
      </c>
      <c r="M257" s="247">
        <f>K257/L257</f>
        <v>0.62791304347826093</v>
      </c>
      <c r="N257" s="1096" t="s">
        <v>1199</v>
      </c>
      <c r="O257" s="1096"/>
      <c r="P257" s="1096"/>
      <c r="Q257" s="569"/>
      <c r="R257" s="247">
        <f>SUM(R246:R249)</f>
        <v>0</v>
      </c>
      <c r="S257" s="569">
        <v>0.92</v>
      </c>
      <c r="T257" s="249">
        <f>R257/S257</f>
        <v>0</v>
      </c>
    </row>
    <row r="258" spans="1:20" ht="15" customHeight="1" x14ac:dyDescent="0.25">
      <c r="A258" s="412" t="str">
        <f>Итоговая!C180</f>
        <v xml:space="preserve"> ПС 110/10 кВ Зарница </v>
      </c>
      <c r="B258" s="574">
        <f>Итоговая!D180</f>
        <v>10</v>
      </c>
      <c r="C258" s="574" t="str">
        <f>Итоговая!E180</f>
        <v>+</v>
      </c>
      <c r="D258" s="574">
        <f>Итоговая!F180</f>
        <v>10</v>
      </c>
      <c r="E258" s="574"/>
      <c r="F258" s="583"/>
      <c r="G258" s="1106" t="s">
        <v>14933</v>
      </c>
      <c r="H258" s="1107"/>
      <c r="I258" s="1107"/>
      <c r="J258" s="1107"/>
      <c r="K258" s="1107"/>
      <c r="L258" s="1107"/>
      <c r="M258" s="1107"/>
      <c r="N258" s="355"/>
      <c r="O258" s="355"/>
      <c r="P258" s="355"/>
      <c r="Q258" s="355"/>
      <c r="R258" s="216"/>
      <c r="S258" s="355"/>
      <c r="T258" s="217"/>
    </row>
    <row r="259" spans="1:20" ht="15" customHeight="1" x14ac:dyDescent="0.25">
      <c r="A259" s="413"/>
      <c r="B259" s="575"/>
      <c r="C259" s="575"/>
      <c r="D259" s="575"/>
      <c r="E259" s="575"/>
      <c r="F259" s="584"/>
      <c r="G259" s="344" t="s">
        <v>14980</v>
      </c>
      <c r="H259" s="344" t="s">
        <v>14981</v>
      </c>
      <c r="I259" s="344" t="s">
        <v>14982</v>
      </c>
      <c r="J259" s="205"/>
      <c r="K259" s="205">
        <f>0.3*0.75</f>
        <v>0.22499999999999998</v>
      </c>
      <c r="L259" s="344"/>
      <c r="M259" s="519"/>
      <c r="N259" s="344"/>
      <c r="O259" s="344"/>
      <c r="P259" s="344"/>
      <c r="Q259" s="344"/>
      <c r="R259" s="205"/>
      <c r="S259" s="344"/>
      <c r="T259" s="241"/>
    </row>
    <row r="260" spans="1:20" ht="15" customHeight="1" x14ac:dyDescent="0.25">
      <c r="A260" s="413"/>
      <c r="B260" s="575"/>
      <c r="C260" s="575"/>
      <c r="D260" s="575"/>
      <c r="E260" s="575"/>
      <c r="F260" s="584"/>
      <c r="G260" s="1097" t="s">
        <v>18518</v>
      </c>
      <c r="H260" s="1098"/>
      <c r="I260" s="1098"/>
      <c r="J260" s="1098"/>
      <c r="K260" s="1098"/>
      <c r="L260" s="1098"/>
      <c r="M260" s="1098"/>
      <c r="N260" s="209"/>
      <c r="O260" s="209"/>
      <c r="P260" s="209"/>
      <c r="Q260" s="209"/>
      <c r="R260" s="230"/>
      <c r="S260" s="209"/>
      <c r="T260" s="259"/>
    </row>
    <row r="261" spans="1:20" ht="15" customHeight="1" x14ac:dyDescent="0.25">
      <c r="A261" s="413"/>
      <c r="B261" s="575"/>
      <c r="C261" s="575"/>
      <c r="D261" s="575"/>
      <c r="E261" s="575"/>
      <c r="F261" s="584"/>
      <c r="G261" s="1065" t="s">
        <v>2262</v>
      </c>
      <c r="H261" s="1065"/>
      <c r="I261" s="1065"/>
      <c r="J261" s="994">
        <f>0.029*0.9</f>
        <v>2.6100000000000002E-2</v>
      </c>
      <c r="K261" s="995"/>
      <c r="L261" s="372"/>
      <c r="M261" s="376"/>
      <c r="N261" s="209"/>
      <c r="O261" s="209"/>
      <c r="P261" s="209"/>
      <c r="Q261" s="209"/>
      <c r="R261" s="230"/>
      <c r="S261" s="209"/>
      <c r="T261" s="259"/>
    </row>
    <row r="262" spans="1:20" ht="15" customHeight="1" thickBot="1" x14ac:dyDescent="0.3">
      <c r="A262" s="410"/>
      <c r="B262" s="400"/>
      <c r="C262" s="400"/>
      <c r="D262" s="400"/>
      <c r="E262" s="400"/>
      <c r="F262" s="401"/>
      <c r="G262" s="1096"/>
      <c r="H262" s="1096"/>
      <c r="I262" s="1096"/>
      <c r="J262" s="544"/>
      <c r="K262" s="247">
        <f>SUM(J259:K261)</f>
        <v>0.25109999999999999</v>
      </c>
      <c r="L262" s="569">
        <v>0.92</v>
      </c>
      <c r="M262" s="247">
        <f>K262/L262</f>
        <v>0.27293478260869564</v>
      </c>
      <c r="N262" s="1096" t="s">
        <v>1199</v>
      </c>
      <c r="O262" s="1096"/>
      <c r="P262" s="1096"/>
      <c r="Q262" s="569"/>
      <c r="R262" s="247">
        <f>SUM(R258:R258)</f>
        <v>0</v>
      </c>
      <c r="S262" s="569">
        <v>0.92</v>
      </c>
      <c r="T262" s="249">
        <f>R262/S262</f>
        <v>0</v>
      </c>
    </row>
    <row r="263" spans="1:20" ht="15" customHeight="1" x14ac:dyDescent="0.25">
      <c r="A263" s="405" t="str">
        <f>Итоговая!C181</f>
        <v xml:space="preserve">ПС 110/10 кВ Зобнино </v>
      </c>
      <c r="B263" s="578">
        <f>Итоговая!D181</f>
        <v>2.5</v>
      </c>
      <c r="C263" s="574" t="str">
        <f>Итоговая!E181</f>
        <v>+</v>
      </c>
      <c r="D263" s="574">
        <f>Итоговая!F181</f>
        <v>2.5</v>
      </c>
      <c r="E263" s="574"/>
      <c r="F263" s="583"/>
      <c r="G263" s="1106"/>
      <c r="H263" s="1107"/>
      <c r="I263" s="1107"/>
      <c r="J263" s="1107"/>
      <c r="K263" s="1107"/>
      <c r="L263" s="1107"/>
      <c r="M263" s="1107"/>
      <c r="N263" s="1106" t="s">
        <v>1645</v>
      </c>
      <c r="O263" s="1107"/>
      <c r="P263" s="1107"/>
      <c r="Q263" s="1107"/>
      <c r="R263" s="1107"/>
      <c r="S263" s="1107"/>
      <c r="T263" s="1107"/>
    </row>
    <row r="264" spans="1:20" ht="15" customHeight="1" x14ac:dyDescent="0.25">
      <c r="A264" s="577"/>
      <c r="B264" s="579"/>
      <c r="C264" s="575"/>
      <c r="D264" s="575"/>
      <c r="E264" s="575"/>
      <c r="F264" s="584"/>
      <c r="G264" s="344"/>
      <c r="H264" s="344"/>
      <c r="I264" s="344"/>
      <c r="J264" s="205"/>
      <c r="K264" s="205"/>
      <c r="L264" s="344"/>
      <c r="M264" s="519"/>
      <c r="N264" s="344" t="s">
        <v>1425</v>
      </c>
      <c r="O264" s="344" t="s">
        <v>1686</v>
      </c>
      <c r="P264" s="344" t="s">
        <v>1736</v>
      </c>
      <c r="Q264" s="205"/>
      <c r="R264" s="205">
        <v>0.06</v>
      </c>
      <c r="S264" s="344"/>
      <c r="T264" s="519"/>
    </row>
    <row r="265" spans="1:20" ht="15" customHeight="1" x14ac:dyDescent="0.25">
      <c r="A265" s="577"/>
      <c r="B265" s="579"/>
      <c r="C265" s="575"/>
      <c r="D265" s="575"/>
      <c r="E265" s="575"/>
      <c r="F265" s="584"/>
      <c r="G265" s="1097" t="s">
        <v>2290</v>
      </c>
      <c r="H265" s="1098"/>
      <c r="I265" s="1098"/>
      <c r="J265" s="1098"/>
      <c r="K265" s="1098"/>
      <c r="L265" s="1098"/>
      <c r="M265" s="1098"/>
      <c r="N265" s="344"/>
      <c r="O265" s="344"/>
      <c r="P265" s="344"/>
      <c r="Q265" s="344"/>
      <c r="R265" s="205"/>
      <c r="S265" s="344"/>
      <c r="T265" s="241"/>
    </row>
    <row r="266" spans="1:20" ht="15" customHeight="1" x14ac:dyDescent="0.25">
      <c r="A266" s="577"/>
      <c r="B266" s="579"/>
      <c r="C266" s="575"/>
      <c r="D266" s="575"/>
      <c r="E266" s="575"/>
      <c r="F266" s="584"/>
      <c r="G266" s="344" t="s">
        <v>14738</v>
      </c>
      <c r="H266" s="344" t="s">
        <v>14739</v>
      </c>
      <c r="I266" s="344" t="s">
        <v>14855</v>
      </c>
      <c r="J266" s="205"/>
      <c r="K266" s="205">
        <f>0.015*0.9</f>
        <v>1.35E-2</v>
      </c>
      <c r="L266" s="344"/>
      <c r="M266" s="519"/>
      <c r="N266" s="344"/>
      <c r="O266" s="344"/>
      <c r="P266" s="344"/>
      <c r="Q266" s="344"/>
      <c r="R266" s="205"/>
      <c r="S266" s="344"/>
      <c r="T266" s="241"/>
    </row>
    <row r="267" spans="1:20" ht="15" customHeight="1" x14ac:dyDescent="0.25">
      <c r="A267" s="577"/>
      <c r="B267" s="579"/>
      <c r="C267" s="575"/>
      <c r="D267" s="575"/>
      <c r="E267" s="575"/>
      <c r="F267" s="584"/>
      <c r="G267" s="1097" t="s">
        <v>14933</v>
      </c>
      <c r="H267" s="1098"/>
      <c r="I267" s="1098"/>
      <c r="J267" s="1098"/>
      <c r="K267" s="1098"/>
      <c r="L267" s="1098"/>
      <c r="M267" s="1098"/>
      <c r="N267" s="344"/>
      <c r="O267" s="344"/>
      <c r="P267" s="344"/>
      <c r="Q267" s="344"/>
      <c r="R267" s="205"/>
      <c r="S267" s="344"/>
      <c r="T267" s="241"/>
    </row>
    <row r="268" spans="1:20" ht="15" customHeight="1" x14ac:dyDescent="0.25">
      <c r="A268" s="577"/>
      <c r="B268" s="579"/>
      <c r="C268" s="575"/>
      <c r="D268" s="575"/>
      <c r="E268" s="575"/>
      <c r="F268" s="584"/>
      <c r="G268" s="1065" t="s">
        <v>2262</v>
      </c>
      <c r="H268" s="1065"/>
      <c r="I268" s="1065"/>
      <c r="J268" s="994">
        <f>0.112*0.9</f>
        <v>0.1008</v>
      </c>
      <c r="K268" s="995"/>
      <c r="L268" s="580"/>
      <c r="M268" s="519"/>
      <c r="N268" s="344"/>
      <c r="O268" s="344"/>
      <c r="P268" s="344"/>
      <c r="Q268" s="344"/>
      <c r="R268" s="205"/>
      <c r="S268" s="344"/>
      <c r="T268" s="241"/>
    </row>
    <row r="269" spans="1:20" ht="15" customHeight="1" x14ac:dyDescent="0.25">
      <c r="A269" s="577"/>
      <c r="B269" s="579"/>
      <c r="C269" s="575"/>
      <c r="D269" s="575"/>
      <c r="E269" s="575"/>
      <c r="F269" s="584"/>
      <c r="G269" s="1097" t="s">
        <v>18518</v>
      </c>
      <c r="H269" s="1098"/>
      <c r="I269" s="1098"/>
      <c r="J269" s="1098"/>
      <c r="K269" s="1098"/>
      <c r="L269" s="1098"/>
      <c r="M269" s="1098"/>
      <c r="N269" s="209"/>
      <c r="O269" s="209"/>
      <c r="P269" s="209"/>
      <c r="Q269" s="209"/>
      <c r="R269" s="230"/>
      <c r="S269" s="209"/>
      <c r="T269" s="259"/>
    </row>
    <row r="270" spans="1:20" ht="15" customHeight="1" x14ac:dyDescent="0.25">
      <c r="A270" s="577"/>
      <c r="B270" s="579"/>
      <c r="C270" s="575"/>
      <c r="D270" s="575"/>
      <c r="E270" s="575"/>
      <c r="F270" s="584"/>
      <c r="G270" s="1065" t="s">
        <v>2262</v>
      </c>
      <c r="H270" s="1065"/>
      <c r="I270" s="1065"/>
      <c r="J270" s="994">
        <f>0.402*0.9*0.6</f>
        <v>0.21708</v>
      </c>
      <c r="K270" s="995"/>
      <c r="L270" s="372"/>
      <c r="M270" s="376"/>
      <c r="N270" s="209"/>
      <c r="O270" s="209"/>
      <c r="P270" s="209"/>
      <c r="Q270" s="209"/>
      <c r="R270" s="230"/>
      <c r="S270" s="209"/>
      <c r="T270" s="259"/>
    </row>
    <row r="271" spans="1:20" ht="15" customHeight="1" thickBot="1" x14ac:dyDescent="0.3">
      <c r="A271" s="394"/>
      <c r="B271" s="399"/>
      <c r="C271" s="400"/>
      <c r="D271" s="400"/>
      <c r="E271" s="400"/>
      <c r="F271" s="401"/>
      <c r="G271" s="1096" t="s">
        <v>1199</v>
      </c>
      <c r="H271" s="1096"/>
      <c r="I271" s="1096"/>
      <c r="J271" s="544"/>
      <c r="K271" s="247">
        <f>SUM(J268:K270)</f>
        <v>0.31788</v>
      </c>
      <c r="L271" s="569">
        <v>0.92</v>
      </c>
      <c r="M271" s="247">
        <f>K271/L271</f>
        <v>0.34552173913043477</v>
      </c>
      <c r="N271" s="1096" t="s">
        <v>1199</v>
      </c>
      <c r="O271" s="1096"/>
      <c r="P271" s="1096"/>
      <c r="Q271" s="569"/>
      <c r="R271" s="247">
        <f>SUM(0)</f>
        <v>0</v>
      </c>
      <c r="S271" s="569">
        <v>0.92</v>
      </c>
      <c r="T271" s="249">
        <f>R271/S271</f>
        <v>0</v>
      </c>
    </row>
    <row r="272" spans="1:20" ht="15" customHeight="1" x14ac:dyDescent="0.25">
      <c r="A272" s="405" t="str">
        <f>Итоговая!C182</f>
        <v xml:space="preserve">ПС 110/10 кВ Инякино </v>
      </c>
      <c r="B272" s="578">
        <f>Итоговая!D182</f>
        <v>25</v>
      </c>
      <c r="C272" s="574" t="str">
        <f>Итоговая!E182</f>
        <v>+</v>
      </c>
      <c r="D272" s="574">
        <f>Итоговая!F182</f>
        <v>25</v>
      </c>
      <c r="E272" s="574"/>
      <c r="F272" s="583"/>
      <c r="G272" s="355"/>
      <c r="H272" s="355"/>
      <c r="I272" s="355"/>
      <c r="J272" s="216"/>
      <c r="K272" s="216"/>
      <c r="L272" s="355"/>
      <c r="M272" s="264"/>
      <c r="N272" s="355"/>
      <c r="O272" s="355"/>
      <c r="P272" s="355"/>
      <c r="Q272" s="355"/>
      <c r="R272" s="216"/>
      <c r="S272" s="355"/>
      <c r="T272" s="217"/>
    </row>
    <row r="273" spans="1:20" ht="15" customHeight="1" thickBot="1" x14ac:dyDescent="0.3">
      <c r="A273" s="394"/>
      <c r="B273" s="399"/>
      <c r="C273" s="400"/>
      <c r="D273" s="400"/>
      <c r="E273" s="400"/>
      <c r="F273" s="401"/>
      <c r="G273" s="1096" t="s">
        <v>1199</v>
      </c>
      <c r="H273" s="1096"/>
      <c r="I273" s="1096"/>
      <c r="J273" s="544"/>
      <c r="K273" s="247">
        <f>SUM(K272:K272)</f>
        <v>0</v>
      </c>
      <c r="L273" s="569">
        <v>0.92</v>
      </c>
      <c r="M273" s="247">
        <f>K273/L273</f>
        <v>0</v>
      </c>
      <c r="N273" s="1096" t="s">
        <v>1199</v>
      </c>
      <c r="O273" s="1096"/>
      <c r="P273" s="1096"/>
      <c r="Q273" s="569"/>
      <c r="R273" s="247">
        <f>SUM(R272:R272)</f>
        <v>0</v>
      </c>
      <c r="S273" s="569">
        <v>0.92</v>
      </c>
      <c r="T273" s="249">
        <f>R273/S273</f>
        <v>0</v>
      </c>
    </row>
    <row r="274" spans="1:20" ht="15" customHeight="1" x14ac:dyDescent="0.25">
      <c r="A274" s="405" t="str">
        <f>Итоговая!C183</f>
        <v xml:space="preserve"> ПС 110/35/10 кВ Василево </v>
      </c>
      <c r="B274" s="578">
        <f>Итоговая!D183</f>
        <v>6.3</v>
      </c>
      <c r="C274" s="574" t="str">
        <f>Итоговая!E183</f>
        <v>+</v>
      </c>
      <c r="D274" s="574">
        <f>Итоговая!F183</f>
        <v>6.3</v>
      </c>
      <c r="E274" s="574"/>
      <c r="F274" s="583"/>
      <c r="G274" s="1097" t="s">
        <v>18518</v>
      </c>
      <c r="H274" s="1098"/>
      <c r="I274" s="1098"/>
      <c r="J274" s="1098"/>
      <c r="K274" s="1098"/>
      <c r="L274" s="1098"/>
      <c r="M274" s="1098"/>
      <c r="N274" s="355"/>
      <c r="O274" s="355"/>
      <c r="P274" s="355"/>
      <c r="Q274" s="355"/>
      <c r="R274" s="216"/>
      <c r="S274" s="355"/>
      <c r="T274" s="217"/>
    </row>
    <row r="275" spans="1:20" ht="15" customHeight="1" x14ac:dyDescent="0.25">
      <c r="A275" s="411"/>
      <c r="B275" s="579"/>
      <c r="C275" s="575"/>
      <c r="D275" s="575"/>
      <c r="E275" s="575"/>
      <c r="F275" s="584"/>
      <c r="G275" s="1065" t="s">
        <v>2262</v>
      </c>
      <c r="H275" s="1065"/>
      <c r="I275" s="1065"/>
      <c r="J275" s="994">
        <f>0.072*0.9*0.6</f>
        <v>3.8879999999999998E-2</v>
      </c>
      <c r="K275" s="995"/>
      <c r="L275" s="372"/>
      <c r="M275" s="376"/>
      <c r="N275" s="372"/>
      <c r="O275" s="372"/>
      <c r="P275" s="372"/>
      <c r="Q275" s="372"/>
      <c r="R275" s="224"/>
      <c r="S275" s="372"/>
      <c r="T275" s="225"/>
    </row>
    <row r="276" spans="1:20" ht="15" customHeight="1" x14ac:dyDescent="0.25">
      <c r="A276" s="411"/>
      <c r="B276" s="778"/>
      <c r="C276" s="779"/>
      <c r="D276" s="779"/>
      <c r="E276" s="779"/>
      <c r="F276" s="783"/>
      <c r="G276" s="1097" t="s">
        <v>19719</v>
      </c>
      <c r="H276" s="1098"/>
      <c r="I276" s="1098"/>
      <c r="J276" s="1098"/>
      <c r="K276" s="1098"/>
      <c r="L276" s="1098"/>
      <c r="M276" s="1098"/>
      <c r="N276" s="372"/>
      <c r="O276" s="372"/>
      <c r="P276" s="372"/>
      <c r="Q276" s="372"/>
      <c r="R276" s="224"/>
      <c r="S276" s="372"/>
      <c r="T276" s="225"/>
    </row>
    <row r="277" spans="1:20" ht="15" customHeight="1" x14ac:dyDescent="0.25">
      <c r="A277" s="411"/>
      <c r="B277" s="778"/>
      <c r="C277" s="779"/>
      <c r="D277" s="779"/>
      <c r="E277" s="779"/>
      <c r="F277" s="783"/>
      <c r="G277" s="780" t="s">
        <v>19752</v>
      </c>
      <c r="H277" s="780" t="s">
        <v>19753</v>
      </c>
      <c r="I277" s="780" t="s">
        <v>19754</v>
      </c>
      <c r="J277" s="519">
        <f>0.03*0.9</f>
        <v>2.7E-2</v>
      </c>
      <c r="K277" s="519"/>
      <c r="L277" s="372"/>
      <c r="M277" s="376"/>
      <c r="N277" s="372"/>
      <c r="O277" s="372"/>
      <c r="P277" s="372"/>
      <c r="Q277" s="372"/>
      <c r="R277" s="224"/>
      <c r="S277" s="372"/>
      <c r="T277" s="225"/>
    </row>
    <row r="278" spans="1:20" ht="15" customHeight="1" thickBot="1" x14ac:dyDescent="0.3">
      <c r="A278" s="394"/>
      <c r="B278" s="399"/>
      <c r="C278" s="400"/>
      <c r="D278" s="400"/>
      <c r="E278" s="400"/>
      <c r="F278" s="401"/>
      <c r="G278" s="1096" t="s">
        <v>1199</v>
      </c>
      <c r="H278" s="1096"/>
      <c r="I278" s="1096"/>
      <c r="J278" s="544"/>
      <c r="K278" s="247">
        <f>SUM(J275:K277)</f>
        <v>6.5879999999999994E-2</v>
      </c>
      <c r="L278" s="569">
        <v>0.92</v>
      </c>
      <c r="M278" s="247">
        <f>K278/L278</f>
        <v>7.1608695652173898E-2</v>
      </c>
      <c r="N278" s="1096" t="s">
        <v>1199</v>
      </c>
      <c r="O278" s="1096"/>
      <c r="P278" s="1096"/>
      <c r="Q278" s="569"/>
      <c r="R278" s="247">
        <f>SUM(R274:R274)</f>
        <v>0</v>
      </c>
      <c r="S278" s="569">
        <v>0.92</v>
      </c>
      <c r="T278" s="249">
        <f>R278/S278</f>
        <v>0</v>
      </c>
    </row>
    <row r="279" spans="1:20" s="385" customFormat="1" ht="15" customHeight="1" x14ac:dyDescent="0.25">
      <c r="A279" s="1111" t="str">
        <f>Итоговая!C186</f>
        <v xml:space="preserve">ПС 110/35/10 кВ Борки  </v>
      </c>
      <c r="B279" s="1113">
        <f>Итоговая!D186</f>
        <v>40</v>
      </c>
      <c r="C279" s="1109" t="str">
        <f>Итоговая!E186</f>
        <v>+</v>
      </c>
      <c r="D279" s="1109">
        <f>Итоговая!F186</f>
        <v>25</v>
      </c>
      <c r="E279" s="574"/>
      <c r="F279" s="583"/>
      <c r="G279" s="1106" t="s">
        <v>1286</v>
      </c>
      <c r="H279" s="1107"/>
      <c r="I279" s="1107"/>
      <c r="J279" s="1107"/>
      <c r="K279" s="1107"/>
      <c r="L279" s="1107"/>
      <c r="M279" s="1107"/>
      <c r="N279" s="1120"/>
      <c r="O279" s="1120"/>
      <c r="P279" s="1120"/>
      <c r="Q279" s="1120"/>
      <c r="R279" s="1120"/>
      <c r="S279" s="1120"/>
      <c r="T279" s="1121"/>
    </row>
    <row r="280" spans="1:20" s="385" customFormat="1" ht="15" customHeight="1" x14ac:dyDescent="0.25">
      <c r="A280" s="1112"/>
      <c r="B280" s="1114"/>
      <c r="C280" s="1110"/>
      <c r="D280" s="1110"/>
      <c r="E280" s="575"/>
      <c r="F280" s="584"/>
      <c r="G280" s="572" t="s">
        <v>1282</v>
      </c>
      <c r="H280" s="572" t="s">
        <v>1283</v>
      </c>
      <c r="I280" s="572" t="s">
        <v>1284</v>
      </c>
      <c r="J280" s="262"/>
      <c r="K280" s="262">
        <v>0.13</v>
      </c>
      <c r="L280" s="572"/>
      <c r="M280" s="262"/>
      <c r="N280" s="572"/>
      <c r="O280" s="572"/>
      <c r="P280" s="572"/>
      <c r="Q280" s="572"/>
      <c r="R280" s="262"/>
      <c r="S280" s="572"/>
      <c r="T280" s="348"/>
    </row>
    <row r="281" spans="1:20" s="385" customFormat="1" ht="15" customHeight="1" x14ac:dyDescent="0.25">
      <c r="A281" s="577"/>
      <c r="B281" s="579"/>
      <c r="C281" s="575"/>
      <c r="D281" s="575"/>
      <c r="E281" s="575"/>
      <c r="F281" s="584"/>
      <c r="G281" s="1097" t="s">
        <v>1324</v>
      </c>
      <c r="H281" s="1098"/>
      <c r="I281" s="1098"/>
      <c r="J281" s="1098"/>
      <c r="K281" s="1098"/>
      <c r="L281" s="1098"/>
      <c r="M281" s="1098"/>
      <c r="N281" s="1115"/>
      <c r="O281" s="1115"/>
      <c r="P281" s="1115"/>
      <c r="Q281" s="1115"/>
      <c r="R281" s="1115"/>
      <c r="S281" s="1115"/>
      <c r="T281" s="1123"/>
    </row>
    <row r="282" spans="1:20" s="385" customFormat="1" ht="15" customHeight="1" x14ac:dyDescent="0.25">
      <c r="A282" s="577"/>
      <c r="B282" s="579"/>
      <c r="C282" s="575"/>
      <c r="D282" s="575"/>
      <c r="E282" s="575"/>
      <c r="F282" s="584"/>
      <c r="G282" s="572" t="s">
        <v>566</v>
      </c>
      <c r="H282" s="572" t="s">
        <v>567</v>
      </c>
      <c r="I282" s="572" t="s">
        <v>1449</v>
      </c>
      <c r="J282" s="262"/>
      <c r="K282" s="262">
        <v>0.4</v>
      </c>
      <c r="L282" s="572"/>
      <c r="M282" s="262"/>
      <c r="N282" s="572"/>
      <c r="O282" s="572"/>
      <c r="P282" s="572"/>
      <c r="Q282" s="572"/>
      <c r="R282" s="262"/>
      <c r="S282" s="572"/>
      <c r="T282" s="348"/>
    </row>
    <row r="283" spans="1:20" s="385" customFormat="1" ht="15" customHeight="1" x14ac:dyDescent="0.25">
      <c r="A283" s="577"/>
      <c r="B283" s="579"/>
      <c r="C283" s="575"/>
      <c r="D283" s="575"/>
      <c r="E283" s="575"/>
      <c r="F283" s="584"/>
      <c r="G283" s="1097" t="s">
        <v>2011</v>
      </c>
      <c r="H283" s="1098"/>
      <c r="I283" s="1098"/>
      <c r="J283" s="1098"/>
      <c r="K283" s="1098"/>
      <c r="L283" s="1098"/>
      <c r="M283" s="1098"/>
      <c r="N283" s="572"/>
      <c r="O283" s="572"/>
      <c r="P283" s="572"/>
      <c r="Q283" s="572"/>
      <c r="R283" s="262"/>
      <c r="S283" s="572"/>
      <c r="T283" s="348"/>
    </row>
    <row r="284" spans="1:20" s="385" customFormat="1" ht="15" customHeight="1" x14ac:dyDescent="0.25">
      <c r="A284" s="577"/>
      <c r="B284" s="579"/>
      <c r="C284" s="575"/>
      <c r="D284" s="575"/>
      <c r="E284" s="575"/>
      <c r="F284" s="584"/>
      <c r="G284" s="1115"/>
      <c r="H284" s="1115"/>
      <c r="I284" s="1115"/>
      <c r="J284" s="262"/>
      <c r="K284" s="262"/>
      <c r="L284" s="572"/>
      <c r="M284" s="262"/>
      <c r="N284" s="572"/>
      <c r="O284" s="572"/>
      <c r="P284" s="572"/>
      <c r="Q284" s="572"/>
      <c r="R284" s="262"/>
      <c r="S284" s="572"/>
      <c r="T284" s="348"/>
    </row>
    <row r="285" spans="1:20" s="385" customFormat="1" ht="15" customHeight="1" x14ac:dyDescent="0.25">
      <c r="A285" s="577"/>
      <c r="B285" s="579"/>
      <c r="C285" s="575"/>
      <c r="D285" s="575"/>
      <c r="E285" s="575"/>
      <c r="F285" s="584"/>
      <c r="G285" s="1097" t="s">
        <v>2290</v>
      </c>
      <c r="H285" s="1098"/>
      <c r="I285" s="1098"/>
      <c r="J285" s="1098"/>
      <c r="K285" s="1098"/>
      <c r="L285" s="1098"/>
      <c r="M285" s="1098"/>
      <c r="N285" s="572"/>
      <c r="O285" s="572"/>
      <c r="P285" s="572"/>
      <c r="Q285" s="572"/>
      <c r="R285" s="262"/>
      <c r="S285" s="572"/>
      <c r="T285" s="348"/>
    </row>
    <row r="286" spans="1:20" s="385" customFormat="1" ht="15" customHeight="1" x14ac:dyDescent="0.25">
      <c r="A286" s="577"/>
      <c r="B286" s="579"/>
      <c r="C286" s="575"/>
      <c r="D286" s="575"/>
      <c r="E286" s="575"/>
      <c r="F286" s="584"/>
      <c r="G286" s="572" t="s">
        <v>2385</v>
      </c>
      <c r="H286" s="572" t="s">
        <v>2386</v>
      </c>
      <c r="I286" s="572" t="s">
        <v>13383</v>
      </c>
      <c r="J286" s="262"/>
      <c r="K286" s="262">
        <f>(0.25-0.06)*0.75</f>
        <v>0.14250000000000002</v>
      </c>
      <c r="L286" s="572"/>
      <c r="M286" s="262"/>
      <c r="N286" s="572"/>
      <c r="O286" s="572"/>
      <c r="P286" s="572"/>
      <c r="Q286" s="572"/>
      <c r="R286" s="262"/>
      <c r="S286" s="572"/>
      <c r="T286" s="348"/>
    </row>
    <row r="287" spans="1:20" s="385" customFormat="1" ht="15" customHeight="1" x14ac:dyDescent="0.25">
      <c r="A287" s="577"/>
      <c r="B287" s="579"/>
      <c r="C287" s="575"/>
      <c r="D287" s="575"/>
      <c r="E287" s="575"/>
      <c r="F287" s="584"/>
      <c r="G287" s="572" t="s">
        <v>2304</v>
      </c>
      <c r="H287" s="572" t="s">
        <v>2305</v>
      </c>
      <c r="I287" s="572" t="s">
        <v>14758</v>
      </c>
      <c r="J287" s="262"/>
      <c r="K287" s="262">
        <f>0.02*0.75</f>
        <v>1.4999999999999999E-2</v>
      </c>
      <c r="L287" s="572"/>
      <c r="M287" s="262"/>
      <c r="N287" s="572"/>
      <c r="O287" s="572"/>
      <c r="P287" s="572"/>
      <c r="Q287" s="572"/>
      <c r="R287" s="262"/>
      <c r="S287" s="572"/>
      <c r="T287" s="348"/>
    </row>
    <row r="288" spans="1:20" s="385" customFormat="1" ht="15" customHeight="1" x14ac:dyDescent="0.25">
      <c r="A288" s="577"/>
      <c r="B288" s="579"/>
      <c r="C288" s="575"/>
      <c r="D288" s="575"/>
      <c r="E288" s="575"/>
      <c r="F288" s="584"/>
      <c r="G288" s="1104"/>
      <c r="H288" s="1104"/>
      <c r="I288" s="1104"/>
      <c r="J288" s="519"/>
      <c r="K288" s="519"/>
      <c r="L288" s="580"/>
      <c r="M288" s="519"/>
      <c r="N288" s="572"/>
      <c r="O288" s="572"/>
      <c r="P288" s="572"/>
      <c r="Q288" s="572"/>
      <c r="R288" s="262"/>
      <c r="S288" s="572"/>
      <c r="T288" s="348"/>
    </row>
    <row r="289" spans="1:20" s="385" customFormat="1" ht="15" customHeight="1" x14ac:dyDescent="0.25">
      <c r="A289" s="577"/>
      <c r="B289" s="579"/>
      <c r="C289" s="575"/>
      <c r="D289" s="575"/>
      <c r="E289" s="575"/>
      <c r="F289" s="584"/>
      <c r="G289" s="572" t="s">
        <v>2214</v>
      </c>
      <c r="H289" s="572" t="s">
        <v>2215</v>
      </c>
      <c r="I289" s="572" t="s">
        <v>14846</v>
      </c>
      <c r="J289" s="262"/>
      <c r="K289" s="262">
        <f>1*0.9</f>
        <v>0.9</v>
      </c>
      <c r="L289" s="572"/>
      <c r="M289" s="262"/>
      <c r="N289" s="572"/>
      <c r="O289" s="572"/>
      <c r="P289" s="572"/>
      <c r="Q289" s="572"/>
      <c r="R289" s="262"/>
      <c r="S289" s="572"/>
      <c r="T289" s="348"/>
    </row>
    <row r="290" spans="1:20" s="385" customFormat="1" ht="15" customHeight="1" x14ac:dyDescent="0.25">
      <c r="A290" s="577"/>
      <c r="B290" s="579"/>
      <c r="C290" s="575"/>
      <c r="D290" s="575"/>
      <c r="E290" s="575"/>
      <c r="F290" s="584"/>
      <c r="G290" s="1097" t="s">
        <v>14933</v>
      </c>
      <c r="H290" s="1098"/>
      <c r="I290" s="1098"/>
      <c r="J290" s="1098"/>
      <c r="K290" s="1098"/>
      <c r="L290" s="1098"/>
      <c r="M290" s="1098"/>
      <c r="N290" s="572"/>
      <c r="O290" s="572"/>
      <c r="P290" s="572"/>
      <c r="Q290" s="572"/>
      <c r="R290" s="262"/>
      <c r="S290" s="572"/>
      <c r="T290" s="348"/>
    </row>
    <row r="291" spans="1:20" s="385" customFormat="1" ht="15" customHeight="1" x14ac:dyDescent="0.25">
      <c r="A291" s="577"/>
      <c r="B291" s="579"/>
      <c r="C291" s="575"/>
      <c r="D291" s="575"/>
      <c r="E291" s="575"/>
      <c r="F291" s="584"/>
      <c r="G291" s="572" t="s">
        <v>17218</v>
      </c>
      <c r="H291" s="572" t="s">
        <v>17219</v>
      </c>
      <c r="I291" s="572" t="s">
        <v>17220</v>
      </c>
      <c r="J291" s="262"/>
      <c r="K291" s="262">
        <f>0.1*0.75</f>
        <v>7.5000000000000011E-2</v>
      </c>
      <c r="L291" s="572"/>
      <c r="M291" s="262"/>
      <c r="N291" s="572"/>
      <c r="O291" s="572"/>
      <c r="P291" s="572"/>
      <c r="Q291" s="572"/>
      <c r="R291" s="262"/>
      <c r="S291" s="572"/>
      <c r="T291" s="348"/>
    </row>
    <row r="292" spans="1:20" s="385" customFormat="1" ht="15" customHeight="1" x14ac:dyDescent="0.25">
      <c r="A292" s="577"/>
      <c r="B292" s="579"/>
      <c r="C292" s="575"/>
      <c r="D292" s="575"/>
      <c r="E292" s="575"/>
      <c r="F292" s="584"/>
      <c r="G292" s="580" t="s">
        <v>17571</v>
      </c>
      <c r="H292" s="580" t="s">
        <v>17572</v>
      </c>
      <c r="I292" s="580" t="s">
        <v>17573</v>
      </c>
      <c r="J292" s="519"/>
      <c r="K292" s="519">
        <f>0.15*0.1</f>
        <v>1.4999999999999999E-2</v>
      </c>
      <c r="L292" s="580"/>
      <c r="M292" s="519"/>
      <c r="N292" s="572"/>
      <c r="O292" s="572"/>
      <c r="P292" s="572"/>
      <c r="Q292" s="572"/>
      <c r="R292" s="262"/>
      <c r="S292" s="572"/>
      <c r="T292" s="348"/>
    </row>
    <row r="293" spans="1:20" s="385" customFormat="1" ht="15" customHeight="1" x14ac:dyDescent="0.25">
      <c r="A293" s="577"/>
      <c r="B293" s="579"/>
      <c r="C293" s="575"/>
      <c r="D293" s="575"/>
      <c r="E293" s="575"/>
      <c r="F293" s="584"/>
      <c r="G293" s="580" t="s">
        <v>18479</v>
      </c>
      <c r="H293" s="580" t="s">
        <v>18480</v>
      </c>
      <c r="I293" s="580" t="s">
        <v>18481</v>
      </c>
      <c r="J293" s="519"/>
      <c r="K293" s="519">
        <f>0.15*0.1</f>
        <v>1.4999999999999999E-2</v>
      </c>
      <c r="L293" s="580"/>
      <c r="M293" s="519"/>
      <c r="N293" s="572"/>
      <c r="O293" s="572"/>
      <c r="P293" s="572"/>
      <c r="Q293" s="572"/>
      <c r="R293" s="262"/>
      <c r="S293" s="572"/>
      <c r="T293" s="348"/>
    </row>
    <row r="294" spans="1:20" s="385" customFormat="1" ht="15" customHeight="1" x14ac:dyDescent="0.25">
      <c r="A294" s="577"/>
      <c r="B294" s="579"/>
      <c r="C294" s="575"/>
      <c r="D294" s="575"/>
      <c r="E294" s="575"/>
      <c r="F294" s="584"/>
      <c r="G294" s="1065" t="s">
        <v>2262</v>
      </c>
      <c r="H294" s="1065"/>
      <c r="I294" s="1065"/>
      <c r="J294" s="994">
        <f>0.53025*0.9</f>
        <v>0.47722500000000001</v>
      </c>
      <c r="K294" s="995"/>
      <c r="L294" s="580"/>
      <c r="M294" s="519"/>
      <c r="N294" s="572"/>
      <c r="O294" s="572"/>
      <c r="P294" s="572"/>
      <c r="Q294" s="572"/>
      <c r="R294" s="262"/>
      <c r="S294" s="572"/>
      <c r="T294" s="348"/>
    </row>
    <row r="295" spans="1:20" s="385" customFormat="1" ht="15" customHeight="1" x14ac:dyDescent="0.25">
      <c r="A295" s="577"/>
      <c r="B295" s="579"/>
      <c r="C295" s="575"/>
      <c r="D295" s="575"/>
      <c r="E295" s="575"/>
      <c r="F295" s="584"/>
      <c r="G295" s="1097" t="s">
        <v>18518</v>
      </c>
      <c r="H295" s="1098"/>
      <c r="I295" s="1098"/>
      <c r="J295" s="1098"/>
      <c r="K295" s="1098"/>
      <c r="L295" s="1098"/>
      <c r="M295" s="1098"/>
      <c r="N295" s="350"/>
      <c r="O295" s="350"/>
      <c r="P295" s="350"/>
      <c r="Q295" s="350"/>
      <c r="R295" s="351"/>
      <c r="S295" s="350"/>
      <c r="T295" s="352"/>
    </row>
    <row r="296" spans="1:20" s="385" customFormat="1" ht="15" customHeight="1" x14ac:dyDescent="0.25">
      <c r="A296" s="577"/>
      <c r="B296" s="579"/>
      <c r="C296" s="575"/>
      <c r="D296" s="575"/>
      <c r="E296" s="575"/>
      <c r="F296" s="584"/>
      <c r="G296" s="1065" t="s">
        <v>2262</v>
      </c>
      <c r="H296" s="1065"/>
      <c r="I296" s="1065"/>
      <c r="J296" s="994">
        <f>0.696*0.9*0.6</f>
        <v>0.37583999999999995</v>
      </c>
      <c r="K296" s="995"/>
      <c r="L296" s="580"/>
      <c r="M296" s="519"/>
      <c r="N296" s="350"/>
      <c r="O296" s="350"/>
      <c r="P296" s="350"/>
      <c r="Q296" s="350"/>
      <c r="R296" s="351"/>
      <c r="S296" s="350"/>
      <c r="T296" s="352"/>
    </row>
    <row r="297" spans="1:20" ht="15" customHeight="1" thickBot="1" x14ac:dyDescent="0.3">
      <c r="A297" s="394"/>
      <c r="B297" s="399"/>
      <c r="C297" s="400"/>
      <c r="D297" s="400"/>
      <c r="E297" s="400"/>
      <c r="F297" s="401"/>
      <c r="G297" s="1096" t="s">
        <v>1199</v>
      </c>
      <c r="H297" s="1096"/>
      <c r="I297" s="1096"/>
      <c r="J297" s="544"/>
      <c r="K297" s="247">
        <f>SUM(J291:K296)</f>
        <v>0.95806499999999994</v>
      </c>
      <c r="L297" s="569">
        <v>0.93</v>
      </c>
      <c r="M297" s="247">
        <f>K297/L297</f>
        <v>1.0301774193548385</v>
      </c>
      <c r="N297" s="1096" t="s">
        <v>1199</v>
      </c>
      <c r="O297" s="1096"/>
      <c r="P297" s="1096"/>
      <c r="Q297" s="569"/>
      <c r="R297" s="247">
        <f>SUM(R280:R283)</f>
        <v>0</v>
      </c>
      <c r="S297" s="569">
        <v>0.92</v>
      </c>
      <c r="T297" s="249">
        <f>R297/S297</f>
        <v>0</v>
      </c>
    </row>
    <row r="298" spans="1:20" s="385" customFormat="1" ht="15" customHeight="1" x14ac:dyDescent="0.25">
      <c r="A298" s="1111" t="str">
        <f>Итоговая!C189</f>
        <v xml:space="preserve">ПС 110/35/10 кВ  Верхняя Троица </v>
      </c>
      <c r="B298" s="1113">
        <f>Итоговая!D189</f>
        <v>6.3</v>
      </c>
      <c r="C298" s="1109" t="str">
        <f>Итоговая!E189</f>
        <v>+</v>
      </c>
      <c r="D298" s="1109">
        <f>Итоговая!F189</f>
        <v>6.3</v>
      </c>
      <c r="E298" s="574"/>
      <c r="F298" s="583"/>
      <c r="G298" s="1106" t="s">
        <v>1287</v>
      </c>
      <c r="H298" s="1107"/>
      <c r="I298" s="1107"/>
      <c r="J298" s="1107"/>
      <c r="K298" s="1107"/>
      <c r="L298" s="1107"/>
      <c r="M298" s="1107"/>
      <c r="N298" s="1120"/>
      <c r="O298" s="1120"/>
      <c r="P298" s="1120"/>
      <c r="Q298" s="1120"/>
      <c r="R298" s="1120"/>
      <c r="S298" s="1120"/>
      <c r="T298" s="1121"/>
    </row>
    <row r="299" spans="1:20" s="385" customFormat="1" ht="15" customHeight="1" x14ac:dyDescent="0.25">
      <c r="A299" s="1112"/>
      <c r="B299" s="1114"/>
      <c r="C299" s="1110"/>
      <c r="D299" s="1110"/>
      <c r="E299" s="575"/>
      <c r="F299" s="584"/>
      <c r="G299" s="572" t="s">
        <v>413</v>
      </c>
      <c r="H299" s="572" t="s">
        <v>414</v>
      </c>
      <c r="I299" s="572" t="s">
        <v>415</v>
      </c>
      <c r="J299" s="262"/>
      <c r="K299" s="262">
        <v>2.5000000000000001E-2</v>
      </c>
      <c r="L299" s="572"/>
      <c r="M299" s="262"/>
      <c r="N299" s="572"/>
      <c r="O299" s="572"/>
      <c r="P299" s="572"/>
      <c r="Q299" s="572"/>
      <c r="R299" s="262"/>
      <c r="S299" s="572"/>
      <c r="T299" s="348"/>
    </row>
    <row r="300" spans="1:20" s="385" customFormat="1" ht="15" customHeight="1" x14ac:dyDescent="0.25">
      <c r="A300" s="577"/>
      <c r="B300" s="579"/>
      <c r="C300" s="575"/>
      <c r="D300" s="575"/>
      <c r="E300" s="575"/>
      <c r="F300" s="584"/>
      <c r="G300" s="1097" t="s">
        <v>1286</v>
      </c>
      <c r="H300" s="1098"/>
      <c r="I300" s="1098"/>
      <c r="J300" s="1098"/>
      <c r="K300" s="1098"/>
      <c r="L300" s="1098"/>
      <c r="M300" s="1098"/>
      <c r="N300" s="1115"/>
      <c r="O300" s="1115"/>
      <c r="P300" s="1115"/>
      <c r="Q300" s="1115"/>
      <c r="R300" s="1115"/>
      <c r="S300" s="1115"/>
      <c r="T300" s="1123"/>
    </row>
    <row r="301" spans="1:20" s="385" customFormat="1" ht="15" customHeight="1" x14ac:dyDescent="0.25">
      <c r="A301" s="577"/>
      <c r="B301" s="579"/>
      <c r="C301" s="575"/>
      <c r="D301" s="575"/>
      <c r="E301" s="575"/>
      <c r="F301" s="584"/>
      <c r="G301" s="572" t="s">
        <v>416</v>
      </c>
      <c r="H301" s="572" t="s">
        <v>417</v>
      </c>
      <c r="I301" s="572" t="s">
        <v>1530</v>
      </c>
      <c r="J301" s="262"/>
      <c r="K301" s="262">
        <v>4.4999999999999998E-2</v>
      </c>
      <c r="L301" s="572"/>
      <c r="M301" s="262"/>
      <c r="N301" s="572"/>
      <c r="O301" s="572"/>
      <c r="P301" s="572"/>
      <c r="Q301" s="572"/>
      <c r="R301" s="262"/>
      <c r="S301" s="572"/>
      <c r="T301" s="348"/>
    </row>
    <row r="302" spans="1:20" s="385" customFormat="1" ht="15" customHeight="1" x14ac:dyDescent="0.25">
      <c r="A302" s="577"/>
      <c r="B302" s="579"/>
      <c r="C302" s="575"/>
      <c r="D302" s="575"/>
      <c r="E302" s="575"/>
      <c r="F302" s="584"/>
      <c r="G302" s="1097" t="s">
        <v>14933</v>
      </c>
      <c r="H302" s="1098"/>
      <c r="I302" s="1098"/>
      <c r="J302" s="1098"/>
      <c r="K302" s="1098"/>
      <c r="L302" s="1098"/>
      <c r="M302" s="1098"/>
      <c r="N302" s="572"/>
      <c r="O302" s="572"/>
      <c r="P302" s="572"/>
      <c r="Q302" s="572"/>
      <c r="R302" s="262"/>
      <c r="S302" s="572"/>
      <c r="T302" s="348"/>
    </row>
    <row r="303" spans="1:20" s="385" customFormat="1" ht="15" customHeight="1" x14ac:dyDescent="0.25">
      <c r="A303" s="577"/>
      <c r="B303" s="579"/>
      <c r="C303" s="575"/>
      <c r="D303" s="575"/>
      <c r="E303" s="575"/>
      <c r="F303" s="584"/>
      <c r="G303" s="1065" t="s">
        <v>2262</v>
      </c>
      <c r="H303" s="1065"/>
      <c r="I303" s="1065"/>
      <c r="J303" s="994">
        <f>0.42114*0.9</f>
        <v>0.37902600000000003</v>
      </c>
      <c r="K303" s="995"/>
      <c r="L303" s="580"/>
      <c r="M303" s="519"/>
      <c r="N303" s="572"/>
      <c r="O303" s="572"/>
      <c r="P303" s="572"/>
      <c r="Q303" s="572"/>
      <c r="R303" s="262"/>
      <c r="S303" s="572"/>
      <c r="T303" s="348"/>
    </row>
    <row r="304" spans="1:20" s="385" customFormat="1" ht="15" customHeight="1" x14ac:dyDescent="0.25">
      <c r="A304" s="577"/>
      <c r="B304" s="579"/>
      <c r="C304" s="575"/>
      <c r="D304" s="575"/>
      <c r="E304" s="575"/>
      <c r="F304" s="584"/>
      <c r="G304" s="580" t="s">
        <v>2395</v>
      </c>
      <c r="H304" s="580" t="s">
        <v>17583</v>
      </c>
      <c r="I304" s="580" t="s">
        <v>17584</v>
      </c>
      <c r="J304" s="519"/>
      <c r="K304" s="519">
        <f>0.133*0.9</f>
        <v>0.11970000000000001</v>
      </c>
      <c r="L304" s="580"/>
      <c r="M304" s="519"/>
      <c r="N304" s="572"/>
      <c r="O304" s="572"/>
      <c r="P304" s="572"/>
      <c r="Q304" s="572"/>
      <c r="R304" s="262"/>
      <c r="S304" s="572"/>
      <c r="T304" s="348"/>
    </row>
    <row r="305" spans="1:20" s="385" customFormat="1" ht="15" customHeight="1" x14ac:dyDescent="0.25">
      <c r="A305" s="577"/>
      <c r="B305" s="579"/>
      <c r="C305" s="575"/>
      <c r="D305" s="575"/>
      <c r="E305" s="575"/>
      <c r="F305" s="584"/>
      <c r="G305" s="1097" t="s">
        <v>18518</v>
      </c>
      <c r="H305" s="1098"/>
      <c r="I305" s="1098"/>
      <c r="J305" s="1098"/>
      <c r="K305" s="1098"/>
      <c r="L305" s="1098"/>
      <c r="M305" s="1098"/>
      <c r="N305" s="572"/>
      <c r="O305" s="572"/>
      <c r="P305" s="572"/>
      <c r="Q305" s="572"/>
      <c r="R305" s="262"/>
      <c r="S305" s="572"/>
      <c r="T305" s="348"/>
    </row>
    <row r="306" spans="1:20" s="385" customFormat="1" ht="15" customHeight="1" x14ac:dyDescent="0.25">
      <c r="A306" s="577"/>
      <c r="B306" s="579"/>
      <c r="C306" s="575"/>
      <c r="D306" s="575"/>
      <c r="E306" s="575"/>
      <c r="F306" s="584"/>
      <c r="G306" s="1065" t="s">
        <v>2262</v>
      </c>
      <c r="H306" s="1065"/>
      <c r="I306" s="1065"/>
      <c r="J306" s="994">
        <f>0.332*0.9*0.6</f>
        <v>0.17927999999999999</v>
      </c>
      <c r="K306" s="995"/>
      <c r="L306" s="345"/>
      <c r="M306" s="594"/>
      <c r="N306" s="350"/>
      <c r="O306" s="350"/>
      <c r="P306" s="350"/>
      <c r="Q306" s="350"/>
      <c r="R306" s="351"/>
      <c r="S306" s="350"/>
      <c r="T306" s="352"/>
    </row>
    <row r="307" spans="1:20" ht="15" customHeight="1" thickBot="1" x14ac:dyDescent="0.3">
      <c r="A307" s="394"/>
      <c r="B307" s="399"/>
      <c r="C307" s="400"/>
      <c r="D307" s="400"/>
      <c r="E307" s="400"/>
      <c r="F307" s="401"/>
      <c r="G307" s="1096" t="s">
        <v>1199</v>
      </c>
      <c r="H307" s="1096"/>
      <c r="I307" s="1096"/>
      <c r="J307" s="544"/>
      <c r="K307" s="247">
        <f>SUM(J303:K306)</f>
        <v>0.67800600000000011</v>
      </c>
      <c r="L307" s="569">
        <v>0.92</v>
      </c>
      <c r="M307" s="247">
        <f>K307/L307</f>
        <v>0.73696304347826092</v>
      </c>
      <c r="N307" s="1096" t="s">
        <v>1199</v>
      </c>
      <c r="O307" s="1096"/>
      <c r="P307" s="1096"/>
      <c r="Q307" s="569"/>
      <c r="R307" s="247">
        <f>SUM(R299:R301)</f>
        <v>0</v>
      </c>
      <c r="S307" s="569">
        <v>0.92</v>
      </c>
      <c r="T307" s="249">
        <f>R307/S307</f>
        <v>0</v>
      </c>
    </row>
    <row r="308" spans="1:20" ht="15" customHeight="1" x14ac:dyDescent="0.25">
      <c r="A308" s="405" t="str">
        <f>Итоговая!C192</f>
        <v xml:space="preserve">ПС 110/35/10 кВ Горицы </v>
      </c>
      <c r="B308" s="578">
        <f>Итоговая!D192</f>
        <v>6.3</v>
      </c>
      <c r="C308" s="574" t="str">
        <f>Итоговая!E192</f>
        <v>+</v>
      </c>
      <c r="D308" s="574">
        <f>Итоговая!F192</f>
        <v>6.3</v>
      </c>
      <c r="E308" s="574"/>
      <c r="F308" s="583"/>
      <c r="G308" s="1106" t="s">
        <v>2011</v>
      </c>
      <c r="H308" s="1107"/>
      <c r="I308" s="1107"/>
      <c r="J308" s="1107"/>
      <c r="K308" s="1107"/>
      <c r="L308" s="1107"/>
      <c r="M308" s="1107"/>
      <c r="N308" s="355"/>
      <c r="O308" s="355"/>
      <c r="P308" s="355"/>
      <c r="Q308" s="355"/>
      <c r="R308" s="216"/>
      <c r="S308" s="355"/>
      <c r="T308" s="217"/>
    </row>
    <row r="309" spans="1:20" ht="15" customHeight="1" x14ac:dyDescent="0.25">
      <c r="A309" s="577"/>
      <c r="B309" s="579"/>
      <c r="C309" s="575"/>
      <c r="D309" s="575"/>
      <c r="E309" s="575"/>
      <c r="F309" s="584"/>
      <c r="G309" s="344" t="s">
        <v>1679</v>
      </c>
      <c r="H309" s="344" t="s">
        <v>1697</v>
      </c>
      <c r="I309" s="344" t="s">
        <v>2058</v>
      </c>
      <c r="J309" s="205"/>
      <c r="K309" s="205">
        <v>2.3E-2</v>
      </c>
      <c r="L309" s="344"/>
      <c r="M309" s="519"/>
      <c r="N309" s="344"/>
      <c r="O309" s="344"/>
      <c r="P309" s="344"/>
      <c r="Q309" s="344"/>
      <c r="R309" s="205"/>
      <c r="S309" s="344"/>
      <c r="T309" s="241"/>
    </row>
    <row r="310" spans="1:20" ht="15" customHeight="1" x14ac:dyDescent="0.25">
      <c r="A310" s="577"/>
      <c r="B310" s="579"/>
      <c r="C310" s="575"/>
      <c r="D310" s="575"/>
      <c r="E310" s="575"/>
      <c r="F310" s="584"/>
      <c r="G310" s="1104"/>
      <c r="H310" s="1104"/>
      <c r="I310" s="1104"/>
      <c r="J310" s="519"/>
      <c r="K310" s="519"/>
      <c r="L310" s="580"/>
      <c r="M310" s="519"/>
      <c r="N310" s="344"/>
      <c r="O310" s="344"/>
      <c r="P310" s="344"/>
      <c r="Q310" s="344"/>
      <c r="R310" s="205"/>
      <c r="S310" s="344"/>
      <c r="T310" s="241"/>
    </row>
    <row r="311" spans="1:20" ht="15" customHeight="1" x14ac:dyDescent="0.25">
      <c r="A311" s="577"/>
      <c r="B311" s="579"/>
      <c r="C311" s="575"/>
      <c r="D311" s="575"/>
      <c r="E311" s="575"/>
      <c r="F311" s="584"/>
      <c r="G311" s="1097" t="s">
        <v>14933</v>
      </c>
      <c r="H311" s="1098"/>
      <c r="I311" s="1098"/>
      <c r="J311" s="1098"/>
      <c r="K311" s="1098"/>
      <c r="L311" s="1098"/>
      <c r="M311" s="1098"/>
      <c r="N311" s="344"/>
      <c r="O311" s="344"/>
      <c r="P311" s="344"/>
      <c r="Q311" s="344"/>
      <c r="R311" s="205"/>
      <c r="S311" s="344"/>
      <c r="T311" s="241"/>
    </row>
    <row r="312" spans="1:20" ht="15" customHeight="1" x14ac:dyDescent="0.25">
      <c r="A312" s="577"/>
      <c r="B312" s="579"/>
      <c r="C312" s="575"/>
      <c r="D312" s="575"/>
      <c r="E312" s="575"/>
      <c r="F312" s="584"/>
      <c r="G312" s="1065" t="s">
        <v>2262</v>
      </c>
      <c r="H312" s="1065"/>
      <c r="I312" s="1065"/>
      <c r="J312" s="994">
        <f>0.265*0.9*0.6</f>
        <v>0.1431</v>
      </c>
      <c r="K312" s="995"/>
      <c r="L312" s="580"/>
      <c r="M312" s="519"/>
      <c r="N312" s="344"/>
      <c r="O312" s="344"/>
      <c r="P312" s="344"/>
      <c r="Q312" s="344"/>
      <c r="R312" s="205"/>
      <c r="S312" s="344"/>
      <c r="T312" s="241"/>
    </row>
    <row r="313" spans="1:20" ht="15" customHeight="1" x14ac:dyDescent="0.25">
      <c r="A313" s="577"/>
      <c r="B313" s="579"/>
      <c r="C313" s="575"/>
      <c r="D313" s="575"/>
      <c r="E313" s="575"/>
      <c r="F313" s="584"/>
      <c r="G313" s="1097" t="s">
        <v>18518</v>
      </c>
      <c r="H313" s="1098"/>
      <c r="I313" s="1098"/>
      <c r="J313" s="1098"/>
      <c r="K313" s="1098"/>
      <c r="L313" s="1098"/>
      <c r="M313" s="1098"/>
      <c r="N313" s="209"/>
      <c r="O313" s="209"/>
      <c r="P313" s="209"/>
      <c r="Q313" s="209"/>
      <c r="R313" s="230"/>
      <c r="S313" s="209"/>
      <c r="T313" s="259"/>
    </row>
    <row r="314" spans="1:20" ht="15" customHeight="1" x14ac:dyDescent="0.25">
      <c r="A314" s="577"/>
      <c r="B314" s="579"/>
      <c r="C314" s="575"/>
      <c r="D314" s="575"/>
      <c r="E314" s="575"/>
      <c r="F314" s="584"/>
      <c r="G314" s="1065" t="s">
        <v>2262</v>
      </c>
      <c r="H314" s="1065"/>
      <c r="I314" s="1065"/>
      <c r="J314" s="994">
        <f>0.391*0.9*0.6</f>
        <v>0.21114000000000002</v>
      </c>
      <c r="K314" s="995"/>
      <c r="L314" s="345"/>
      <c r="M314" s="594"/>
      <c r="N314" s="209"/>
      <c r="O314" s="209"/>
      <c r="P314" s="209"/>
      <c r="Q314" s="209"/>
      <c r="R314" s="230"/>
      <c r="S314" s="209"/>
      <c r="T314" s="259"/>
    </row>
    <row r="315" spans="1:20" ht="15" customHeight="1" thickBot="1" x14ac:dyDescent="0.3">
      <c r="A315" s="394"/>
      <c r="B315" s="399"/>
      <c r="C315" s="400"/>
      <c r="D315" s="400"/>
      <c r="E315" s="400"/>
      <c r="F315" s="401"/>
      <c r="G315" s="1096" t="s">
        <v>1199</v>
      </c>
      <c r="H315" s="1096"/>
      <c r="I315" s="1096"/>
      <c r="J315" s="544"/>
      <c r="K315" s="247">
        <f>SUM(J312:K314)</f>
        <v>0.35424</v>
      </c>
      <c r="L315" s="569">
        <v>0.92</v>
      </c>
      <c r="M315" s="247">
        <f>K315/L315</f>
        <v>0.38504347826086954</v>
      </c>
      <c r="N315" s="1096" t="s">
        <v>1199</v>
      </c>
      <c r="O315" s="1096"/>
      <c r="P315" s="1096"/>
      <c r="Q315" s="569"/>
      <c r="R315" s="247">
        <f>SUM(R308:R308)</f>
        <v>0</v>
      </c>
      <c r="S315" s="569">
        <v>0.92</v>
      </c>
      <c r="T315" s="249">
        <f>R315/S315</f>
        <v>0</v>
      </c>
    </row>
    <row r="316" spans="1:20" s="385" customFormat="1" ht="15" customHeight="1" x14ac:dyDescent="0.25">
      <c r="A316" s="1111" t="str">
        <f>Итоговая!C195</f>
        <v xml:space="preserve">ПС 110/35/10 кВ Луч </v>
      </c>
      <c r="B316" s="1113">
        <f>Итоговая!D195</f>
        <v>16</v>
      </c>
      <c r="C316" s="1109" t="str">
        <f>Итоговая!E195</f>
        <v>+</v>
      </c>
      <c r="D316" s="1109">
        <f>Итоговая!F195</f>
        <v>16</v>
      </c>
      <c r="E316" s="574"/>
      <c r="F316" s="583"/>
      <c r="G316" s="1106" t="s">
        <v>1290</v>
      </c>
      <c r="H316" s="1107"/>
      <c r="I316" s="1107"/>
      <c r="J316" s="1107"/>
      <c r="K316" s="1107"/>
      <c r="L316" s="1107"/>
      <c r="M316" s="1107"/>
      <c r="N316" s="1106" t="s">
        <v>1324</v>
      </c>
      <c r="O316" s="1107"/>
      <c r="P316" s="1107"/>
      <c r="Q316" s="1107"/>
      <c r="R316" s="1107"/>
      <c r="S316" s="1107"/>
      <c r="T316" s="1122"/>
    </row>
    <row r="317" spans="1:20" s="385" customFormat="1" ht="15" customHeight="1" x14ac:dyDescent="0.25">
      <c r="A317" s="1112"/>
      <c r="B317" s="1114"/>
      <c r="C317" s="1110"/>
      <c r="D317" s="1110"/>
      <c r="E317" s="575"/>
      <c r="F317" s="584"/>
      <c r="G317" s="356" t="s">
        <v>835</v>
      </c>
      <c r="H317" s="356" t="s">
        <v>836</v>
      </c>
      <c r="I317" s="356" t="s">
        <v>837</v>
      </c>
      <c r="J317" s="357"/>
      <c r="K317" s="357">
        <v>0.5</v>
      </c>
      <c r="L317" s="356"/>
      <c r="M317" s="357"/>
      <c r="N317" s="349" t="s">
        <v>835</v>
      </c>
      <c r="O317" s="349" t="s">
        <v>838</v>
      </c>
      <c r="P317" s="349" t="s">
        <v>1657</v>
      </c>
      <c r="Q317" s="349"/>
      <c r="R317" s="365">
        <v>3</v>
      </c>
      <c r="S317" s="363"/>
      <c r="T317" s="377"/>
    </row>
    <row r="318" spans="1:20" s="385" customFormat="1" ht="15" customHeight="1" x14ac:dyDescent="0.25">
      <c r="A318" s="577"/>
      <c r="B318" s="579"/>
      <c r="C318" s="575"/>
      <c r="D318" s="575"/>
      <c r="E318" s="575"/>
      <c r="F318" s="584"/>
      <c r="G318" s="1148" t="s">
        <v>1288</v>
      </c>
      <c r="H318" s="1149"/>
      <c r="I318" s="1149"/>
      <c r="J318" s="1149"/>
      <c r="K318" s="1149"/>
      <c r="L318" s="1149"/>
      <c r="M318" s="1149"/>
      <c r="N318" s="349" t="s">
        <v>59</v>
      </c>
      <c r="O318" s="349" t="s">
        <v>933</v>
      </c>
      <c r="P318" s="349" t="s">
        <v>1659</v>
      </c>
      <c r="Q318" s="349"/>
      <c r="R318" s="365">
        <v>0.02</v>
      </c>
      <c r="S318" s="572"/>
      <c r="T318" s="348"/>
    </row>
    <row r="319" spans="1:20" s="385" customFormat="1" ht="15" customHeight="1" x14ac:dyDescent="0.25">
      <c r="A319" s="577"/>
      <c r="B319" s="579"/>
      <c r="C319" s="575"/>
      <c r="D319" s="575"/>
      <c r="E319" s="575"/>
      <c r="F319" s="584"/>
      <c r="G319" s="572" t="s">
        <v>842</v>
      </c>
      <c r="H319" s="572" t="s">
        <v>843</v>
      </c>
      <c r="I319" s="356" t="s">
        <v>844</v>
      </c>
      <c r="J319" s="357"/>
      <c r="K319" s="262">
        <v>0.10199999999999999</v>
      </c>
      <c r="L319" s="572"/>
      <c r="M319" s="262"/>
      <c r="N319" s="572"/>
      <c r="O319" s="572"/>
      <c r="P319" s="356"/>
      <c r="Q319" s="356"/>
      <c r="R319" s="262"/>
      <c r="S319" s="572"/>
      <c r="T319" s="348"/>
    </row>
    <row r="320" spans="1:20" s="385" customFormat="1" ht="15" customHeight="1" x14ac:dyDescent="0.25">
      <c r="A320" s="577"/>
      <c r="B320" s="579"/>
      <c r="C320" s="575"/>
      <c r="D320" s="575"/>
      <c r="E320" s="575"/>
      <c r="F320" s="584"/>
      <c r="G320" s="572" t="s">
        <v>839</v>
      </c>
      <c r="H320" s="572" t="s">
        <v>840</v>
      </c>
      <c r="I320" s="356" t="s">
        <v>841</v>
      </c>
      <c r="J320" s="357"/>
      <c r="K320" s="262">
        <v>0.2</v>
      </c>
      <c r="L320" s="572"/>
      <c r="M320" s="262"/>
      <c r="N320" s="572"/>
      <c r="O320" s="572"/>
      <c r="P320" s="356"/>
      <c r="Q320" s="356"/>
      <c r="R320" s="262"/>
      <c r="S320" s="572"/>
      <c r="T320" s="348"/>
    </row>
    <row r="321" spans="1:20" s="385" customFormat="1" ht="15" customHeight="1" x14ac:dyDescent="0.25">
      <c r="A321" s="577"/>
      <c r="B321" s="579"/>
      <c r="C321" s="575"/>
      <c r="D321" s="575"/>
      <c r="E321" s="575"/>
      <c r="F321" s="584"/>
      <c r="G321" s="1097" t="s">
        <v>1286</v>
      </c>
      <c r="H321" s="1098"/>
      <c r="I321" s="1098"/>
      <c r="J321" s="1098"/>
      <c r="K321" s="1098"/>
      <c r="L321" s="1098"/>
      <c r="M321" s="1098"/>
      <c r="N321" s="388"/>
      <c r="O321" s="388"/>
      <c r="P321" s="388"/>
      <c r="Q321" s="388"/>
      <c r="R321" s="388"/>
      <c r="S321" s="388"/>
      <c r="T321" s="389"/>
    </row>
    <row r="322" spans="1:20" s="385" customFormat="1" ht="15" customHeight="1" x14ac:dyDescent="0.25">
      <c r="A322" s="577"/>
      <c r="B322" s="579"/>
      <c r="C322" s="575"/>
      <c r="D322" s="575"/>
      <c r="E322" s="575"/>
      <c r="F322" s="584"/>
      <c r="G322" s="572" t="s">
        <v>847</v>
      </c>
      <c r="H322" s="572" t="s">
        <v>848</v>
      </c>
      <c r="I322" s="572" t="s">
        <v>934</v>
      </c>
      <c r="J322" s="262"/>
      <c r="K322" s="262">
        <v>0.06</v>
      </c>
      <c r="L322" s="572"/>
      <c r="M322" s="262"/>
      <c r="N322" s="378"/>
      <c r="O322" s="378"/>
      <c r="P322" s="378"/>
      <c r="Q322" s="378"/>
      <c r="R322" s="378"/>
      <c r="S322" s="378"/>
      <c r="T322" s="379"/>
    </row>
    <row r="323" spans="1:20" s="385" customFormat="1" ht="15" customHeight="1" x14ac:dyDescent="0.25">
      <c r="A323" s="577"/>
      <c r="B323" s="579"/>
      <c r="C323" s="575"/>
      <c r="D323" s="575"/>
      <c r="E323" s="575"/>
      <c r="F323" s="584"/>
      <c r="G323" s="1097" t="s">
        <v>1324</v>
      </c>
      <c r="H323" s="1098"/>
      <c r="I323" s="1098"/>
      <c r="J323" s="1098"/>
      <c r="K323" s="1098"/>
      <c r="L323" s="1098"/>
      <c r="M323" s="1098"/>
      <c r="N323" s="378"/>
      <c r="O323" s="378"/>
      <c r="P323" s="378"/>
      <c r="Q323" s="378"/>
      <c r="R323" s="378"/>
      <c r="S323" s="378"/>
      <c r="T323" s="379"/>
    </row>
    <row r="324" spans="1:20" s="385" customFormat="1" ht="15" customHeight="1" x14ac:dyDescent="0.25">
      <c r="A324" s="577"/>
      <c r="B324" s="579"/>
      <c r="C324" s="575"/>
      <c r="D324" s="575"/>
      <c r="E324" s="575"/>
      <c r="F324" s="584"/>
      <c r="G324" s="572" t="s">
        <v>845</v>
      </c>
      <c r="H324" s="572" t="s">
        <v>846</v>
      </c>
      <c r="I324" s="572" t="s">
        <v>1486</v>
      </c>
      <c r="J324" s="262"/>
      <c r="K324" s="262">
        <v>0.5</v>
      </c>
      <c r="L324" s="572"/>
      <c r="M324" s="262"/>
      <c r="N324" s="572"/>
      <c r="O324" s="572"/>
      <c r="P324" s="572"/>
      <c r="Q324" s="572"/>
      <c r="R324" s="262"/>
      <c r="S324" s="572"/>
      <c r="T324" s="348"/>
    </row>
    <row r="325" spans="1:20" s="385" customFormat="1" ht="15" customHeight="1" x14ac:dyDescent="0.25">
      <c r="A325" s="577"/>
      <c r="B325" s="579"/>
      <c r="C325" s="575"/>
      <c r="D325" s="575"/>
      <c r="E325" s="575"/>
      <c r="F325" s="584"/>
      <c r="G325" s="572" t="s">
        <v>59</v>
      </c>
      <c r="H325" s="572" t="s">
        <v>933</v>
      </c>
      <c r="I325" s="572" t="s">
        <v>1501</v>
      </c>
      <c r="J325" s="262"/>
      <c r="K325" s="262">
        <v>0.01</v>
      </c>
      <c r="L325" s="572"/>
      <c r="M325" s="262"/>
      <c r="N325" s="572"/>
      <c r="O325" s="572"/>
      <c r="P325" s="572"/>
      <c r="Q325" s="572"/>
      <c r="R325" s="262"/>
      <c r="S325" s="572"/>
      <c r="T325" s="348"/>
    </row>
    <row r="326" spans="1:20" s="385" customFormat="1" ht="15" customHeight="1" x14ac:dyDescent="0.25">
      <c r="A326" s="577"/>
      <c r="B326" s="579"/>
      <c r="C326" s="575"/>
      <c r="D326" s="575"/>
      <c r="E326" s="575"/>
      <c r="F326" s="584"/>
      <c r="G326" s="572" t="s">
        <v>10</v>
      </c>
      <c r="H326" s="572" t="s">
        <v>11</v>
      </c>
      <c r="I326" s="572" t="s">
        <v>1564</v>
      </c>
      <c r="J326" s="262"/>
      <c r="K326" s="262">
        <v>0.2</v>
      </c>
      <c r="L326" s="572"/>
      <c r="M326" s="262"/>
      <c r="N326" s="572"/>
      <c r="O326" s="572"/>
      <c r="P326" s="572"/>
      <c r="Q326" s="572"/>
      <c r="R326" s="262"/>
      <c r="S326" s="572"/>
      <c r="T326" s="348"/>
    </row>
    <row r="327" spans="1:20" s="385" customFormat="1" ht="15" customHeight="1" x14ac:dyDescent="0.25">
      <c r="A327" s="577"/>
      <c r="B327" s="579"/>
      <c r="C327" s="575"/>
      <c r="D327" s="575"/>
      <c r="E327" s="575"/>
      <c r="F327" s="584"/>
      <c r="G327" s="572" t="s">
        <v>7</v>
      </c>
      <c r="H327" s="572" t="s">
        <v>8</v>
      </c>
      <c r="I327" s="572" t="s">
        <v>1565</v>
      </c>
      <c r="J327" s="262"/>
      <c r="K327" s="262">
        <v>0.2</v>
      </c>
      <c r="L327" s="572"/>
      <c r="M327" s="262"/>
      <c r="N327" s="572"/>
      <c r="O327" s="572"/>
      <c r="P327" s="572"/>
      <c r="Q327" s="572"/>
      <c r="R327" s="262"/>
      <c r="S327" s="572"/>
      <c r="T327" s="348"/>
    </row>
    <row r="328" spans="1:20" s="385" customFormat="1" ht="15" customHeight="1" x14ac:dyDescent="0.25">
      <c r="A328" s="577"/>
      <c r="B328" s="579"/>
      <c r="C328" s="575"/>
      <c r="D328" s="575"/>
      <c r="E328" s="575"/>
      <c r="F328" s="584"/>
      <c r="G328" s="1097" t="s">
        <v>2011</v>
      </c>
      <c r="H328" s="1098"/>
      <c r="I328" s="1098"/>
      <c r="J328" s="1098"/>
      <c r="K328" s="1098"/>
      <c r="L328" s="1098"/>
      <c r="M328" s="1098"/>
      <c r="N328" s="572"/>
      <c r="O328" s="572"/>
      <c r="P328" s="572"/>
      <c r="Q328" s="572"/>
      <c r="R328" s="262"/>
      <c r="S328" s="572"/>
      <c r="T328" s="348"/>
    </row>
    <row r="329" spans="1:20" s="385" customFormat="1" ht="15" customHeight="1" x14ac:dyDescent="0.25">
      <c r="A329" s="577"/>
      <c r="B329" s="579"/>
      <c r="C329" s="575"/>
      <c r="D329" s="575"/>
      <c r="E329" s="575"/>
      <c r="F329" s="584"/>
      <c r="G329" s="572" t="s">
        <v>7</v>
      </c>
      <c r="H329" s="572" t="s">
        <v>2083</v>
      </c>
      <c r="I329" s="572" t="s">
        <v>2105</v>
      </c>
      <c r="J329" s="262"/>
      <c r="K329" s="262">
        <f>0.04*0.9</f>
        <v>3.6000000000000004E-2</v>
      </c>
      <c r="L329" s="572"/>
      <c r="M329" s="262"/>
      <c r="N329" s="572"/>
      <c r="O329" s="572"/>
      <c r="P329" s="572"/>
      <c r="Q329" s="572"/>
      <c r="R329" s="262"/>
      <c r="S329" s="572"/>
      <c r="T329" s="348"/>
    </row>
    <row r="330" spans="1:20" s="385" customFormat="1" ht="15" customHeight="1" x14ac:dyDescent="0.25">
      <c r="A330" s="577"/>
      <c r="B330" s="579"/>
      <c r="C330" s="575"/>
      <c r="D330" s="575"/>
      <c r="E330" s="575"/>
      <c r="F330" s="584"/>
      <c r="G330" s="572" t="s">
        <v>10</v>
      </c>
      <c r="H330" s="572" t="s">
        <v>2082</v>
      </c>
      <c r="I330" s="572" t="s">
        <v>2106</v>
      </c>
      <c r="J330" s="262"/>
      <c r="K330" s="262">
        <f>0.05*0.9</f>
        <v>4.5000000000000005E-2</v>
      </c>
      <c r="L330" s="572"/>
      <c r="M330" s="262"/>
      <c r="N330" s="572"/>
      <c r="O330" s="572"/>
      <c r="P330" s="572"/>
      <c r="Q330" s="572"/>
      <c r="R330" s="262"/>
      <c r="S330" s="572"/>
      <c r="T330" s="348"/>
    </row>
    <row r="331" spans="1:20" s="385" customFormat="1" ht="15" customHeight="1" x14ac:dyDescent="0.25">
      <c r="A331" s="577"/>
      <c r="B331" s="579"/>
      <c r="C331" s="575"/>
      <c r="D331" s="575"/>
      <c r="E331" s="575"/>
      <c r="F331" s="584"/>
      <c r="G331" s="572" t="s">
        <v>1991</v>
      </c>
      <c r="H331" s="572" t="s">
        <v>2160</v>
      </c>
      <c r="I331" s="572" t="s">
        <v>2167</v>
      </c>
      <c r="J331" s="262"/>
      <c r="K331" s="262">
        <f>0.16*0.9</f>
        <v>0.14400000000000002</v>
      </c>
      <c r="L331" s="572"/>
      <c r="M331" s="262"/>
      <c r="N331" s="572"/>
      <c r="O331" s="572"/>
      <c r="P331" s="572"/>
      <c r="Q331" s="572"/>
      <c r="R331" s="262"/>
      <c r="S331" s="572"/>
      <c r="T331" s="348"/>
    </row>
    <row r="332" spans="1:20" s="385" customFormat="1" ht="15" customHeight="1" x14ac:dyDescent="0.25">
      <c r="A332" s="577"/>
      <c r="B332" s="579"/>
      <c r="C332" s="575"/>
      <c r="D332" s="575"/>
      <c r="E332" s="575"/>
      <c r="F332" s="584"/>
      <c r="G332" s="1097" t="s">
        <v>14933</v>
      </c>
      <c r="H332" s="1098"/>
      <c r="I332" s="1098"/>
      <c r="J332" s="1098"/>
      <c r="K332" s="1098"/>
      <c r="L332" s="1098"/>
      <c r="M332" s="1098"/>
      <c r="N332" s="572"/>
      <c r="O332" s="572"/>
      <c r="P332" s="572"/>
      <c r="Q332" s="572"/>
      <c r="R332" s="262"/>
      <c r="S332" s="572"/>
      <c r="T332" s="348"/>
    </row>
    <row r="333" spans="1:20" s="385" customFormat="1" ht="15" customHeight="1" x14ac:dyDescent="0.25">
      <c r="A333" s="577"/>
      <c r="B333" s="579"/>
      <c r="C333" s="575"/>
      <c r="D333" s="575"/>
      <c r="E333" s="575"/>
      <c r="F333" s="584"/>
      <c r="G333" s="1065" t="s">
        <v>2262</v>
      </c>
      <c r="H333" s="1065"/>
      <c r="I333" s="1065"/>
      <c r="J333" s="994">
        <f>0.164*0.9</f>
        <v>0.14760000000000001</v>
      </c>
      <c r="K333" s="995"/>
      <c r="L333" s="580"/>
      <c r="M333" s="519"/>
      <c r="N333" s="572"/>
      <c r="O333" s="572"/>
      <c r="P333" s="572"/>
      <c r="Q333" s="572"/>
      <c r="R333" s="262"/>
      <c r="S333" s="572"/>
      <c r="T333" s="348"/>
    </row>
    <row r="334" spans="1:20" s="385" customFormat="1" ht="15" customHeight="1" x14ac:dyDescent="0.25">
      <c r="A334" s="577"/>
      <c r="B334" s="579"/>
      <c r="C334" s="575"/>
      <c r="D334" s="575"/>
      <c r="E334" s="575"/>
      <c r="F334" s="584"/>
      <c r="G334" s="1097" t="s">
        <v>18518</v>
      </c>
      <c r="H334" s="1098"/>
      <c r="I334" s="1098"/>
      <c r="J334" s="1098"/>
      <c r="K334" s="1098"/>
      <c r="L334" s="1098"/>
      <c r="M334" s="1098"/>
      <c r="N334" s="350"/>
      <c r="O334" s="350"/>
      <c r="P334" s="350"/>
      <c r="Q334" s="350"/>
      <c r="R334" s="351"/>
      <c r="S334" s="350"/>
      <c r="T334" s="352"/>
    </row>
    <row r="335" spans="1:20" s="385" customFormat="1" ht="15" customHeight="1" x14ac:dyDescent="0.25">
      <c r="A335" s="577"/>
      <c r="B335" s="579"/>
      <c r="C335" s="575"/>
      <c r="D335" s="575"/>
      <c r="E335" s="575"/>
      <c r="F335" s="584"/>
      <c r="G335" s="1065" t="s">
        <v>2262</v>
      </c>
      <c r="H335" s="1065"/>
      <c r="I335" s="1065"/>
      <c r="J335" s="994">
        <f>0.338*0.9*0.6</f>
        <v>0.18252000000000002</v>
      </c>
      <c r="K335" s="995"/>
      <c r="L335" s="580"/>
      <c r="M335" s="519"/>
      <c r="N335" s="350"/>
      <c r="O335" s="350"/>
      <c r="P335" s="350"/>
      <c r="Q335" s="350"/>
      <c r="R335" s="351"/>
      <c r="S335" s="350"/>
      <c r="T335" s="352"/>
    </row>
    <row r="336" spans="1:20" ht="15" customHeight="1" thickBot="1" x14ac:dyDescent="0.3">
      <c r="A336" s="394"/>
      <c r="B336" s="399"/>
      <c r="C336" s="400"/>
      <c r="D336" s="400"/>
      <c r="E336" s="400"/>
      <c r="F336" s="401"/>
      <c r="G336" s="1096" t="s">
        <v>1199</v>
      </c>
      <c r="H336" s="1096"/>
      <c r="I336" s="1096"/>
      <c r="J336" s="544"/>
      <c r="K336" s="247">
        <f>SUM(J333:K335)</f>
        <v>0.33012000000000002</v>
      </c>
      <c r="L336" s="569">
        <v>0.92</v>
      </c>
      <c r="M336" s="247">
        <f>K336/L336</f>
        <v>0.35882608695652174</v>
      </c>
      <c r="N336" s="1096" t="s">
        <v>1199</v>
      </c>
      <c r="O336" s="1096"/>
      <c r="P336" s="1096"/>
      <c r="Q336" s="569"/>
      <c r="R336" s="247">
        <f>SUM(R317:R322,R318:R327)</f>
        <v>3.04</v>
      </c>
      <c r="S336" s="569">
        <v>0.92</v>
      </c>
      <c r="T336" s="249">
        <f>R336/S336</f>
        <v>3.3043478260869565</v>
      </c>
    </row>
    <row r="337" spans="1:20" s="385" customFormat="1" ht="15" customHeight="1" x14ac:dyDescent="0.25">
      <c r="A337" s="1111" t="str">
        <f>Итоговая!C198</f>
        <v xml:space="preserve">ПС 110/35/10 кВ Простор </v>
      </c>
      <c r="B337" s="1113">
        <f>Итоговая!D198</f>
        <v>25</v>
      </c>
      <c r="C337" s="1109" t="str">
        <f>Итоговая!E198</f>
        <v>+</v>
      </c>
      <c r="D337" s="1109">
        <f>Итоговая!F198</f>
        <v>25</v>
      </c>
      <c r="E337" s="574"/>
      <c r="F337" s="583"/>
      <c r="G337" s="1106" t="s">
        <v>1288</v>
      </c>
      <c r="H337" s="1107"/>
      <c r="I337" s="1107"/>
      <c r="J337" s="1107"/>
      <c r="K337" s="1107"/>
      <c r="L337" s="1107"/>
      <c r="M337" s="1107"/>
      <c r="N337" s="1097" t="s">
        <v>1645</v>
      </c>
      <c r="O337" s="1098"/>
      <c r="P337" s="1098"/>
      <c r="Q337" s="1098"/>
      <c r="R337" s="1098"/>
      <c r="S337" s="1098"/>
      <c r="T337" s="1098"/>
    </row>
    <row r="338" spans="1:20" s="385" customFormat="1" ht="15" customHeight="1" x14ac:dyDescent="0.25">
      <c r="A338" s="1112"/>
      <c r="B338" s="1114"/>
      <c r="C338" s="1110"/>
      <c r="D338" s="1110"/>
      <c r="E338" s="575"/>
      <c r="F338" s="584"/>
      <c r="G338" s="572" t="s">
        <v>431</v>
      </c>
      <c r="H338" s="572" t="s">
        <v>432</v>
      </c>
      <c r="I338" s="572" t="s">
        <v>433</v>
      </c>
      <c r="J338" s="262"/>
      <c r="K338" s="262">
        <v>0.22</v>
      </c>
      <c r="L338" s="572"/>
      <c r="M338" s="262"/>
      <c r="N338" s="731" t="s">
        <v>1735</v>
      </c>
      <c r="O338" s="731" t="s">
        <v>1773</v>
      </c>
      <c r="P338" s="731" t="s">
        <v>1774</v>
      </c>
      <c r="Q338" s="262"/>
      <c r="R338" s="262">
        <f>0.715-0.5</f>
        <v>0.21499999999999997</v>
      </c>
      <c r="S338" s="731"/>
      <c r="T338" s="262"/>
    </row>
    <row r="339" spans="1:20" s="385" customFormat="1" ht="15" customHeight="1" x14ac:dyDescent="0.25">
      <c r="A339" s="1112"/>
      <c r="B339" s="1114"/>
      <c r="C339" s="1110"/>
      <c r="D339" s="1110"/>
      <c r="E339" s="575"/>
      <c r="F339" s="584"/>
      <c r="G339" s="1097" t="s">
        <v>1287</v>
      </c>
      <c r="H339" s="1098"/>
      <c r="I339" s="1098"/>
      <c r="J339" s="1098"/>
      <c r="K339" s="1098"/>
      <c r="L339" s="1098"/>
      <c r="M339" s="1098"/>
      <c r="N339" s="1097" t="s">
        <v>14933</v>
      </c>
      <c r="O339" s="1098"/>
      <c r="P339" s="1098"/>
      <c r="Q339" s="1098"/>
      <c r="R339" s="1098"/>
      <c r="S339" s="1098"/>
      <c r="T339" s="1098"/>
    </row>
    <row r="340" spans="1:20" s="385" customFormat="1" ht="15" customHeight="1" x14ac:dyDescent="0.25">
      <c r="A340" s="1112"/>
      <c r="B340" s="1114"/>
      <c r="C340" s="1110"/>
      <c r="D340" s="1110"/>
      <c r="E340" s="575"/>
      <c r="F340" s="584"/>
      <c r="G340" s="572" t="s">
        <v>420</v>
      </c>
      <c r="H340" s="572" t="s">
        <v>428</v>
      </c>
      <c r="I340" s="572" t="s">
        <v>429</v>
      </c>
      <c r="J340" s="262"/>
      <c r="K340" s="262">
        <v>7.0000000000000007E-2</v>
      </c>
      <c r="L340" s="572"/>
      <c r="M340" s="262"/>
      <c r="N340" s="731" t="s">
        <v>1826</v>
      </c>
      <c r="O340" s="731" t="s">
        <v>1827</v>
      </c>
      <c r="P340" s="731" t="s">
        <v>17449</v>
      </c>
      <c r="Q340" s="731"/>
      <c r="R340" s="262">
        <v>0.3</v>
      </c>
      <c r="S340" s="731"/>
      <c r="T340" s="348"/>
    </row>
    <row r="341" spans="1:20" s="385" customFormat="1" ht="15" customHeight="1" x14ac:dyDescent="0.25">
      <c r="A341" s="1112"/>
      <c r="B341" s="1114"/>
      <c r="C341" s="1110"/>
      <c r="D341" s="1110"/>
      <c r="E341" s="575"/>
      <c r="F341" s="584"/>
      <c r="G341" s="572" t="s">
        <v>425</v>
      </c>
      <c r="H341" s="572" t="s">
        <v>426</v>
      </c>
      <c r="I341" s="572" t="s">
        <v>427</v>
      </c>
      <c r="J341" s="262"/>
      <c r="K341" s="262">
        <v>0.03</v>
      </c>
      <c r="L341" s="572"/>
      <c r="M341" s="262"/>
      <c r="N341" s="731" t="s">
        <v>17272</v>
      </c>
      <c r="O341" s="731" t="s">
        <v>17273</v>
      </c>
      <c r="P341" s="731" t="s">
        <v>17274</v>
      </c>
      <c r="Q341" s="262"/>
      <c r="R341" s="262">
        <f>0.42</f>
        <v>0.42</v>
      </c>
      <c r="S341" s="731"/>
      <c r="T341" s="262"/>
    </row>
    <row r="342" spans="1:20" s="385" customFormat="1" ht="15" customHeight="1" x14ac:dyDescent="0.25">
      <c r="A342" s="577"/>
      <c r="B342" s="579"/>
      <c r="C342" s="575"/>
      <c r="D342" s="575"/>
      <c r="E342" s="575"/>
      <c r="F342" s="584"/>
      <c r="G342" s="572" t="s">
        <v>434</v>
      </c>
      <c r="H342" s="572" t="s">
        <v>430</v>
      </c>
      <c r="I342" s="572" t="s">
        <v>435</v>
      </c>
      <c r="J342" s="262"/>
      <c r="K342" s="262">
        <v>0.03</v>
      </c>
      <c r="L342" s="572"/>
      <c r="M342" s="262"/>
      <c r="N342" s="572"/>
      <c r="O342" s="572"/>
      <c r="P342" s="572"/>
      <c r="Q342" s="572"/>
      <c r="R342" s="262"/>
      <c r="S342" s="572"/>
      <c r="T342" s="348"/>
    </row>
    <row r="343" spans="1:20" s="385" customFormat="1" ht="15" customHeight="1" x14ac:dyDescent="0.25">
      <c r="A343" s="577"/>
      <c r="B343" s="579"/>
      <c r="C343" s="575"/>
      <c r="D343" s="575"/>
      <c r="E343" s="575"/>
      <c r="F343" s="584"/>
      <c r="G343" s="1097" t="s">
        <v>1286</v>
      </c>
      <c r="H343" s="1098"/>
      <c r="I343" s="1098"/>
      <c r="J343" s="1098"/>
      <c r="K343" s="1098"/>
      <c r="L343" s="1098"/>
      <c r="M343" s="1098"/>
      <c r="N343" s="378"/>
      <c r="O343" s="378"/>
      <c r="P343" s="378"/>
      <c r="Q343" s="378"/>
      <c r="R343" s="378"/>
      <c r="S343" s="378"/>
      <c r="T343" s="378"/>
    </row>
    <row r="344" spans="1:20" s="385" customFormat="1" ht="15" customHeight="1" x14ac:dyDescent="0.25">
      <c r="A344" s="577"/>
      <c r="B344" s="579"/>
      <c r="C344" s="575"/>
      <c r="D344" s="575"/>
      <c r="E344" s="575"/>
      <c r="F344" s="584"/>
      <c r="G344" s="572" t="s">
        <v>436</v>
      </c>
      <c r="H344" s="572" t="s">
        <v>437</v>
      </c>
      <c r="I344" s="572" t="s">
        <v>438</v>
      </c>
      <c r="J344" s="262"/>
      <c r="K344" s="262">
        <v>3.5999999999999997E-2</v>
      </c>
      <c r="L344" s="572"/>
      <c r="M344" s="262"/>
      <c r="N344" s="572"/>
      <c r="O344" s="572"/>
      <c r="P344" s="572"/>
      <c r="Q344" s="572"/>
      <c r="R344" s="262"/>
      <c r="S344" s="572"/>
      <c r="T344" s="348"/>
    </row>
    <row r="345" spans="1:20" s="385" customFormat="1" ht="15" customHeight="1" x14ac:dyDescent="0.25">
      <c r="A345" s="577"/>
      <c r="B345" s="579"/>
      <c r="C345" s="575"/>
      <c r="D345" s="575"/>
      <c r="E345" s="575"/>
      <c r="F345" s="584"/>
      <c r="G345" s="1097" t="s">
        <v>2290</v>
      </c>
      <c r="H345" s="1098"/>
      <c r="I345" s="1098"/>
      <c r="J345" s="1098"/>
      <c r="K345" s="1098"/>
      <c r="L345" s="1098"/>
      <c r="M345" s="1098"/>
      <c r="N345" s="572"/>
      <c r="O345" s="572"/>
      <c r="P345" s="572"/>
      <c r="Q345" s="572"/>
      <c r="R345" s="262"/>
      <c r="S345" s="572"/>
      <c r="T345" s="348"/>
    </row>
    <row r="346" spans="1:20" s="385" customFormat="1" ht="15" customHeight="1" x14ac:dyDescent="0.25">
      <c r="A346" s="577"/>
      <c r="B346" s="579"/>
      <c r="C346" s="575"/>
      <c r="D346" s="575"/>
      <c r="E346" s="575"/>
      <c r="F346" s="584"/>
      <c r="G346" s="572" t="s">
        <v>2126</v>
      </c>
      <c r="H346" s="572" t="s">
        <v>2127</v>
      </c>
      <c r="I346" s="572" t="s">
        <v>13388</v>
      </c>
      <c r="J346" s="262"/>
      <c r="K346" s="262">
        <f>2.324*0.75</f>
        <v>1.7429999999999999</v>
      </c>
      <c r="L346" s="572"/>
      <c r="M346" s="262"/>
      <c r="N346" s="572"/>
      <c r="O346" s="572"/>
      <c r="P346" s="572"/>
      <c r="Q346" s="572"/>
      <c r="R346" s="262"/>
      <c r="S346" s="572"/>
      <c r="T346" s="348"/>
    </row>
    <row r="347" spans="1:20" s="385" customFormat="1" ht="15" customHeight="1" x14ac:dyDescent="0.25">
      <c r="A347" s="577"/>
      <c r="B347" s="579"/>
      <c r="C347" s="575"/>
      <c r="D347" s="575"/>
      <c r="E347" s="575"/>
      <c r="F347" s="584"/>
      <c r="G347" s="572" t="s">
        <v>13397</v>
      </c>
      <c r="H347" s="572" t="s">
        <v>13398</v>
      </c>
      <c r="I347" s="572" t="s">
        <v>14953</v>
      </c>
      <c r="J347" s="262"/>
      <c r="K347" s="262">
        <f>0.12*0.9</f>
        <v>0.108</v>
      </c>
      <c r="L347" s="572"/>
      <c r="M347" s="262"/>
      <c r="N347" s="572"/>
      <c r="O347" s="572"/>
      <c r="P347" s="572"/>
      <c r="Q347" s="572"/>
      <c r="R347" s="262"/>
      <c r="S347" s="572"/>
      <c r="T347" s="348"/>
    </row>
    <row r="348" spans="1:20" s="385" customFormat="1" ht="15" customHeight="1" x14ac:dyDescent="0.25">
      <c r="A348" s="577"/>
      <c r="B348" s="579"/>
      <c r="C348" s="575"/>
      <c r="D348" s="575"/>
      <c r="E348" s="575"/>
      <c r="F348" s="584"/>
      <c r="G348" s="1097" t="s">
        <v>18518</v>
      </c>
      <c r="H348" s="1098"/>
      <c r="I348" s="1098"/>
      <c r="J348" s="1098"/>
      <c r="K348" s="1098"/>
      <c r="L348" s="1098"/>
      <c r="M348" s="1098"/>
      <c r="N348" s="350"/>
      <c r="O348" s="350"/>
      <c r="P348" s="350"/>
      <c r="Q348" s="350"/>
      <c r="R348" s="351"/>
      <c r="S348" s="350"/>
      <c r="T348" s="352"/>
    </row>
    <row r="349" spans="1:20" s="385" customFormat="1" ht="15" customHeight="1" x14ac:dyDescent="0.25">
      <c r="A349" s="577"/>
      <c r="B349" s="579"/>
      <c r="C349" s="575"/>
      <c r="D349" s="575"/>
      <c r="E349" s="575"/>
      <c r="F349" s="584"/>
      <c r="G349" s="1065" t="s">
        <v>2262</v>
      </c>
      <c r="H349" s="1065"/>
      <c r="I349" s="1065"/>
      <c r="J349" s="994">
        <f>0.098*0.9*0.6</f>
        <v>5.2920000000000002E-2</v>
      </c>
      <c r="K349" s="995"/>
      <c r="L349" s="580"/>
      <c r="M349" s="519"/>
      <c r="N349" s="350"/>
      <c r="O349" s="350"/>
      <c r="P349" s="350"/>
      <c r="Q349" s="350"/>
      <c r="R349" s="351"/>
      <c r="S349" s="350"/>
      <c r="T349" s="352"/>
    </row>
    <row r="350" spans="1:20" ht="15" customHeight="1" thickBot="1" x14ac:dyDescent="0.3">
      <c r="A350" s="394"/>
      <c r="B350" s="399"/>
      <c r="C350" s="400"/>
      <c r="D350" s="400"/>
      <c r="E350" s="400"/>
      <c r="F350" s="401"/>
      <c r="G350" s="1096" t="s">
        <v>1199</v>
      </c>
      <c r="H350" s="1096"/>
      <c r="I350" s="1096"/>
      <c r="J350" s="544"/>
      <c r="K350" s="247">
        <f>SUM(J349)</f>
        <v>5.2920000000000002E-2</v>
      </c>
      <c r="L350" s="569">
        <v>0.92</v>
      </c>
      <c r="M350" s="247">
        <f>K350/L350</f>
        <v>5.7521739130434783E-2</v>
      </c>
      <c r="N350" s="1096" t="s">
        <v>1199</v>
      </c>
      <c r="O350" s="1096"/>
      <c r="P350" s="1096"/>
      <c r="Q350" s="569"/>
      <c r="R350" s="247">
        <f>SUM(R338:R347)</f>
        <v>0.93499999999999983</v>
      </c>
      <c r="S350" s="569">
        <v>0.92</v>
      </c>
      <c r="T350" s="249">
        <f>R350/S350</f>
        <v>1.0163043478260867</v>
      </c>
    </row>
    <row r="351" spans="1:20" s="385" customFormat="1" ht="15" customHeight="1" x14ac:dyDescent="0.25">
      <c r="A351" s="1111" t="str">
        <f>Итоговая!C201</f>
        <v xml:space="preserve">ПС 110/35/10 кВ  Радуга </v>
      </c>
      <c r="B351" s="1113">
        <f>Итоговая!D201</f>
        <v>40</v>
      </c>
      <c r="C351" s="1109" t="str">
        <f>Итоговая!E201</f>
        <v>+</v>
      </c>
      <c r="D351" s="1109">
        <f>Итоговая!F201</f>
        <v>25</v>
      </c>
      <c r="E351" s="574"/>
      <c r="F351" s="583"/>
      <c r="G351" s="1106" t="s">
        <v>1288</v>
      </c>
      <c r="H351" s="1107"/>
      <c r="I351" s="1107"/>
      <c r="J351" s="1107"/>
      <c r="K351" s="1107"/>
      <c r="L351" s="1107"/>
      <c r="M351" s="1107"/>
      <c r="N351" s="1106" t="s">
        <v>14933</v>
      </c>
      <c r="O351" s="1107"/>
      <c r="P351" s="1107"/>
      <c r="Q351" s="1107"/>
      <c r="R351" s="1107"/>
      <c r="S351" s="1107"/>
      <c r="T351" s="1122"/>
    </row>
    <row r="352" spans="1:20" s="385" customFormat="1" ht="15" customHeight="1" x14ac:dyDescent="0.25">
      <c r="A352" s="1112"/>
      <c r="B352" s="1114"/>
      <c r="C352" s="1110"/>
      <c r="D352" s="1110"/>
      <c r="E352" s="575"/>
      <c r="F352" s="584"/>
      <c r="G352" s="572" t="s">
        <v>378</v>
      </c>
      <c r="H352" s="572" t="s">
        <v>379</v>
      </c>
      <c r="I352" s="572" t="s">
        <v>380</v>
      </c>
      <c r="J352" s="262"/>
      <c r="K352" s="262">
        <v>3.5000000000000003E-2</v>
      </c>
      <c r="L352" s="572"/>
      <c r="M352" s="262"/>
      <c r="N352" s="572" t="s">
        <v>2080</v>
      </c>
      <c r="O352" s="572" t="s">
        <v>2081</v>
      </c>
      <c r="P352" s="380" t="s">
        <v>17443</v>
      </c>
      <c r="Q352" s="380"/>
      <c r="R352" s="262">
        <f>0.05*0.9</f>
        <v>4.5000000000000005E-2</v>
      </c>
      <c r="S352" s="572"/>
      <c r="T352" s="348"/>
    </row>
    <row r="353" spans="1:20" s="385" customFormat="1" ht="15" customHeight="1" x14ac:dyDescent="0.25">
      <c r="A353" s="577"/>
      <c r="B353" s="579"/>
      <c r="C353" s="575"/>
      <c r="D353" s="575"/>
      <c r="E353" s="575"/>
      <c r="F353" s="584"/>
      <c r="G353" s="356" t="s">
        <v>384</v>
      </c>
      <c r="H353" s="356" t="s">
        <v>385</v>
      </c>
      <c r="I353" s="572" t="s">
        <v>386</v>
      </c>
      <c r="J353" s="262"/>
      <c r="K353" s="357">
        <v>6.5000000000000002E-2</v>
      </c>
      <c r="L353" s="572"/>
      <c r="M353" s="262"/>
      <c r="N353" s="356"/>
      <c r="O353" s="356"/>
      <c r="P353" s="572"/>
      <c r="Q353" s="572"/>
      <c r="R353" s="357"/>
      <c r="S353" s="572"/>
      <c r="T353" s="348"/>
    </row>
    <row r="354" spans="1:20" s="385" customFormat="1" ht="15" customHeight="1" x14ac:dyDescent="0.25">
      <c r="A354" s="577"/>
      <c r="B354" s="579"/>
      <c r="C354" s="575"/>
      <c r="D354" s="575"/>
      <c r="E354" s="575"/>
      <c r="F354" s="584"/>
      <c r="G354" s="1097" t="s">
        <v>1286</v>
      </c>
      <c r="H354" s="1098"/>
      <c r="I354" s="1098"/>
      <c r="J354" s="1098"/>
      <c r="K354" s="1098"/>
      <c r="L354" s="1098"/>
      <c r="M354" s="1098"/>
      <c r="N354" s="1115"/>
      <c r="O354" s="1115"/>
      <c r="P354" s="1115"/>
      <c r="Q354" s="1115"/>
      <c r="R354" s="1115"/>
      <c r="S354" s="1115"/>
      <c r="T354" s="1123"/>
    </row>
    <row r="355" spans="1:20" s="385" customFormat="1" ht="15" customHeight="1" x14ac:dyDescent="0.25">
      <c r="A355" s="577"/>
      <c r="B355" s="579"/>
      <c r="C355" s="575"/>
      <c r="D355" s="575"/>
      <c r="E355" s="575"/>
      <c r="F355" s="584"/>
      <c r="G355" s="572" t="s">
        <v>381</v>
      </c>
      <c r="H355" s="572" t="s">
        <v>382</v>
      </c>
      <c r="I355" s="572" t="s">
        <v>383</v>
      </c>
      <c r="J355" s="262"/>
      <c r="K355" s="262">
        <v>0.04</v>
      </c>
      <c r="L355" s="572"/>
      <c r="M355" s="262"/>
      <c r="N355" s="572"/>
      <c r="O355" s="572"/>
      <c r="P355" s="572"/>
      <c r="Q355" s="572"/>
      <c r="R355" s="262"/>
      <c r="S355" s="572"/>
      <c r="T355" s="348"/>
    </row>
    <row r="356" spans="1:20" s="385" customFormat="1" ht="15" customHeight="1" x14ac:dyDescent="0.25">
      <c r="A356" s="577"/>
      <c r="B356" s="579"/>
      <c r="C356" s="575"/>
      <c r="D356" s="575"/>
      <c r="E356" s="575"/>
      <c r="F356" s="584"/>
      <c r="G356" s="572" t="s">
        <v>389</v>
      </c>
      <c r="H356" s="572" t="s">
        <v>390</v>
      </c>
      <c r="I356" s="572" t="s">
        <v>391</v>
      </c>
      <c r="J356" s="262"/>
      <c r="K356" s="262">
        <v>0.35</v>
      </c>
      <c r="L356" s="572"/>
      <c r="M356" s="262"/>
      <c r="N356" s="572"/>
      <c r="O356" s="572"/>
      <c r="P356" s="572"/>
      <c r="Q356" s="572"/>
      <c r="R356" s="262"/>
      <c r="S356" s="572"/>
      <c r="T356" s="348"/>
    </row>
    <row r="357" spans="1:20" s="385" customFormat="1" ht="15" customHeight="1" x14ac:dyDescent="0.25">
      <c r="A357" s="577"/>
      <c r="B357" s="579"/>
      <c r="C357" s="575"/>
      <c r="D357" s="575"/>
      <c r="E357" s="575"/>
      <c r="F357" s="584"/>
      <c r="G357" s="572" t="s">
        <v>392</v>
      </c>
      <c r="H357" s="572" t="s">
        <v>393</v>
      </c>
      <c r="I357" s="572" t="s">
        <v>383</v>
      </c>
      <c r="J357" s="262"/>
      <c r="K357" s="262">
        <v>0.04</v>
      </c>
      <c r="L357" s="572"/>
      <c r="M357" s="262"/>
      <c r="N357" s="572"/>
      <c r="O357" s="572"/>
      <c r="P357" s="572"/>
      <c r="Q357" s="572"/>
      <c r="R357" s="262"/>
      <c r="S357" s="572"/>
      <c r="T357" s="348"/>
    </row>
    <row r="358" spans="1:20" s="385" customFormat="1" ht="15" customHeight="1" x14ac:dyDescent="0.25">
      <c r="A358" s="577"/>
      <c r="B358" s="579"/>
      <c r="C358" s="575"/>
      <c r="D358" s="575"/>
      <c r="E358" s="575"/>
      <c r="F358" s="584"/>
      <c r="G358" s="572" t="s">
        <v>387</v>
      </c>
      <c r="H358" s="572" t="s">
        <v>388</v>
      </c>
      <c r="I358" s="572" t="s">
        <v>1535</v>
      </c>
      <c r="J358" s="262"/>
      <c r="K358" s="262">
        <v>0.6</v>
      </c>
      <c r="L358" s="572"/>
      <c r="M358" s="262"/>
      <c r="N358" s="572"/>
      <c r="O358" s="572"/>
      <c r="P358" s="572"/>
      <c r="Q358" s="572"/>
      <c r="R358" s="262"/>
      <c r="S358" s="572"/>
      <c r="T358" s="348"/>
    </row>
    <row r="359" spans="1:20" s="385" customFormat="1" ht="15" customHeight="1" x14ac:dyDescent="0.25">
      <c r="A359" s="577"/>
      <c r="B359" s="579"/>
      <c r="C359" s="575"/>
      <c r="D359" s="575"/>
      <c r="E359" s="575"/>
      <c r="F359" s="584"/>
      <c r="G359" s="1097" t="s">
        <v>1645</v>
      </c>
      <c r="H359" s="1098"/>
      <c r="I359" s="1098"/>
      <c r="J359" s="1098"/>
      <c r="K359" s="1098"/>
      <c r="L359" s="1098"/>
      <c r="M359" s="1098"/>
      <c r="N359" s="572"/>
      <c r="O359" s="572"/>
      <c r="P359" s="381"/>
      <c r="Q359" s="381"/>
      <c r="R359" s="262"/>
      <c r="S359" s="572"/>
      <c r="T359" s="348"/>
    </row>
    <row r="360" spans="1:20" s="385" customFormat="1" ht="15" customHeight="1" x14ac:dyDescent="0.25">
      <c r="A360" s="577"/>
      <c r="B360" s="579"/>
      <c r="C360" s="575"/>
      <c r="D360" s="575"/>
      <c r="E360" s="575"/>
      <c r="F360" s="584"/>
      <c r="G360" s="572" t="s">
        <v>1839</v>
      </c>
      <c r="H360" s="572" t="s">
        <v>1840</v>
      </c>
      <c r="I360" s="380" t="s">
        <v>1871</v>
      </c>
      <c r="J360" s="415"/>
      <c r="K360" s="262">
        <v>0.1</v>
      </c>
      <c r="L360" s="572"/>
      <c r="M360" s="262"/>
      <c r="N360" s="572"/>
      <c r="O360" s="572"/>
      <c r="P360" s="381"/>
      <c r="Q360" s="381"/>
      <c r="R360" s="262"/>
      <c r="S360" s="572"/>
      <c r="T360" s="348"/>
    </row>
    <row r="361" spans="1:20" s="385" customFormat="1" ht="15" customHeight="1" x14ac:dyDescent="0.25">
      <c r="A361" s="577"/>
      <c r="B361" s="579"/>
      <c r="C361" s="575"/>
      <c r="D361" s="575"/>
      <c r="E361" s="575"/>
      <c r="F361" s="584"/>
      <c r="G361" s="1097" t="s">
        <v>2290</v>
      </c>
      <c r="H361" s="1098"/>
      <c r="I361" s="1098"/>
      <c r="J361" s="1098"/>
      <c r="K361" s="1098"/>
      <c r="L361" s="1098"/>
      <c r="M361" s="1098"/>
      <c r="N361" s="572"/>
      <c r="O361" s="572"/>
      <c r="P361" s="381"/>
      <c r="Q361" s="381"/>
      <c r="R361" s="262"/>
      <c r="S361" s="572"/>
      <c r="T361" s="348"/>
    </row>
    <row r="362" spans="1:20" s="385" customFormat="1" ht="15" customHeight="1" x14ac:dyDescent="0.25">
      <c r="A362" s="577"/>
      <c r="B362" s="579"/>
      <c r="C362" s="575"/>
      <c r="D362" s="575"/>
      <c r="E362" s="575"/>
      <c r="F362" s="584"/>
      <c r="G362" s="572" t="s">
        <v>2179</v>
      </c>
      <c r="H362" s="572" t="s">
        <v>14975</v>
      </c>
      <c r="I362" s="380" t="s">
        <v>13380</v>
      </c>
      <c r="J362" s="416"/>
      <c r="K362" s="262">
        <f>0.6*0.9</f>
        <v>0.54</v>
      </c>
      <c r="L362" s="572"/>
      <c r="M362" s="262"/>
      <c r="N362" s="572"/>
      <c r="O362" s="572"/>
      <c r="P362" s="381"/>
      <c r="Q362" s="381"/>
      <c r="R362" s="262"/>
      <c r="S362" s="572"/>
      <c r="T362" s="348"/>
    </row>
    <row r="363" spans="1:20" s="385" customFormat="1" ht="15" customHeight="1" x14ac:dyDescent="0.25">
      <c r="A363" s="577"/>
      <c r="B363" s="579"/>
      <c r="C363" s="575"/>
      <c r="D363" s="575"/>
      <c r="E363" s="575"/>
      <c r="F363" s="584"/>
      <c r="G363" s="572" t="s">
        <v>2397</v>
      </c>
      <c r="H363" s="572" t="s">
        <v>2398</v>
      </c>
      <c r="I363" s="380" t="s">
        <v>13389</v>
      </c>
      <c r="J363" s="416"/>
      <c r="K363" s="262">
        <f>0.5*0.9</f>
        <v>0.45</v>
      </c>
      <c r="L363" s="572"/>
      <c r="M363" s="262"/>
      <c r="N363" s="572"/>
      <c r="O363" s="572"/>
      <c r="P363" s="381"/>
      <c r="Q363" s="381"/>
      <c r="R363" s="262"/>
      <c r="S363" s="572"/>
      <c r="T363" s="348"/>
    </row>
    <row r="364" spans="1:20" s="385" customFormat="1" ht="15" customHeight="1" x14ac:dyDescent="0.25">
      <c r="A364" s="577"/>
      <c r="B364" s="579"/>
      <c r="C364" s="575"/>
      <c r="D364" s="575"/>
      <c r="E364" s="575"/>
      <c r="F364" s="584"/>
      <c r="G364" s="1097" t="s">
        <v>14933</v>
      </c>
      <c r="H364" s="1098"/>
      <c r="I364" s="1098"/>
      <c r="J364" s="1098"/>
      <c r="K364" s="1098"/>
      <c r="L364" s="1098"/>
      <c r="M364" s="1098"/>
      <c r="N364" s="572"/>
      <c r="O364" s="572"/>
      <c r="P364" s="381"/>
      <c r="Q364" s="381"/>
      <c r="R364" s="262"/>
      <c r="S364" s="572"/>
      <c r="T364" s="348"/>
    </row>
    <row r="365" spans="1:20" s="385" customFormat="1" ht="15" customHeight="1" x14ac:dyDescent="0.25">
      <c r="A365" s="577"/>
      <c r="B365" s="579"/>
      <c r="C365" s="575"/>
      <c r="D365" s="575"/>
      <c r="E365" s="575"/>
      <c r="F365" s="584"/>
      <c r="G365" s="572" t="s">
        <v>14995</v>
      </c>
      <c r="H365" s="572" t="s">
        <v>14996</v>
      </c>
      <c r="I365" s="380" t="s">
        <v>14997</v>
      </c>
      <c r="J365" s="416"/>
      <c r="K365" s="262">
        <f>0.3*0.75</f>
        <v>0.22499999999999998</v>
      </c>
      <c r="L365" s="572"/>
      <c r="M365" s="262"/>
      <c r="N365" s="572"/>
      <c r="O365" s="572"/>
      <c r="P365" s="381"/>
      <c r="Q365" s="381"/>
      <c r="R365" s="262"/>
      <c r="S365" s="572"/>
      <c r="T365" s="348"/>
    </row>
    <row r="366" spans="1:20" s="385" customFormat="1" ht="15" customHeight="1" x14ac:dyDescent="0.25">
      <c r="A366" s="577"/>
      <c r="B366" s="579"/>
      <c r="C366" s="575"/>
      <c r="D366" s="575"/>
      <c r="E366" s="575"/>
      <c r="F366" s="584"/>
      <c r="G366" s="572" t="s">
        <v>17557</v>
      </c>
      <c r="H366" s="572" t="s">
        <v>17558</v>
      </c>
      <c r="I366" s="380" t="s">
        <v>17559</v>
      </c>
      <c r="J366" s="416"/>
      <c r="K366" s="262">
        <f>(0.05-0.0145)*0.9</f>
        <v>3.1950000000000006E-2</v>
      </c>
      <c r="L366" s="572"/>
      <c r="M366" s="262"/>
      <c r="N366" s="572"/>
      <c r="O366" s="572"/>
      <c r="P366" s="381"/>
      <c r="Q366" s="381"/>
      <c r="R366" s="262"/>
      <c r="S366" s="572"/>
      <c r="T366" s="348"/>
    </row>
    <row r="367" spans="1:20" s="385" customFormat="1" ht="15" customHeight="1" x14ac:dyDescent="0.25">
      <c r="A367" s="577"/>
      <c r="B367" s="579"/>
      <c r="C367" s="575"/>
      <c r="D367" s="575"/>
      <c r="E367" s="575"/>
      <c r="F367" s="584"/>
      <c r="G367" s="1065" t="s">
        <v>2262</v>
      </c>
      <c r="H367" s="1065"/>
      <c r="I367" s="1065"/>
      <c r="J367" s="994">
        <f>0.953*0.9*0.6</f>
        <v>0.51461999999999997</v>
      </c>
      <c r="K367" s="995"/>
      <c r="L367" s="572"/>
      <c r="M367" s="262"/>
      <c r="N367" s="572"/>
      <c r="O367" s="572"/>
      <c r="P367" s="381"/>
      <c r="Q367" s="381"/>
      <c r="R367" s="262"/>
      <c r="S367" s="572"/>
      <c r="T367" s="348"/>
    </row>
    <row r="368" spans="1:20" s="385" customFormat="1" ht="15" customHeight="1" x14ac:dyDescent="0.25">
      <c r="A368" s="577"/>
      <c r="B368" s="579"/>
      <c r="C368" s="575"/>
      <c r="D368" s="575"/>
      <c r="E368" s="575"/>
      <c r="F368" s="584"/>
      <c r="G368" s="1097" t="s">
        <v>18518</v>
      </c>
      <c r="H368" s="1098"/>
      <c r="I368" s="1098"/>
      <c r="J368" s="1098"/>
      <c r="K368" s="1098"/>
      <c r="L368" s="1098"/>
      <c r="M368" s="1098"/>
      <c r="N368" s="350"/>
      <c r="O368" s="350"/>
      <c r="P368" s="382"/>
      <c r="Q368" s="382"/>
      <c r="R368" s="351"/>
      <c r="S368" s="350"/>
      <c r="T368" s="352"/>
    </row>
    <row r="369" spans="1:20" s="385" customFormat="1" ht="15" customHeight="1" x14ac:dyDescent="0.25">
      <c r="A369" s="577"/>
      <c r="B369" s="579"/>
      <c r="C369" s="575"/>
      <c r="D369" s="575"/>
      <c r="E369" s="575"/>
      <c r="F369" s="584"/>
      <c r="G369" s="360" t="s">
        <v>19681</v>
      </c>
      <c r="H369" s="360" t="s">
        <v>19682</v>
      </c>
      <c r="I369" s="417" t="s">
        <v>19683</v>
      </c>
      <c r="J369" s="418"/>
      <c r="K369" s="361">
        <f>0.2*0.9</f>
        <v>0.18000000000000002</v>
      </c>
      <c r="L369" s="350"/>
      <c r="M369" s="351"/>
      <c r="N369" s="350"/>
      <c r="O369" s="350"/>
      <c r="P369" s="382"/>
      <c r="Q369" s="382"/>
      <c r="R369" s="351"/>
      <c r="S369" s="350"/>
      <c r="T369" s="352"/>
    </row>
    <row r="370" spans="1:20" s="385" customFormat="1" ht="15" customHeight="1" x14ac:dyDescent="0.25">
      <c r="A370" s="577"/>
      <c r="B370" s="579"/>
      <c r="C370" s="575"/>
      <c r="D370" s="575"/>
      <c r="E370" s="575"/>
      <c r="F370" s="584"/>
      <c r="G370" s="360" t="s">
        <v>19684</v>
      </c>
      <c r="H370" s="360"/>
      <c r="I370" s="417" t="s">
        <v>19685</v>
      </c>
      <c r="J370" s="418"/>
      <c r="K370" s="361">
        <f>0.3*0.15</f>
        <v>4.4999999999999998E-2</v>
      </c>
      <c r="L370" s="350"/>
      <c r="M370" s="351"/>
      <c r="N370" s="350"/>
      <c r="O370" s="350"/>
      <c r="P370" s="382"/>
      <c r="Q370" s="382"/>
      <c r="R370" s="351"/>
      <c r="S370" s="350"/>
      <c r="T370" s="352"/>
    </row>
    <row r="371" spans="1:20" s="385" customFormat="1" ht="15" customHeight="1" x14ac:dyDescent="0.25">
      <c r="A371" s="577"/>
      <c r="B371" s="579"/>
      <c r="C371" s="575"/>
      <c r="D371" s="575"/>
      <c r="E371" s="575"/>
      <c r="F371" s="584"/>
      <c r="G371" s="360" t="s">
        <v>19242</v>
      </c>
      <c r="H371" s="360" t="s">
        <v>19243</v>
      </c>
      <c r="I371" s="417" t="s">
        <v>19686</v>
      </c>
      <c r="J371" s="418">
        <f>0.32*0.9</f>
        <v>0.28800000000000003</v>
      </c>
      <c r="K371" s="361"/>
      <c r="L371" s="350"/>
      <c r="M371" s="351"/>
      <c r="N371" s="350"/>
      <c r="O371" s="350"/>
      <c r="P371" s="382"/>
      <c r="Q371" s="382"/>
      <c r="R371" s="351"/>
      <c r="S371" s="350"/>
      <c r="T371" s="352"/>
    </row>
    <row r="372" spans="1:20" s="385" customFormat="1" ht="15" customHeight="1" x14ac:dyDescent="0.25">
      <c r="A372" s="577"/>
      <c r="B372" s="579"/>
      <c r="C372" s="575"/>
      <c r="D372" s="575"/>
      <c r="E372" s="575"/>
      <c r="F372" s="584"/>
      <c r="G372" s="1065" t="s">
        <v>2262</v>
      </c>
      <c r="H372" s="1065"/>
      <c r="I372" s="1065"/>
      <c r="J372" s="994">
        <f>2.382*0.9*0.6</f>
        <v>1.2862800000000001</v>
      </c>
      <c r="K372" s="995"/>
      <c r="L372" s="350"/>
      <c r="M372" s="351"/>
      <c r="N372" s="350"/>
      <c r="O372" s="350"/>
      <c r="P372" s="382"/>
      <c r="Q372" s="382"/>
      <c r="R372" s="351"/>
      <c r="S372" s="350"/>
      <c r="T372" s="352"/>
    </row>
    <row r="373" spans="1:20" s="385" customFormat="1" ht="15" customHeight="1" x14ac:dyDescent="0.25">
      <c r="A373" s="777"/>
      <c r="B373" s="778"/>
      <c r="C373" s="779"/>
      <c r="D373" s="779"/>
      <c r="E373" s="779"/>
      <c r="F373" s="783"/>
      <c r="G373" s="1097" t="s">
        <v>19719</v>
      </c>
      <c r="H373" s="1098"/>
      <c r="I373" s="1098"/>
      <c r="J373" s="1098"/>
      <c r="K373" s="1098"/>
      <c r="L373" s="1098"/>
      <c r="M373" s="1098"/>
      <c r="N373" s="350"/>
      <c r="O373" s="350"/>
      <c r="P373" s="382"/>
      <c r="Q373" s="382"/>
      <c r="R373" s="351"/>
      <c r="S373" s="350"/>
      <c r="T373" s="352"/>
    </row>
    <row r="374" spans="1:20" s="385" customFormat="1" ht="15" customHeight="1" x14ac:dyDescent="0.25">
      <c r="A374" s="777"/>
      <c r="B374" s="778"/>
      <c r="C374" s="779"/>
      <c r="D374" s="779"/>
      <c r="E374" s="779"/>
      <c r="F374" s="783"/>
      <c r="G374" s="780" t="s">
        <v>19755</v>
      </c>
      <c r="H374" s="780" t="s">
        <v>19756</v>
      </c>
      <c r="I374" s="780" t="s">
        <v>19757</v>
      </c>
      <c r="J374" s="519">
        <f>0.03*0.9</f>
        <v>2.7E-2</v>
      </c>
      <c r="K374" s="519"/>
      <c r="L374" s="350"/>
      <c r="M374" s="351"/>
      <c r="N374" s="350"/>
      <c r="O374" s="350"/>
      <c r="P374" s="382"/>
      <c r="Q374" s="382"/>
      <c r="R374" s="351"/>
      <c r="S374" s="350"/>
      <c r="T374" s="352"/>
    </row>
    <row r="375" spans="1:20" ht="15" customHeight="1" thickBot="1" x14ac:dyDescent="0.3">
      <c r="A375" s="394"/>
      <c r="B375" s="399"/>
      <c r="C375" s="400"/>
      <c r="D375" s="400"/>
      <c r="E375" s="400"/>
      <c r="F375" s="401"/>
      <c r="G375" s="1096" t="s">
        <v>1199</v>
      </c>
      <c r="H375" s="1096"/>
      <c r="I375" s="1096"/>
      <c r="J375" s="544"/>
      <c r="K375" s="247">
        <f>SUM(J365:K372)</f>
        <v>2.5708500000000001</v>
      </c>
      <c r="L375" s="569">
        <v>0.92</v>
      </c>
      <c r="M375" s="247">
        <f>K375/L375</f>
        <v>2.7944021739130434</v>
      </c>
      <c r="N375" s="1096" t="s">
        <v>1199</v>
      </c>
      <c r="O375" s="1096"/>
      <c r="P375" s="1096"/>
      <c r="Q375" s="569"/>
      <c r="R375" s="247">
        <f>SUM(R352:R363)</f>
        <v>4.5000000000000005E-2</v>
      </c>
      <c r="S375" s="569">
        <v>0.92</v>
      </c>
      <c r="T375" s="249">
        <f>R375/S375</f>
        <v>4.8913043478260872E-2</v>
      </c>
    </row>
    <row r="376" spans="1:20" s="385" customFormat="1" ht="15" customHeight="1" x14ac:dyDescent="0.25">
      <c r="A376" s="577"/>
      <c r="B376" s="579"/>
      <c r="C376" s="575"/>
      <c r="D376" s="575"/>
      <c r="E376" s="575"/>
      <c r="F376" s="584"/>
      <c r="G376" s="1097" t="s">
        <v>1287</v>
      </c>
      <c r="H376" s="1098"/>
      <c r="I376" s="1098"/>
      <c r="J376" s="1098"/>
      <c r="K376" s="1098"/>
      <c r="L376" s="1098"/>
      <c r="M376" s="1098"/>
      <c r="N376" s="1097" t="s">
        <v>1290</v>
      </c>
      <c r="O376" s="1098"/>
      <c r="P376" s="1098"/>
      <c r="Q376" s="1098"/>
      <c r="R376" s="1098"/>
      <c r="S376" s="1098"/>
      <c r="T376" s="1124"/>
    </row>
    <row r="377" spans="1:20" s="385" customFormat="1" ht="15" customHeight="1" x14ac:dyDescent="0.25">
      <c r="A377" s="577" t="str">
        <f>Итоговая!C204</f>
        <v xml:space="preserve">ПС 110/35/10 кВ Роща </v>
      </c>
      <c r="B377" s="579">
        <f>Итоговая!D204</f>
        <v>10</v>
      </c>
      <c r="C377" s="575" t="str">
        <f>Итоговая!E204</f>
        <v>+</v>
      </c>
      <c r="D377" s="575">
        <f>Итоговая!F204</f>
        <v>10</v>
      </c>
      <c r="E377" s="575"/>
      <c r="F377" s="584"/>
      <c r="G377" s="572" t="s">
        <v>1220</v>
      </c>
      <c r="H377" s="572" t="s">
        <v>861</v>
      </c>
      <c r="I377" s="572" t="s">
        <v>862</v>
      </c>
      <c r="J377" s="262"/>
      <c r="K377" s="262">
        <v>0.11</v>
      </c>
      <c r="L377" s="572"/>
      <c r="M377" s="262"/>
      <c r="N377" s="349" t="s">
        <v>863</v>
      </c>
      <c r="O377" s="349" t="s">
        <v>864</v>
      </c>
      <c r="P377" s="349" t="s">
        <v>1662</v>
      </c>
      <c r="Q377" s="349"/>
      <c r="R377" s="365">
        <v>0.04</v>
      </c>
      <c r="S377" s="349"/>
      <c r="T377" s="366"/>
    </row>
    <row r="378" spans="1:20" s="385" customFormat="1" ht="15" customHeight="1" x14ac:dyDescent="0.25">
      <c r="A378" s="577"/>
      <c r="B378" s="579"/>
      <c r="C378" s="575"/>
      <c r="D378" s="575"/>
      <c r="E378" s="575"/>
      <c r="F378" s="584"/>
      <c r="G378" s="572" t="s">
        <v>865</v>
      </c>
      <c r="H378" s="572" t="s">
        <v>866</v>
      </c>
      <c r="I378" s="572" t="s">
        <v>867</v>
      </c>
      <c r="J378" s="262"/>
      <c r="K378" s="262">
        <v>0.6</v>
      </c>
      <c r="L378" s="572"/>
      <c r="M378" s="262"/>
      <c r="N378" s="572"/>
      <c r="O378" s="572"/>
      <c r="P378" s="572"/>
      <c r="Q378" s="572"/>
      <c r="R378" s="262"/>
      <c r="S378" s="572"/>
      <c r="T378" s="348"/>
    </row>
    <row r="379" spans="1:20" s="385" customFormat="1" ht="15" customHeight="1" x14ac:dyDescent="0.25">
      <c r="A379" s="577"/>
      <c r="B379" s="579"/>
      <c r="C379" s="575"/>
      <c r="D379" s="575"/>
      <c r="E379" s="575"/>
      <c r="F379" s="584"/>
      <c r="G379" s="1097" t="s">
        <v>1645</v>
      </c>
      <c r="H379" s="1098"/>
      <c r="I379" s="1098"/>
      <c r="J379" s="1098"/>
      <c r="K379" s="1098"/>
      <c r="L379" s="1098"/>
      <c r="M379" s="1098"/>
      <c r="N379" s="572"/>
      <c r="O379" s="572"/>
      <c r="P379" s="572"/>
      <c r="Q379" s="572"/>
      <c r="R379" s="262"/>
      <c r="S379" s="572"/>
      <c r="T379" s="348"/>
    </row>
    <row r="380" spans="1:20" s="385" customFormat="1" ht="15" customHeight="1" x14ac:dyDescent="0.25">
      <c r="A380" s="577"/>
      <c r="B380" s="579"/>
      <c r="C380" s="575"/>
      <c r="D380" s="575"/>
      <c r="E380" s="575"/>
      <c r="F380" s="584"/>
      <c r="G380" s="572" t="s">
        <v>1698</v>
      </c>
      <c r="H380" s="572" t="s">
        <v>1765</v>
      </c>
      <c r="I380" s="572" t="s">
        <v>1766</v>
      </c>
      <c r="J380" s="262"/>
      <c r="K380" s="262">
        <f>0.25</f>
        <v>0.25</v>
      </c>
      <c r="L380" s="572"/>
      <c r="M380" s="262"/>
      <c r="N380" s="572"/>
      <c r="O380" s="572"/>
      <c r="P380" s="572"/>
      <c r="Q380" s="572"/>
      <c r="R380" s="262"/>
      <c r="S380" s="572"/>
      <c r="T380" s="348"/>
    </row>
    <row r="381" spans="1:20" s="385" customFormat="1" ht="15" customHeight="1" x14ac:dyDescent="0.25">
      <c r="A381" s="577"/>
      <c r="B381" s="579"/>
      <c r="C381" s="575"/>
      <c r="D381" s="575"/>
      <c r="E381" s="575"/>
      <c r="F381" s="584"/>
      <c r="G381" s="1097" t="s">
        <v>14978</v>
      </c>
      <c r="H381" s="1098"/>
      <c r="I381" s="1098"/>
      <c r="J381" s="1098"/>
      <c r="K381" s="1098"/>
      <c r="L381" s="1098"/>
      <c r="M381" s="1098"/>
      <c r="N381" s="572"/>
      <c r="O381" s="572"/>
      <c r="P381" s="572"/>
      <c r="Q381" s="572"/>
      <c r="R381" s="262"/>
      <c r="S381" s="572"/>
      <c r="T381" s="348"/>
    </row>
    <row r="382" spans="1:20" s="385" customFormat="1" ht="15" customHeight="1" x14ac:dyDescent="0.25">
      <c r="A382" s="577"/>
      <c r="B382" s="579"/>
      <c r="C382" s="575"/>
      <c r="D382" s="575"/>
      <c r="E382" s="575"/>
      <c r="F382" s="584"/>
      <c r="G382" s="580" t="s">
        <v>17502</v>
      </c>
      <c r="H382" s="580" t="s">
        <v>17503</v>
      </c>
      <c r="I382" s="580" t="s">
        <v>17504</v>
      </c>
      <c r="J382" s="519"/>
      <c r="K382" s="519">
        <f>0.05*0.75</f>
        <v>3.7500000000000006E-2</v>
      </c>
      <c r="L382" s="580"/>
      <c r="M382" s="519"/>
      <c r="N382" s="572"/>
      <c r="O382" s="572"/>
      <c r="P382" s="572"/>
      <c r="Q382" s="572"/>
      <c r="R382" s="262"/>
      <c r="S382" s="572"/>
      <c r="T382" s="348"/>
    </row>
    <row r="383" spans="1:20" s="385" customFormat="1" ht="15" customHeight="1" x14ac:dyDescent="0.25">
      <c r="A383" s="577"/>
      <c r="B383" s="579"/>
      <c r="C383" s="575"/>
      <c r="D383" s="575"/>
      <c r="E383" s="575"/>
      <c r="F383" s="584"/>
      <c r="G383" s="1097" t="s">
        <v>18518</v>
      </c>
      <c r="H383" s="1098"/>
      <c r="I383" s="1098"/>
      <c r="J383" s="1098"/>
      <c r="K383" s="1098"/>
      <c r="L383" s="1098"/>
      <c r="M383" s="1098"/>
      <c r="N383" s="572"/>
      <c r="O383" s="572"/>
      <c r="P383" s="572"/>
      <c r="Q383" s="572"/>
      <c r="R383" s="262"/>
      <c r="S383" s="572"/>
      <c r="T383" s="348"/>
    </row>
    <row r="384" spans="1:20" s="385" customFormat="1" ht="15" customHeight="1" x14ac:dyDescent="0.25">
      <c r="A384" s="577"/>
      <c r="B384" s="579"/>
      <c r="C384" s="575"/>
      <c r="D384" s="575"/>
      <c r="E384" s="575"/>
      <c r="F384" s="584"/>
      <c r="G384" s="1065" t="s">
        <v>2262</v>
      </c>
      <c r="H384" s="1065"/>
      <c r="I384" s="1065"/>
      <c r="J384" s="994">
        <f>0.492*0.9*0.6</f>
        <v>0.26568000000000003</v>
      </c>
      <c r="K384" s="995"/>
      <c r="L384" s="580"/>
      <c r="M384" s="519"/>
      <c r="N384" s="572"/>
      <c r="O384" s="572"/>
      <c r="P384" s="572"/>
      <c r="Q384" s="572"/>
      <c r="R384" s="262"/>
      <c r="S384" s="572"/>
      <c r="T384" s="348"/>
    </row>
    <row r="385" spans="1:20" ht="15" customHeight="1" thickBot="1" x14ac:dyDescent="0.3">
      <c r="A385" s="394"/>
      <c r="B385" s="399"/>
      <c r="C385" s="400"/>
      <c r="D385" s="400"/>
      <c r="E385" s="400"/>
      <c r="F385" s="401"/>
      <c r="G385" s="1096" t="s">
        <v>1199</v>
      </c>
      <c r="H385" s="1096"/>
      <c r="I385" s="1096"/>
      <c r="J385" s="544"/>
      <c r="K385" s="247">
        <f>SUM(J382:K384)</f>
        <v>0.30318000000000001</v>
      </c>
      <c r="L385" s="569">
        <v>0.92</v>
      </c>
      <c r="M385" s="247">
        <f>K385/L385</f>
        <v>0.32954347826086955</v>
      </c>
      <c r="N385" s="1096" t="s">
        <v>1199</v>
      </c>
      <c r="O385" s="1096"/>
      <c r="P385" s="1096"/>
      <c r="Q385" s="569"/>
      <c r="R385" s="247">
        <f>SUM(R377)</f>
        <v>0.04</v>
      </c>
      <c r="S385" s="569">
        <v>0.92</v>
      </c>
      <c r="T385" s="249">
        <f>R385/S385</f>
        <v>4.3478260869565216E-2</v>
      </c>
    </row>
    <row r="386" spans="1:20" ht="15" customHeight="1" thickBot="1" x14ac:dyDescent="0.3">
      <c r="A386" s="1154" t="s">
        <v>1289</v>
      </c>
      <c r="B386" s="1155"/>
      <c r="C386" s="586"/>
      <c r="D386" s="586"/>
      <c r="E386" s="586"/>
      <c r="F386" s="586"/>
      <c r="G386" s="383"/>
      <c r="H386" s="586"/>
      <c r="I386" s="586"/>
      <c r="J386" s="384"/>
      <c r="K386" s="384">
        <f>K19+K50+K74+K95+K97+K106+K131+K133+K136+K142+K147+K161+K171+K181+K190+K212+K217+K220+K224+K237+K239+K242+K257+K262+K271+K273+K278+K297+K307+K315+K336+K350+K375+K385</f>
        <v>16.413441000000002</v>
      </c>
      <c r="L386" s="586"/>
      <c r="M386" s="384">
        <f>M19+M50+M74+M95+M97+M106+M131+M133+M136+M142+M147+M161+M171+M181+M190+M212+M217+M220+M224+M237+M239+M242+M257+M262+M271+M273+M278+M297+M307+M315+M336+M350+M375+M385</f>
        <v>17.816434642356239</v>
      </c>
      <c r="N386" s="390"/>
      <c r="O386" s="390"/>
      <c r="P386" s="391"/>
      <c r="Q386" s="391"/>
      <c r="R386" s="392"/>
      <c r="S386" s="391"/>
      <c r="T386" s="393"/>
    </row>
    <row r="387" spans="1:20" x14ac:dyDescent="0.25">
      <c r="A387" s="618"/>
      <c r="B387" s="619"/>
      <c r="C387" s="619"/>
      <c r="D387" s="619"/>
      <c r="E387" s="619"/>
      <c r="F387" s="619"/>
      <c r="G387" s="619"/>
      <c r="H387" s="619"/>
      <c r="I387" s="619"/>
      <c r="J387" s="332"/>
      <c r="K387" s="332"/>
      <c r="L387" s="619"/>
      <c r="M387" s="332"/>
      <c r="N387" s="620"/>
      <c r="O387" s="620"/>
    </row>
    <row r="388" spans="1:20" x14ac:dyDescent="0.25">
      <c r="A388" s="618"/>
      <c r="B388" s="619"/>
      <c r="C388" s="619"/>
      <c r="D388" s="619"/>
      <c r="E388" s="619"/>
      <c r="F388" s="619"/>
      <c r="G388" s="619"/>
      <c r="H388" s="619"/>
      <c r="I388" s="619"/>
      <c r="J388" s="332"/>
      <c r="K388" s="332"/>
      <c r="L388" s="619"/>
      <c r="M388" s="332"/>
      <c r="N388" s="620"/>
      <c r="O388" s="620"/>
    </row>
    <row r="389" spans="1:20" x14ac:dyDescent="0.25">
      <c r="A389" s="618"/>
      <c r="B389" s="619"/>
      <c r="C389" s="619"/>
      <c r="D389" s="619"/>
      <c r="E389" s="619"/>
      <c r="F389" s="619"/>
      <c r="G389" s="619"/>
      <c r="H389" s="619"/>
      <c r="I389" s="619"/>
      <c r="J389" s="332"/>
      <c r="K389" s="332"/>
      <c r="L389" s="619"/>
      <c r="M389" s="332"/>
      <c r="N389" s="620"/>
      <c r="O389" s="620"/>
    </row>
    <row r="390" spans="1:20" x14ac:dyDescent="0.25">
      <c r="A390" s="618"/>
      <c r="B390" s="619"/>
      <c r="C390" s="619"/>
      <c r="D390" s="619"/>
      <c r="E390" s="619"/>
      <c r="F390" s="619"/>
      <c r="G390" s="619"/>
      <c r="H390" s="619"/>
      <c r="I390" s="619"/>
      <c r="J390" s="332"/>
      <c r="K390" s="332"/>
      <c r="L390" s="619"/>
      <c r="M390" s="332"/>
      <c r="N390" s="620"/>
      <c r="O390" s="620"/>
    </row>
    <row r="391" spans="1:20" x14ac:dyDescent="0.25">
      <c r="A391" s="618"/>
      <c r="B391" s="619"/>
      <c r="C391" s="619"/>
      <c r="D391" s="619"/>
      <c r="E391" s="619"/>
      <c r="F391" s="619"/>
      <c r="G391" s="619"/>
      <c r="H391" s="619"/>
      <c r="I391" s="619"/>
      <c r="J391" s="332"/>
      <c r="K391" s="332"/>
      <c r="L391" s="619"/>
      <c r="M391" s="332"/>
      <c r="N391" s="620"/>
      <c r="O391" s="620"/>
    </row>
    <row r="392" spans="1:20" x14ac:dyDescent="0.25">
      <c r="A392" s="618"/>
      <c r="B392" s="619"/>
      <c r="C392" s="619"/>
      <c r="D392" s="619"/>
      <c r="E392" s="619"/>
      <c r="F392" s="619"/>
      <c r="G392" s="619"/>
      <c r="H392" s="619"/>
      <c r="I392" s="619"/>
      <c r="J392" s="332"/>
      <c r="K392" s="332"/>
      <c r="L392" s="619"/>
      <c r="M392" s="332"/>
      <c r="N392" s="620"/>
      <c r="O392" s="620"/>
    </row>
    <row r="393" spans="1:20" x14ac:dyDescent="0.25">
      <c r="A393" s="618"/>
      <c r="B393" s="619"/>
      <c r="C393" s="619"/>
      <c r="D393" s="619"/>
      <c r="E393" s="619"/>
      <c r="F393" s="619"/>
      <c r="G393" s="619"/>
      <c r="H393" s="619"/>
      <c r="I393" s="619"/>
      <c r="J393" s="332"/>
      <c r="K393" s="332"/>
      <c r="L393" s="619"/>
      <c r="M393" s="332"/>
      <c r="N393" s="620"/>
      <c r="O393" s="620"/>
    </row>
    <row r="394" spans="1:20" x14ac:dyDescent="0.25">
      <c r="A394" s="618"/>
      <c r="B394" s="619"/>
      <c r="C394" s="619"/>
      <c r="D394" s="619"/>
      <c r="E394" s="619"/>
      <c r="F394" s="619"/>
      <c r="G394" s="619"/>
      <c r="H394" s="619"/>
      <c r="I394" s="619"/>
      <c r="J394" s="332"/>
      <c r="K394" s="332"/>
      <c r="L394" s="619"/>
      <c r="M394" s="332"/>
      <c r="N394" s="620"/>
      <c r="O394" s="620"/>
    </row>
    <row r="395" spans="1:20" x14ac:dyDescent="0.25">
      <c r="A395" s="618"/>
      <c r="B395" s="619"/>
      <c r="C395" s="619"/>
      <c r="D395" s="619"/>
      <c r="E395" s="619"/>
      <c r="F395" s="619"/>
      <c r="G395" s="619"/>
      <c r="H395" s="619"/>
      <c r="I395" s="619"/>
      <c r="J395" s="332"/>
      <c r="K395" s="332"/>
      <c r="L395" s="619"/>
      <c r="M395" s="332"/>
      <c r="N395" s="620"/>
      <c r="O395" s="620"/>
    </row>
    <row r="396" spans="1:20" x14ac:dyDescent="0.25">
      <c r="A396" s="1150"/>
      <c r="B396" s="1150"/>
      <c r="C396" s="1150"/>
      <c r="D396" s="1150"/>
      <c r="E396" s="1150"/>
      <c r="F396" s="1150"/>
      <c r="G396" s="1150"/>
      <c r="H396" s="1150"/>
      <c r="I396" s="1150"/>
      <c r="J396" s="1150"/>
      <c r="K396" s="1150"/>
      <c r="L396" s="1150"/>
      <c r="M396" s="1150"/>
      <c r="N396" s="620"/>
      <c r="O396" s="620"/>
    </row>
    <row r="397" spans="1:20" x14ac:dyDescent="0.25">
      <c r="A397" s="618"/>
      <c r="B397" s="619"/>
      <c r="C397" s="619"/>
      <c r="D397" s="619"/>
      <c r="E397" s="619"/>
      <c r="F397" s="619"/>
      <c r="G397" s="619"/>
      <c r="H397" s="619"/>
      <c r="I397" s="619"/>
      <c r="J397" s="332"/>
      <c r="K397" s="332"/>
      <c r="L397" s="619"/>
      <c r="M397" s="332"/>
      <c r="N397" s="620"/>
      <c r="O397" s="620"/>
    </row>
    <row r="398" spans="1:20" x14ac:dyDescent="0.25">
      <c r="A398" s="618"/>
      <c r="B398" s="619"/>
      <c r="C398" s="619"/>
      <c r="D398" s="619"/>
      <c r="E398" s="619"/>
      <c r="F398" s="619"/>
      <c r="G398" s="619"/>
      <c r="H398" s="619"/>
      <c r="I398" s="619"/>
      <c r="J398" s="332"/>
      <c r="K398" s="332"/>
      <c r="L398" s="619"/>
      <c r="M398" s="332"/>
      <c r="N398" s="620"/>
      <c r="O398" s="620"/>
    </row>
    <row r="399" spans="1:20" x14ac:dyDescent="0.25">
      <c r="A399" s="618"/>
      <c r="B399" s="619"/>
      <c r="C399" s="619"/>
      <c r="D399" s="619"/>
      <c r="E399" s="619"/>
      <c r="F399" s="619"/>
      <c r="G399" s="619"/>
      <c r="H399" s="619"/>
      <c r="I399" s="619"/>
      <c r="J399" s="332"/>
      <c r="K399" s="332"/>
      <c r="L399" s="619"/>
      <c r="M399" s="332"/>
      <c r="N399" s="620"/>
      <c r="O399" s="620"/>
    </row>
    <row r="400" spans="1:20" x14ac:dyDescent="0.25">
      <c r="A400" s="618"/>
      <c r="B400" s="619"/>
      <c r="C400" s="619"/>
      <c r="D400" s="619"/>
      <c r="E400" s="619"/>
      <c r="F400" s="619"/>
      <c r="G400" s="619"/>
      <c r="H400" s="619"/>
      <c r="I400" s="619"/>
      <c r="J400" s="332"/>
      <c r="K400" s="332"/>
      <c r="L400" s="619"/>
      <c r="M400" s="332"/>
      <c r="N400" s="620"/>
      <c r="O400" s="620"/>
    </row>
    <row r="401" spans="1:15" x14ac:dyDescent="0.25">
      <c r="A401" s="618"/>
      <c r="B401" s="619"/>
      <c r="C401" s="619"/>
      <c r="D401" s="619"/>
      <c r="E401" s="619"/>
      <c r="F401" s="619"/>
      <c r="G401" s="619"/>
      <c r="H401" s="619"/>
      <c r="I401" s="619"/>
      <c r="J401" s="332"/>
      <c r="K401" s="332"/>
      <c r="L401" s="619"/>
      <c r="M401" s="332"/>
      <c r="N401" s="620"/>
      <c r="O401" s="620"/>
    </row>
    <row r="402" spans="1:15" x14ac:dyDescent="0.25">
      <c r="A402" s="618"/>
      <c r="B402" s="619"/>
      <c r="C402" s="619"/>
      <c r="D402" s="619"/>
      <c r="E402" s="619"/>
      <c r="F402" s="619"/>
      <c r="G402" s="619"/>
      <c r="H402" s="619"/>
      <c r="I402" s="619"/>
      <c r="J402" s="332"/>
      <c r="K402" s="332"/>
      <c r="L402" s="619"/>
      <c r="M402" s="332"/>
      <c r="N402" s="620"/>
      <c r="O402" s="620"/>
    </row>
    <row r="403" spans="1:15" x14ac:dyDescent="0.25">
      <c r="A403" s="618"/>
      <c r="B403" s="619"/>
      <c r="C403" s="619"/>
      <c r="D403" s="619"/>
      <c r="E403" s="619"/>
      <c r="F403" s="619"/>
      <c r="G403" s="619"/>
      <c r="H403" s="619"/>
      <c r="I403" s="619"/>
      <c r="J403" s="332"/>
      <c r="K403" s="332"/>
      <c r="L403" s="619"/>
      <c r="M403" s="332"/>
      <c r="N403" s="620"/>
      <c r="O403" s="620"/>
    </row>
    <row r="404" spans="1:15" x14ac:dyDescent="0.25">
      <c r="A404" s="618"/>
      <c r="B404" s="619"/>
      <c r="C404" s="619"/>
      <c r="D404" s="619"/>
      <c r="E404" s="619"/>
      <c r="F404" s="619"/>
      <c r="G404" s="619"/>
      <c r="H404" s="619"/>
      <c r="I404" s="619"/>
      <c r="J404" s="332"/>
      <c r="K404" s="332"/>
      <c r="L404" s="619"/>
      <c r="M404" s="332"/>
      <c r="N404" s="620"/>
      <c r="O404" s="620"/>
    </row>
    <row r="405" spans="1:15" x14ac:dyDescent="0.25">
      <c r="A405" s="618"/>
      <c r="B405" s="619"/>
      <c r="C405" s="619"/>
      <c r="D405" s="619"/>
      <c r="E405" s="619"/>
      <c r="F405" s="619"/>
      <c r="G405" s="619"/>
      <c r="H405" s="619"/>
      <c r="I405" s="619"/>
      <c r="J405" s="332"/>
      <c r="K405" s="332"/>
      <c r="L405" s="619"/>
      <c r="M405" s="332"/>
      <c r="N405" s="620"/>
      <c r="O405" s="620"/>
    </row>
    <row r="406" spans="1:15" x14ac:dyDescent="0.25">
      <c r="A406" s="618"/>
      <c r="B406" s="619"/>
      <c r="C406" s="619"/>
      <c r="D406" s="619"/>
      <c r="E406" s="619"/>
      <c r="F406" s="619"/>
      <c r="G406" s="619"/>
      <c r="H406" s="619"/>
      <c r="I406" s="619"/>
      <c r="J406" s="332"/>
      <c r="K406" s="332"/>
      <c r="L406" s="619"/>
      <c r="M406" s="332"/>
      <c r="N406" s="620"/>
      <c r="O406" s="620"/>
    </row>
    <row r="407" spans="1:15" x14ac:dyDescent="0.25">
      <c r="A407" s="618"/>
      <c r="B407" s="619"/>
      <c r="C407" s="619"/>
      <c r="D407" s="619"/>
      <c r="E407" s="619"/>
      <c r="F407" s="619"/>
      <c r="G407" s="619"/>
      <c r="H407" s="619"/>
      <c r="I407" s="619"/>
      <c r="J407" s="332"/>
      <c r="K407" s="332"/>
      <c r="L407" s="619"/>
      <c r="M407" s="332"/>
      <c r="N407" s="620"/>
      <c r="O407" s="620"/>
    </row>
    <row r="408" spans="1:15" x14ac:dyDescent="0.25">
      <c r="A408" s="618"/>
      <c r="B408" s="619"/>
      <c r="C408" s="619"/>
      <c r="D408" s="619"/>
      <c r="E408" s="619"/>
      <c r="F408" s="619"/>
      <c r="G408" s="619"/>
      <c r="H408" s="619"/>
      <c r="I408" s="619"/>
      <c r="J408" s="332"/>
      <c r="K408" s="332"/>
      <c r="L408" s="619"/>
      <c r="M408" s="332"/>
      <c r="N408" s="620"/>
      <c r="O408" s="620"/>
    </row>
    <row r="409" spans="1:15" x14ac:dyDescent="0.25">
      <c r="A409" s="618"/>
      <c r="B409" s="619"/>
      <c r="C409" s="619"/>
      <c r="D409" s="619"/>
      <c r="E409" s="619"/>
      <c r="F409" s="619"/>
      <c r="G409" s="619"/>
      <c r="H409" s="619"/>
      <c r="I409" s="619"/>
      <c r="J409" s="332"/>
      <c r="K409" s="332"/>
      <c r="L409" s="619"/>
      <c r="M409" s="332"/>
      <c r="N409" s="620"/>
      <c r="O409" s="620"/>
    </row>
    <row r="410" spans="1:15" x14ac:dyDescent="0.25">
      <c r="A410" s="618"/>
      <c r="B410" s="619"/>
      <c r="C410" s="619"/>
      <c r="D410" s="619"/>
      <c r="E410" s="619"/>
      <c r="F410" s="619"/>
      <c r="G410" s="619"/>
      <c r="H410" s="619"/>
      <c r="I410" s="619"/>
      <c r="J410" s="332"/>
      <c r="K410" s="332"/>
      <c r="L410" s="619"/>
      <c r="M410" s="332"/>
      <c r="N410" s="620"/>
      <c r="O410" s="620"/>
    </row>
    <row r="411" spans="1:15" x14ac:dyDescent="0.25">
      <c r="A411" s="618"/>
      <c r="B411" s="619"/>
      <c r="C411" s="619"/>
      <c r="D411" s="619"/>
      <c r="E411" s="619"/>
      <c r="F411" s="619"/>
      <c r="G411" s="619"/>
      <c r="H411" s="619"/>
      <c r="I411" s="619"/>
      <c r="J411" s="332"/>
      <c r="K411" s="332"/>
      <c r="L411" s="619"/>
      <c r="M411" s="332"/>
      <c r="N411" s="620"/>
      <c r="O411" s="620"/>
    </row>
    <row r="412" spans="1:15" x14ac:dyDescent="0.25">
      <c r="A412" s="618"/>
      <c r="B412" s="619"/>
      <c r="C412" s="619"/>
      <c r="D412" s="619"/>
      <c r="E412" s="619"/>
      <c r="F412" s="619"/>
      <c r="G412" s="619"/>
      <c r="H412" s="619"/>
      <c r="I412" s="619"/>
      <c r="J412" s="332"/>
      <c r="K412" s="332"/>
      <c r="L412" s="619"/>
      <c r="M412" s="332"/>
      <c r="N412" s="620"/>
      <c r="O412" s="620"/>
    </row>
    <row r="413" spans="1:15" x14ac:dyDescent="0.25">
      <c r="A413" s="618"/>
      <c r="B413" s="619"/>
      <c r="C413" s="619"/>
      <c r="D413" s="619"/>
      <c r="E413" s="619"/>
      <c r="F413" s="619"/>
      <c r="G413" s="619"/>
      <c r="H413" s="619"/>
      <c r="I413" s="619"/>
      <c r="J413" s="332"/>
      <c r="K413" s="332"/>
      <c r="L413" s="619"/>
      <c r="M413" s="332"/>
      <c r="N413" s="620"/>
      <c r="O413" s="620"/>
    </row>
    <row r="414" spans="1:15" x14ac:dyDescent="0.25">
      <c r="A414" s="618"/>
      <c r="B414" s="619"/>
      <c r="C414" s="619"/>
      <c r="D414" s="619"/>
      <c r="E414" s="619"/>
      <c r="F414" s="619"/>
      <c r="G414" s="619"/>
      <c r="H414" s="619"/>
      <c r="I414" s="619"/>
      <c r="J414" s="332"/>
      <c r="K414" s="332"/>
      <c r="L414" s="619"/>
      <c r="M414" s="332"/>
      <c r="N414" s="620"/>
      <c r="O414" s="620"/>
    </row>
    <row r="415" spans="1:15" x14ac:dyDescent="0.25">
      <c r="A415" s="618"/>
      <c r="B415" s="619"/>
      <c r="C415" s="619"/>
      <c r="D415" s="619"/>
      <c r="E415" s="619"/>
      <c r="F415" s="619"/>
      <c r="G415" s="619"/>
      <c r="H415" s="619"/>
      <c r="I415" s="619"/>
      <c r="J415" s="332"/>
      <c r="K415" s="332"/>
      <c r="L415" s="619"/>
      <c r="M415" s="332"/>
      <c r="N415" s="620"/>
      <c r="O415" s="620"/>
    </row>
    <row r="416" spans="1:15" x14ac:dyDescent="0.25">
      <c r="A416" s="618"/>
      <c r="B416" s="619"/>
      <c r="C416" s="619"/>
      <c r="D416" s="619"/>
      <c r="E416" s="619"/>
      <c r="F416" s="619"/>
      <c r="G416" s="619"/>
      <c r="H416" s="619"/>
      <c r="I416" s="619"/>
      <c r="J416" s="332"/>
      <c r="K416" s="332"/>
      <c r="L416" s="619"/>
      <c r="M416" s="332"/>
      <c r="N416" s="620"/>
      <c r="O416" s="620"/>
    </row>
    <row r="417" spans="1:15" x14ac:dyDescent="0.25">
      <c r="A417" s="618"/>
      <c r="B417" s="619"/>
      <c r="C417" s="619"/>
      <c r="D417" s="619"/>
      <c r="E417" s="619"/>
      <c r="F417" s="619"/>
      <c r="G417" s="619"/>
      <c r="H417" s="619"/>
      <c r="I417" s="619"/>
      <c r="J417" s="332"/>
      <c r="K417" s="332"/>
      <c r="L417" s="619"/>
      <c r="M417" s="332"/>
      <c r="N417" s="620"/>
      <c r="O417" s="620"/>
    </row>
    <row r="418" spans="1:15" x14ac:dyDescent="0.25">
      <c r="A418" s="618"/>
      <c r="B418" s="619"/>
      <c r="C418" s="619"/>
      <c r="D418" s="619"/>
      <c r="E418" s="619"/>
      <c r="F418" s="619"/>
      <c r="G418" s="619"/>
      <c r="H418" s="619"/>
      <c r="I418" s="619"/>
      <c r="J418" s="332"/>
      <c r="K418" s="332"/>
      <c r="L418" s="619"/>
      <c r="M418" s="332"/>
      <c r="N418" s="620"/>
      <c r="O418" s="620"/>
    </row>
    <row r="419" spans="1:15" x14ac:dyDescent="0.25">
      <c r="A419" s="618"/>
      <c r="B419" s="619"/>
      <c r="C419" s="619"/>
      <c r="D419" s="619"/>
      <c r="E419" s="619"/>
      <c r="F419" s="619"/>
      <c r="G419" s="619"/>
      <c r="H419" s="619"/>
      <c r="I419" s="619"/>
      <c r="J419" s="332"/>
      <c r="K419" s="332"/>
      <c r="L419" s="619"/>
      <c r="M419" s="332"/>
      <c r="N419" s="620"/>
      <c r="O419" s="620"/>
    </row>
    <row r="420" spans="1:15" x14ac:dyDescent="0.25">
      <c r="A420" s="618"/>
      <c r="B420" s="619"/>
      <c r="C420" s="619"/>
      <c r="D420" s="619"/>
      <c r="E420" s="619"/>
      <c r="F420" s="619"/>
      <c r="G420" s="619"/>
      <c r="H420" s="619"/>
      <c r="I420" s="619"/>
      <c r="J420" s="332"/>
      <c r="K420" s="332"/>
      <c r="L420" s="619"/>
      <c r="M420" s="332"/>
      <c r="N420" s="620"/>
      <c r="O420" s="620"/>
    </row>
    <row r="421" spans="1:15" x14ac:dyDescent="0.25">
      <c r="A421" s="618"/>
      <c r="B421" s="619"/>
      <c r="C421" s="619"/>
      <c r="D421" s="619"/>
      <c r="E421" s="619"/>
      <c r="F421" s="619"/>
      <c r="G421" s="619"/>
      <c r="H421" s="619"/>
      <c r="I421" s="619"/>
      <c r="J421" s="332"/>
      <c r="K421" s="332"/>
      <c r="L421" s="619"/>
      <c r="M421" s="332"/>
      <c r="N421" s="620"/>
      <c r="O421" s="620"/>
    </row>
    <row r="422" spans="1:15" x14ac:dyDescent="0.25">
      <c r="A422" s="618"/>
      <c r="B422" s="619"/>
      <c r="C422" s="619"/>
      <c r="D422" s="619"/>
      <c r="E422" s="619"/>
      <c r="F422" s="619"/>
      <c r="G422" s="619"/>
      <c r="H422" s="619"/>
      <c r="I422" s="619"/>
      <c r="J422" s="332"/>
      <c r="K422" s="332"/>
      <c r="L422" s="619"/>
      <c r="M422" s="332"/>
      <c r="N422" s="620"/>
      <c r="O422" s="620"/>
    </row>
    <row r="423" spans="1:15" x14ac:dyDescent="0.25">
      <c r="A423" s="618"/>
      <c r="B423" s="619"/>
      <c r="C423" s="619"/>
      <c r="D423" s="619"/>
      <c r="E423" s="619"/>
      <c r="F423" s="619"/>
      <c r="G423" s="619"/>
      <c r="H423" s="619"/>
      <c r="I423" s="619"/>
      <c r="J423" s="332"/>
      <c r="K423" s="332"/>
      <c r="L423" s="619"/>
      <c r="M423" s="332"/>
      <c r="N423" s="620"/>
      <c r="O423" s="620"/>
    </row>
    <row r="424" spans="1:15" x14ac:dyDescent="0.25">
      <c r="A424" s="618"/>
      <c r="B424" s="619"/>
      <c r="C424" s="619"/>
      <c r="D424" s="619"/>
      <c r="E424" s="619"/>
      <c r="F424" s="619"/>
      <c r="G424" s="619"/>
      <c r="H424" s="619"/>
      <c r="I424" s="619"/>
      <c r="J424" s="332"/>
      <c r="K424" s="332"/>
      <c r="L424" s="619"/>
      <c r="M424" s="332"/>
      <c r="N424" s="620"/>
      <c r="O424" s="620"/>
    </row>
    <row r="425" spans="1:15" x14ac:dyDescent="0.25">
      <c r="A425" s="618"/>
      <c r="B425" s="619"/>
      <c r="C425" s="619"/>
      <c r="D425" s="619"/>
      <c r="E425" s="619"/>
      <c r="F425" s="619"/>
      <c r="G425" s="619"/>
      <c r="H425" s="619"/>
      <c r="I425" s="619"/>
      <c r="J425" s="332"/>
      <c r="K425" s="332"/>
      <c r="L425" s="619"/>
      <c r="M425" s="332"/>
      <c r="N425" s="620"/>
      <c r="O425" s="620"/>
    </row>
    <row r="426" spans="1:15" x14ac:dyDescent="0.25">
      <c r="A426" s="618"/>
      <c r="B426" s="619"/>
      <c r="C426" s="619"/>
      <c r="D426" s="619"/>
      <c r="E426" s="619"/>
      <c r="F426" s="619"/>
      <c r="G426" s="619"/>
      <c r="H426" s="619"/>
      <c r="I426" s="619"/>
      <c r="J426" s="332"/>
      <c r="K426" s="332"/>
      <c r="L426" s="619"/>
      <c r="M426" s="332"/>
      <c r="N426" s="620"/>
      <c r="O426" s="620"/>
    </row>
    <row r="427" spans="1:15" x14ac:dyDescent="0.25">
      <c r="A427" s="618"/>
      <c r="B427" s="619"/>
      <c r="C427" s="619"/>
      <c r="D427" s="619"/>
      <c r="E427" s="619"/>
      <c r="F427" s="619"/>
      <c r="G427" s="619"/>
      <c r="H427" s="619"/>
      <c r="I427" s="619"/>
      <c r="J427" s="332"/>
      <c r="K427" s="332"/>
      <c r="L427" s="619"/>
      <c r="M427" s="332"/>
      <c r="N427" s="620"/>
      <c r="O427" s="620"/>
    </row>
    <row r="428" spans="1:15" x14ac:dyDescent="0.25">
      <c r="A428" s="618"/>
      <c r="B428" s="619"/>
      <c r="C428" s="619"/>
      <c r="D428" s="619"/>
      <c r="E428" s="619"/>
      <c r="F428" s="619"/>
      <c r="G428" s="619"/>
      <c r="H428" s="619"/>
      <c r="I428" s="619"/>
      <c r="J428" s="332"/>
      <c r="K428" s="332"/>
      <c r="L428" s="619"/>
      <c r="M428" s="332"/>
      <c r="N428" s="620"/>
      <c r="O428" s="620"/>
    </row>
    <row r="429" spans="1:15" x14ac:dyDescent="0.25">
      <c r="A429" s="618"/>
      <c r="B429" s="619"/>
      <c r="C429" s="619"/>
      <c r="D429" s="619"/>
      <c r="E429" s="619"/>
      <c r="F429" s="619"/>
      <c r="G429" s="619"/>
      <c r="H429" s="619"/>
      <c r="I429" s="619"/>
      <c r="J429" s="332"/>
      <c r="K429" s="332"/>
      <c r="L429" s="619"/>
      <c r="M429" s="332"/>
      <c r="N429" s="620"/>
      <c r="O429" s="620"/>
    </row>
    <row r="430" spans="1:15" x14ac:dyDescent="0.25">
      <c r="A430" s="618"/>
      <c r="B430" s="619"/>
      <c r="C430" s="619"/>
      <c r="D430" s="619"/>
      <c r="E430" s="619"/>
      <c r="F430" s="619"/>
      <c r="G430" s="619"/>
      <c r="H430" s="619"/>
      <c r="I430" s="619"/>
      <c r="J430" s="332"/>
      <c r="K430" s="332"/>
      <c r="L430" s="619"/>
      <c r="M430" s="332"/>
      <c r="N430" s="620"/>
      <c r="O430" s="620"/>
    </row>
    <row r="431" spans="1:15" x14ac:dyDescent="0.25">
      <c r="A431" s="618"/>
      <c r="B431" s="619"/>
      <c r="C431" s="619"/>
      <c r="D431" s="619"/>
      <c r="E431" s="619"/>
      <c r="F431" s="619"/>
      <c r="G431" s="619"/>
      <c r="H431" s="619"/>
      <c r="I431" s="619"/>
      <c r="J431" s="332"/>
      <c r="K431" s="332"/>
      <c r="L431" s="619"/>
      <c r="M431" s="332"/>
      <c r="N431" s="620"/>
      <c r="O431" s="620"/>
    </row>
    <row r="432" spans="1:15" x14ac:dyDescent="0.25">
      <c r="A432" s="618"/>
      <c r="B432" s="619"/>
      <c r="C432" s="619"/>
      <c r="D432" s="619"/>
      <c r="E432" s="619"/>
      <c r="F432" s="619"/>
      <c r="G432" s="619"/>
      <c r="H432" s="619"/>
      <c r="I432" s="619"/>
      <c r="J432" s="332"/>
      <c r="K432" s="332"/>
      <c r="L432" s="619"/>
      <c r="M432" s="332"/>
      <c r="N432" s="620"/>
      <c r="O432" s="620"/>
    </row>
    <row r="433" spans="1:15" x14ac:dyDescent="0.25">
      <c r="A433" s="618"/>
      <c r="B433" s="619"/>
      <c r="C433" s="619"/>
      <c r="D433" s="619"/>
      <c r="E433" s="619"/>
      <c r="F433" s="619"/>
      <c r="G433" s="619"/>
      <c r="H433" s="619"/>
      <c r="I433" s="619"/>
      <c r="J433" s="332"/>
      <c r="K433" s="332"/>
      <c r="L433" s="619"/>
      <c r="M433" s="332"/>
      <c r="N433" s="620"/>
      <c r="O433" s="620"/>
    </row>
    <row r="434" spans="1:15" x14ac:dyDescent="0.25">
      <c r="A434" s="618"/>
      <c r="B434" s="619"/>
      <c r="C434" s="619"/>
      <c r="D434" s="619"/>
      <c r="E434" s="619"/>
      <c r="F434" s="619"/>
      <c r="G434" s="619"/>
      <c r="H434" s="619"/>
      <c r="I434" s="619"/>
      <c r="J434" s="332"/>
      <c r="K434" s="332"/>
      <c r="L434" s="619"/>
      <c r="M434" s="332"/>
      <c r="N434" s="620"/>
      <c r="O434" s="620"/>
    </row>
    <row r="435" spans="1:15" x14ac:dyDescent="0.25">
      <c r="A435" s="618"/>
      <c r="B435" s="619"/>
      <c r="C435" s="619"/>
      <c r="D435" s="619"/>
      <c r="E435" s="619"/>
      <c r="F435" s="619"/>
      <c r="G435" s="619"/>
      <c r="H435" s="619"/>
      <c r="I435" s="619"/>
      <c r="J435" s="332"/>
      <c r="K435" s="332"/>
      <c r="L435" s="619"/>
      <c r="M435" s="332"/>
      <c r="N435" s="620"/>
      <c r="O435" s="620"/>
    </row>
    <row r="436" spans="1:15" x14ac:dyDescent="0.25">
      <c r="A436" s="618"/>
      <c r="B436" s="619"/>
      <c r="C436" s="619"/>
      <c r="D436" s="619"/>
      <c r="E436" s="619"/>
      <c r="F436" s="619"/>
      <c r="G436" s="619"/>
      <c r="H436" s="619"/>
      <c r="I436" s="619"/>
      <c r="J436" s="332"/>
      <c r="K436" s="332"/>
      <c r="L436" s="619"/>
      <c r="M436" s="332"/>
      <c r="N436" s="620"/>
      <c r="O436" s="620"/>
    </row>
    <row r="437" spans="1:15" x14ac:dyDescent="0.25">
      <c r="A437" s="618"/>
      <c r="B437" s="619"/>
      <c r="C437" s="619"/>
      <c r="D437" s="619"/>
      <c r="E437" s="619"/>
      <c r="F437" s="619"/>
      <c r="G437" s="619"/>
      <c r="H437" s="619"/>
      <c r="I437" s="619"/>
      <c r="J437" s="332"/>
      <c r="K437" s="332"/>
      <c r="L437" s="619"/>
      <c r="M437" s="332"/>
      <c r="N437" s="620"/>
      <c r="O437" s="620"/>
    </row>
    <row r="438" spans="1:15" x14ac:dyDescent="0.25">
      <c r="A438" s="618"/>
      <c r="B438" s="619"/>
      <c r="C438" s="619"/>
      <c r="D438" s="619"/>
      <c r="E438" s="619"/>
      <c r="F438" s="619"/>
      <c r="G438" s="619"/>
      <c r="H438" s="619"/>
      <c r="I438" s="619"/>
      <c r="J438" s="332"/>
      <c r="K438" s="332"/>
      <c r="L438" s="619"/>
      <c r="M438" s="332"/>
      <c r="N438" s="620"/>
      <c r="O438" s="620"/>
    </row>
    <row r="439" spans="1:15" x14ac:dyDescent="0.25">
      <c r="A439" s="618"/>
      <c r="B439" s="619"/>
      <c r="C439" s="619"/>
      <c r="D439" s="619"/>
      <c r="E439" s="619"/>
      <c r="F439" s="619"/>
      <c r="G439" s="619"/>
      <c r="H439" s="619"/>
      <c r="I439" s="619"/>
      <c r="J439" s="332"/>
      <c r="K439" s="332"/>
      <c r="L439" s="619"/>
      <c r="M439" s="332"/>
      <c r="N439" s="620"/>
      <c r="O439" s="620"/>
    </row>
    <row r="440" spans="1:15" x14ac:dyDescent="0.25">
      <c r="A440" s="618"/>
      <c r="B440" s="619"/>
      <c r="C440" s="619"/>
      <c r="D440" s="619"/>
      <c r="E440" s="619"/>
      <c r="F440" s="619"/>
      <c r="G440" s="619"/>
      <c r="H440" s="619"/>
      <c r="I440" s="619"/>
      <c r="J440" s="332"/>
      <c r="K440" s="332"/>
      <c r="L440" s="619"/>
      <c r="M440" s="332"/>
      <c r="N440" s="620"/>
      <c r="O440" s="620"/>
    </row>
    <row r="441" spans="1:15" x14ac:dyDescent="0.25">
      <c r="A441" s="618"/>
      <c r="B441" s="619"/>
      <c r="C441" s="619"/>
      <c r="D441" s="619"/>
      <c r="E441" s="619"/>
      <c r="F441" s="619"/>
      <c r="G441" s="619"/>
      <c r="H441" s="619"/>
      <c r="I441" s="619"/>
      <c r="J441" s="332"/>
      <c r="K441" s="332"/>
      <c r="L441" s="619"/>
      <c r="M441" s="332"/>
      <c r="N441" s="620"/>
      <c r="O441" s="620"/>
    </row>
    <row r="442" spans="1:15" x14ac:dyDescent="0.25">
      <c r="A442" s="618"/>
      <c r="B442" s="619"/>
      <c r="C442" s="619"/>
      <c r="D442" s="619"/>
      <c r="E442" s="619"/>
      <c r="F442" s="619"/>
      <c r="G442" s="619"/>
      <c r="H442" s="619"/>
      <c r="I442" s="619"/>
      <c r="J442" s="332"/>
      <c r="K442" s="332"/>
      <c r="L442" s="619"/>
      <c r="M442" s="332"/>
      <c r="N442" s="620"/>
      <c r="O442" s="620"/>
    </row>
    <row r="443" spans="1:15" x14ac:dyDescent="0.25">
      <c r="A443" s="618"/>
      <c r="B443" s="619"/>
      <c r="C443" s="619"/>
      <c r="D443" s="619"/>
      <c r="E443" s="619"/>
      <c r="F443" s="619"/>
      <c r="G443" s="619"/>
      <c r="H443" s="619"/>
      <c r="I443" s="619"/>
      <c r="J443" s="332"/>
      <c r="K443" s="332"/>
      <c r="L443" s="619"/>
      <c r="M443" s="332"/>
      <c r="N443" s="620"/>
      <c r="O443" s="620"/>
    </row>
    <row r="444" spans="1:15" x14ac:dyDescent="0.25">
      <c r="A444" s="618"/>
      <c r="B444" s="619"/>
      <c r="C444" s="619"/>
      <c r="D444" s="619"/>
      <c r="E444" s="619"/>
      <c r="F444" s="619"/>
      <c r="G444" s="619"/>
      <c r="H444" s="619"/>
      <c r="I444" s="619"/>
      <c r="J444" s="332"/>
      <c r="K444" s="332"/>
      <c r="L444" s="619"/>
      <c r="M444" s="332"/>
      <c r="N444" s="620"/>
      <c r="O444" s="620"/>
    </row>
    <row r="445" spans="1:15" x14ac:dyDescent="0.25">
      <c r="A445" s="618"/>
      <c r="B445" s="619"/>
      <c r="C445" s="619"/>
      <c r="D445" s="619"/>
      <c r="E445" s="619"/>
      <c r="F445" s="619"/>
      <c r="G445" s="619"/>
      <c r="H445" s="619"/>
      <c r="I445" s="619"/>
      <c r="J445" s="332"/>
      <c r="K445" s="332"/>
      <c r="L445" s="619"/>
      <c r="M445" s="332"/>
      <c r="N445" s="620"/>
      <c r="O445" s="620"/>
    </row>
    <row r="446" spans="1:15" x14ac:dyDescent="0.25">
      <c r="A446" s="618"/>
      <c r="B446" s="619"/>
      <c r="C446" s="619"/>
      <c r="D446" s="619"/>
      <c r="E446" s="619"/>
      <c r="F446" s="619"/>
      <c r="G446" s="619"/>
      <c r="H446" s="619"/>
      <c r="I446" s="619"/>
      <c r="J446" s="332"/>
      <c r="K446" s="332"/>
      <c r="L446" s="619"/>
      <c r="M446" s="332"/>
      <c r="N446" s="620"/>
      <c r="O446" s="620"/>
    </row>
    <row r="447" spans="1:15" x14ac:dyDescent="0.25">
      <c r="A447" s="618"/>
      <c r="B447" s="619"/>
      <c r="C447" s="619"/>
      <c r="D447" s="619"/>
      <c r="E447" s="619"/>
      <c r="F447" s="619"/>
      <c r="G447" s="619"/>
      <c r="H447" s="619"/>
      <c r="I447" s="619"/>
      <c r="J447" s="332"/>
      <c r="K447" s="332"/>
      <c r="L447" s="619"/>
      <c r="M447" s="332"/>
      <c r="N447" s="620"/>
      <c r="O447" s="620"/>
    </row>
    <row r="448" spans="1:15" x14ac:dyDescent="0.25">
      <c r="A448" s="618"/>
      <c r="B448" s="619"/>
      <c r="C448" s="619"/>
      <c r="D448" s="619"/>
      <c r="E448" s="619"/>
      <c r="F448" s="619"/>
      <c r="G448" s="619"/>
      <c r="H448" s="619"/>
      <c r="I448" s="619"/>
      <c r="J448" s="332"/>
      <c r="K448" s="332"/>
      <c r="L448" s="619"/>
      <c r="M448" s="332"/>
      <c r="N448" s="620"/>
      <c r="O448" s="620"/>
    </row>
    <row r="449" spans="1:15" x14ac:dyDescent="0.25">
      <c r="A449" s="618"/>
      <c r="B449" s="619"/>
      <c r="C449" s="619"/>
      <c r="D449" s="619"/>
      <c r="E449" s="619"/>
      <c r="F449" s="619"/>
      <c r="G449" s="619"/>
      <c r="H449" s="619"/>
      <c r="I449" s="619"/>
      <c r="J449" s="332"/>
      <c r="K449" s="332"/>
      <c r="L449" s="619"/>
      <c r="M449" s="332"/>
      <c r="N449" s="620"/>
      <c r="O449" s="620"/>
    </row>
    <row r="450" spans="1:15" x14ac:dyDescent="0.25">
      <c r="A450" s="618"/>
      <c r="B450" s="619"/>
      <c r="C450" s="619"/>
      <c r="D450" s="619"/>
      <c r="E450" s="619"/>
      <c r="F450" s="619"/>
      <c r="G450" s="619"/>
      <c r="H450" s="619"/>
      <c r="I450" s="619"/>
      <c r="J450" s="332"/>
      <c r="K450" s="332"/>
      <c r="L450" s="619"/>
      <c r="M450" s="332"/>
      <c r="N450" s="620"/>
      <c r="O450" s="620"/>
    </row>
    <row r="451" spans="1:15" x14ac:dyDescent="0.25">
      <c r="A451" s="618"/>
      <c r="B451" s="619"/>
      <c r="C451" s="619"/>
      <c r="D451" s="619"/>
      <c r="E451" s="619"/>
      <c r="F451" s="619"/>
      <c r="G451" s="619"/>
      <c r="H451" s="619"/>
      <c r="I451" s="619"/>
      <c r="J451" s="332"/>
      <c r="K451" s="332"/>
      <c r="L451" s="619"/>
      <c r="M451" s="332"/>
      <c r="N451" s="620"/>
      <c r="O451" s="620"/>
    </row>
    <row r="452" spans="1:15" x14ac:dyDescent="0.25">
      <c r="A452" s="618"/>
      <c r="B452" s="619"/>
      <c r="C452" s="619"/>
      <c r="D452" s="619"/>
      <c r="E452" s="619"/>
      <c r="F452" s="619"/>
      <c r="G452" s="619"/>
      <c r="H452" s="619"/>
      <c r="I452" s="619"/>
      <c r="J452" s="332"/>
      <c r="K452" s="332"/>
      <c r="L452" s="619"/>
      <c r="M452" s="332"/>
      <c r="N452" s="620"/>
      <c r="O452" s="620" t="s">
        <v>868</v>
      </c>
    </row>
    <row r="453" spans="1:15" x14ac:dyDescent="0.25">
      <c r="A453" s="618"/>
      <c r="B453" s="619"/>
      <c r="C453" s="619"/>
      <c r="D453" s="619"/>
      <c r="E453" s="619"/>
      <c r="F453" s="619"/>
      <c r="G453" s="619"/>
      <c r="H453" s="619"/>
      <c r="I453" s="619"/>
      <c r="J453" s="332"/>
      <c r="K453" s="332"/>
      <c r="L453" s="619"/>
      <c r="M453" s="332"/>
      <c r="N453" s="620"/>
      <c r="O453" s="620"/>
    </row>
    <row r="454" spans="1:15" x14ac:dyDescent="0.25">
      <c r="A454" s="618"/>
      <c r="B454" s="619"/>
      <c r="C454" s="619"/>
      <c r="D454" s="619"/>
      <c r="E454" s="619"/>
      <c r="F454" s="619"/>
      <c r="G454" s="619"/>
      <c r="H454" s="619"/>
      <c r="I454" s="619"/>
      <c r="J454" s="332"/>
      <c r="K454" s="332"/>
      <c r="L454" s="619"/>
      <c r="M454" s="332"/>
      <c r="N454" s="620"/>
      <c r="O454" s="620"/>
    </row>
    <row r="455" spans="1:15" x14ac:dyDescent="0.25">
      <c r="A455" s="618"/>
      <c r="B455" s="619"/>
      <c r="C455" s="619"/>
      <c r="D455" s="619"/>
      <c r="E455" s="619"/>
      <c r="F455" s="619"/>
      <c r="G455" s="619"/>
      <c r="H455" s="619"/>
      <c r="I455" s="619"/>
      <c r="J455" s="332"/>
      <c r="K455" s="332"/>
      <c r="L455" s="619"/>
      <c r="M455" s="332"/>
      <c r="N455" s="620"/>
      <c r="O455" s="620"/>
    </row>
    <row r="456" spans="1:15" x14ac:dyDescent="0.25">
      <c r="A456" s="618"/>
      <c r="B456" s="619"/>
      <c r="C456" s="619"/>
      <c r="D456" s="619"/>
      <c r="E456" s="619"/>
      <c r="F456" s="619"/>
      <c r="G456" s="619"/>
      <c r="H456" s="619"/>
      <c r="I456" s="619"/>
      <c r="J456" s="332"/>
      <c r="K456" s="332"/>
      <c r="L456" s="619"/>
      <c r="M456" s="332"/>
      <c r="N456" s="620"/>
      <c r="O456" s="620"/>
    </row>
    <row r="457" spans="1:15" x14ac:dyDescent="0.25">
      <c r="A457" s="618"/>
      <c r="B457" s="619"/>
      <c r="C457" s="619"/>
      <c r="D457" s="619"/>
      <c r="E457" s="619"/>
      <c r="F457" s="619"/>
      <c r="G457" s="619"/>
      <c r="H457" s="619"/>
      <c r="I457" s="619"/>
      <c r="J457" s="332"/>
      <c r="K457" s="332"/>
      <c r="L457" s="619"/>
      <c r="M457" s="332"/>
      <c r="N457" s="620"/>
      <c r="O457" s="620"/>
    </row>
    <row r="458" spans="1:15" x14ac:dyDescent="0.25">
      <c r="A458" s="618"/>
      <c r="B458" s="619"/>
      <c r="C458" s="619"/>
      <c r="D458" s="619"/>
      <c r="E458" s="619"/>
      <c r="F458" s="619"/>
      <c r="G458" s="619"/>
      <c r="H458" s="619"/>
      <c r="I458" s="619"/>
      <c r="J458" s="332"/>
      <c r="K458" s="332"/>
      <c r="L458" s="619"/>
      <c r="M458" s="332"/>
      <c r="N458" s="620"/>
      <c r="O458" s="620"/>
    </row>
    <row r="459" spans="1:15" x14ac:dyDescent="0.25">
      <c r="A459" s="618"/>
      <c r="B459" s="619"/>
      <c r="C459" s="619"/>
      <c r="D459" s="619"/>
      <c r="E459" s="619"/>
      <c r="F459" s="619"/>
      <c r="G459" s="619"/>
      <c r="H459" s="619"/>
      <c r="I459" s="619"/>
      <c r="J459" s="332"/>
      <c r="K459" s="332"/>
      <c r="L459" s="619"/>
      <c r="M459" s="332"/>
      <c r="N459" s="620"/>
      <c r="O459" s="620"/>
    </row>
    <row r="460" spans="1:15" x14ac:dyDescent="0.25">
      <c r="A460" s="618"/>
      <c r="B460" s="619"/>
      <c r="C460" s="619"/>
      <c r="D460" s="619"/>
      <c r="E460" s="619"/>
      <c r="F460" s="619"/>
      <c r="G460" s="619"/>
      <c r="H460" s="619"/>
      <c r="I460" s="619"/>
      <c r="J460" s="332"/>
      <c r="K460" s="332"/>
      <c r="L460" s="619"/>
      <c r="M460" s="332"/>
      <c r="N460" s="620"/>
      <c r="O460" s="620"/>
    </row>
    <row r="461" spans="1:15" x14ac:dyDescent="0.25">
      <c r="A461" s="618"/>
      <c r="B461" s="619"/>
      <c r="C461" s="619"/>
      <c r="D461" s="619"/>
      <c r="E461" s="619"/>
      <c r="F461" s="619"/>
      <c r="G461" s="619"/>
      <c r="H461" s="619"/>
      <c r="I461" s="619"/>
      <c r="J461" s="332"/>
      <c r="K461" s="332"/>
      <c r="L461" s="619"/>
      <c r="M461" s="332"/>
      <c r="N461" s="620"/>
      <c r="O461" s="620"/>
    </row>
    <row r="462" spans="1:15" x14ac:dyDescent="0.25">
      <c r="A462" s="618"/>
      <c r="B462" s="619"/>
      <c r="C462" s="619"/>
      <c r="D462" s="619"/>
      <c r="E462" s="619"/>
      <c r="F462" s="619"/>
      <c r="G462" s="619"/>
      <c r="H462" s="619"/>
      <c r="I462" s="619"/>
      <c r="J462" s="332"/>
      <c r="K462" s="332"/>
      <c r="L462" s="619"/>
      <c r="M462" s="332"/>
      <c r="N462" s="620"/>
      <c r="O462" s="620"/>
    </row>
    <row r="463" spans="1:15" x14ac:dyDescent="0.25">
      <c r="A463" s="618"/>
      <c r="B463" s="619"/>
      <c r="C463" s="619"/>
      <c r="D463" s="619"/>
      <c r="E463" s="619"/>
      <c r="F463" s="619"/>
      <c r="G463" s="619"/>
      <c r="H463" s="619"/>
      <c r="I463" s="619"/>
      <c r="J463" s="332"/>
      <c r="K463" s="332"/>
      <c r="L463" s="619"/>
      <c r="M463" s="332"/>
      <c r="N463" s="620"/>
      <c r="O463" s="620"/>
    </row>
    <row r="464" spans="1:15" x14ac:dyDescent="0.25">
      <c r="A464" s="618"/>
      <c r="B464" s="619"/>
      <c r="C464" s="619"/>
      <c r="D464" s="619"/>
      <c r="E464" s="619"/>
      <c r="F464" s="619"/>
      <c r="G464" s="619"/>
      <c r="H464" s="619"/>
      <c r="I464" s="619"/>
      <c r="J464" s="332"/>
      <c r="K464" s="332"/>
      <c r="L464" s="619"/>
      <c r="M464" s="332"/>
      <c r="N464" s="620"/>
      <c r="O464" s="620"/>
    </row>
    <row r="465" spans="1:15" x14ac:dyDescent="0.25">
      <c r="A465" s="618"/>
      <c r="B465" s="619"/>
      <c r="C465" s="619"/>
      <c r="D465" s="619"/>
      <c r="E465" s="619"/>
      <c r="F465" s="619"/>
      <c r="G465" s="619"/>
      <c r="H465" s="619"/>
      <c r="I465" s="619"/>
      <c r="J465" s="332"/>
      <c r="K465" s="332"/>
      <c r="L465" s="619"/>
      <c r="M465" s="332"/>
      <c r="N465" s="620"/>
      <c r="O465" s="620"/>
    </row>
    <row r="466" spans="1:15" x14ac:dyDescent="0.25">
      <c r="A466" s="618"/>
      <c r="B466" s="619"/>
      <c r="C466" s="619"/>
      <c r="D466" s="619"/>
      <c r="E466" s="619"/>
      <c r="F466" s="619"/>
      <c r="G466" s="619"/>
      <c r="H466" s="619"/>
      <c r="I466" s="619"/>
      <c r="J466" s="332"/>
      <c r="K466" s="332"/>
      <c r="L466" s="619"/>
      <c r="M466" s="332"/>
      <c r="N466" s="620"/>
      <c r="O466" s="620"/>
    </row>
    <row r="467" spans="1:15" x14ac:dyDescent="0.25">
      <c r="A467" s="618"/>
      <c r="B467" s="619"/>
      <c r="C467" s="619"/>
      <c r="D467" s="619"/>
      <c r="E467" s="619"/>
      <c r="F467" s="619"/>
      <c r="G467" s="619"/>
      <c r="H467" s="619"/>
      <c r="I467" s="619"/>
      <c r="J467" s="332"/>
      <c r="K467" s="332"/>
      <c r="L467" s="619"/>
      <c r="M467" s="332"/>
      <c r="N467" s="620"/>
      <c r="O467" s="620"/>
    </row>
    <row r="468" spans="1:15" x14ac:dyDescent="0.25">
      <c r="A468" s="618"/>
      <c r="B468" s="619"/>
      <c r="C468" s="619"/>
      <c r="D468" s="619"/>
      <c r="E468" s="619"/>
      <c r="F468" s="619"/>
      <c r="G468" s="619"/>
      <c r="H468" s="619"/>
      <c r="I468" s="619"/>
      <c r="J468" s="332"/>
      <c r="K468" s="332"/>
      <c r="L468" s="619"/>
      <c r="M468" s="332"/>
      <c r="N468" s="620"/>
      <c r="O468" s="620"/>
    </row>
    <row r="469" spans="1:15" x14ac:dyDescent="0.25">
      <c r="A469" s="618"/>
      <c r="B469" s="619"/>
      <c r="C469" s="619"/>
      <c r="D469" s="619"/>
      <c r="E469" s="619"/>
      <c r="F469" s="619"/>
      <c r="G469" s="619"/>
      <c r="H469" s="619"/>
      <c r="I469" s="619"/>
      <c r="J469" s="332"/>
      <c r="K469" s="332"/>
      <c r="L469" s="619"/>
      <c r="M469" s="332"/>
      <c r="N469" s="620"/>
      <c r="O469" s="620"/>
    </row>
    <row r="470" spans="1:15" x14ac:dyDescent="0.25">
      <c r="A470" s="618"/>
      <c r="B470" s="619"/>
      <c r="C470" s="619"/>
      <c r="D470" s="619"/>
      <c r="E470" s="619"/>
      <c r="F470" s="619"/>
      <c r="G470" s="619"/>
      <c r="H470" s="619"/>
      <c r="I470" s="619"/>
      <c r="J470" s="332"/>
      <c r="K470" s="332"/>
      <c r="L470" s="619"/>
      <c r="M470" s="332"/>
      <c r="N470" s="620"/>
      <c r="O470" s="620"/>
    </row>
    <row r="471" spans="1:15" x14ac:dyDescent="0.25">
      <c r="A471" s="618"/>
      <c r="B471" s="619"/>
      <c r="C471" s="619"/>
      <c r="D471" s="619"/>
      <c r="E471" s="619"/>
      <c r="F471" s="619"/>
      <c r="G471" s="619"/>
      <c r="H471" s="619"/>
      <c r="I471" s="619"/>
      <c r="J471" s="332"/>
      <c r="K471" s="332"/>
      <c r="L471" s="619"/>
      <c r="M471" s="332"/>
      <c r="N471" s="620"/>
      <c r="O471" s="620"/>
    </row>
    <row r="472" spans="1:15" x14ac:dyDescent="0.25">
      <c r="A472" s="618"/>
      <c r="B472" s="619"/>
      <c r="C472" s="619"/>
      <c r="D472" s="619"/>
      <c r="E472" s="619"/>
      <c r="F472" s="619"/>
      <c r="G472" s="619"/>
      <c r="H472" s="619"/>
      <c r="I472" s="619"/>
      <c r="J472" s="332"/>
      <c r="K472" s="332"/>
      <c r="L472" s="619"/>
      <c r="M472" s="332"/>
      <c r="N472" s="620"/>
      <c r="O472" s="620"/>
    </row>
    <row r="473" spans="1:15" x14ac:dyDescent="0.25">
      <c r="A473" s="618"/>
      <c r="B473" s="619"/>
      <c r="C473" s="619"/>
      <c r="D473" s="619"/>
      <c r="E473" s="619"/>
      <c r="F473" s="619"/>
      <c r="G473" s="619"/>
      <c r="H473" s="619"/>
      <c r="I473" s="619"/>
      <c r="J473" s="332"/>
      <c r="K473" s="332"/>
      <c r="L473" s="619"/>
      <c r="M473" s="332"/>
      <c r="N473" s="620"/>
      <c r="O473" s="620"/>
    </row>
    <row r="474" spans="1:15" x14ac:dyDescent="0.25">
      <c r="A474" s="618"/>
      <c r="B474" s="619"/>
      <c r="C474" s="619"/>
      <c r="D474" s="619"/>
      <c r="E474" s="619"/>
      <c r="F474" s="619"/>
      <c r="G474" s="619"/>
      <c r="H474" s="619"/>
      <c r="I474" s="619"/>
      <c r="J474" s="332"/>
      <c r="K474" s="332"/>
      <c r="L474" s="619"/>
      <c r="M474" s="332"/>
      <c r="N474" s="620"/>
      <c r="O474" s="620"/>
    </row>
    <row r="475" spans="1:15" x14ac:dyDescent="0.25">
      <c r="A475" s="618"/>
      <c r="B475" s="619"/>
      <c r="C475" s="619"/>
      <c r="D475" s="619"/>
      <c r="E475" s="619"/>
      <c r="F475" s="619"/>
      <c r="G475" s="619"/>
      <c r="H475" s="619"/>
      <c r="I475" s="619"/>
      <c r="J475" s="332"/>
      <c r="K475" s="332"/>
      <c r="L475" s="619"/>
      <c r="M475" s="332"/>
      <c r="N475" s="620"/>
      <c r="O475" s="620"/>
    </row>
    <row r="476" spans="1:15" x14ac:dyDescent="0.25">
      <c r="A476" s="618"/>
      <c r="B476" s="619"/>
      <c r="C476" s="619"/>
      <c r="D476" s="619"/>
      <c r="E476" s="619"/>
      <c r="F476" s="619"/>
      <c r="G476" s="619"/>
      <c r="H476" s="619"/>
      <c r="I476" s="619"/>
      <c r="J476" s="332"/>
      <c r="K476" s="332"/>
      <c r="L476" s="619"/>
      <c r="M476" s="332"/>
      <c r="N476" s="620"/>
      <c r="O476" s="620"/>
    </row>
    <row r="477" spans="1:15" x14ac:dyDescent="0.25">
      <c r="A477" s="618"/>
      <c r="B477" s="619"/>
      <c r="C477" s="619"/>
      <c r="D477" s="619"/>
      <c r="E477" s="619"/>
      <c r="F477" s="619"/>
      <c r="G477" s="619"/>
      <c r="H477" s="619"/>
      <c r="I477" s="619"/>
      <c r="J477" s="332"/>
      <c r="K477" s="332"/>
      <c r="L477" s="619"/>
      <c r="M477" s="332"/>
      <c r="N477" s="620"/>
      <c r="O477" s="620"/>
    </row>
    <row r="478" spans="1:15" x14ac:dyDescent="0.25">
      <c r="A478" s="618"/>
      <c r="B478" s="619"/>
      <c r="C478" s="619"/>
      <c r="D478" s="619"/>
      <c r="E478" s="619"/>
      <c r="F478" s="619"/>
      <c r="G478" s="619"/>
      <c r="H478" s="619"/>
      <c r="I478" s="619"/>
      <c r="J478" s="332"/>
      <c r="K478" s="332"/>
      <c r="L478" s="619"/>
      <c r="M478" s="332"/>
      <c r="N478" s="620"/>
      <c r="O478" s="620"/>
    </row>
    <row r="479" spans="1:15" x14ac:dyDescent="0.25">
      <c r="A479" s="618"/>
      <c r="B479" s="619"/>
      <c r="C479" s="619"/>
      <c r="D479" s="619"/>
      <c r="E479" s="619"/>
      <c r="F479" s="619"/>
      <c r="G479" s="619"/>
      <c r="H479" s="619"/>
      <c r="I479" s="619"/>
      <c r="J479" s="332"/>
      <c r="K479" s="332"/>
      <c r="L479" s="619"/>
      <c r="M479" s="332"/>
      <c r="N479" s="620"/>
      <c r="O479" s="620"/>
    </row>
    <row r="480" spans="1:15" x14ac:dyDescent="0.25">
      <c r="A480" s="618"/>
      <c r="B480" s="619"/>
      <c r="C480" s="619"/>
      <c r="D480" s="619"/>
      <c r="E480" s="619"/>
      <c r="F480" s="619"/>
      <c r="G480" s="619"/>
      <c r="H480" s="619"/>
      <c r="I480" s="619"/>
      <c r="J480" s="332"/>
      <c r="K480" s="332"/>
      <c r="L480" s="619"/>
      <c r="M480" s="332"/>
      <c r="N480" s="620"/>
      <c r="O480" s="620"/>
    </row>
    <row r="481" spans="1:15" x14ac:dyDescent="0.25">
      <c r="A481" s="618"/>
      <c r="B481" s="619"/>
      <c r="C481" s="619"/>
      <c r="D481" s="619"/>
      <c r="E481" s="619"/>
      <c r="F481" s="619"/>
      <c r="G481" s="619"/>
      <c r="H481" s="619"/>
      <c r="I481" s="619"/>
      <c r="J481" s="332"/>
      <c r="K481" s="332"/>
      <c r="L481" s="619"/>
      <c r="M481" s="332"/>
      <c r="N481" s="620"/>
      <c r="O481" s="620"/>
    </row>
    <row r="482" spans="1:15" x14ac:dyDescent="0.25">
      <c r="A482" s="618"/>
      <c r="B482" s="619"/>
      <c r="C482" s="619"/>
      <c r="D482" s="619"/>
      <c r="E482" s="619"/>
      <c r="F482" s="619"/>
      <c r="G482" s="619"/>
      <c r="H482" s="619"/>
      <c r="I482" s="619"/>
      <c r="J482" s="332"/>
      <c r="K482" s="332"/>
      <c r="L482" s="619"/>
      <c r="M482" s="332"/>
      <c r="N482" s="620"/>
      <c r="O482" s="620"/>
    </row>
    <row r="483" spans="1:15" x14ac:dyDescent="0.25">
      <c r="A483" s="618"/>
      <c r="B483" s="619"/>
      <c r="C483" s="619"/>
      <c r="D483" s="619"/>
      <c r="E483" s="619"/>
      <c r="F483" s="619"/>
      <c r="G483" s="619"/>
      <c r="H483" s="619"/>
      <c r="I483" s="619"/>
      <c r="J483" s="332"/>
      <c r="K483" s="332"/>
      <c r="L483" s="619"/>
      <c r="M483" s="332"/>
      <c r="N483" s="620"/>
      <c r="O483" s="620"/>
    </row>
    <row r="484" spans="1:15" x14ac:dyDescent="0.25">
      <c r="A484" s="618"/>
      <c r="B484" s="619"/>
      <c r="C484" s="619"/>
      <c r="D484" s="619"/>
      <c r="E484" s="619"/>
      <c r="F484" s="619"/>
      <c r="G484" s="619"/>
      <c r="H484" s="619"/>
      <c r="I484" s="619"/>
      <c r="J484" s="332"/>
      <c r="K484" s="332"/>
      <c r="L484" s="619"/>
      <c r="M484" s="332"/>
      <c r="N484" s="620"/>
      <c r="O484" s="620"/>
    </row>
    <row r="485" spans="1:15" x14ac:dyDescent="0.25">
      <c r="A485" s="618"/>
      <c r="B485" s="619"/>
      <c r="C485" s="619"/>
      <c r="D485" s="619"/>
      <c r="E485" s="619"/>
      <c r="F485" s="619"/>
      <c r="G485" s="619"/>
      <c r="H485" s="619"/>
      <c r="I485" s="619"/>
      <c r="J485" s="332"/>
      <c r="K485" s="332"/>
      <c r="L485" s="619"/>
      <c r="M485" s="332"/>
      <c r="N485" s="620"/>
      <c r="O485" s="620"/>
    </row>
    <row r="486" spans="1:15" x14ac:dyDescent="0.25">
      <c r="A486" s="618"/>
      <c r="B486" s="619"/>
      <c r="C486" s="619"/>
      <c r="D486" s="619"/>
      <c r="E486" s="619"/>
      <c r="F486" s="619"/>
      <c r="G486" s="619"/>
      <c r="H486" s="619"/>
      <c r="I486" s="619"/>
      <c r="J486" s="332"/>
      <c r="K486" s="332"/>
      <c r="L486" s="619"/>
      <c r="M486" s="332"/>
      <c r="N486" s="620"/>
      <c r="O486" s="620"/>
    </row>
    <row r="487" spans="1:15" x14ac:dyDescent="0.25">
      <c r="A487" s="618"/>
      <c r="B487" s="619"/>
      <c r="C487" s="619"/>
      <c r="D487" s="619"/>
      <c r="E487" s="619"/>
      <c r="F487" s="619"/>
      <c r="G487" s="619"/>
      <c r="H487" s="619"/>
      <c r="I487" s="619"/>
      <c r="J487" s="332"/>
      <c r="K487" s="332"/>
      <c r="L487" s="619"/>
      <c r="M487" s="332"/>
      <c r="N487" s="620"/>
      <c r="O487" s="620"/>
    </row>
    <row r="488" spans="1:15" x14ac:dyDescent="0.25">
      <c r="A488" s="618"/>
      <c r="B488" s="619"/>
      <c r="C488" s="619"/>
      <c r="D488" s="619"/>
      <c r="E488" s="619"/>
      <c r="F488" s="619"/>
      <c r="G488" s="619"/>
      <c r="H488" s="619"/>
      <c r="I488" s="619"/>
      <c r="J488" s="332"/>
      <c r="K488" s="332"/>
      <c r="L488" s="619"/>
      <c r="M488" s="332"/>
      <c r="N488" s="620"/>
      <c r="O488" s="620" t="s">
        <v>869</v>
      </c>
    </row>
    <row r="489" spans="1:15" x14ac:dyDescent="0.25">
      <c r="A489" s="618"/>
      <c r="B489" s="619"/>
      <c r="C489" s="619"/>
      <c r="D489" s="619"/>
      <c r="E489" s="619"/>
      <c r="F489" s="619"/>
      <c r="G489" s="619"/>
      <c r="H489" s="619"/>
      <c r="I489" s="619"/>
      <c r="J489" s="332"/>
      <c r="K489" s="332"/>
      <c r="L489" s="619"/>
      <c r="M489" s="332"/>
      <c r="N489" s="620"/>
      <c r="O489" s="620"/>
    </row>
    <row r="490" spans="1:15" x14ac:dyDescent="0.25">
      <c r="A490" s="618"/>
      <c r="B490" s="619"/>
      <c r="C490" s="619"/>
      <c r="D490" s="619"/>
      <c r="E490" s="619"/>
      <c r="F490" s="619"/>
      <c r="G490" s="619"/>
      <c r="H490" s="619"/>
      <c r="I490" s="619"/>
      <c r="J490" s="332"/>
      <c r="K490" s="332"/>
      <c r="L490" s="619"/>
      <c r="M490" s="332"/>
      <c r="N490" s="620"/>
      <c r="O490" s="620"/>
    </row>
    <row r="491" spans="1:15" x14ac:dyDescent="0.25">
      <c r="A491" s="618"/>
      <c r="B491" s="619"/>
      <c r="C491" s="619"/>
      <c r="D491" s="619"/>
      <c r="E491" s="619"/>
      <c r="F491" s="619"/>
      <c r="G491" s="619"/>
      <c r="H491" s="619"/>
      <c r="I491" s="619"/>
      <c r="J491" s="332"/>
      <c r="K491" s="332"/>
      <c r="L491" s="619"/>
      <c r="M491" s="332"/>
      <c r="N491" s="620"/>
      <c r="O491" s="620"/>
    </row>
    <row r="492" spans="1:15" x14ac:dyDescent="0.25">
      <c r="A492" s="618"/>
      <c r="B492" s="619"/>
      <c r="C492" s="619"/>
      <c r="D492" s="619"/>
      <c r="E492" s="619"/>
      <c r="F492" s="619"/>
      <c r="G492" s="619"/>
      <c r="H492" s="619"/>
      <c r="I492" s="619"/>
      <c r="J492" s="332"/>
      <c r="K492" s="332"/>
      <c r="L492" s="619"/>
      <c r="M492" s="332"/>
      <c r="N492" s="620"/>
      <c r="O492" s="620"/>
    </row>
    <row r="493" spans="1:15" x14ac:dyDescent="0.25">
      <c r="A493" s="618"/>
      <c r="B493" s="619"/>
      <c r="C493" s="619"/>
      <c r="D493" s="619"/>
      <c r="E493" s="619"/>
      <c r="F493" s="619"/>
      <c r="G493" s="619"/>
      <c r="H493" s="619"/>
      <c r="I493" s="619"/>
      <c r="J493" s="332"/>
      <c r="K493" s="332"/>
      <c r="L493" s="619"/>
      <c r="M493" s="332"/>
      <c r="N493" s="620"/>
      <c r="O493" s="620"/>
    </row>
    <row r="494" spans="1:15" x14ac:dyDescent="0.25">
      <c r="A494" s="618"/>
      <c r="B494" s="619"/>
      <c r="C494" s="619"/>
      <c r="D494" s="619"/>
      <c r="E494" s="619"/>
      <c r="F494" s="619"/>
      <c r="G494" s="619"/>
      <c r="H494" s="619"/>
      <c r="I494" s="619"/>
      <c r="J494" s="332"/>
      <c r="K494" s="332"/>
      <c r="L494" s="619"/>
      <c r="M494" s="332"/>
      <c r="N494" s="620"/>
      <c r="O494" s="620"/>
    </row>
    <row r="495" spans="1:15" x14ac:dyDescent="0.25">
      <c r="A495" s="618"/>
      <c r="B495" s="619"/>
      <c r="C495" s="619"/>
      <c r="D495" s="619"/>
      <c r="E495" s="619"/>
      <c r="F495" s="619"/>
      <c r="G495" s="619"/>
      <c r="H495" s="619"/>
      <c r="I495" s="619"/>
      <c r="J495" s="332"/>
      <c r="K495" s="332"/>
      <c r="L495" s="619"/>
      <c r="M495" s="332"/>
      <c r="N495" s="620"/>
      <c r="O495" s="620"/>
    </row>
    <row r="496" spans="1:15" x14ac:dyDescent="0.25">
      <c r="A496" s="618"/>
      <c r="B496" s="619"/>
      <c r="C496" s="619"/>
      <c r="D496" s="619"/>
      <c r="E496" s="619"/>
      <c r="F496" s="619"/>
      <c r="G496" s="619"/>
      <c r="H496" s="619"/>
      <c r="I496" s="619"/>
      <c r="J496" s="332"/>
      <c r="K496" s="332"/>
      <c r="L496" s="619"/>
      <c r="M496" s="332"/>
      <c r="N496" s="620"/>
      <c r="O496" s="620"/>
    </row>
    <row r="497" spans="1:15" x14ac:dyDescent="0.25">
      <c r="A497" s="618"/>
      <c r="B497" s="619"/>
      <c r="C497" s="619"/>
      <c r="D497" s="619"/>
      <c r="E497" s="619"/>
      <c r="F497" s="619"/>
      <c r="G497" s="619"/>
      <c r="H497" s="619"/>
      <c r="I497" s="619"/>
      <c r="J497" s="332"/>
      <c r="K497" s="332"/>
      <c r="L497" s="619"/>
      <c r="M497" s="332"/>
      <c r="N497" s="620"/>
      <c r="O497" s="620"/>
    </row>
    <row r="498" spans="1:15" x14ac:dyDescent="0.25">
      <c r="A498" s="618"/>
      <c r="B498" s="619"/>
      <c r="C498" s="619"/>
      <c r="D498" s="619"/>
      <c r="E498" s="619"/>
      <c r="F498" s="619"/>
      <c r="G498" s="619"/>
      <c r="H498" s="619"/>
      <c r="I498" s="619"/>
      <c r="J498" s="332"/>
      <c r="K498" s="332"/>
      <c r="L498" s="619"/>
      <c r="M498" s="332"/>
      <c r="N498" s="620"/>
      <c r="O498" s="620"/>
    </row>
    <row r="499" spans="1:15" x14ac:dyDescent="0.25">
      <c r="A499" s="618"/>
      <c r="B499" s="619"/>
      <c r="C499" s="619"/>
      <c r="D499" s="619"/>
      <c r="E499" s="619"/>
      <c r="F499" s="619"/>
      <c r="G499" s="619"/>
      <c r="H499" s="619"/>
      <c r="I499" s="619"/>
      <c r="J499" s="332"/>
      <c r="K499" s="332"/>
      <c r="L499" s="619"/>
      <c r="M499" s="332"/>
      <c r="N499" s="620"/>
      <c r="O499" s="620"/>
    </row>
    <row r="500" spans="1:15" x14ac:dyDescent="0.25">
      <c r="A500" s="618"/>
      <c r="B500" s="619"/>
      <c r="C500" s="619"/>
      <c r="D500" s="619"/>
      <c r="E500" s="619"/>
      <c r="F500" s="619"/>
      <c r="G500" s="619"/>
      <c r="H500" s="619"/>
      <c r="I500" s="619"/>
      <c r="J500" s="332"/>
      <c r="K500" s="332"/>
      <c r="L500" s="619"/>
      <c r="M500" s="332"/>
      <c r="N500" s="620"/>
      <c r="O500" s="620"/>
    </row>
    <row r="501" spans="1:15" x14ac:dyDescent="0.25">
      <c r="A501" s="618"/>
      <c r="B501" s="619"/>
      <c r="C501" s="619"/>
      <c r="D501" s="619"/>
      <c r="E501" s="619"/>
      <c r="F501" s="619"/>
      <c r="G501" s="619"/>
      <c r="H501" s="619"/>
      <c r="I501" s="619"/>
      <c r="J501" s="332"/>
      <c r="K501" s="332"/>
      <c r="L501" s="619"/>
      <c r="M501" s="332"/>
      <c r="N501" s="620"/>
      <c r="O501" s="620"/>
    </row>
    <row r="502" spans="1:15" x14ac:dyDescent="0.25">
      <c r="A502" s="618"/>
      <c r="B502" s="619"/>
      <c r="C502" s="619"/>
      <c r="D502" s="619"/>
      <c r="E502" s="619"/>
      <c r="F502" s="619"/>
      <c r="G502" s="619"/>
      <c r="H502" s="619"/>
      <c r="I502" s="619"/>
      <c r="J502" s="332"/>
      <c r="K502" s="332"/>
      <c r="L502" s="619"/>
      <c r="M502" s="332"/>
      <c r="N502" s="620"/>
      <c r="O502" s="620"/>
    </row>
    <row r="503" spans="1:15" x14ac:dyDescent="0.25">
      <c r="A503" s="618"/>
      <c r="B503" s="619"/>
      <c r="C503" s="619"/>
      <c r="D503" s="619"/>
      <c r="E503" s="619"/>
      <c r="F503" s="619"/>
      <c r="G503" s="619"/>
      <c r="H503" s="619"/>
      <c r="I503" s="619"/>
      <c r="J503" s="332"/>
      <c r="K503" s="332"/>
      <c r="L503" s="619"/>
      <c r="M503" s="332"/>
      <c r="N503" s="620"/>
      <c r="O503" s="620"/>
    </row>
    <row r="504" spans="1:15" x14ac:dyDescent="0.25">
      <c r="A504" s="618"/>
      <c r="B504" s="619"/>
      <c r="C504" s="619"/>
      <c r="D504" s="619"/>
      <c r="E504" s="619"/>
      <c r="F504" s="619"/>
      <c r="G504" s="619"/>
      <c r="H504" s="619"/>
      <c r="I504" s="619"/>
      <c r="J504" s="332"/>
      <c r="K504" s="332"/>
      <c r="L504" s="619"/>
      <c r="M504" s="332"/>
      <c r="N504" s="620"/>
      <c r="O504" s="620"/>
    </row>
    <row r="505" spans="1:15" x14ac:dyDescent="0.25">
      <c r="A505" s="618"/>
      <c r="B505" s="619"/>
      <c r="C505" s="619"/>
      <c r="D505" s="619"/>
      <c r="E505" s="619"/>
      <c r="F505" s="619"/>
      <c r="G505" s="619"/>
      <c r="H505" s="619"/>
      <c r="I505" s="619"/>
      <c r="J505" s="332"/>
      <c r="K505" s="332"/>
      <c r="L505" s="619"/>
      <c r="M505" s="332"/>
      <c r="N505" s="620"/>
      <c r="O505" s="620"/>
    </row>
    <row r="506" spans="1:15" x14ac:dyDescent="0.25">
      <c r="A506" s="618"/>
      <c r="B506" s="619"/>
      <c r="C506" s="619"/>
      <c r="D506" s="619"/>
      <c r="E506" s="619"/>
      <c r="F506" s="619"/>
      <c r="G506" s="619"/>
      <c r="H506" s="619"/>
      <c r="I506" s="619"/>
      <c r="J506" s="332"/>
      <c r="K506" s="332"/>
      <c r="L506" s="619"/>
      <c r="M506" s="332"/>
      <c r="N506" s="620"/>
      <c r="O506" s="620" t="s">
        <v>870</v>
      </c>
    </row>
    <row r="507" spans="1:15" x14ac:dyDescent="0.25">
      <c r="A507" s="1151"/>
      <c r="B507" s="1153"/>
      <c r="C507" s="1153"/>
      <c r="D507" s="1153"/>
      <c r="E507" s="1153"/>
      <c r="F507" s="1153"/>
      <c r="G507" s="1153"/>
      <c r="H507" s="1153"/>
      <c r="I507" s="1153"/>
      <c r="J507" s="1153"/>
      <c r="K507" s="1153"/>
      <c r="L507" s="1153"/>
      <c r="M507" s="1153"/>
      <c r="N507" s="620"/>
      <c r="O507" s="620"/>
    </row>
    <row r="508" spans="1:15" x14ac:dyDescent="0.25">
      <c r="A508" s="1150"/>
      <c r="B508" s="1150"/>
      <c r="C508" s="1150"/>
      <c r="D508" s="1150"/>
      <c r="E508" s="1150"/>
      <c r="F508" s="1150"/>
      <c r="G508" s="1150"/>
      <c r="H508" s="1150"/>
      <c r="I508" s="1150"/>
      <c r="J508" s="1150"/>
      <c r="K508" s="1150"/>
      <c r="L508" s="1150"/>
      <c r="M508" s="1150"/>
      <c r="N508" s="620"/>
      <c r="O508" s="620"/>
    </row>
    <row r="509" spans="1:15" x14ac:dyDescent="0.25">
      <c r="A509" s="618"/>
      <c r="B509" s="619"/>
      <c r="C509" s="619"/>
      <c r="D509" s="619"/>
      <c r="E509" s="619"/>
      <c r="F509" s="619"/>
      <c r="G509" s="619"/>
      <c r="H509" s="619"/>
      <c r="I509" s="619"/>
      <c r="J509" s="332"/>
      <c r="K509" s="332"/>
      <c r="L509" s="619"/>
      <c r="M509" s="332"/>
      <c r="N509" s="620"/>
      <c r="O509" s="620"/>
    </row>
    <row r="510" spans="1:15" x14ac:dyDescent="0.25">
      <c r="A510" s="618"/>
      <c r="B510" s="619"/>
      <c r="C510" s="619"/>
      <c r="D510" s="619"/>
      <c r="E510" s="619"/>
      <c r="F510" s="619"/>
      <c r="G510" s="619"/>
      <c r="H510" s="619"/>
      <c r="I510" s="619"/>
      <c r="J510" s="332"/>
      <c r="K510" s="332"/>
      <c r="L510" s="619"/>
      <c r="M510" s="332"/>
      <c r="N510" s="620"/>
      <c r="O510" s="620"/>
    </row>
    <row r="511" spans="1:15" x14ac:dyDescent="0.25">
      <c r="A511" s="618"/>
      <c r="B511" s="619"/>
      <c r="C511" s="619"/>
      <c r="D511" s="619"/>
      <c r="E511" s="619"/>
      <c r="F511" s="619"/>
      <c r="G511" s="619"/>
      <c r="H511" s="619"/>
      <c r="I511" s="619"/>
      <c r="J511" s="332"/>
      <c r="K511" s="332"/>
      <c r="L511" s="619"/>
      <c r="M511" s="332"/>
      <c r="N511" s="620"/>
      <c r="O511" s="620"/>
    </row>
    <row r="512" spans="1:15" x14ac:dyDescent="0.25">
      <c r="A512" s="618"/>
      <c r="B512" s="619"/>
      <c r="C512" s="619"/>
      <c r="D512" s="619"/>
      <c r="E512" s="619"/>
      <c r="F512" s="619"/>
      <c r="G512" s="619"/>
      <c r="H512" s="619"/>
      <c r="I512" s="619"/>
      <c r="J512" s="332"/>
      <c r="K512" s="332"/>
      <c r="L512" s="619"/>
      <c r="M512" s="332"/>
      <c r="N512" s="620"/>
      <c r="O512" s="620"/>
    </row>
    <row r="513" spans="1:15" x14ac:dyDescent="0.25">
      <c r="A513" s="618"/>
      <c r="B513" s="619"/>
      <c r="C513" s="619"/>
      <c r="D513" s="619"/>
      <c r="E513" s="619"/>
      <c r="F513" s="619"/>
      <c r="G513" s="619"/>
      <c r="H513" s="619"/>
      <c r="I513" s="619"/>
      <c r="J513" s="332"/>
      <c r="K513" s="332"/>
      <c r="L513" s="619"/>
      <c r="M513" s="332"/>
      <c r="N513" s="620"/>
      <c r="O513" s="620"/>
    </row>
    <row r="514" spans="1:15" x14ac:dyDescent="0.25">
      <c r="A514" s="618"/>
      <c r="B514" s="619"/>
      <c r="C514" s="619"/>
      <c r="D514" s="619"/>
      <c r="E514" s="619"/>
      <c r="F514" s="619"/>
      <c r="G514" s="619"/>
      <c r="H514" s="619"/>
      <c r="I514" s="619"/>
      <c r="J514" s="332"/>
      <c r="K514" s="332"/>
      <c r="L514" s="619"/>
      <c r="M514" s="332"/>
      <c r="N514" s="620"/>
      <c r="O514" s="620"/>
    </row>
    <row r="515" spans="1:15" x14ac:dyDescent="0.25">
      <c r="A515" s="618"/>
      <c r="B515" s="619"/>
      <c r="C515" s="619"/>
      <c r="D515" s="619"/>
      <c r="E515" s="619"/>
      <c r="F515" s="619"/>
      <c r="G515" s="619"/>
      <c r="H515" s="619"/>
      <c r="I515" s="619"/>
      <c r="J515" s="332"/>
      <c r="K515" s="332"/>
      <c r="L515" s="619"/>
      <c r="M515" s="332"/>
      <c r="N515" s="620"/>
      <c r="O515" s="620"/>
    </row>
    <row r="516" spans="1:15" x14ac:dyDescent="0.25">
      <c r="A516" s="618"/>
      <c r="B516" s="619"/>
      <c r="C516" s="619"/>
      <c r="D516" s="619"/>
      <c r="E516" s="619"/>
      <c r="F516" s="619"/>
      <c r="G516" s="619"/>
      <c r="H516" s="619"/>
      <c r="I516" s="619"/>
      <c r="J516" s="332"/>
      <c r="K516" s="332"/>
      <c r="L516" s="619"/>
      <c r="M516" s="332"/>
      <c r="N516" s="620"/>
      <c r="O516" s="620" t="s">
        <v>871</v>
      </c>
    </row>
    <row r="517" spans="1:15" x14ac:dyDescent="0.25">
      <c r="A517" s="618"/>
      <c r="B517" s="619"/>
      <c r="C517" s="619"/>
      <c r="D517" s="619"/>
      <c r="E517" s="619"/>
      <c r="F517" s="619"/>
      <c r="G517" s="619"/>
      <c r="H517" s="619"/>
      <c r="I517" s="619"/>
      <c r="J517" s="332"/>
      <c r="K517" s="332"/>
      <c r="L517" s="619"/>
      <c r="M517" s="332"/>
      <c r="N517" s="620"/>
      <c r="O517" s="620"/>
    </row>
    <row r="518" spans="1:15" x14ac:dyDescent="0.25">
      <c r="A518" s="618"/>
      <c r="B518" s="619"/>
      <c r="C518" s="619"/>
      <c r="D518" s="619"/>
      <c r="E518" s="619"/>
      <c r="F518" s="619"/>
      <c r="G518" s="619"/>
      <c r="H518" s="619"/>
      <c r="I518" s="619"/>
      <c r="J518" s="332"/>
      <c r="K518" s="332"/>
      <c r="L518" s="619"/>
      <c r="M518" s="332"/>
      <c r="N518" s="620"/>
      <c r="O518" s="620"/>
    </row>
    <row r="519" spans="1:15" x14ac:dyDescent="0.25">
      <c r="A519" s="618"/>
      <c r="B519" s="619"/>
      <c r="C519" s="619"/>
      <c r="D519" s="619"/>
      <c r="E519" s="619"/>
      <c r="F519" s="619"/>
      <c r="G519" s="619"/>
      <c r="H519" s="619"/>
      <c r="I519" s="619"/>
      <c r="J519" s="332"/>
      <c r="K519" s="332"/>
      <c r="L519" s="619"/>
      <c r="M519" s="332"/>
      <c r="N519" s="620"/>
      <c r="O519" s="620"/>
    </row>
    <row r="520" spans="1:15" x14ac:dyDescent="0.25">
      <c r="A520" s="618"/>
      <c r="B520" s="619"/>
      <c r="C520" s="619"/>
      <c r="D520" s="619"/>
      <c r="E520" s="619"/>
      <c r="F520" s="619"/>
      <c r="G520" s="619"/>
      <c r="H520" s="619"/>
      <c r="I520" s="619"/>
      <c r="J520" s="332"/>
      <c r="K520" s="332"/>
      <c r="L520" s="619"/>
      <c r="M520" s="332"/>
      <c r="N520" s="620"/>
      <c r="O520" s="620"/>
    </row>
    <row r="521" spans="1:15" x14ac:dyDescent="0.25">
      <c r="A521" s="618"/>
      <c r="B521" s="619"/>
      <c r="C521" s="619"/>
      <c r="D521" s="619"/>
      <c r="E521" s="619"/>
      <c r="F521" s="619"/>
      <c r="G521" s="619"/>
      <c r="H521" s="619"/>
      <c r="I521" s="619"/>
      <c r="J521" s="332"/>
      <c r="K521" s="332"/>
      <c r="L521" s="619"/>
      <c r="M521" s="332"/>
      <c r="N521" s="620"/>
      <c r="O521" s="620"/>
    </row>
    <row r="522" spans="1:15" x14ac:dyDescent="0.25">
      <c r="A522" s="618"/>
      <c r="B522" s="619"/>
      <c r="C522" s="619"/>
      <c r="D522" s="619"/>
      <c r="E522" s="619"/>
      <c r="F522" s="619"/>
      <c r="G522" s="619"/>
      <c r="H522" s="619"/>
      <c r="I522" s="619"/>
      <c r="J522" s="332"/>
      <c r="K522" s="332"/>
      <c r="L522" s="619"/>
      <c r="M522" s="332"/>
      <c r="N522" s="620"/>
      <c r="O522" s="620"/>
    </row>
    <row r="523" spans="1:15" x14ac:dyDescent="0.25">
      <c r="A523" s="618"/>
      <c r="B523" s="619"/>
      <c r="C523" s="619"/>
      <c r="D523" s="619"/>
      <c r="E523" s="619"/>
      <c r="F523" s="619"/>
      <c r="G523" s="619"/>
      <c r="H523" s="619"/>
      <c r="I523" s="619"/>
      <c r="J523" s="332"/>
      <c r="K523" s="332"/>
      <c r="L523" s="619"/>
      <c r="M523" s="332"/>
      <c r="N523" s="620"/>
      <c r="O523" s="620"/>
    </row>
    <row r="524" spans="1:15" x14ac:dyDescent="0.25">
      <c r="A524" s="618"/>
      <c r="B524" s="619"/>
      <c r="C524" s="619"/>
      <c r="D524" s="619"/>
      <c r="E524" s="619"/>
      <c r="F524" s="619"/>
      <c r="G524" s="619"/>
      <c r="H524" s="619"/>
      <c r="I524" s="619"/>
      <c r="J524" s="332"/>
      <c r="K524" s="332"/>
      <c r="L524" s="619"/>
      <c r="M524" s="332"/>
      <c r="N524" s="620"/>
      <c r="O524" s="620"/>
    </row>
    <row r="525" spans="1:15" x14ac:dyDescent="0.25">
      <c r="A525" s="618"/>
      <c r="B525" s="619"/>
      <c r="C525" s="619"/>
      <c r="D525" s="619"/>
      <c r="E525" s="619"/>
      <c r="F525" s="619"/>
      <c r="G525" s="619"/>
      <c r="H525" s="619"/>
      <c r="I525" s="619"/>
      <c r="J525" s="332"/>
      <c r="K525" s="332"/>
      <c r="L525" s="619"/>
      <c r="M525" s="332"/>
      <c r="N525" s="620"/>
      <c r="O525" s="620" t="s">
        <v>872</v>
      </c>
    </row>
    <row r="526" spans="1:15" x14ac:dyDescent="0.25">
      <c r="A526" s="618"/>
      <c r="B526" s="619"/>
      <c r="C526" s="619"/>
      <c r="D526" s="619"/>
      <c r="E526" s="619"/>
      <c r="F526" s="619"/>
      <c r="G526" s="619"/>
      <c r="H526" s="619"/>
      <c r="I526" s="619"/>
      <c r="J526" s="332"/>
      <c r="K526" s="332"/>
      <c r="L526" s="619"/>
      <c r="M526" s="332"/>
      <c r="N526" s="620"/>
      <c r="O526" s="620"/>
    </row>
    <row r="527" spans="1:15" x14ac:dyDescent="0.25">
      <c r="A527" s="618"/>
      <c r="B527" s="619"/>
      <c r="C527" s="619"/>
      <c r="D527" s="619"/>
      <c r="E527" s="619"/>
      <c r="F527" s="619"/>
      <c r="G527" s="619"/>
      <c r="H527" s="619"/>
      <c r="I527" s="619"/>
      <c r="J527" s="332"/>
      <c r="K527" s="332"/>
      <c r="L527" s="619"/>
      <c r="M527" s="332"/>
      <c r="N527" s="620"/>
      <c r="O527" s="620"/>
    </row>
    <row r="528" spans="1:15" x14ac:dyDescent="0.25">
      <c r="A528" s="618"/>
      <c r="B528" s="619"/>
      <c r="C528" s="619"/>
      <c r="D528" s="619"/>
      <c r="E528" s="619"/>
      <c r="F528" s="619"/>
      <c r="G528" s="619"/>
      <c r="H528" s="619"/>
      <c r="I528" s="619"/>
      <c r="J528" s="332"/>
      <c r="K528" s="332"/>
      <c r="L528" s="619"/>
      <c r="M528" s="332"/>
      <c r="N528" s="620"/>
      <c r="O528" s="620"/>
    </row>
    <row r="529" spans="1:15" x14ac:dyDescent="0.25">
      <c r="A529" s="618"/>
      <c r="B529" s="619"/>
      <c r="C529" s="619"/>
      <c r="D529" s="619"/>
      <c r="E529" s="619"/>
      <c r="F529" s="619"/>
      <c r="G529" s="619"/>
      <c r="H529" s="619"/>
      <c r="I529" s="619"/>
      <c r="J529" s="332"/>
      <c r="K529" s="332"/>
      <c r="L529" s="619"/>
      <c r="M529" s="332"/>
      <c r="N529" s="620"/>
      <c r="O529" s="620"/>
    </row>
    <row r="530" spans="1:15" x14ac:dyDescent="0.25">
      <c r="A530" s="618"/>
      <c r="B530" s="619"/>
      <c r="C530" s="619"/>
      <c r="D530" s="619"/>
      <c r="E530" s="619"/>
      <c r="F530" s="619"/>
      <c r="G530" s="619"/>
      <c r="H530" s="619"/>
      <c r="I530" s="619"/>
      <c r="J530" s="332"/>
      <c r="K530" s="332"/>
      <c r="L530" s="619"/>
      <c r="M530" s="332"/>
      <c r="N530" s="620"/>
      <c r="O530" s="620"/>
    </row>
    <row r="531" spans="1:15" x14ac:dyDescent="0.25">
      <c r="A531" s="618"/>
      <c r="B531" s="619"/>
      <c r="C531" s="619"/>
      <c r="D531" s="619"/>
      <c r="E531" s="619"/>
      <c r="F531" s="619"/>
      <c r="G531" s="619"/>
      <c r="H531" s="619"/>
      <c r="I531" s="619"/>
      <c r="J531" s="332"/>
      <c r="K531" s="332"/>
      <c r="L531" s="619"/>
      <c r="M531" s="332"/>
      <c r="N531" s="620"/>
      <c r="O531" s="620"/>
    </row>
    <row r="532" spans="1:15" x14ac:dyDescent="0.25">
      <c r="A532" s="618"/>
      <c r="B532" s="619"/>
      <c r="C532" s="619"/>
      <c r="D532" s="619"/>
      <c r="E532" s="619"/>
      <c r="F532" s="619"/>
      <c r="G532" s="619"/>
      <c r="H532" s="619"/>
      <c r="I532" s="619"/>
      <c r="J532" s="332"/>
      <c r="K532" s="332"/>
      <c r="L532" s="619"/>
      <c r="M532" s="332"/>
      <c r="N532" s="620"/>
      <c r="O532" s="620"/>
    </row>
    <row r="533" spans="1:15" x14ac:dyDescent="0.25">
      <c r="A533" s="618"/>
      <c r="B533" s="619"/>
      <c r="C533" s="619"/>
      <c r="D533" s="619"/>
      <c r="E533" s="619"/>
      <c r="F533" s="619"/>
      <c r="G533" s="619"/>
      <c r="H533" s="619"/>
      <c r="I533" s="619"/>
      <c r="J533" s="332"/>
      <c r="K533" s="332"/>
      <c r="L533" s="619"/>
      <c r="M533" s="332"/>
      <c r="N533" s="620"/>
      <c r="O533" s="620"/>
    </row>
    <row r="534" spans="1:15" x14ac:dyDescent="0.25">
      <c r="A534" s="618"/>
      <c r="B534" s="619"/>
      <c r="C534" s="619"/>
      <c r="D534" s="619"/>
      <c r="E534" s="619"/>
      <c r="F534" s="619"/>
      <c r="G534" s="619"/>
      <c r="H534" s="619"/>
      <c r="I534" s="619"/>
      <c r="J534" s="332"/>
      <c r="K534" s="332"/>
      <c r="L534" s="619"/>
      <c r="M534" s="332"/>
      <c r="N534" s="620"/>
      <c r="O534" s="620"/>
    </row>
    <row r="535" spans="1:15" x14ac:dyDescent="0.25">
      <c r="A535" s="618"/>
      <c r="B535" s="619"/>
      <c r="C535" s="619"/>
      <c r="D535" s="619"/>
      <c r="E535" s="619"/>
      <c r="F535" s="619"/>
      <c r="G535" s="619"/>
      <c r="H535" s="619"/>
      <c r="I535" s="619"/>
      <c r="J535" s="332"/>
      <c r="K535" s="332"/>
      <c r="L535" s="619"/>
      <c r="M535" s="332"/>
      <c r="N535" s="620"/>
      <c r="O535" s="620" t="s">
        <v>873</v>
      </c>
    </row>
    <row r="536" spans="1:15" x14ac:dyDescent="0.25">
      <c r="A536" s="618"/>
      <c r="B536" s="619"/>
      <c r="C536" s="619"/>
      <c r="D536" s="619"/>
      <c r="E536" s="619"/>
      <c r="F536" s="619"/>
      <c r="G536" s="619"/>
      <c r="H536" s="619"/>
      <c r="I536" s="619"/>
      <c r="J536" s="332"/>
      <c r="K536" s="332"/>
      <c r="L536" s="619"/>
      <c r="M536" s="332"/>
      <c r="N536" s="620"/>
      <c r="O536" s="620"/>
    </row>
    <row r="537" spans="1:15" x14ac:dyDescent="0.25">
      <c r="A537" s="618"/>
      <c r="B537" s="619"/>
      <c r="C537" s="619"/>
      <c r="D537" s="619"/>
      <c r="E537" s="619"/>
      <c r="F537" s="619"/>
      <c r="G537" s="619"/>
      <c r="H537" s="619"/>
      <c r="I537" s="619"/>
      <c r="J537" s="332"/>
      <c r="K537" s="332"/>
      <c r="L537" s="619"/>
      <c r="M537" s="332"/>
      <c r="N537" s="620"/>
      <c r="O537" s="620"/>
    </row>
    <row r="538" spans="1:15" x14ac:dyDescent="0.25">
      <c r="A538" s="618"/>
      <c r="B538" s="619"/>
      <c r="C538" s="619"/>
      <c r="D538" s="619"/>
      <c r="E538" s="619"/>
      <c r="F538" s="619"/>
      <c r="G538" s="619"/>
      <c r="H538" s="619"/>
      <c r="I538" s="619"/>
      <c r="J538" s="332"/>
      <c r="K538" s="332"/>
      <c r="L538" s="619"/>
      <c r="M538" s="332"/>
      <c r="N538" s="620"/>
      <c r="O538" s="620"/>
    </row>
    <row r="539" spans="1:15" x14ac:dyDescent="0.25">
      <c r="A539" s="618"/>
      <c r="B539" s="619"/>
      <c r="C539" s="619"/>
      <c r="D539" s="619"/>
      <c r="E539" s="619"/>
      <c r="F539" s="619"/>
      <c r="G539" s="619"/>
      <c r="H539" s="619"/>
      <c r="I539" s="619"/>
      <c r="J539" s="332"/>
      <c r="K539" s="332"/>
      <c r="L539" s="619"/>
      <c r="M539" s="332"/>
      <c r="N539" s="620"/>
      <c r="O539" s="620"/>
    </row>
    <row r="540" spans="1:15" x14ac:dyDescent="0.25">
      <c r="A540" s="618"/>
      <c r="B540" s="619"/>
      <c r="C540" s="619"/>
      <c r="D540" s="619"/>
      <c r="E540" s="619"/>
      <c r="F540" s="619"/>
      <c r="G540" s="619"/>
      <c r="H540" s="619"/>
      <c r="I540" s="619"/>
      <c r="J540" s="332"/>
      <c r="K540" s="332"/>
      <c r="L540" s="619"/>
      <c r="M540" s="332"/>
      <c r="N540" s="620"/>
      <c r="O540" s="620"/>
    </row>
    <row r="541" spans="1:15" x14ac:dyDescent="0.25">
      <c r="A541" s="618"/>
      <c r="B541" s="619"/>
      <c r="C541" s="619"/>
      <c r="D541" s="619"/>
      <c r="E541" s="619"/>
      <c r="F541" s="619"/>
      <c r="G541" s="619"/>
      <c r="H541" s="619"/>
      <c r="I541" s="619"/>
      <c r="J541" s="332"/>
      <c r="K541" s="332"/>
      <c r="L541" s="619"/>
      <c r="M541" s="332"/>
      <c r="N541" s="620"/>
      <c r="O541" s="620"/>
    </row>
    <row r="542" spans="1:15" x14ac:dyDescent="0.25">
      <c r="A542" s="618"/>
      <c r="B542" s="619"/>
      <c r="C542" s="619"/>
      <c r="D542" s="619"/>
      <c r="E542" s="619"/>
      <c r="F542" s="619"/>
      <c r="G542" s="619"/>
      <c r="H542" s="619"/>
      <c r="I542" s="619"/>
      <c r="J542" s="332"/>
      <c r="K542" s="332"/>
      <c r="L542" s="619"/>
      <c r="M542" s="332"/>
      <c r="N542" s="620"/>
      <c r="O542" s="620"/>
    </row>
    <row r="543" spans="1:15" x14ac:dyDescent="0.25">
      <c r="A543" s="618"/>
      <c r="B543" s="619"/>
      <c r="C543" s="619"/>
      <c r="D543" s="619"/>
      <c r="E543" s="619"/>
      <c r="F543" s="619"/>
      <c r="G543" s="619"/>
      <c r="H543" s="619"/>
      <c r="I543" s="619"/>
      <c r="J543" s="332"/>
      <c r="K543" s="332"/>
      <c r="L543" s="619"/>
      <c r="M543" s="332"/>
      <c r="N543" s="620"/>
      <c r="O543" s="620"/>
    </row>
    <row r="544" spans="1:15" x14ac:dyDescent="0.25">
      <c r="A544" s="618"/>
      <c r="B544" s="619"/>
      <c r="C544" s="619"/>
      <c r="D544" s="619"/>
      <c r="E544" s="619"/>
      <c r="F544" s="619"/>
      <c r="G544" s="619"/>
      <c r="H544" s="619"/>
      <c r="I544" s="619"/>
      <c r="J544" s="332"/>
      <c r="K544" s="332"/>
      <c r="L544" s="619"/>
      <c r="M544" s="332"/>
      <c r="N544" s="620"/>
      <c r="O544" s="620"/>
    </row>
    <row r="545" spans="1:15" x14ac:dyDescent="0.25">
      <c r="A545" s="618"/>
      <c r="B545" s="619"/>
      <c r="C545" s="619"/>
      <c r="D545" s="619"/>
      <c r="E545" s="619"/>
      <c r="F545" s="619"/>
      <c r="G545" s="619"/>
      <c r="H545" s="619"/>
      <c r="I545" s="619"/>
      <c r="J545" s="332"/>
      <c r="K545" s="332"/>
      <c r="L545" s="619"/>
      <c r="M545" s="332"/>
      <c r="N545" s="620"/>
      <c r="O545" s="620"/>
    </row>
    <row r="546" spans="1:15" x14ac:dyDescent="0.25">
      <c r="A546" s="618"/>
      <c r="B546" s="619"/>
      <c r="C546" s="619"/>
      <c r="D546" s="619"/>
      <c r="E546" s="619"/>
      <c r="F546" s="619"/>
      <c r="G546" s="619"/>
      <c r="H546" s="619"/>
      <c r="I546" s="619"/>
      <c r="J546" s="332"/>
      <c r="K546" s="332"/>
      <c r="L546" s="619"/>
      <c r="M546" s="332"/>
      <c r="N546" s="620"/>
      <c r="O546" s="620"/>
    </row>
    <row r="547" spans="1:15" x14ac:dyDescent="0.25">
      <c r="A547" s="618"/>
      <c r="B547" s="619"/>
      <c r="C547" s="619"/>
      <c r="D547" s="619"/>
      <c r="E547" s="619"/>
      <c r="F547" s="619"/>
      <c r="G547" s="619"/>
      <c r="H547" s="619"/>
      <c r="I547" s="619"/>
      <c r="J547" s="332"/>
      <c r="K547" s="332"/>
      <c r="L547" s="619"/>
      <c r="M547" s="332"/>
      <c r="N547" s="620"/>
      <c r="O547" s="620"/>
    </row>
    <row r="548" spans="1:15" x14ac:dyDescent="0.25">
      <c r="A548" s="618"/>
      <c r="B548" s="619"/>
      <c r="C548" s="619"/>
      <c r="D548" s="619"/>
      <c r="E548" s="619"/>
      <c r="F548" s="619"/>
      <c r="G548" s="619"/>
      <c r="H548" s="619"/>
      <c r="I548" s="619"/>
      <c r="J548" s="332"/>
      <c r="K548" s="332"/>
      <c r="L548" s="619"/>
      <c r="M548" s="332"/>
      <c r="N548" s="620"/>
      <c r="O548" s="620"/>
    </row>
    <row r="549" spans="1:15" x14ac:dyDescent="0.25">
      <c r="A549" s="618"/>
      <c r="B549" s="619"/>
      <c r="C549" s="619"/>
      <c r="D549" s="619"/>
      <c r="E549" s="619"/>
      <c r="F549" s="619"/>
      <c r="G549" s="619"/>
      <c r="H549" s="619"/>
      <c r="I549" s="619"/>
      <c r="J549" s="332"/>
      <c r="K549" s="332"/>
      <c r="L549" s="619"/>
      <c r="M549" s="332"/>
      <c r="N549" s="620"/>
      <c r="O549" s="620"/>
    </row>
    <row r="550" spans="1:15" x14ac:dyDescent="0.25">
      <c r="A550" s="618"/>
      <c r="B550" s="619"/>
      <c r="C550" s="619"/>
      <c r="D550" s="619"/>
      <c r="E550" s="619"/>
      <c r="F550" s="619"/>
      <c r="G550" s="619"/>
      <c r="H550" s="619"/>
      <c r="I550" s="619"/>
      <c r="J550" s="332"/>
      <c r="K550" s="332"/>
      <c r="L550" s="619"/>
      <c r="M550" s="332"/>
      <c r="N550" s="620"/>
      <c r="O550" s="620"/>
    </row>
    <row r="551" spans="1:15" x14ac:dyDescent="0.25">
      <c r="A551" s="618"/>
      <c r="B551" s="619"/>
      <c r="C551" s="619"/>
      <c r="D551" s="619"/>
      <c r="E551" s="619"/>
      <c r="F551" s="619"/>
      <c r="G551" s="619"/>
      <c r="H551" s="619"/>
      <c r="I551" s="619"/>
      <c r="J551" s="332"/>
      <c r="K551" s="332"/>
      <c r="L551" s="619"/>
      <c r="M551" s="332"/>
      <c r="N551" s="620"/>
      <c r="O551" s="620"/>
    </row>
    <row r="552" spans="1:15" x14ac:dyDescent="0.25">
      <c r="A552" s="618"/>
      <c r="B552" s="619"/>
      <c r="C552" s="619"/>
      <c r="D552" s="619"/>
      <c r="E552" s="619"/>
      <c r="F552" s="619"/>
      <c r="G552" s="619"/>
      <c r="H552" s="619"/>
      <c r="I552" s="619"/>
      <c r="J552" s="332"/>
      <c r="K552" s="332"/>
      <c r="L552" s="619"/>
      <c r="M552" s="332"/>
      <c r="N552" s="620"/>
      <c r="O552" s="620"/>
    </row>
    <row r="553" spans="1:15" x14ac:dyDescent="0.25">
      <c r="A553" s="618"/>
      <c r="B553" s="619"/>
      <c r="C553" s="619"/>
      <c r="D553" s="619"/>
      <c r="E553" s="619"/>
      <c r="F553" s="619"/>
      <c r="G553" s="619"/>
      <c r="H553" s="619"/>
      <c r="I553" s="619"/>
      <c r="J553" s="332"/>
      <c r="K553" s="332"/>
      <c r="L553" s="619"/>
      <c r="M553" s="332"/>
      <c r="N553" s="620"/>
      <c r="O553" s="620"/>
    </row>
    <row r="554" spans="1:15" x14ac:dyDescent="0.25">
      <c r="A554" s="618"/>
      <c r="B554" s="619"/>
      <c r="C554" s="619"/>
      <c r="D554" s="619"/>
      <c r="E554" s="619"/>
      <c r="F554" s="619"/>
      <c r="G554" s="619"/>
      <c r="H554" s="619"/>
      <c r="I554" s="619"/>
      <c r="J554" s="332"/>
      <c r="K554" s="332"/>
      <c r="L554" s="619"/>
      <c r="M554" s="332"/>
      <c r="N554" s="620"/>
      <c r="O554" s="620"/>
    </row>
    <row r="555" spans="1:15" x14ac:dyDescent="0.25">
      <c r="A555" s="1151"/>
      <c r="B555" s="1152"/>
      <c r="C555" s="1152"/>
      <c r="D555" s="1152"/>
      <c r="E555" s="1152"/>
      <c r="F555" s="1152"/>
      <c r="G555" s="1152"/>
      <c r="H555" s="1152"/>
      <c r="I555" s="1152"/>
      <c r="J555" s="1152"/>
      <c r="K555" s="1152"/>
      <c r="L555" s="1152"/>
      <c r="M555" s="1152"/>
      <c r="N555" s="620"/>
      <c r="O555" s="620"/>
    </row>
    <row r="556" spans="1:15" x14ac:dyDescent="0.25">
      <c r="A556" s="1150"/>
      <c r="B556" s="1150"/>
      <c r="C556" s="1150"/>
      <c r="D556" s="1150"/>
      <c r="E556" s="1150"/>
      <c r="F556" s="1150"/>
      <c r="G556" s="1150"/>
      <c r="H556" s="1150"/>
      <c r="I556" s="1150"/>
      <c r="J556" s="1150"/>
      <c r="K556" s="1150"/>
      <c r="L556" s="1150"/>
      <c r="M556" s="1150"/>
      <c r="N556" s="620"/>
      <c r="O556" s="620"/>
    </row>
    <row r="557" spans="1:15" x14ac:dyDescent="0.25">
      <c r="A557" s="618"/>
      <c r="B557" s="619"/>
      <c r="C557" s="619"/>
      <c r="D557" s="619"/>
      <c r="E557" s="619"/>
      <c r="F557" s="619"/>
      <c r="G557" s="619"/>
      <c r="H557" s="619"/>
      <c r="I557" s="619"/>
      <c r="J557" s="332"/>
      <c r="K557" s="332"/>
      <c r="L557" s="619"/>
      <c r="M557" s="332"/>
      <c r="N557" s="620"/>
      <c r="O557" s="620"/>
    </row>
    <row r="558" spans="1:15" x14ac:dyDescent="0.25">
      <c r="A558" s="618"/>
      <c r="B558" s="619"/>
      <c r="C558" s="619"/>
      <c r="D558" s="619"/>
      <c r="E558" s="619"/>
      <c r="F558" s="619"/>
      <c r="G558" s="619"/>
      <c r="H558" s="619"/>
      <c r="I558" s="619"/>
      <c r="J558" s="332"/>
      <c r="K558" s="332"/>
      <c r="L558" s="619"/>
      <c r="M558" s="332"/>
      <c r="N558" s="620"/>
      <c r="O558" s="620"/>
    </row>
    <row r="559" spans="1:15" x14ac:dyDescent="0.25">
      <c r="A559" s="618"/>
      <c r="B559" s="619"/>
      <c r="C559" s="619"/>
      <c r="D559" s="619"/>
      <c r="E559" s="619"/>
      <c r="F559" s="619"/>
      <c r="G559" s="619"/>
      <c r="H559" s="619"/>
      <c r="I559" s="619"/>
      <c r="J559" s="332"/>
      <c r="K559" s="332"/>
      <c r="L559" s="619"/>
      <c r="M559" s="332"/>
      <c r="N559" s="620"/>
      <c r="O559" s="620"/>
    </row>
    <row r="560" spans="1:15" x14ac:dyDescent="0.25">
      <c r="A560" s="618"/>
      <c r="B560" s="619"/>
      <c r="C560" s="619"/>
      <c r="D560" s="619"/>
      <c r="E560" s="619"/>
      <c r="F560" s="619"/>
      <c r="G560" s="619"/>
      <c r="H560" s="619"/>
      <c r="I560" s="619"/>
      <c r="J560" s="332"/>
      <c r="K560" s="332"/>
      <c r="L560" s="619"/>
      <c r="M560" s="332"/>
      <c r="N560" s="620"/>
      <c r="O560" s="620"/>
    </row>
    <row r="561" spans="1:15" x14ac:dyDescent="0.25">
      <c r="A561" s="618"/>
      <c r="B561" s="619"/>
      <c r="C561" s="619"/>
      <c r="D561" s="619"/>
      <c r="E561" s="619"/>
      <c r="F561" s="619"/>
      <c r="G561" s="619"/>
      <c r="H561" s="619"/>
      <c r="I561" s="619"/>
      <c r="J561" s="332"/>
      <c r="K561" s="332"/>
      <c r="L561" s="619"/>
      <c r="M561" s="332"/>
      <c r="N561" s="620"/>
      <c r="O561" s="620"/>
    </row>
    <row r="562" spans="1:15" x14ac:dyDescent="0.25">
      <c r="A562" s="618"/>
      <c r="B562" s="619"/>
      <c r="C562" s="619"/>
      <c r="D562" s="619"/>
      <c r="E562" s="619"/>
      <c r="F562" s="619"/>
      <c r="G562" s="619"/>
      <c r="H562" s="619"/>
      <c r="I562" s="619"/>
      <c r="J562" s="332"/>
      <c r="K562" s="332"/>
      <c r="L562" s="619"/>
      <c r="M562" s="332"/>
      <c r="N562" s="620"/>
      <c r="O562" s="620"/>
    </row>
    <row r="563" spans="1:15" x14ac:dyDescent="0.25">
      <c r="A563" s="618"/>
      <c r="B563" s="619"/>
      <c r="C563" s="619"/>
      <c r="D563" s="619"/>
      <c r="E563" s="619"/>
      <c r="F563" s="619"/>
      <c r="G563" s="619"/>
      <c r="H563" s="619"/>
      <c r="I563" s="619"/>
      <c r="J563" s="332"/>
      <c r="K563" s="332"/>
      <c r="L563" s="619"/>
      <c r="M563" s="332"/>
      <c r="N563" s="620"/>
      <c r="O563" s="620"/>
    </row>
    <row r="564" spans="1:15" x14ac:dyDescent="0.25">
      <c r="A564" s="618"/>
      <c r="B564" s="619"/>
      <c r="C564" s="619"/>
      <c r="D564" s="619"/>
      <c r="E564" s="619"/>
      <c r="F564" s="619"/>
      <c r="G564" s="619"/>
      <c r="H564" s="619"/>
      <c r="I564" s="619"/>
      <c r="J564" s="332"/>
      <c r="K564" s="332"/>
      <c r="L564" s="619"/>
      <c r="M564" s="332"/>
      <c r="N564" s="620"/>
      <c r="O564" s="620"/>
    </row>
    <row r="565" spans="1:15" x14ac:dyDescent="0.25">
      <c r="A565" s="618"/>
      <c r="B565" s="619"/>
      <c r="C565" s="619"/>
      <c r="D565" s="619"/>
      <c r="E565" s="619"/>
      <c r="F565" s="619"/>
      <c r="G565" s="619"/>
      <c r="H565" s="619"/>
      <c r="I565" s="619"/>
      <c r="J565" s="332"/>
      <c r="K565" s="332"/>
      <c r="L565" s="619"/>
      <c r="M565" s="332"/>
      <c r="N565" s="620"/>
      <c r="O565" s="620"/>
    </row>
    <row r="566" spans="1:15" x14ac:dyDescent="0.25">
      <c r="A566" s="618"/>
      <c r="B566" s="619"/>
      <c r="C566" s="619"/>
      <c r="D566" s="619"/>
      <c r="E566" s="619"/>
      <c r="F566" s="619"/>
      <c r="G566" s="619"/>
      <c r="H566" s="619"/>
      <c r="I566" s="619"/>
      <c r="J566" s="332"/>
      <c r="K566" s="332"/>
      <c r="L566" s="619"/>
      <c r="M566" s="332"/>
      <c r="N566" s="620"/>
      <c r="O566" s="620"/>
    </row>
    <row r="567" spans="1:15" x14ac:dyDescent="0.25">
      <c r="A567" s="618"/>
      <c r="B567" s="619"/>
      <c r="C567" s="619"/>
      <c r="D567" s="619"/>
      <c r="E567" s="619"/>
      <c r="F567" s="619"/>
      <c r="G567" s="619"/>
      <c r="H567" s="619"/>
      <c r="I567" s="619"/>
      <c r="J567" s="332"/>
      <c r="K567" s="332"/>
      <c r="L567" s="619"/>
      <c r="M567" s="332"/>
      <c r="N567" s="620"/>
      <c r="O567" s="620"/>
    </row>
    <row r="568" spans="1:15" x14ac:dyDescent="0.25">
      <c r="A568" s="618"/>
      <c r="B568" s="619"/>
      <c r="C568" s="619"/>
      <c r="D568" s="619"/>
      <c r="E568" s="619"/>
      <c r="F568" s="619"/>
      <c r="G568" s="619"/>
      <c r="H568" s="619"/>
      <c r="I568" s="619"/>
      <c r="J568" s="332"/>
      <c r="K568" s="332"/>
      <c r="L568" s="619"/>
      <c r="M568" s="332"/>
      <c r="N568" s="620"/>
      <c r="O568" s="620"/>
    </row>
    <row r="569" spans="1:15" x14ac:dyDescent="0.25">
      <c r="A569" s="618"/>
      <c r="B569" s="619"/>
      <c r="C569" s="619"/>
      <c r="D569" s="619"/>
      <c r="E569" s="619"/>
      <c r="F569" s="619"/>
      <c r="G569" s="619"/>
      <c r="H569" s="619"/>
      <c r="I569" s="619"/>
      <c r="J569" s="332"/>
      <c r="K569" s="332"/>
      <c r="L569" s="619"/>
      <c r="M569" s="332"/>
      <c r="N569" s="620"/>
      <c r="O569" s="620"/>
    </row>
    <row r="570" spans="1:15" x14ac:dyDescent="0.25">
      <c r="A570" s="618"/>
      <c r="B570" s="619"/>
      <c r="C570" s="619"/>
      <c r="D570" s="619"/>
      <c r="E570" s="619"/>
      <c r="F570" s="619"/>
      <c r="G570" s="619"/>
      <c r="H570" s="619"/>
      <c r="I570" s="619"/>
      <c r="J570" s="332"/>
      <c r="K570" s="332"/>
      <c r="L570" s="619"/>
      <c r="M570" s="332"/>
      <c r="N570" s="620"/>
      <c r="O570" s="620"/>
    </row>
    <row r="571" spans="1:15" x14ac:dyDescent="0.25">
      <c r="A571" s="618"/>
      <c r="B571" s="619"/>
      <c r="C571" s="619"/>
      <c r="D571" s="619"/>
      <c r="E571" s="619"/>
      <c r="F571" s="619"/>
      <c r="G571" s="619"/>
      <c r="H571" s="619"/>
      <c r="I571" s="619"/>
      <c r="J571" s="332"/>
      <c r="K571" s="332"/>
      <c r="L571" s="619"/>
      <c r="M571" s="332"/>
      <c r="N571" s="387"/>
    </row>
    <row r="572" spans="1:15" x14ac:dyDescent="0.25">
      <c r="A572" s="618"/>
      <c r="B572" s="619"/>
      <c r="C572" s="619"/>
      <c r="D572" s="619"/>
      <c r="E572" s="619"/>
      <c r="F572" s="619"/>
      <c r="G572" s="619"/>
      <c r="H572" s="619"/>
      <c r="I572" s="619"/>
      <c r="J572" s="332"/>
      <c r="K572" s="332"/>
      <c r="L572" s="619"/>
      <c r="M572" s="332"/>
    </row>
    <row r="573" spans="1:15" x14ac:dyDescent="0.25">
      <c r="A573" s="618"/>
      <c r="B573" s="619"/>
      <c r="C573" s="619"/>
      <c r="D573" s="619"/>
      <c r="E573" s="619"/>
      <c r="F573" s="619"/>
      <c r="G573" s="619"/>
      <c r="H573" s="619"/>
      <c r="I573" s="619"/>
      <c r="J573" s="332"/>
      <c r="K573" s="332"/>
      <c r="L573" s="619"/>
      <c r="M573" s="332"/>
    </row>
    <row r="574" spans="1:15" x14ac:dyDescent="0.25">
      <c r="A574" s="618"/>
      <c r="B574" s="619"/>
      <c r="C574" s="619"/>
      <c r="D574" s="619"/>
      <c r="E574" s="619"/>
      <c r="F574" s="619"/>
      <c r="G574" s="619"/>
      <c r="H574" s="619"/>
      <c r="I574" s="619"/>
      <c r="J574" s="332"/>
      <c r="K574" s="332"/>
      <c r="L574" s="619"/>
      <c r="M574" s="332"/>
    </row>
    <row r="575" spans="1:15" x14ac:dyDescent="0.25">
      <c r="A575" s="618"/>
      <c r="B575" s="619"/>
      <c r="C575" s="619"/>
      <c r="D575" s="619"/>
      <c r="E575" s="619"/>
      <c r="F575" s="619"/>
      <c r="G575" s="619"/>
      <c r="H575" s="619"/>
      <c r="I575" s="619"/>
      <c r="J575" s="332"/>
      <c r="K575" s="332"/>
      <c r="L575" s="619"/>
      <c r="M575" s="332"/>
    </row>
    <row r="576" spans="1:15" x14ac:dyDescent="0.25">
      <c r="A576" s="618"/>
      <c r="B576" s="619"/>
      <c r="C576" s="619"/>
      <c r="D576" s="619"/>
      <c r="E576" s="619"/>
      <c r="F576" s="619"/>
      <c r="G576" s="619"/>
      <c r="H576" s="619"/>
      <c r="I576" s="619"/>
      <c r="J576" s="332"/>
      <c r="K576" s="332"/>
      <c r="L576" s="619"/>
      <c r="M576" s="332"/>
    </row>
    <row r="577" spans="1:13" x14ac:dyDescent="0.25">
      <c r="A577" s="618"/>
      <c r="B577" s="619"/>
      <c r="C577" s="619"/>
      <c r="D577" s="619"/>
      <c r="E577" s="619"/>
      <c r="F577" s="619"/>
      <c r="G577" s="619"/>
      <c r="H577" s="619"/>
      <c r="I577" s="619"/>
      <c r="J577" s="332"/>
      <c r="K577" s="332"/>
      <c r="L577" s="619"/>
      <c r="M577" s="332"/>
    </row>
    <row r="578" spans="1:13" x14ac:dyDescent="0.25">
      <c r="A578" s="618"/>
      <c r="B578" s="619"/>
      <c r="C578" s="619"/>
      <c r="D578" s="619"/>
      <c r="E578" s="619"/>
      <c r="F578" s="619"/>
      <c r="G578" s="619"/>
      <c r="H578" s="619"/>
      <c r="I578" s="619"/>
      <c r="J578" s="332"/>
      <c r="K578" s="332"/>
      <c r="L578" s="619"/>
      <c r="M578" s="332"/>
    </row>
    <row r="579" spans="1:13" x14ac:dyDescent="0.25">
      <c r="A579" s="618"/>
      <c r="B579" s="619"/>
      <c r="C579" s="619"/>
      <c r="D579" s="619"/>
      <c r="E579" s="619"/>
      <c r="F579" s="619"/>
      <c r="G579" s="619"/>
      <c r="H579" s="619"/>
      <c r="I579" s="619"/>
      <c r="J579" s="332"/>
      <c r="K579" s="332"/>
      <c r="L579" s="619"/>
      <c r="M579" s="332"/>
    </row>
    <row r="580" spans="1:13" x14ac:dyDescent="0.25">
      <c r="A580" s="618"/>
      <c r="B580" s="619"/>
      <c r="C580" s="619"/>
      <c r="D580" s="619"/>
      <c r="E580" s="619"/>
      <c r="F580" s="619"/>
      <c r="G580" s="619"/>
      <c r="H580" s="619"/>
      <c r="I580" s="619"/>
      <c r="J580" s="332"/>
      <c r="K580" s="332"/>
      <c r="L580" s="619"/>
      <c r="M580" s="332"/>
    </row>
    <row r="581" spans="1:13" x14ac:dyDescent="0.25">
      <c r="A581" s="618"/>
      <c r="B581" s="619"/>
      <c r="C581" s="619"/>
      <c r="D581" s="619"/>
      <c r="E581" s="619"/>
      <c r="F581" s="619"/>
      <c r="G581" s="619"/>
      <c r="H581" s="619"/>
      <c r="I581" s="619"/>
      <c r="J581" s="332"/>
      <c r="K581" s="332"/>
      <c r="L581" s="619"/>
      <c r="M581" s="332"/>
    </row>
    <row r="582" spans="1:13" x14ac:dyDescent="0.25">
      <c r="A582" s="618"/>
      <c r="B582" s="619"/>
      <c r="C582" s="619"/>
      <c r="D582" s="619"/>
      <c r="E582" s="619"/>
      <c r="F582" s="619"/>
      <c r="G582" s="619"/>
      <c r="H582" s="619"/>
      <c r="I582" s="619"/>
      <c r="J582" s="332"/>
      <c r="K582" s="332"/>
      <c r="L582" s="619"/>
      <c r="M582" s="332"/>
    </row>
    <row r="583" spans="1:13" x14ac:dyDescent="0.25">
      <c r="A583" s="618"/>
      <c r="B583" s="619"/>
      <c r="C583" s="619"/>
      <c r="D583" s="619"/>
      <c r="E583" s="619"/>
      <c r="F583" s="619"/>
      <c r="G583" s="619"/>
      <c r="H583" s="619"/>
      <c r="I583" s="619"/>
      <c r="J583" s="332"/>
      <c r="K583" s="332"/>
      <c r="L583" s="619"/>
      <c r="M583" s="332"/>
    </row>
    <row r="584" spans="1:13" x14ac:dyDescent="0.25">
      <c r="A584" s="618"/>
      <c r="B584" s="619"/>
      <c r="C584" s="619"/>
      <c r="D584" s="619"/>
      <c r="E584" s="619"/>
      <c r="F584" s="619"/>
      <c r="G584" s="619"/>
      <c r="H584" s="619"/>
      <c r="I584" s="619"/>
      <c r="J584" s="332"/>
      <c r="K584" s="332"/>
      <c r="L584" s="619"/>
      <c r="M584" s="332"/>
    </row>
    <row r="585" spans="1:13" x14ac:dyDescent="0.25">
      <c r="A585" s="618"/>
      <c r="B585" s="619"/>
      <c r="C585" s="619"/>
      <c r="D585" s="619"/>
      <c r="E585" s="619"/>
      <c r="F585" s="619"/>
      <c r="G585" s="619"/>
      <c r="H585" s="619"/>
      <c r="I585" s="619"/>
      <c r="J585" s="332"/>
      <c r="K585" s="332"/>
      <c r="L585" s="619"/>
      <c r="M585" s="332"/>
    </row>
    <row r="586" spans="1:13" x14ac:dyDescent="0.25">
      <c r="A586" s="618"/>
      <c r="B586" s="619"/>
      <c r="C586" s="619"/>
      <c r="D586" s="619"/>
      <c r="E586" s="619"/>
      <c r="F586" s="619"/>
      <c r="G586" s="619"/>
      <c r="H586" s="619"/>
      <c r="I586" s="619"/>
      <c r="J586" s="332"/>
      <c r="K586" s="332"/>
      <c r="L586" s="619"/>
      <c r="M586" s="332"/>
    </row>
    <row r="587" spans="1:13" x14ac:dyDescent="0.25">
      <c r="A587" s="618"/>
      <c r="B587" s="619"/>
      <c r="C587" s="619"/>
      <c r="D587" s="619"/>
      <c r="E587" s="619"/>
      <c r="F587" s="619"/>
      <c r="G587" s="619"/>
      <c r="H587" s="619"/>
      <c r="I587" s="619"/>
      <c r="J587" s="332"/>
      <c r="K587" s="332"/>
      <c r="L587" s="619"/>
      <c r="M587" s="332"/>
    </row>
    <row r="588" spans="1:13" x14ac:dyDescent="0.25">
      <c r="A588" s="618"/>
      <c r="B588" s="619"/>
      <c r="C588" s="619"/>
      <c r="D588" s="619"/>
      <c r="E588" s="619"/>
      <c r="F588" s="619"/>
      <c r="G588" s="619"/>
      <c r="H588" s="619"/>
      <c r="I588" s="619"/>
      <c r="J588" s="332"/>
      <c r="K588" s="332"/>
      <c r="L588" s="619"/>
      <c r="M588" s="332"/>
    </row>
    <row r="589" spans="1:13" x14ac:dyDescent="0.25">
      <c r="A589" s="618"/>
      <c r="B589" s="619"/>
      <c r="C589" s="619"/>
      <c r="D589" s="619"/>
      <c r="E589" s="619"/>
      <c r="F589" s="619"/>
      <c r="G589" s="619"/>
      <c r="H589" s="619"/>
      <c r="I589" s="619"/>
      <c r="J589" s="332"/>
      <c r="K589" s="332"/>
      <c r="L589" s="619"/>
      <c r="M589" s="332"/>
    </row>
    <row r="590" spans="1:13" x14ac:dyDescent="0.25">
      <c r="A590" s="618"/>
      <c r="B590" s="619"/>
      <c r="C590" s="619"/>
      <c r="D590" s="619"/>
      <c r="E590" s="619"/>
      <c r="F590" s="619"/>
      <c r="G590" s="619"/>
      <c r="H590" s="619"/>
      <c r="I590" s="619"/>
      <c r="J590" s="332"/>
      <c r="K590" s="332"/>
      <c r="L590" s="619"/>
      <c r="M590" s="332"/>
    </row>
    <row r="591" spans="1:13" x14ac:dyDescent="0.25">
      <c r="A591" s="618"/>
      <c r="B591" s="619"/>
      <c r="C591" s="619"/>
      <c r="D591" s="619"/>
      <c r="E591" s="619"/>
      <c r="F591" s="619"/>
      <c r="G591" s="619"/>
      <c r="H591" s="619"/>
      <c r="I591" s="619"/>
      <c r="J591" s="332"/>
      <c r="K591" s="332"/>
      <c r="L591" s="619"/>
      <c r="M591" s="332"/>
    </row>
    <row r="592" spans="1:13" x14ac:dyDescent="0.25">
      <c r="A592" s="618"/>
      <c r="B592" s="619"/>
      <c r="C592" s="619"/>
      <c r="D592" s="619"/>
      <c r="E592" s="619"/>
      <c r="F592" s="619"/>
      <c r="G592" s="619"/>
      <c r="H592" s="619"/>
      <c r="I592" s="619"/>
      <c r="J592" s="332"/>
      <c r="K592" s="332"/>
      <c r="L592" s="619"/>
      <c r="M592" s="332"/>
    </row>
    <row r="593" spans="1:13" x14ac:dyDescent="0.25">
      <c r="A593" s="618"/>
      <c r="B593" s="619"/>
      <c r="C593" s="619"/>
      <c r="D593" s="619"/>
      <c r="E593" s="619"/>
      <c r="F593" s="619"/>
      <c r="G593" s="619"/>
      <c r="H593" s="619"/>
      <c r="I593" s="619"/>
      <c r="J593" s="332"/>
      <c r="K593" s="332"/>
      <c r="L593" s="619"/>
      <c r="M593" s="332"/>
    </row>
    <row r="594" spans="1:13" x14ac:dyDescent="0.25">
      <c r="A594" s="618"/>
      <c r="B594" s="619"/>
      <c r="C594" s="619"/>
      <c r="D594" s="619"/>
      <c r="E594" s="619"/>
      <c r="F594" s="619"/>
      <c r="G594" s="619"/>
      <c r="H594" s="619"/>
      <c r="I594" s="619"/>
      <c r="J594" s="332"/>
      <c r="K594" s="332"/>
      <c r="L594" s="619"/>
      <c r="M594" s="332"/>
    </row>
    <row r="595" spans="1:13" x14ac:dyDescent="0.25">
      <c r="A595" s="618"/>
      <c r="B595" s="619"/>
      <c r="C595" s="619"/>
      <c r="D595" s="619"/>
      <c r="E595" s="619"/>
      <c r="F595" s="619"/>
      <c r="G595" s="619"/>
      <c r="H595" s="619"/>
      <c r="I595" s="619"/>
      <c r="J595" s="332"/>
      <c r="K595" s="332"/>
      <c r="L595" s="619"/>
      <c r="M595" s="332"/>
    </row>
    <row r="596" spans="1:13" x14ac:dyDescent="0.25">
      <c r="A596" s="618"/>
      <c r="B596" s="619"/>
      <c r="C596" s="619"/>
      <c r="D596" s="619"/>
      <c r="E596" s="619"/>
      <c r="F596" s="619"/>
      <c r="G596" s="619"/>
      <c r="H596" s="619"/>
      <c r="I596" s="619"/>
      <c r="J596" s="332"/>
      <c r="K596" s="332"/>
      <c r="L596" s="619"/>
      <c r="M596" s="332"/>
    </row>
    <row r="597" spans="1:13" x14ac:dyDescent="0.25">
      <c r="A597" s="618"/>
      <c r="B597" s="619"/>
      <c r="C597" s="619"/>
      <c r="D597" s="619"/>
      <c r="E597" s="619"/>
      <c r="F597" s="619"/>
      <c r="G597" s="619"/>
      <c r="H597" s="619"/>
      <c r="I597" s="619"/>
      <c r="J597" s="332"/>
      <c r="K597" s="332"/>
      <c r="L597" s="619"/>
      <c r="M597" s="332"/>
    </row>
    <row r="598" spans="1:13" x14ac:dyDescent="0.25">
      <c r="A598" s="618"/>
      <c r="B598" s="619"/>
      <c r="C598" s="619"/>
      <c r="D598" s="619"/>
      <c r="E598" s="619"/>
      <c r="F598" s="619"/>
      <c r="G598" s="619"/>
      <c r="H598" s="619"/>
      <c r="I598" s="619"/>
      <c r="J598" s="332"/>
      <c r="K598" s="332"/>
      <c r="L598" s="619"/>
      <c r="M598" s="332"/>
    </row>
    <row r="599" spans="1:13" x14ac:dyDescent="0.25">
      <c r="A599" s="618"/>
      <c r="B599" s="619"/>
      <c r="C599" s="619"/>
      <c r="D599" s="619"/>
      <c r="E599" s="619"/>
      <c r="F599" s="619"/>
      <c r="G599" s="619"/>
      <c r="H599" s="619"/>
      <c r="I599" s="619"/>
      <c r="J599" s="332"/>
      <c r="K599" s="332"/>
      <c r="L599" s="619"/>
      <c r="M599" s="332"/>
    </row>
    <row r="600" spans="1:13" x14ac:dyDescent="0.25">
      <c r="A600" s="618"/>
      <c r="B600" s="619"/>
      <c r="C600" s="619"/>
      <c r="D600" s="619"/>
      <c r="E600" s="619"/>
      <c r="F600" s="619"/>
      <c r="G600" s="619"/>
      <c r="H600" s="619"/>
      <c r="I600" s="619"/>
      <c r="J600" s="332"/>
      <c r="K600" s="332"/>
      <c r="L600" s="619"/>
      <c r="M600" s="332"/>
    </row>
    <row r="601" spans="1:13" x14ac:dyDescent="0.25">
      <c r="A601" s="618"/>
      <c r="B601" s="619"/>
      <c r="C601" s="619"/>
      <c r="D601" s="619"/>
      <c r="E601" s="619"/>
      <c r="F601" s="619"/>
      <c r="G601" s="619"/>
      <c r="H601" s="619"/>
      <c r="I601" s="619"/>
      <c r="J601" s="332"/>
      <c r="K601" s="332"/>
      <c r="L601" s="619"/>
      <c r="M601" s="332"/>
    </row>
    <row r="602" spans="1:13" x14ac:dyDescent="0.25">
      <c r="A602" s="618"/>
      <c r="B602" s="619"/>
      <c r="C602" s="619"/>
      <c r="D602" s="619"/>
      <c r="E602" s="619"/>
      <c r="F602" s="619"/>
      <c r="G602" s="619"/>
      <c r="H602" s="619"/>
      <c r="I602" s="619"/>
      <c r="J602" s="332"/>
      <c r="K602" s="332"/>
      <c r="L602" s="619"/>
      <c r="M602" s="332"/>
    </row>
    <row r="603" spans="1:13" x14ac:dyDescent="0.25">
      <c r="A603" s="618"/>
      <c r="B603" s="619"/>
      <c r="C603" s="619"/>
      <c r="D603" s="619"/>
      <c r="E603" s="619"/>
      <c r="F603" s="619"/>
      <c r="G603" s="619"/>
      <c r="H603" s="619"/>
      <c r="I603" s="619"/>
      <c r="J603" s="332"/>
      <c r="K603" s="332"/>
      <c r="L603" s="619"/>
      <c r="M603" s="332"/>
    </row>
    <row r="604" spans="1:13" x14ac:dyDescent="0.25">
      <c r="A604" s="618"/>
      <c r="B604" s="619"/>
      <c r="C604" s="619"/>
      <c r="D604" s="619"/>
      <c r="E604" s="619"/>
      <c r="F604" s="619"/>
      <c r="G604" s="619"/>
      <c r="H604" s="619"/>
      <c r="I604" s="619"/>
      <c r="J604" s="332"/>
      <c r="K604" s="332"/>
      <c r="L604" s="619"/>
      <c r="M604" s="332"/>
    </row>
    <row r="605" spans="1:13" x14ac:dyDescent="0.25">
      <c r="A605" s="618"/>
      <c r="B605" s="619"/>
      <c r="C605" s="619"/>
      <c r="D605" s="619"/>
      <c r="E605" s="619"/>
      <c r="F605" s="619"/>
      <c r="G605" s="619"/>
      <c r="H605" s="619"/>
      <c r="I605" s="619"/>
      <c r="J605" s="332"/>
      <c r="K605" s="332"/>
      <c r="L605" s="619"/>
      <c r="M605" s="332"/>
    </row>
    <row r="606" spans="1:13" x14ac:dyDescent="0.25">
      <c r="A606" s="618"/>
      <c r="B606" s="619"/>
      <c r="C606" s="619"/>
      <c r="D606" s="619"/>
      <c r="E606" s="619"/>
      <c r="F606" s="619"/>
      <c r="G606" s="619"/>
      <c r="H606" s="619"/>
      <c r="I606" s="619"/>
      <c r="J606" s="332"/>
      <c r="K606" s="332"/>
      <c r="L606" s="619"/>
      <c r="M606" s="332"/>
    </row>
    <row r="607" spans="1:13" x14ac:dyDescent="0.25">
      <c r="A607" s="618"/>
      <c r="B607" s="619"/>
      <c r="C607" s="619"/>
      <c r="D607" s="619"/>
      <c r="E607" s="619"/>
      <c r="F607" s="619"/>
      <c r="G607" s="619"/>
      <c r="H607" s="619"/>
      <c r="I607" s="619"/>
      <c r="J607" s="332"/>
      <c r="K607" s="332"/>
      <c r="L607" s="619"/>
      <c r="M607" s="332"/>
    </row>
    <row r="608" spans="1:13" x14ac:dyDescent="0.25">
      <c r="A608" s="618"/>
      <c r="B608" s="619"/>
      <c r="C608" s="619"/>
      <c r="D608" s="619"/>
      <c r="E608" s="619"/>
      <c r="F608" s="619"/>
      <c r="G608" s="619"/>
      <c r="H608" s="619"/>
      <c r="I608" s="619"/>
      <c r="J608" s="332"/>
      <c r="K608" s="332"/>
      <c r="L608" s="619"/>
      <c r="M608" s="332"/>
    </row>
    <row r="609" spans="1:13" x14ac:dyDescent="0.25">
      <c r="A609" s="618"/>
      <c r="B609" s="619"/>
      <c r="C609" s="619"/>
      <c r="D609" s="619"/>
      <c r="E609" s="619"/>
      <c r="F609" s="619"/>
      <c r="G609" s="619"/>
      <c r="H609" s="619"/>
      <c r="I609" s="619"/>
      <c r="J609" s="332"/>
      <c r="K609" s="332"/>
      <c r="L609" s="619"/>
      <c r="M609" s="332"/>
    </row>
    <row r="610" spans="1:13" x14ac:dyDescent="0.25">
      <c r="A610" s="618"/>
      <c r="B610" s="619"/>
      <c r="C610" s="619"/>
      <c r="D610" s="619"/>
      <c r="E610" s="619"/>
      <c r="F610" s="619"/>
      <c r="G610" s="619"/>
      <c r="H610" s="619"/>
      <c r="I610" s="619"/>
      <c r="J610" s="332"/>
      <c r="K610" s="332"/>
      <c r="L610" s="619"/>
      <c r="M610" s="332"/>
    </row>
    <row r="611" spans="1:13" x14ac:dyDescent="0.25">
      <c r="A611" s="618"/>
      <c r="B611" s="619"/>
      <c r="C611" s="619"/>
      <c r="D611" s="619"/>
      <c r="E611" s="619"/>
      <c r="F611" s="619"/>
      <c r="G611" s="619"/>
      <c r="H611" s="619"/>
      <c r="I611" s="619"/>
      <c r="J611" s="332"/>
      <c r="K611" s="332"/>
      <c r="L611" s="619"/>
      <c r="M611" s="332"/>
    </row>
    <row r="612" spans="1:13" x14ac:dyDescent="0.25">
      <c r="A612" s="618"/>
      <c r="B612" s="619"/>
      <c r="C612" s="619"/>
      <c r="D612" s="619"/>
      <c r="E612" s="619"/>
      <c r="F612" s="619"/>
      <c r="G612" s="619"/>
      <c r="H612" s="619"/>
      <c r="I612" s="619"/>
      <c r="J612" s="332"/>
      <c r="K612" s="332"/>
      <c r="L612" s="619"/>
      <c r="M612" s="332"/>
    </row>
    <row r="613" spans="1:13" x14ac:dyDescent="0.25">
      <c r="A613" s="618"/>
      <c r="B613" s="619"/>
      <c r="C613" s="619"/>
      <c r="D613" s="619"/>
      <c r="E613" s="619"/>
      <c r="F613" s="619"/>
      <c r="G613" s="619"/>
      <c r="H613" s="619"/>
      <c r="I613" s="619"/>
      <c r="J613" s="332"/>
      <c r="K613" s="332"/>
      <c r="L613" s="619"/>
      <c r="M613" s="332"/>
    </row>
    <row r="614" spans="1:13" x14ac:dyDescent="0.25">
      <c r="A614" s="618"/>
      <c r="B614" s="619"/>
      <c r="C614" s="619"/>
      <c r="D614" s="619"/>
      <c r="E614" s="619"/>
      <c r="F614" s="619"/>
      <c r="G614" s="619"/>
      <c r="H614" s="619"/>
      <c r="I614" s="619"/>
      <c r="J614" s="332"/>
      <c r="K614" s="332"/>
      <c r="L614" s="619"/>
      <c r="M614" s="332"/>
    </row>
    <row r="615" spans="1:13" x14ac:dyDescent="0.25">
      <c r="A615" s="618"/>
      <c r="B615" s="619"/>
      <c r="C615" s="619"/>
      <c r="D615" s="619"/>
      <c r="E615" s="619"/>
      <c r="F615" s="619"/>
      <c r="G615" s="619"/>
      <c r="H615" s="619"/>
      <c r="I615" s="619"/>
      <c r="J615" s="332"/>
      <c r="K615" s="332"/>
      <c r="L615" s="619"/>
      <c r="M615" s="332"/>
    </row>
    <row r="616" spans="1:13" x14ac:dyDescent="0.25">
      <c r="A616" s="618"/>
      <c r="B616" s="619"/>
      <c r="C616" s="619"/>
      <c r="D616" s="619"/>
      <c r="E616" s="619"/>
      <c r="F616" s="619"/>
      <c r="G616" s="619"/>
      <c r="H616" s="619"/>
      <c r="I616" s="619"/>
      <c r="J616" s="332"/>
      <c r="K616" s="332"/>
      <c r="L616" s="619"/>
      <c r="M616" s="332"/>
    </row>
    <row r="617" spans="1:13" x14ac:dyDescent="0.25">
      <c r="A617" s="618"/>
      <c r="B617" s="619"/>
      <c r="C617" s="619"/>
      <c r="D617" s="619"/>
      <c r="E617" s="619"/>
      <c r="F617" s="619"/>
      <c r="G617" s="619"/>
      <c r="H617" s="619"/>
      <c r="I617" s="619"/>
      <c r="J617" s="332"/>
      <c r="K617" s="332"/>
      <c r="L617" s="619"/>
      <c r="M617" s="332"/>
    </row>
    <row r="618" spans="1:13" x14ac:dyDescent="0.25">
      <c r="A618" s="618"/>
      <c r="B618" s="619"/>
      <c r="C618" s="619"/>
      <c r="D618" s="619"/>
      <c r="E618" s="619"/>
      <c r="F618" s="619"/>
      <c r="G618" s="619"/>
      <c r="H618" s="619"/>
      <c r="I618" s="619"/>
      <c r="J618" s="332"/>
      <c r="K618" s="332"/>
      <c r="L618" s="619"/>
      <c r="M618" s="332"/>
    </row>
    <row r="619" spans="1:13" x14ac:dyDescent="0.25">
      <c r="A619" s="618"/>
      <c r="B619" s="619"/>
      <c r="C619" s="619"/>
      <c r="D619" s="619"/>
      <c r="E619" s="619"/>
      <c r="F619" s="619"/>
      <c r="G619" s="619"/>
      <c r="H619" s="619"/>
      <c r="I619" s="619"/>
      <c r="J619" s="332"/>
      <c r="K619" s="332"/>
      <c r="L619" s="619"/>
      <c r="M619" s="332"/>
    </row>
    <row r="620" spans="1:13" x14ac:dyDescent="0.25">
      <c r="A620" s="618"/>
      <c r="B620" s="619"/>
      <c r="C620" s="619"/>
      <c r="D620" s="619"/>
      <c r="E620" s="619"/>
      <c r="F620" s="619"/>
      <c r="G620" s="619"/>
      <c r="H620" s="619"/>
      <c r="I620" s="619"/>
      <c r="J620" s="332"/>
      <c r="K620" s="332"/>
      <c r="L620" s="619"/>
      <c r="M620" s="332"/>
    </row>
    <row r="621" spans="1:13" x14ac:dyDescent="0.25">
      <c r="A621" s="618"/>
      <c r="B621" s="619"/>
      <c r="C621" s="619"/>
      <c r="D621" s="619"/>
      <c r="E621" s="619"/>
      <c r="F621" s="619"/>
      <c r="G621" s="619"/>
      <c r="H621" s="619"/>
      <c r="I621" s="619"/>
      <c r="J621" s="332"/>
      <c r="K621" s="332"/>
      <c r="L621" s="619"/>
      <c r="M621" s="332"/>
    </row>
    <row r="622" spans="1:13" x14ac:dyDescent="0.25">
      <c r="A622" s="618"/>
      <c r="B622" s="619"/>
      <c r="C622" s="619"/>
      <c r="D622" s="619"/>
      <c r="E622" s="619"/>
      <c r="F622" s="619"/>
      <c r="G622" s="619"/>
      <c r="H622" s="619"/>
      <c r="I622" s="619"/>
      <c r="J622" s="332"/>
      <c r="K622" s="332"/>
      <c r="L622" s="619"/>
      <c r="M622" s="332"/>
    </row>
    <row r="623" spans="1:13" x14ac:dyDescent="0.25">
      <c r="A623" s="618"/>
      <c r="B623" s="619"/>
      <c r="C623" s="619"/>
      <c r="D623" s="619"/>
      <c r="E623" s="619"/>
      <c r="F623" s="619"/>
      <c r="G623" s="619"/>
      <c r="H623" s="619"/>
      <c r="I623" s="619"/>
      <c r="J623" s="332"/>
      <c r="K623" s="332"/>
      <c r="L623" s="619"/>
      <c r="M623" s="332"/>
    </row>
    <row r="624" spans="1:13" x14ac:dyDescent="0.25">
      <c r="A624" s="618"/>
      <c r="B624" s="619"/>
      <c r="C624" s="619"/>
      <c r="D624" s="619"/>
      <c r="E624" s="619"/>
      <c r="F624" s="619"/>
      <c r="G624" s="619"/>
      <c r="H624" s="619"/>
      <c r="I624" s="619"/>
      <c r="J624" s="332"/>
      <c r="K624" s="332"/>
      <c r="L624" s="619"/>
      <c r="M624" s="332"/>
    </row>
    <row r="625" spans="1:13" x14ac:dyDescent="0.25">
      <c r="A625" s="618"/>
      <c r="B625" s="619"/>
      <c r="C625" s="619"/>
      <c r="D625" s="619"/>
      <c r="E625" s="619"/>
      <c r="F625" s="619"/>
      <c r="G625" s="619"/>
      <c r="H625" s="619"/>
      <c r="I625" s="619"/>
      <c r="J625" s="332"/>
      <c r="K625" s="332"/>
      <c r="L625" s="619"/>
      <c r="M625" s="332"/>
    </row>
    <row r="626" spans="1:13" x14ac:dyDescent="0.25">
      <c r="A626" s="618"/>
      <c r="B626" s="619"/>
      <c r="C626" s="619"/>
      <c r="D626" s="619"/>
      <c r="E626" s="619"/>
      <c r="F626" s="619"/>
      <c r="G626" s="619"/>
      <c r="H626" s="619"/>
      <c r="I626" s="619"/>
      <c r="J626" s="332"/>
      <c r="K626" s="332"/>
      <c r="L626" s="619"/>
      <c r="M626" s="332"/>
    </row>
    <row r="627" spans="1:13" x14ac:dyDescent="0.25">
      <c r="A627" s="618"/>
      <c r="B627" s="619"/>
      <c r="C627" s="619"/>
      <c r="D627" s="619"/>
      <c r="E627" s="619"/>
      <c r="F627" s="619"/>
      <c r="G627" s="619"/>
      <c r="H627" s="619"/>
      <c r="I627" s="619"/>
      <c r="J627" s="332"/>
      <c r="K627" s="332"/>
      <c r="L627" s="619"/>
      <c r="M627" s="332"/>
    </row>
    <row r="628" spans="1:13" x14ac:dyDescent="0.25">
      <c r="A628" s="618"/>
      <c r="B628" s="619"/>
      <c r="C628" s="619"/>
      <c r="D628" s="619"/>
      <c r="E628" s="619"/>
      <c r="F628" s="619"/>
      <c r="G628" s="619"/>
      <c r="H628" s="619"/>
      <c r="I628" s="619"/>
      <c r="J628" s="332"/>
      <c r="K628" s="332"/>
      <c r="L628" s="619"/>
      <c r="M628" s="332"/>
    </row>
    <row r="629" spans="1:13" x14ac:dyDescent="0.25">
      <c r="A629" s="618"/>
      <c r="B629" s="619"/>
      <c r="C629" s="619"/>
      <c r="D629" s="619"/>
      <c r="E629" s="619"/>
      <c r="F629" s="619"/>
      <c r="G629" s="619"/>
      <c r="H629" s="619"/>
      <c r="I629" s="619"/>
      <c r="J629" s="332"/>
      <c r="K629" s="332"/>
      <c r="L629" s="619"/>
      <c r="M629" s="332"/>
    </row>
    <row r="630" spans="1:13" x14ac:dyDescent="0.25">
      <c r="A630" s="618"/>
      <c r="B630" s="619"/>
      <c r="C630" s="619"/>
      <c r="D630" s="619"/>
      <c r="E630" s="619"/>
      <c r="F630" s="619"/>
      <c r="G630" s="619"/>
      <c r="H630" s="619"/>
      <c r="I630" s="619"/>
      <c r="J630" s="332"/>
      <c r="K630" s="332"/>
      <c r="L630" s="619"/>
      <c r="M630" s="332"/>
    </row>
    <row r="631" spans="1:13" x14ac:dyDescent="0.25">
      <c r="A631" s="618"/>
      <c r="B631" s="619"/>
      <c r="C631" s="619"/>
      <c r="D631" s="619"/>
      <c r="E631" s="619"/>
      <c r="F631" s="619"/>
      <c r="G631" s="619"/>
      <c r="H631" s="619"/>
      <c r="I631" s="619"/>
      <c r="J631" s="332"/>
      <c r="K631" s="332"/>
      <c r="L631" s="619"/>
      <c r="M631" s="332"/>
    </row>
    <row r="632" spans="1:13" x14ac:dyDescent="0.25">
      <c r="A632" s="618"/>
      <c r="B632" s="619"/>
      <c r="C632" s="619"/>
      <c r="D632" s="619"/>
      <c r="E632" s="619"/>
      <c r="F632" s="619"/>
      <c r="G632" s="619"/>
      <c r="H632" s="619"/>
      <c r="I632" s="619"/>
      <c r="J632" s="332"/>
      <c r="K632" s="332"/>
      <c r="L632" s="619"/>
      <c r="M632" s="332"/>
    </row>
    <row r="633" spans="1:13" x14ac:dyDescent="0.25">
      <c r="A633" s="618"/>
      <c r="B633" s="619"/>
      <c r="C633" s="619"/>
      <c r="D633" s="619"/>
      <c r="E633" s="619"/>
      <c r="F633" s="619"/>
      <c r="G633" s="619"/>
      <c r="H633" s="619"/>
      <c r="I633" s="619"/>
      <c r="J633" s="332"/>
      <c r="K633" s="332"/>
      <c r="L633" s="619"/>
      <c r="M633" s="332"/>
    </row>
    <row r="634" spans="1:13" x14ac:dyDescent="0.25">
      <c r="A634" s="618"/>
      <c r="B634" s="619"/>
      <c r="C634" s="619"/>
      <c r="D634" s="619"/>
      <c r="E634" s="619"/>
      <c r="F634" s="619"/>
      <c r="G634" s="619"/>
      <c r="H634" s="619"/>
      <c r="I634" s="619"/>
      <c r="J634" s="332"/>
      <c r="K634" s="332"/>
      <c r="L634" s="619"/>
      <c r="M634" s="332"/>
    </row>
    <row r="635" spans="1:13" x14ac:dyDescent="0.25">
      <c r="A635" s="618"/>
      <c r="B635" s="619"/>
      <c r="C635" s="619"/>
      <c r="D635" s="619"/>
      <c r="E635" s="619"/>
      <c r="F635" s="619"/>
      <c r="G635" s="619"/>
      <c r="H635" s="619"/>
      <c r="I635" s="619"/>
      <c r="J635" s="332"/>
      <c r="K635" s="332"/>
      <c r="L635" s="619"/>
      <c r="M635" s="332"/>
    </row>
    <row r="636" spans="1:13" x14ac:dyDescent="0.25">
      <c r="A636" s="618"/>
      <c r="B636" s="619"/>
      <c r="C636" s="619"/>
      <c r="D636" s="619"/>
      <c r="E636" s="619"/>
      <c r="F636" s="619"/>
      <c r="G636" s="619"/>
      <c r="H636" s="619"/>
      <c r="I636" s="619"/>
      <c r="J636" s="332"/>
      <c r="K636" s="332"/>
      <c r="L636" s="619"/>
      <c r="M636" s="332"/>
    </row>
    <row r="637" spans="1:13" x14ac:dyDescent="0.25">
      <c r="A637" s="618"/>
      <c r="B637" s="619"/>
      <c r="C637" s="619"/>
      <c r="D637" s="619"/>
      <c r="E637" s="619"/>
      <c r="F637" s="619"/>
      <c r="G637" s="619"/>
      <c r="H637" s="619"/>
      <c r="I637" s="619"/>
      <c r="J637" s="332"/>
      <c r="K637" s="332"/>
      <c r="L637" s="619"/>
      <c r="M637" s="332"/>
    </row>
    <row r="638" spans="1:13" x14ac:dyDescent="0.25">
      <c r="A638" s="618"/>
      <c r="B638" s="619"/>
      <c r="C638" s="619"/>
      <c r="D638" s="619"/>
      <c r="E638" s="619"/>
      <c r="F638" s="619"/>
      <c r="G638" s="619"/>
      <c r="H638" s="619"/>
      <c r="I638" s="619"/>
      <c r="J638" s="332"/>
      <c r="K638" s="332"/>
      <c r="L638" s="619"/>
      <c r="M638" s="332"/>
    </row>
    <row r="639" spans="1:13" x14ac:dyDescent="0.25">
      <c r="A639" s="618"/>
      <c r="B639" s="619"/>
      <c r="C639" s="619"/>
      <c r="D639" s="619"/>
      <c r="E639" s="619"/>
      <c r="F639" s="619"/>
      <c r="G639" s="619"/>
      <c r="H639" s="619"/>
      <c r="I639" s="619"/>
      <c r="J639" s="332"/>
      <c r="K639" s="332"/>
      <c r="L639" s="619"/>
      <c r="M639" s="332"/>
    </row>
    <row r="640" spans="1:13" x14ac:dyDescent="0.25">
      <c r="A640" s="618"/>
      <c r="B640" s="619"/>
      <c r="C640" s="619"/>
      <c r="D640" s="619"/>
      <c r="E640" s="619"/>
      <c r="F640" s="619"/>
      <c r="G640" s="619"/>
      <c r="H640" s="619"/>
      <c r="I640" s="619"/>
      <c r="J640" s="332"/>
      <c r="K640" s="332"/>
      <c r="L640" s="619"/>
      <c r="M640" s="332"/>
    </row>
    <row r="641" spans="1:13" x14ac:dyDescent="0.25">
      <c r="A641" s="618"/>
      <c r="B641" s="619"/>
      <c r="C641" s="619"/>
      <c r="D641" s="619"/>
      <c r="E641" s="619"/>
      <c r="F641" s="619"/>
      <c r="G641" s="619"/>
      <c r="H641" s="619"/>
      <c r="I641" s="619"/>
      <c r="J641" s="332"/>
      <c r="K641" s="332"/>
      <c r="L641" s="619"/>
      <c r="M641" s="332"/>
    </row>
    <row r="642" spans="1:13" x14ac:dyDescent="0.25">
      <c r="A642" s="618"/>
      <c r="B642" s="619"/>
      <c r="C642" s="619"/>
      <c r="D642" s="619"/>
      <c r="E642" s="619"/>
      <c r="F642" s="619"/>
      <c r="G642" s="619"/>
      <c r="H642" s="619"/>
      <c r="I642" s="619"/>
      <c r="J642" s="332"/>
      <c r="K642" s="332"/>
      <c r="L642" s="619"/>
      <c r="M642" s="332"/>
    </row>
    <row r="643" spans="1:13" x14ac:dyDescent="0.25">
      <c r="A643" s="618"/>
      <c r="B643" s="619"/>
      <c r="C643" s="619"/>
      <c r="D643" s="619"/>
      <c r="E643" s="619"/>
      <c r="F643" s="619"/>
      <c r="G643" s="619"/>
      <c r="H643" s="619"/>
      <c r="I643" s="619"/>
      <c r="J643" s="332"/>
      <c r="K643" s="332"/>
      <c r="L643" s="619"/>
      <c r="M643" s="332"/>
    </row>
    <row r="644" spans="1:13" x14ac:dyDescent="0.25">
      <c r="A644" s="618"/>
      <c r="B644" s="619"/>
      <c r="C644" s="619"/>
      <c r="D644" s="619"/>
      <c r="E644" s="619"/>
      <c r="F644" s="619"/>
      <c r="G644" s="619"/>
      <c r="H644" s="619"/>
      <c r="I644" s="619"/>
      <c r="J644" s="332"/>
      <c r="K644" s="332"/>
      <c r="L644" s="619"/>
      <c r="M644" s="332"/>
    </row>
    <row r="645" spans="1:13" x14ac:dyDescent="0.25">
      <c r="A645" s="618"/>
      <c r="B645" s="619"/>
      <c r="C645" s="619"/>
      <c r="D645" s="619"/>
      <c r="E645" s="619"/>
      <c r="F645" s="619"/>
      <c r="G645" s="619"/>
      <c r="H645" s="619"/>
      <c r="I645" s="619"/>
      <c r="J645" s="332"/>
      <c r="K645" s="332"/>
      <c r="L645" s="619"/>
      <c r="M645" s="332"/>
    </row>
    <row r="646" spans="1:13" x14ac:dyDescent="0.25">
      <c r="A646" s="618"/>
      <c r="B646" s="619"/>
      <c r="C646" s="619"/>
      <c r="D646" s="619"/>
      <c r="E646" s="619"/>
      <c r="F646" s="619"/>
      <c r="G646" s="619"/>
      <c r="H646" s="619"/>
      <c r="I646" s="619"/>
      <c r="J646" s="332"/>
      <c r="K646" s="332"/>
      <c r="L646" s="619"/>
      <c r="M646" s="332"/>
    </row>
    <row r="647" spans="1:13" x14ac:dyDescent="0.25">
      <c r="A647" s="618"/>
      <c r="B647" s="619"/>
      <c r="C647" s="619"/>
      <c r="D647" s="619"/>
      <c r="E647" s="619"/>
      <c r="F647" s="619"/>
      <c r="G647" s="619"/>
      <c r="H647" s="619"/>
      <c r="I647" s="619"/>
      <c r="J647" s="332"/>
      <c r="K647" s="332"/>
      <c r="L647" s="619"/>
      <c r="M647" s="332"/>
    </row>
    <row r="648" spans="1:13" x14ac:dyDescent="0.25">
      <c r="A648" s="618"/>
      <c r="B648" s="619"/>
      <c r="C648" s="619"/>
      <c r="D648" s="619"/>
      <c r="E648" s="619"/>
      <c r="F648" s="619"/>
      <c r="G648" s="619"/>
      <c r="H648" s="619"/>
      <c r="I648" s="619"/>
      <c r="J648" s="332"/>
      <c r="K648" s="332"/>
      <c r="L648" s="619"/>
      <c r="M648" s="332"/>
    </row>
    <row r="649" spans="1:13" x14ac:dyDescent="0.25">
      <c r="A649" s="618"/>
      <c r="B649" s="619"/>
      <c r="C649" s="619"/>
      <c r="D649" s="619"/>
      <c r="E649" s="619"/>
      <c r="F649" s="619"/>
      <c r="G649" s="619"/>
      <c r="H649" s="619"/>
      <c r="I649" s="619"/>
      <c r="J649" s="332"/>
      <c r="K649" s="332"/>
      <c r="L649" s="619"/>
      <c r="M649" s="332"/>
    </row>
    <row r="650" spans="1:13" x14ac:dyDescent="0.25">
      <c r="A650" s="618"/>
      <c r="B650" s="619"/>
      <c r="C650" s="619"/>
      <c r="D650" s="619"/>
      <c r="E650" s="619"/>
      <c r="F650" s="619"/>
      <c r="G650" s="619"/>
      <c r="H650" s="619"/>
      <c r="I650" s="619"/>
      <c r="J650" s="332"/>
      <c r="K650" s="332"/>
      <c r="L650" s="619"/>
      <c r="M650" s="332"/>
    </row>
    <row r="651" spans="1:13" x14ac:dyDescent="0.25">
      <c r="A651" s="618"/>
      <c r="B651" s="619"/>
      <c r="C651" s="619"/>
      <c r="D651" s="619"/>
      <c r="E651" s="619"/>
      <c r="F651" s="619"/>
      <c r="G651" s="619"/>
      <c r="H651" s="619"/>
      <c r="I651" s="619"/>
      <c r="J651" s="332"/>
      <c r="K651" s="332"/>
      <c r="L651" s="619"/>
      <c r="M651" s="332"/>
    </row>
    <row r="652" spans="1:13" x14ac:dyDescent="0.25">
      <c r="A652" s="618"/>
      <c r="B652" s="619"/>
      <c r="C652" s="619"/>
      <c r="D652" s="619"/>
      <c r="E652" s="619"/>
      <c r="F652" s="619"/>
      <c r="G652" s="619"/>
      <c r="H652" s="619"/>
      <c r="I652" s="619"/>
      <c r="J652" s="332"/>
      <c r="K652" s="332"/>
      <c r="L652" s="619"/>
      <c r="M652" s="332"/>
    </row>
    <row r="653" spans="1:13" x14ac:dyDescent="0.25">
      <c r="A653" s="618"/>
      <c r="B653" s="619"/>
      <c r="C653" s="619"/>
      <c r="D653" s="619"/>
      <c r="E653" s="619"/>
      <c r="F653" s="619"/>
      <c r="G653" s="619"/>
      <c r="H653" s="619"/>
      <c r="I653" s="619"/>
      <c r="J653" s="332"/>
      <c r="K653" s="332"/>
      <c r="L653" s="619"/>
      <c r="M653" s="332"/>
    </row>
    <row r="654" spans="1:13" x14ac:dyDescent="0.25">
      <c r="A654" s="618"/>
      <c r="B654" s="619"/>
      <c r="C654" s="619"/>
      <c r="D654" s="619"/>
      <c r="E654" s="619"/>
      <c r="F654" s="619"/>
      <c r="G654" s="619"/>
      <c r="H654" s="619"/>
      <c r="I654" s="619"/>
      <c r="J654" s="332"/>
      <c r="K654" s="332"/>
      <c r="L654" s="619"/>
      <c r="M654" s="332"/>
    </row>
    <row r="655" spans="1:13" x14ac:dyDescent="0.25">
      <c r="A655" s="618"/>
      <c r="B655" s="619"/>
      <c r="C655" s="619"/>
      <c r="D655" s="619"/>
      <c r="E655" s="619"/>
      <c r="F655" s="619"/>
      <c r="G655" s="619"/>
      <c r="H655" s="619"/>
      <c r="I655" s="619"/>
      <c r="J655" s="332"/>
      <c r="K655" s="332"/>
      <c r="L655" s="619"/>
      <c r="M655" s="332"/>
    </row>
    <row r="656" spans="1:13" x14ac:dyDescent="0.25">
      <c r="A656" s="618"/>
      <c r="B656" s="619"/>
      <c r="C656" s="619"/>
      <c r="D656" s="619"/>
      <c r="E656" s="619"/>
      <c r="F656" s="619"/>
      <c r="G656" s="619"/>
      <c r="H656" s="619"/>
      <c r="I656" s="619"/>
      <c r="J656" s="332"/>
      <c r="K656" s="332"/>
      <c r="L656" s="619"/>
      <c r="M656" s="332"/>
    </row>
    <row r="657" spans="1:13" x14ac:dyDescent="0.25">
      <c r="A657" s="618"/>
      <c r="B657" s="619"/>
      <c r="C657" s="619"/>
      <c r="D657" s="619"/>
      <c r="E657" s="619"/>
      <c r="F657" s="619"/>
      <c r="G657" s="619"/>
      <c r="H657" s="619"/>
      <c r="I657" s="619"/>
      <c r="J657" s="332"/>
      <c r="K657" s="332"/>
      <c r="L657" s="619"/>
      <c r="M657" s="332"/>
    </row>
    <row r="658" spans="1:13" x14ac:dyDescent="0.25">
      <c r="A658" s="618"/>
      <c r="B658" s="619"/>
      <c r="C658" s="619"/>
      <c r="D658" s="619"/>
      <c r="E658" s="619"/>
      <c r="F658" s="619"/>
      <c r="G658" s="619"/>
      <c r="H658" s="619"/>
      <c r="I658" s="619"/>
      <c r="J658" s="332"/>
      <c r="K658" s="332"/>
      <c r="L658" s="619"/>
      <c r="M658" s="332"/>
    </row>
    <row r="659" spans="1:13" x14ac:dyDescent="0.25">
      <c r="A659" s="618"/>
      <c r="B659" s="619"/>
      <c r="C659" s="619"/>
      <c r="D659" s="619"/>
      <c r="E659" s="619"/>
      <c r="F659" s="619"/>
      <c r="G659" s="619"/>
      <c r="H659" s="619"/>
      <c r="I659" s="619"/>
      <c r="J659" s="332"/>
      <c r="K659" s="332"/>
      <c r="L659" s="619"/>
      <c r="M659" s="332"/>
    </row>
    <row r="660" spans="1:13" x14ac:dyDescent="0.25">
      <c r="A660" s="618"/>
      <c r="B660" s="619"/>
      <c r="C660" s="619"/>
      <c r="D660" s="619"/>
      <c r="E660" s="619"/>
      <c r="F660" s="619"/>
      <c r="G660" s="619"/>
      <c r="H660" s="619"/>
      <c r="I660" s="619"/>
      <c r="J660" s="332"/>
      <c r="K660" s="332"/>
      <c r="L660" s="619"/>
      <c r="M660" s="332"/>
    </row>
    <row r="661" spans="1:13" x14ac:dyDescent="0.25">
      <c r="A661" s="618"/>
      <c r="B661" s="619"/>
      <c r="C661" s="619"/>
      <c r="D661" s="619"/>
      <c r="E661" s="619"/>
      <c r="F661" s="619"/>
      <c r="G661" s="619"/>
      <c r="H661" s="619"/>
      <c r="I661" s="619"/>
      <c r="J661" s="332"/>
      <c r="K661" s="332"/>
      <c r="L661" s="619"/>
      <c r="M661" s="332"/>
    </row>
    <row r="662" spans="1:13" x14ac:dyDescent="0.25">
      <c r="A662" s="618"/>
      <c r="B662" s="619"/>
      <c r="C662" s="619"/>
      <c r="D662" s="619"/>
      <c r="E662" s="619"/>
      <c r="F662" s="619"/>
      <c r="G662" s="619"/>
      <c r="H662" s="619"/>
      <c r="I662" s="619"/>
      <c r="J662" s="332"/>
      <c r="K662" s="332"/>
      <c r="L662" s="619"/>
      <c r="M662" s="332"/>
    </row>
    <row r="663" spans="1:13" x14ac:dyDescent="0.25">
      <c r="A663" s="618"/>
      <c r="B663" s="619"/>
      <c r="C663" s="619"/>
      <c r="D663" s="619"/>
      <c r="E663" s="619"/>
      <c r="F663" s="619"/>
      <c r="G663" s="619"/>
      <c r="H663" s="619"/>
      <c r="I663" s="619"/>
      <c r="J663" s="332"/>
      <c r="K663" s="332"/>
      <c r="L663" s="619"/>
      <c r="M663" s="332"/>
    </row>
  </sheetData>
  <mergeCells count="399">
    <mergeCell ref="J268:K268"/>
    <mergeCell ref="J270:K270"/>
    <mergeCell ref="J275:K275"/>
    <mergeCell ref="J294:K294"/>
    <mergeCell ref="J296:K296"/>
    <mergeCell ref="J303:K303"/>
    <mergeCell ref="J306:K306"/>
    <mergeCell ref="J312:K312"/>
    <mergeCell ref="J314:K314"/>
    <mergeCell ref="G276:M276"/>
    <mergeCell ref="G311:M311"/>
    <mergeCell ref="G312:I312"/>
    <mergeCell ref="G298:M298"/>
    <mergeCell ref="G167:M167"/>
    <mergeCell ref="G168:I168"/>
    <mergeCell ref="G205:I205"/>
    <mergeCell ref="G213:M213"/>
    <mergeCell ref="J170:K170"/>
    <mergeCell ref="J178:K178"/>
    <mergeCell ref="J180:K180"/>
    <mergeCell ref="J187:K187"/>
    <mergeCell ref="J189:K189"/>
    <mergeCell ref="G195:M195"/>
    <mergeCell ref="G178:I178"/>
    <mergeCell ref="G186:M186"/>
    <mergeCell ref="G187:I187"/>
    <mergeCell ref="G189:I189"/>
    <mergeCell ref="J256:K256"/>
    <mergeCell ref="G133:I133"/>
    <mergeCell ref="G376:M376"/>
    <mergeCell ref="G367:I367"/>
    <mergeCell ref="G361:M361"/>
    <mergeCell ref="G359:M359"/>
    <mergeCell ref="G372:I372"/>
    <mergeCell ref="G375:I375"/>
    <mergeCell ref="G350:I350"/>
    <mergeCell ref="G368:M368"/>
    <mergeCell ref="J367:K367"/>
    <mergeCell ref="J372:K372"/>
    <mergeCell ref="G295:M295"/>
    <mergeCell ref="G296:I296"/>
    <mergeCell ref="G305:M305"/>
    <mergeCell ref="G306:I306"/>
    <mergeCell ref="G288:I288"/>
    <mergeCell ref="G290:M290"/>
    <mergeCell ref="G240:M240"/>
    <mergeCell ref="G198:M198"/>
    <mergeCell ref="G206:M206"/>
    <mergeCell ref="G211:I211"/>
    <mergeCell ref="G201:M201"/>
    <mergeCell ref="G191:M191"/>
    <mergeCell ref="J42:K42"/>
    <mergeCell ref="J47:K47"/>
    <mergeCell ref="J70:K70"/>
    <mergeCell ref="J73:K73"/>
    <mergeCell ref="J89:K89"/>
    <mergeCell ref="J92:K92"/>
    <mergeCell ref="J103:K103"/>
    <mergeCell ref="J105:K105"/>
    <mergeCell ref="J349:K349"/>
    <mergeCell ref="J261:K261"/>
    <mergeCell ref="G300:M300"/>
    <mergeCell ref="G308:M308"/>
    <mergeCell ref="G303:I303"/>
    <mergeCell ref="G297:I297"/>
    <mergeCell ref="G139:M139"/>
    <mergeCell ref="G142:I142"/>
    <mergeCell ref="G137:M137"/>
    <mergeCell ref="G130:I130"/>
    <mergeCell ref="G110:M110"/>
    <mergeCell ref="G102:M102"/>
    <mergeCell ref="J216:K216"/>
    <mergeCell ref="J219:K219"/>
    <mergeCell ref="G310:I310"/>
    <mergeCell ref="G283:M283"/>
    <mergeCell ref="A556:M556"/>
    <mergeCell ref="A555:M555"/>
    <mergeCell ref="A351:A352"/>
    <mergeCell ref="G354:M354"/>
    <mergeCell ref="G343:M343"/>
    <mergeCell ref="A508:M508"/>
    <mergeCell ref="A507:M507"/>
    <mergeCell ref="G379:M379"/>
    <mergeCell ref="B351:B352"/>
    <mergeCell ref="D351:D352"/>
    <mergeCell ref="A386:B386"/>
    <mergeCell ref="A396:M396"/>
    <mergeCell ref="C351:C352"/>
    <mergeCell ref="G385:I385"/>
    <mergeCell ref="G381:M381"/>
    <mergeCell ref="G351:M351"/>
    <mergeCell ref="G373:M373"/>
    <mergeCell ref="J384:K384"/>
    <mergeCell ref="G383:M383"/>
    <mergeCell ref="G384:I384"/>
    <mergeCell ref="G348:M348"/>
    <mergeCell ref="G349:I349"/>
    <mergeCell ref="G364:M364"/>
    <mergeCell ref="A98:A99"/>
    <mergeCell ref="B98:B99"/>
    <mergeCell ref="G107:M107"/>
    <mergeCell ref="D75:D86"/>
    <mergeCell ref="C98:C99"/>
    <mergeCell ref="B107:B108"/>
    <mergeCell ref="C298:C299"/>
    <mergeCell ref="B191:B192"/>
    <mergeCell ref="G182:M182"/>
    <mergeCell ref="G184:M184"/>
    <mergeCell ref="G176:M176"/>
    <mergeCell ref="J205:K205"/>
    <mergeCell ref="J211:K211"/>
    <mergeCell ref="D107:D108"/>
    <mergeCell ref="C191:C192"/>
    <mergeCell ref="D191:D192"/>
    <mergeCell ref="G181:I181"/>
    <mergeCell ref="G147:I147"/>
    <mergeCell ref="G162:M162"/>
    <mergeCell ref="G152:M152"/>
    <mergeCell ref="G100:M100"/>
    <mergeCell ref="G260:M260"/>
    <mergeCell ref="G257:I257"/>
    <mergeCell ref="G154:M154"/>
    <mergeCell ref="G19:I19"/>
    <mergeCell ref="A20:A23"/>
    <mergeCell ref="A51:A53"/>
    <mergeCell ref="B51:B53"/>
    <mergeCell ref="G51:M51"/>
    <mergeCell ref="G36:M36"/>
    <mergeCell ref="A107:A108"/>
    <mergeCell ref="G48:M48"/>
    <mergeCell ref="G93:M93"/>
    <mergeCell ref="G30:M30"/>
    <mergeCell ref="G50:I50"/>
    <mergeCell ref="G38:I38"/>
    <mergeCell ref="G66:M66"/>
    <mergeCell ref="G65:I65"/>
    <mergeCell ref="G60:M60"/>
    <mergeCell ref="G79:M79"/>
    <mergeCell ref="G45:M45"/>
    <mergeCell ref="G47:I47"/>
    <mergeCell ref="G92:I92"/>
    <mergeCell ref="G89:I89"/>
    <mergeCell ref="G90:M90"/>
    <mergeCell ref="G71:M71"/>
    <mergeCell ref="G73:I73"/>
    <mergeCell ref="G85:M85"/>
    <mergeCell ref="A337:A341"/>
    <mergeCell ref="B337:B341"/>
    <mergeCell ref="A316:A317"/>
    <mergeCell ref="B316:B317"/>
    <mergeCell ref="G337:M337"/>
    <mergeCell ref="G315:I315"/>
    <mergeCell ref="C337:C341"/>
    <mergeCell ref="D337:D341"/>
    <mergeCell ref="C316:C317"/>
    <mergeCell ref="D316:D317"/>
    <mergeCell ref="G321:M321"/>
    <mergeCell ref="G328:M328"/>
    <mergeCell ref="G318:M318"/>
    <mergeCell ref="G335:I335"/>
    <mergeCell ref="G316:M316"/>
    <mergeCell ref="G336:I336"/>
    <mergeCell ref="G339:M339"/>
    <mergeCell ref="J333:K333"/>
    <mergeCell ref="J335:K335"/>
    <mergeCell ref="G323:M323"/>
    <mergeCell ref="G332:M332"/>
    <mergeCell ref="G334:M334"/>
    <mergeCell ref="G333:I333"/>
    <mergeCell ref="N336:P336"/>
    <mergeCell ref="N337:T337"/>
    <mergeCell ref="N279:T279"/>
    <mergeCell ref="N281:T281"/>
    <mergeCell ref="N297:P297"/>
    <mergeCell ref="N298:T298"/>
    <mergeCell ref="B2:F6"/>
    <mergeCell ref="B7:F7"/>
    <mergeCell ref="C20:C23"/>
    <mergeCell ref="N307:P307"/>
    <mergeCell ref="N315:P315"/>
    <mergeCell ref="N316:T316"/>
    <mergeCell ref="N300:T300"/>
    <mergeCell ref="N245:T245"/>
    <mergeCell ref="N162:T162"/>
    <mergeCell ref="B20:B23"/>
    <mergeCell ref="G39:M39"/>
    <mergeCell ref="D98:D99"/>
    <mergeCell ref="C107:C108"/>
    <mergeCell ref="G105:I105"/>
    <mergeCell ref="G128:M128"/>
    <mergeCell ref="N2:T2"/>
    <mergeCell ref="N3:T4"/>
    <mergeCell ref="G2:M2"/>
    <mergeCell ref="A1:T1"/>
    <mergeCell ref="A2:A6"/>
    <mergeCell ref="G74:I74"/>
    <mergeCell ref="G32:M32"/>
    <mergeCell ref="D20:D23"/>
    <mergeCell ref="C51:C53"/>
    <mergeCell ref="A75:A86"/>
    <mergeCell ref="B75:B86"/>
    <mergeCell ref="G3:M4"/>
    <mergeCell ref="G17:M17"/>
    <mergeCell ref="G18:I18"/>
    <mergeCell ref="J18:K18"/>
    <mergeCell ref="J16:K16"/>
    <mergeCell ref="D51:D53"/>
    <mergeCell ref="G57:M57"/>
    <mergeCell ref="G54:M54"/>
    <mergeCell ref="G62:M62"/>
    <mergeCell ref="C75:C86"/>
    <mergeCell ref="G83:M83"/>
    <mergeCell ref="G42:I42"/>
    <mergeCell ref="G70:I70"/>
    <mergeCell ref="G68:M68"/>
    <mergeCell ref="G12:M12"/>
    <mergeCell ref="G14:M14"/>
    <mergeCell ref="N190:P190"/>
    <mergeCell ref="N191:T191"/>
    <mergeCell ref="N217:P217"/>
    <mergeCell ref="N8:T8"/>
    <mergeCell ref="N19:P19"/>
    <mergeCell ref="N20:T20"/>
    <mergeCell ref="N51:T51"/>
    <mergeCell ref="N54:T54"/>
    <mergeCell ref="T5:T6"/>
    <mergeCell ref="N212:P212"/>
    <mergeCell ref="N164:T164"/>
    <mergeCell ref="N171:P171"/>
    <mergeCell ref="N172:T172"/>
    <mergeCell ref="N147:P147"/>
    <mergeCell ref="N181:P181"/>
    <mergeCell ref="N182:T182"/>
    <mergeCell ref="N161:P161"/>
    <mergeCell ref="N74:P74"/>
    <mergeCell ref="N75:T75"/>
    <mergeCell ref="N77:T77"/>
    <mergeCell ref="N79:T79"/>
    <mergeCell ref="N95:P95"/>
    <mergeCell ref="N97:P97"/>
    <mergeCell ref="N112:T112"/>
    <mergeCell ref="N385:P385"/>
    <mergeCell ref="N351:T351"/>
    <mergeCell ref="N339:T339"/>
    <mergeCell ref="N350:P350"/>
    <mergeCell ref="N50:P50"/>
    <mergeCell ref="N354:T354"/>
    <mergeCell ref="N375:P375"/>
    <mergeCell ref="N376:T376"/>
    <mergeCell ref="N248:T248"/>
    <mergeCell ref="N257:P257"/>
    <mergeCell ref="N262:P262"/>
    <mergeCell ref="N271:P271"/>
    <mergeCell ref="N273:P273"/>
    <mergeCell ref="N278:P278"/>
    <mergeCell ref="N145:T145"/>
    <mergeCell ref="N106:P106"/>
    <mergeCell ref="N107:T107"/>
    <mergeCell ref="N142:P142"/>
    <mergeCell ref="N239:P239"/>
    <mergeCell ref="N242:P242"/>
    <mergeCell ref="N243:T243"/>
    <mergeCell ref="N137:T137"/>
    <mergeCell ref="N98:T98"/>
    <mergeCell ref="N195:T195"/>
    <mergeCell ref="N220:P220"/>
    <mergeCell ref="N224:P224"/>
    <mergeCell ref="N225:T225"/>
    <mergeCell ref="N237:P237"/>
    <mergeCell ref="G275:I275"/>
    <mergeCell ref="G274:M274"/>
    <mergeCell ref="G218:M218"/>
    <mergeCell ref="G219:I219"/>
    <mergeCell ref="G221:M221"/>
    <mergeCell ref="G223:I223"/>
    <mergeCell ref="G224:I224"/>
    <mergeCell ref="G243:M243"/>
    <mergeCell ref="G258:M258"/>
    <mergeCell ref="G250:M250"/>
    <mergeCell ref="G225:M225"/>
    <mergeCell ref="J236:K236"/>
    <mergeCell ref="J241:K241"/>
    <mergeCell ref="N263:T263"/>
    <mergeCell ref="G237:I237"/>
    <mergeCell ref="G241:I241"/>
    <mergeCell ref="G254:M254"/>
    <mergeCell ref="G256:I256"/>
    <mergeCell ref="G245:M245"/>
    <mergeCell ref="J251:K251"/>
    <mergeCell ref="G77:M77"/>
    <mergeCell ref="A148:A149"/>
    <mergeCell ref="B148:B149"/>
    <mergeCell ref="C148:C149"/>
    <mergeCell ref="D148:F149"/>
    <mergeCell ref="G148:M148"/>
    <mergeCell ref="A191:A192"/>
    <mergeCell ref="G158:M158"/>
    <mergeCell ref="G160:I160"/>
    <mergeCell ref="G170:I170"/>
    <mergeCell ref="G179:M179"/>
    <mergeCell ref="G180:I180"/>
    <mergeCell ref="G164:M164"/>
    <mergeCell ref="G150:M150"/>
    <mergeCell ref="G172:M172"/>
    <mergeCell ref="G169:M169"/>
    <mergeCell ref="G190:I190"/>
    <mergeCell ref="J160:K160"/>
    <mergeCell ref="J168:K168"/>
    <mergeCell ref="G161:I161"/>
    <mergeCell ref="G174:M174"/>
    <mergeCell ref="G171:I171"/>
    <mergeCell ref="G188:M188"/>
    <mergeCell ref="G103:I103"/>
    <mergeCell ref="D279:D280"/>
    <mergeCell ref="A298:A299"/>
    <mergeCell ref="D298:D299"/>
    <mergeCell ref="A279:A280"/>
    <mergeCell ref="B279:B280"/>
    <mergeCell ref="G248:M248"/>
    <mergeCell ref="G239:I239"/>
    <mergeCell ref="G227:M227"/>
    <mergeCell ref="G265:M265"/>
    <mergeCell ref="G230:M230"/>
    <mergeCell ref="G262:I262"/>
    <mergeCell ref="G270:I270"/>
    <mergeCell ref="C279:C280"/>
    <mergeCell ref="G281:M281"/>
    <mergeCell ref="G263:M263"/>
    <mergeCell ref="G273:I273"/>
    <mergeCell ref="G271:I271"/>
    <mergeCell ref="G278:I278"/>
    <mergeCell ref="G284:I284"/>
    <mergeCell ref="G294:I294"/>
    <mergeCell ref="G234:M234"/>
    <mergeCell ref="G236:I236"/>
    <mergeCell ref="J233:K233"/>
    <mergeCell ref="B298:B299"/>
    <mergeCell ref="G104:M104"/>
    <mergeCell ref="G145:M145"/>
    <mergeCell ref="G134:M134"/>
    <mergeCell ref="G97:I97"/>
    <mergeCell ref="G123:M123"/>
    <mergeCell ref="G112:M112"/>
    <mergeCell ref="G131:I131"/>
    <mergeCell ref="G121:M121"/>
    <mergeCell ref="G122:I122"/>
    <mergeCell ref="J127:K127"/>
    <mergeCell ref="J130:K130"/>
    <mergeCell ref="G106:I106"/>
    <mergeCell ref="G143:M143"/>
    <mergeCell ref="G125:M125"/>
    <mergeCell ref="G95:I95"/>
    <mergeCell ref="G84:I84"/>
    <mergeCell ref="G87:M87"/>
    <mergeCell ref="G118:M118"/>
    <mergeCell ref="G98:M98"/>
    <mergeCell ref="G136:I136"/>
    <mergeCell ref="S5:S6"/>
    <mergeCell ref="G285:M285"/>
    <mergeCell ref="G345:M345"/>
    <mergeCell ref="G212:I212"/>
    <mergeCell ref="G232:M232"/>
    <mergeCell ref="G233:I233"/>
    <mergeCell ref="G279:M279"/>
    <mergeCell ref="G302:M302"/>
    <mergeCell ref="G261:I261"/>
    <mergeCell ref="G269:M269"/>
    <mergeCell ref="G220:I220"/>
    <mergeCell ref="G251:I251"/>
    <mergeCell ref="G267:M267"/>
    <mergeCell ref="G268:I268"/>
    <mergeCell ref="G215:M215"/>
    <mergeCell ref="G216:I216"/>
    <mergeCell ref="J223:K223"/>
    <mergeCell ref="G242:I242"/>
    <mergeCell ref="G217:I217"/>
    <mergeCell ref="G313:M313"/>
    <mergeCell ref="G314:I314"/>
    <mergeCell ref="G307:I307"/>
    <mergeCell ref="G127:I127"/>
    <mergeCell ref="N131:P131"/>
    <mergeCell ref="N133:P133"/>
    <mergeCell ref="N136:P136"/>
    <mergeCell ref="G5:G6"/>
    <mergeCell ref="H5:H6"/>
    <mergeCell ref="I5:I6"/>
    <mergeCell ref="L5:L6"/>
    <mergeCell ref="M5:M6"/>
    <mergeCell ref="N5:N6"/>
    <mergeCell ref="O5:O6"/>
    <mergeCell ref="P5:P6"/>
    <mergeCell ref="G8:M8"/>
    <mergeCell ref="G10:M10"/>
    <mergeCell ref="G11:I11"/>
    <mergeCell ref="G20:M20"/>
    <mergeCell ref="G24:M24"/>
    <mergeCell ref="G75:M75"/>
    <mergeCell ref="G16:I16"/>
    <mergeCell ref="G41:M41"/>
  </mergeCells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T406"/>
  <sheetViews>
    <sheetView zoomScale="70" zoomScaleNormal="70" workbookViewId="0">
      <pane ySplit="7" topLeftCell="A50" activePane="bottomLeft" state="frozen"/>
      <selection pane="bottomLeft" activeCell="K81" sqref="K81"/>
    </sheetView>
  </sheetViews>
  <sheetFormatPr defaultRowHeight="15.75" x14ac:dyDescent="0.25"/>
  <cols>
    <col min="1" max="1" width="30.7109375" style="335" customWidth="1"/>
    <col min="2" max="6" width="5.7109375" style="301" customWidth="1"/>
    <col min="7" max="9" width="20.7109375" style="301" customWidth="1"/>
    <col min="10" max="10" width="10.7109375" style="301" customWidth="1"/>
    <col min="11" max="11" width="10.7109375" style="336" customWidth="1"/>
    <col min="12" max="12" width="10.7109375" style="301" customWidth="1"/>
    <col min="13" max="13" width="10.7109375" style="337" customWidth="1"/>
    <col min="14" max="14" width="20.7109375" style="315" customWidth="1"/>
    <col min="15" max="16" width="20.7109375" style="204" customWidth="1"/>
    <col min="17" max="17" width="11.28515625" style="204" customWidth="1"/>
    <col min="18" max="18" width="10.7109375" style="334" customWidth="1"/>
    <col min="19" max="19" width="10.7109375" style="204" customWidth="1"/>
    <col min="20" max="20" width="10.7109375" style="334" customWidth="1"/>
    <col min="21" max="16384" width="9.140625" style="204"/>
  </cols>
  <sheetData>
    <row r="1" spans="1:20" ht="15" customHeight="1" x14ac:dyDescent="0.25">
      <c r="A1" s="1049" t="s">
        <v>1435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0" ht="15" customHeight="1" x14ac:dyDescent="0.25">
      <c r="A2" s="1176" t="s">
        <v>244</v>
      </c>
      <c r="B2" s="1138" t="s">
        <v>1136</v>
      </c>
      <c r="C2" s="1139"/>
      <c r="D2" s="1139"/>
      <c r="E2" s="1139"/>
      <c r="F2" s="1140"/>
      <c r="G2" s="1146" t="s">
        <v>1187</v>
      </c>
      <c r="H2" s="1147"/>
      <c r="I2" s="1147"/>
      <c r="J2" s="1147"/>
      <c r="K2" s="1147"/>
      <c r="L2" s="1147"/>
      <c r="M2" s="1041"/>
      <c r="N2" s="1033" t="s">
        <v>1668</v>
      </c>
      <c r="O2" s="1033"/>
      <c r="P2" s="1033"/>
      <c r="Q2" s="1033"/>
      <c r="R2" s="1033"/>
      <c r="S2" s="1033"/>
      <c r="T2" s="1033"/>
    </row>
    <row r="3" spans="1:20" ht="15" customHeight="1" x14ac:dyDescent="0.25">
      <c r="A3" s="1177"/>
      <c r="B3" s="1141"/>
      <c r="C3" s="1039"/>
      <c r="D3" s="1039"/>
      <c r="E3" s="1039"/>
      <c r="F3" s="1142"/>
      <c r="G3" s="1034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0" ht="15" customHeight="1" x14ac:dyDescent="0.25">
      <c r="A4" s="1177"/>
      <c r="B4" s="1141"/>
      <c r="C4" s="1039"/>
      <c r="D4" s="1039"/>
      <c r="E4" s="1039"/>
      <c r="F4" s="1142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0" ht="15" customHeight="1" x14ac:dyDescent="0.25">
      <c r="A5" s="1177"/>
      <c r="B5" s="1141"/>
      <c r="C5" s="1039"/>
      <c r="D5" s="1039"/>
      <c r="E5" s="1039"/>
      <c r="F5" s="1142"/>
      <c r="G5" s="1007" t="s">
        <v>1189</v>
      </c>
      <c r="H5" s="1007" t="s">
        <v>1195</v>
      </c>
      <c r="I5" s="1007" t="s">
        <v>1191</v>
      </c>
      <c r="J5" s="543" t="s">
        <v>19510</v>
      </c>
      <c r="K5" s="543" t="s">
        <v>19511</v>
      </c>
      <c r="L5" s="1007" t="s">
        <v>1193</v>
      </c>
      <c r="M5" s="1011" t="s">
        <v>1194</v>
      </c>
      <c r="N5" s="1007" t="s">
        <v>1189</v>
      </c>
      <c r="O5" s="1007" t="s">
        <v>1195</v>
      </c>
      <c r="P5" s="1007" t="s">
        <v>1191</v>
      </c>
      <c r="Q5" s="543" t="s">
        <v>19510</v>
      </c>
      <c r="R5" s="543" t="s">
        <v>19511</v>
      </c>
      <c r="S5" s="1007" t="s">
        <v>1193</v>
      </c>
      <c r="T5" s="1011" t="s">
        <v>1194</v>
      </c>
    </row>
    <row r="6" spans="1:20" ht="15" customHeight="1" x14ac:dyDescent="0.25">
      <c r="A6" s="1178"/>
      <c r="B6" s="1143"/>
      <c r="C6" s="1144"/>
      <c r="D6" s="1144"/>
      <c r="E6" s="1144"/>
      <c r="F6" s="1145"/>
      <c r="G6" s="1008"/>
      <c r="H6" s="1008"/>
      <c r="I6" s="1008"/>
      <c r="J6" s="205" t="s">
        <v>1192</v>
      </c>
      <c r="K6" s="205" t="s">
        <v>1192</v>
      </c>
      <c r="L6" s="1008"/>
      <c r="M6" s="1012"/>
      <c r="N6" s="1008"/>
      <c r="O6" s="1008"/>
      <c r="P6" s="1008"/>
      <c r="Q6" s="205" t="s">
        <v>1192</v>
      </c>
      <c r="R6" s="205" t="s">
        <v>1192</v>
      </c>
      <c r="S6" s="1008"/>
      <c r="T6" s="1012"/>
    </row>
    <row r="7" spans="1:20" ht="15" customHeight="1" thickBot="1" x14ac:dyDescent="0.3">
      <c r="A7" s="207">
        <v>1</v>
      </c>
      <c r="B7" s="1013">
        <v>2</v>
      </c>
      <c r="C7" s="1014"/>
      <c r="D7" s="1014"/>
      <c r="E7" s="1014"/>
      <c r="F7" s="1015"/>
      <c r="G7" s="208">
        <v>3</v>
      </c>
      <c r="H7" s="208">
        <v>4</v>
      </c>
      <c r="I7" s="208">
        <v>5</v>
      </c>
      <c r="J7" s="208">
        <v>6</v>
      </c>
      <c r="K7" s="208">
        <v>7</v>
      </c>
      <c r="L7" s="208">
        <v>8</v>
      </c>
      <c r="M7" s="210">
        <v>9</v>
      </c>
      <c r="N7" s="208">
        <v>10</v>
      </c>
      <c r="O7" s="208">
        <v>11</v>
      </c>
      <c r="P7" s="208">
        <v>12</v>
      </c>
      <c r="Q7" s="208">
        <v>13</v>
      </c>
      <c r="R7" s="208">
        <v>14</v>
      </c>
      <c r="S7" s="208">
        <v>15</v>
      </c>
      <c r="T7" s="208">
        <v>16</v>
      </c>
    </row>
    <row r="8" spans="1:20" ht="15" customHeight="1" x14ac:dyDescent="0.25">
      <c r="A8" s="566" t="str">
        <f>Итоговая!C245</f>
        <v xml:space="preserve">ПС 35/10 кВ Бахмутово </v>
      </c>
      <c r="B8" s="563">
        <f>Итоговая!D245</f>
        <v>2.5</v>
      </c>
      <c r="C8" s="552"/>
      <c r="D8" s="552"/>
      <c r="E8" s="552"/>
      <c r="F8" s="555"/>
      <c r="G8" s="1162" t="s">
        <v>1645</v>
      </c>
      <c r="H8" s="1162"/>
      <c r="I8" s="1162"/>
      <c r="J8" s="1162"/>
      <c r="K8" s="1162"/>
      <c r="L8" s="1162"/>
      <c r="M8" s="1162"/>
      <c r="N8" s="215"/>
      <c r="O8" s="215"/>
      <c r="P8" s="215"/>
      <c r="Q8" s="215"/>
      <c r="R8" s="216"/>
      <c r="S8" s="215"/>
      <c r="T8" s="217"/>
    </row>
    <row r="9" spans="1:20" ht="15" customHeight="1" x14ac:dyDescent="0.25">
      <c r="A9" s="567"/>
      <c r="B9" s="564"/>
      <c r="C9" s="553"/>
      <c r="D9" s="553"/>
      <c r="E9" s="553"/>
      <c r="F9" s="556"/>
      <c r="G9" s="543" t="s">
        <v>1722</v>
      </c>
      <c r="H9" s="543" t="s">
        <v>1723</v>
      </c>
      <c r="I9" s="543" t="s">
        <v>1820</v>
      </c>
      <c r="J9" s="543"/>
      <c r="K9" s="205">
        <v>0.1</v>
      </c>
      <c r="L9" s="543"/>
      <c r="M9" s="519"/>
      <c r="N9" s="543"/>
      <c r="O9" s="543"/>
      <c r="P9" s="543"/>
      <c r="Q9" s="543"/>
      <c r="R9" s="205"/>
      <c r="S9" s="543"/>
      <c r="T9" s="241"/>
    </row>
    <row r="10" spans="1:20" ht="15" customHeight="1" x14ac:dyDescent="0.25">
      <c r="A10" s="730"/>
      <c r="B10" s="720"/>
      <c r="C10" s="721"/>
      <c r="D10" s="721"/>
      <c r="E10" s="721"/>
      <c r="F10" s="722"/>
      <c r="G10" s="1163" t="s">
        <v>18842</v>
      </c>
      <c r="H10" s="1163"/>
      <c r="I10" s="1163"/>
      <c r="J10" s="1163"/>
      <c r="K10" s="1163"/>
      <c r="L10" s="1163"/>
      <c r="M10" s="1163"/>
      <c r="N10" s="716"/>
      <c r="O10" s="716"/>
      <c r="P10" s="716"/>
      <c r="Q10" s="716"/>
      <c r="R10" s="717"/>
      <c r="S10" s="716"/>
      <c r="T10" s="259"/>
    </row>
    <row r="11" spans="1:20" ht="15" customHeight="1" x14ac:dyDescent="0.25">
      <c r="A11" s="730"/>
      <c r="B11" s="720"/>
      <c r="C11" s="721"/>
      <c r="D11" s="721"/>
      <c r="E11" s="721"/>
      <c r="F11" s="722"/>
      <c r="G11" s="1164" t="s">
        <v>2262</v>
      </c>
      <c r="H11" s="1164"/>
      <c r="I11" s="1164"/>
      <c r="J11" s="1165">
        <f>0.065*0.9*0.6</f>
        <v>3.5099999999999999E-2</v>
      </c>
      <c r="K11" s="1166"/>
      <c r="L11" s="724"/>
      <c r="M11" s="519"/>
      <c r="N11" s="716"/>
      <c r="O11" s="716"/>
      <c r="P11" s="716"/>
      <c r="Q11" s="716"/>
      <c r="R11" s="717"/>
      <c r="S11" s="716"/>
      <c r="T11" s="259"/>
    </row>
    <row r="12" spans="1:20" ht="15" customHeight="1" thickBot="1" x14ac:dyDescent="0.3">
      <c r="A12" s="242"/>
      <c r="B12" s="243"/>
      <c r="C12" s="244"/>
      <c r="D12" s="244"/>
      <c r="E12" s="244"/>
      <c r="F12" s="245"/>
      <c r="G12" s="1032" t="s">
        <v>1199</v>
      </c>
      <c r="H12" s="1032"/>
      <c r="I12" s="1032"/>
      <c r="J12" s="542"/>
      <c r="K12" s="247">
        <f>SUM(J11)</f>
        <v>3.5099999999999999E-2</v>
      </c>
      <c r="L12" s="542">
        <v>0.92</v>
      </c>
      <c r="M12" s="247">
        <f>K12/L12</f>
        <v>3.8152173913043479E-2</v>
      </c>
      <c r="N12" s="1032" t="s">
        <v>1199</v>
      </c>
      <c r="O12" s="1032"/>
      <c r="P12" s="1032"/>
      <c r="Q12" s="542"/>
      <c r="R12" s="247">
        <f>SUM(R8:R9)</f>
        <v>0</v>
      </c>
      <c r="S12" s="542">
        <v>0.92</v>
      </c>
      <c r="T12" s="249">
        <f>R12/S12</f>
        <v>0</v>
      </c>
    </row>
    <row r="13" spans="1:20" ht="15" customHeight="1" x14ac:dyDescent="0.25">
      <c r="A13" s="566" t="str">
        <f>Итоговая!C246</f>
        <v xml:space="preserve">ПС 35/10 кВ Пятницкое </v>
      </c>
      <c r="B13" s="563">
        <f>Итоговая!D246</f>
        <v>2.5</v>
      </c>
      <c r="C13" s="552"/>
      <c r="D13" s="552"/>
      <c r="E13" s="552"/>
      <c r="F13" s="555"/>
      <c r="G13" s="215"/>
      <c r="H13" s="215"/>
      <c r="I13" s="215"/>
      <c r="J13" s="215"/>
      <c r="K13" s="216"/>
      <c r="L13" s="215"/>
      <c r="M13" s="264"/>
      <c r="N13" s="215"/>
      <c r="O13" s="215"/>
      <c r="P13" s="215"/>
      <c r="Q13" s="215"/>
      <c r="R13" s="216"/>
      <c r="S13" s="215"/>
      <c r="T13" s="217"/>
    </row>
    <row r="14" spans="1:20" ht="15" customHeight="1" thickBot="1" x14ac:dyDescent="0.3">
      <c r="A14" s="242"/>
      <c r="B14" s="243"/>
      <c r="C14" s="244"/>
      <c r="D14" s="244"/>
      <c r="E14" s="244"/>
      <c r="F14" s="245"/>
      <c r="G14" s="1032" t="s">
        <v>1199</v>
      </c>
      <c r="H14" s="1032"/>
      <c r="I14" s="1032"/>
      <c r="J14" s="542"/>
      <c r="K14" s="247">
        <f>SUM(K13:K13)</f>
        <v>0</v>
      </c>
      <c r="L14" s="542">
        <v>0.92</v>
      </c>
      <c r="M14" s="247">
        <f>K14/L14</f>
        <v>0</v>
      </c>
      <c r="N14" s="1032" t="s">
        <v>1199</v>
      </c>
      <c r="O14" s="1032"/>
      <c r="P14" s="1032"/>
      <c r="Q14" s="542"/>
      <c r="R14" s="247">
        <f>SUM(R13:R13)</f>
        <v>0</v>
      </c>
      <c r="S14" s="542">
        <v>0.92</v>
      </c>
      <c r="T14" s="249">
        <f>R14/S14</f>
        <v>0</v>
      </c>
    </row>
    <row r="15" spans="1:20" ht="15" customHeight="1" x14ac:dyDescent="0.25">
      <c r="A15" s="1092" t="str">
        <f>Итоговая!C247</f>
        <v xml:space="preserve">ПС 35/10 кВ Карамзино </v>
      </c>
      <c r="B15" s="1072">
        <f>Итоговая!D247</f>
        <v>1.6</v>
      </c>
      <c r="C15" s="552"/>
      <c r="D15" s="552"/>
      <c r="E15" s="552"/>
      <c r="F15" s="555"/>
      <c r="G15" s="1168" t="s">
        <v>1550</v>
      </c>
      <c r="H15" s="1168"/>
      <c r="I15" s="1168"/>
      <c r="J15" s="1168"/>
      <c r="K15" s="1168"/>
      <c r="L15" s="1168"/>
      <c r="M15" s="1168"/>
      <c r="N15" s="1168" t="s">
        <v>14978</v>
      </c>
      <c r="O15" s="1168"/>
      <c r="P15" s="1168"/>
      <c r="Q15" s="1168"/>
      <c r="R15" s="1168"/>
      <c r="S15" s="1168"/>
      <c r="T15" s="1169"/>
    </row>
    <row r="16" spans="1:20" ht="15" customHeight="1" x14ac:dyDescent="0.25">
      <c r="A16" s="1093"/>
      <c r="B16" s="1023"/>
      <c r="C16" s="553"/>
      <c r="D16" s="553"/>
      <c r="E16" s="553"/>
      <c r="F16" s="556"/>
      <c r="G16" s="543" t="s">
        <v>1359</v>
      </c>
      <c r="H16" s="543" t="s">
        <v>1360</v>
      </c>
      <c r="I16" s="543" t="s">
        <v>1361</v>
      </c>
      <c r="J16" s="543"/>
      <c r="K16" s="205">
        <v>0.06</v>
      </c>
      <c r="L16" s="543"/>
      <c r="M16" s="519"/>
      <c r="N16" s="543" t="s">
        <v>2091</v>
      </c>
      <c r="O16" s="543" t="s">
        <v>13437</v>
      </c>
      <c r="P16" s="543" t="s">
        <v>17447</v>
      </c>
      <c r="Q16" s="543"/>
      <c r="R16" s="205">
        <f>0.1*0.9</f>
        <v>9.0000000000000011E-2</v>
      </c>
      <c r="S16" s="548"/>
      <c r="T16" s="241"/>
    </row>
    <row r="17" spans="1:20" ht="15" customHeight="1" x14ac:dyDescent="0.25">
      <c r="A17" s="567"/>
      <c r="B17" s="564"/>
      <c r="C17" s="553"/>
      <c r="D17" s="553"/>
      <c r="E17" s="553"/>
      <c r="F17" s="556"/>
      <c r="G17" s="1163" t="s">
        <v>18842</v>
      </c>
      <c r="H17" s="1163"/>
      <c r="I17" s="1163"/>
      <c r="J17" s="1163"/>
      <c r="K17" s="1163"/>
      <c r="L17" s="1163"/>
      <c r="M17" s="1163"/>
      <c r="N17" s="557"/>
      <c r="O17" s="557"/>
      <c r="P17" s="557"/>
      <c r="Q17" s="557"/>
      <c r="R17" s="230"/>
      <c r="S17" s="269"/>
      <c r="T17" s="259"/>
    </row>
    <row r="18" spans="1:20" ht="15" customHeight="1" x14ac:dyDescent="0.25">
      <c r="A18" s="567"/>
      <c r="B18" s="564"/>
      <c r="C18" s="553"/>
      <c r="D18" s="553"/>
      <c r="E18" s="553"/>
      <c r="F18" s="556"/>
      <c r="G18" s="1164" t="s">
        <v>2262</v>
      </c>
      <c r="H18" s="1164"/>
      <c r="I18" s="1164"/>
      <c r="J18" s="1165">
        <f>0.128*0.9*0.6</f>
        <v>6.9120000000000001E-2</v>
      </c>
      <c r="K18" s="1166"/>
      <c r="L18" s="543"/>
      <c r="M18" s="519"/>
      <c r="N18" s="557"/>
      <c r="O18" s="557"/>
      <c r="P18" s="557"/>
      <c r="Q18" s="557"/>
      <c r="R18" s="230"/>
      <c r="S18" s="269"/>
      <c r="T18" s="259"/>
    </row>
    <row r="19" spans="1:20" ht="15" customHeight="1" thickBot="1" x14ac:dyDescent="0.3">
      <c r="A19" s="242"/>
      <c r="B19" s="243"/>
      <c r="C19" s="244"/>
      <c r="D19" s="244"/>
      <c r="E19" s="244"/>
      <c r="F19" s="245"/>
      <c r="G19" s="1032" t="s">
        <v>1199</v>
      </c>
      <c r="H19" s="1032"/>
      <c r="I19" s="1032"/>
      <c r="J19" s="542"/>
      <c r="K19" s="247">
        <f>SUM(J18)</f>
        <v>6.9120000000000001E-2</v>
      </c>
      <c r="L19" s="542">
        <v>0.92</v>
      </c>
      <c r="M19" s="247">
        <f>K19/L19</f>
        <v>7.5130434782608696E-2</v>
      </c>
      <c r="N19" s="1032" t="s">
        <v>1199</v>
      </c>
      <c r="O19" s="1032"/>
      <c r="P19" s="1032"/>
      <c r="Q19" s="542"/>
      <c r="R19" s="247">
        <f>SUM(R16:R16)</f>
        <v>9.0000000000000011E-2</v>
      </c>
      <c r="S19" s="542">
        <v>0.92</v>
      </c>
      <c r="T19" s="249">
        <f>R19/S19</f>
        <v>9.7826086956521743E-2</v>
      </c>
    </row>
    <row r="20" spans="1:20" ht="15" customHeight="1" x14ac:dyDescent="0.25">
      <c r="A20" s="1092" t="str">
        <f>Итоговая!C248</f>
        <v xml:space="preserve">ПС 35/10 кВ Кн.Горы  </v>
      </c>
      <c r="B20" s="1072">
        <f>Итоговая!D248</f>
        <v>2.5</v>
      </c>
      <c r="C20" s="552"/>
      <c r="D20" s="552"/>
      <c r="E20" s="552"/>
      <c r="F20" s="555"/>
      <c r="G20" s="1162" t="s">
        <v>1287</v>
      </c>
      <c r="H20" s="1162"/>
      <c r="I20" s="1162"/>
      <c r="J20" s="1162"/>
      <c r="K20" s="1162"/>
      <c r="L20" s="1162"/>
      <c r="M20" s="1162"/>
      <c r="N20" s="1162" t="s">
        <v>14933</v>
      </c>
      <c r="O20" s="1162"/>
      <c r="P20" s="1162"/>
      <c r="Q20" s="1162"/>
      <c r="R20" s="1162"/>
      <c r="S20" s="1162"/>
      <c r="T20" s="1167"/>
    </row>
    <row r="21" spans="1:20" ht="15" customHeight="1" x14ac:dyDescent="0.25">
      <c r="A21" s="1093"/>
      <c r="B21" s="1023"/>
      <c r="C21" s="553"/>
      <c r="D21" s="553"/>
      <c r="E21" s="553"/>
      <c r="F21" s="556"/>
      <c r="G21" s="543" t="s">
        <v>1362</v>
      </c>
      <c r="H21" s="543" t="s">
        <v>1363</v>
      </c>
      <c r="I21" s="543" t="s">
        <v>1364</v>
      </c>
      <c r="J21" s="543"/>
      <c r="K21" s="205">
        <v>0.2</v>
      </c>
      <c r="L21" s="543"/>
      <c r="M21" s="519"/>
      <c r="N21" s="596" t="s">
        <v>2191</v>
      </c>
      <c r="O21" s="543" t="s">
        <v>18531</v>
      </c>
      <c r="P21" s="596" t="s">
        <v>18167</v>
      </c>
      <c r="Q21" s="596"/>
      <c r="R21" s="286">
        <f>(0.12-0.015)*0.9</f>
        <v>9.4500000000000001E-2</v>
      </c>
      <c r="S21" s="548"/>
      <c r="T21" s="241"/>
    </row>
    <row r="22" spans="1:20" ht="15" customHeight="1" x14ac:dyDescent="0.25">
      <c r="A22" s="567"/>
      <c r="B22" s="564"/>
      <c r="C22" s="553"/>
      <c r="D22" s="553"/>
      <c r="E22" s="553"/>
      <c r="F22" s="556"/>
      <c r="G22" s="596" t="s">
        <v>1367</v>
      </c>
      <c r="H22" s="596" t="s">
        <v>1368</v>
      </c>
      <c r="I22" s="596" t="s">
        <v>1369</v>
      </c>
      <c r="J22" s="596"/>
      <c r="K22" s="286">
        <v>0.2</v>
      </c>
      <c r="L22" s="596"/>
      <c r="M22" s="302"/>
      <c r="N22" s="1163" t="s">
        <v>18842</v>
      </c>
      <c r="O22" s="1163"/>
      <c r="P22" s="1163"/>
      <c r="Q22" s="1163"/>
      <c r="R22" s="1163"/>
      <c r="S22" s="1163"/>
      <c r="T22" s="1163"/>
    </row>
    <row r="23" spans="1:20" ht="15" customHeight="1" x14ac:dyDescent="0.25">
      <c r="A23" s="567"/>
      <c r="B23" s="564"/>
      <c r="C23" s="553"/>
      <c r="D23" s="553"/>
      <c r="E23" s="553"/>
      <c r="F23" s="556"/>
      <c r="G23" s="1163" t="s">
        <v>1286</v>
      </c>
      <c r="H23" s="1163"/>
      <c r="I23" s="1163"/>
      <c r="J23" s="1163"/>
      <c r="K23" s="1163"/>
      <c r="L23" s="1163"/>
      <c r="M23" s="1163"/>
      <c r="N23" s="543" t="s">
        <v>1909</v>
      </c>
      <c r="O23" s="543" t="s">
        <v>1918</v>
      </c>
      <c r="P23" s="543" t="s">
        <v>1943</v>
      </c>
      <c r="Q23" s="543"/>
      <c r="R23" s="205">
        <v>1.9E-2</v>
      </c>
      <c r="S23" s="543"/>
      <c r="T23" s="519"/>
    </row>
    <row r="24" spans="1:20" ht="15" customHeight="1" x14ac:dyDescent="0.25">
      <c r="A24" s="567"/>
      <c r="B24" s="564"/>
      <c r="C24" s="553"/>
      <c r="D24" s="553"/>
      <c r="E24" s="553"/>
      <c r="F24" s="556"/>
      <c r="G24" s="543" t="s">
        <v>1367</v>
      </c>
      <c r="H24" s="543" t="s">
        <v>1368</v>
      </c>
      <c r="I24" s="543" t="s">
        <v>1370</v>
      </c>
      <c r="J24" s="543"/>
      <c r="K24" s="205">
        <v>0.04</v>
      </c>
      <c r="L24" s="543"/>
      <c r="M24" s="519"/>
      <c r="N24" s="548"/>
      <c r="O24" s="548"/>
      <c r="P24" s="548"/>
      <c r="Q24" s="548"/>
      <c r="R24" s="519"/>
      <c r="S24" s="548"/>
      <c r="T24" s="241"/>
    </row>
    <row r="25" spans="1:20" ht="15" customHeight="1" x14ac:dyDescent="0.25">
      <c r="A25" s="567"/>
      <c r="B25" s="564"/>
      <c r="C25" s="553"/>
      <c r="D25" s="553"/>
      <c r="E25" s="553"/>
      <c r="F25" s="556"/>
      <c r="G25" s="1163" t="s">
        <v>1325</v>
      </c>
      <c r="H25" s="1163"/>
      <c r="I25" s="1163"/>
      <c r="J25" s="1163"/>
      <c r="K25" s="1163"/>
      <c r="L25" s="1163"/>
      <c r="M25" s="1163"/>
      <c r="N25" s="548"/>
      <c r="O25" s="548"/>
      <c r="P25" s="548"/>
      <c r="Q25" s="548"/>
      <c r="R25" s="519"/>
      <c r="S25" s="548"/>
      <c r="T25" s="241"/>
    </row>
    <row r="26" spans="1:20" ht="15" customHeight="1" x14ac:dyDescent="0.25">
      <c r="A26" s="567"/>
      <c r="B26" s="564"/>
      <c r="C26" s="553"/>
      <c r="D26" s="553"/>
      <c r="E26" s="553"/>
      <c r="F26" s="556"/>
      <c r="G26" s="543" t="s">
        <v>1365</v>
      </c>
      <c r="H26" s="543" t="s">
        <v>1366</v>
      </c>
      <c r="I26" s="543" t="s">
        <v>1638</v>
      </c>
      <c r="J26" s="543"/>
      <c r="K26" s="205">
        <v>0.59</v>
      </c>
      <c r="L26" s="543"/>
      <c r="M26" s="519"/>
      <c r="N26" s="548"/>
      <c r="O26" s="548"/>
      <c r="P26" s="548"/>
      <c r="Q26" s="548"/>
      <c r="R26" s="519"/>
      <c r="S26" s="548"/>
      <c r="T26" s="241"/>
    </row>
    <row r="27" spans="1:20" ht="15" customHeight="1" x14ac:dyDescent="0.25">
      <c r="A27" s="567"/>
      <c r="B27" s="564"/>
      <c r="C27" s="553"/>
      <c r="D27" s="553"/>
      <c r="E27" s="553"/>
      <c r="F27" s="556"/>
      <c r="G27" s="1163" t="s">
        <v>1740</v>
      </c>
      <c r="H27" s="1163"/>
      <c r="I27" s="1163"/>
      <c r="J27" s="1163"/>
      <c r="K27" s="1163"/>
      <c r="L27" s="1163"/>
      <c r="M27" s="1163"/>
      <c r="N27" s="548"/>
      <c r="O27" s="548"/>
      <c r="P27" s="548"/>
      <c r="Q27" s="548"/>
      <c r="R27" s="519"/>
      <c r="S27" s="548"/>
      <c r="T27" s="241"/>
    </row>
    <row r="28" spans="1:20" ht="15" customHeight="1" x14ac:dyDescent="0.25">
      <c r="A28" s="567"/>
      <c r="B28" s="564"/>
      <c r="C28" s="553"/>
      <c r="D28" s="553"/>
      <c r="E28" s="553"/>
      <c r="F28" s="556"/>
      <c r="G28" s="543"/>
      <c r="H28" s="543"/>
      <c r="I28" s="543"/>
      <c r="J28" s="543"/>
      <c r="K28" s="205"/>
      <c r="L28" s="543"/>
      <c r="M28" s="519"/>
      <c r="N28" s="548"/>
      <c r="O28" s="548"/>
      <c r="P28" s="548"/>
      <c r="Q28" s="548"/>
      <c r="R28" s="519"/>
      <c r="S28" s="548"/>
      <c r="T28" s="241"/>
    </row>
    <row r="29" spans="1:20" ht="15" customHeight="1" x14ac:dyDescent="0.25">
      <c r="A29" s="567"/>
      <c r="B29" s="564"/>
      <c r="C29" s="553"/>
      <c r="D29" s="553"/>
      <c r="E29" s="553"/>
      <c r="F29" s="556"/>
      <c r="G29" s="543" t="s">
        <v>1909</v>
      </c>
      <c r="H29" s="543" t="s">
        <v>1922</v>
      </c>
      <c r="I29" s="543" t="s">
        <v>1944</v>
      </c>
      <c r="J29" s="543"/>
      <c r="K29" s="205">
        <v>1.9E-2</v>
      </c>
      <c r="L29" s="543"/>
      <c r="M29" s="519"/>
      <c r="N29" s="548"/>
      <c r="O29" s="548"/>
      <c r="P29" s="548"/>
      <c r="Q29" s="548"/>
      <c r="R29" s="519"/>
      <c r="S29" s="548"/>
      <c r="T29" s="241"/>
    </row>
    <row r="30" spans="1:20" ht="15" customHeight="1" x14ac:dyDescent="0.25">
      <c r="A30" s="567"/>
      <c r="B30" s="564"/>
      <c r="C30" s="553"/>
      <c r="D30" s="553"/>
      <c r="E30" s="553"/>
      <c r="F30" s="556"/>
      <c r="G30" s="1163" t="s">
        <v>2010</v>
      </c>
      <c r="H30" s="1163"/>
      <c r="I30" s="1163"/>
      <c r="J30" s="1163"/>
      <c r="K30" s="1163"/>
      <c r="L30" s="1163"/>
      <c r="M30" s="1163"/>
      <c r="N30" s="548"/>
      <c r="O30" s="548"/>
      <c r="P30" s="548"/>
      <c r="Q30" s="548"/>
      <c r="R30" s="519"/>
      <c r="S30" s="548"/>
      <c r="T30" s="241"/>
    </row>
    <row r="31" spans="1:20" ht="15" customHeight="1" x14ac:dyDescent="0.25">
      <c r="A31" s="567"/>
      <c r="B31" s="564"/>
      <c r="C31" s="553"/>
      <c r="D31" s="553"/>
      <c r="E31" s="553"/>
      <c r="F31" s="556"/>
      <c r="G31" s="543" t="s">
        <v>1371</v>
      </c>
      <c r="H31" s="543" t="s">
        <v>2079</v>
      </c>
      <c r="I31" s="543" t="s">
        <v>2094</v>
      </c>
      <c r="J31" s="543"/>
      <c r="K31" s="205">
        <f>0.16*0.9</f>
        <v>0.14400000000000002</v>
      </c>
      <c r="L31" s="543"/>
      <c r="M31" s="519"/>
      <c r="N31" s="548"/>
      <c r="O31" s="548"/>
      <c r="P31" s="548"/>
      <c r="Q31" s="548"/>
      <c r="R31" s="519"/>
      <c r="S31" s="548"/>
      <c r="T31" s="241"/>
    </row>
    <row r="32" spans="1:20" ht="15" customHeight="1" x14ac:dyDescent="0.25">
      <c r="A32" s="567"/>
      <c r="B32" s="564"/>
      <c r="C32" s="553"/>
      <c r="D32" s="553"/>
      <c r="E32" s="553"/>
      <c r="F32" s="556"/>
      <c r="G32" s="1163" t="s">
        <v>14978</v>
      </c>
      <c r="H32" s="1163"/>
      <c r="I32" s="1163"/>
      <c r="J32" s="1163"/>
      <c r="K32" s="1163"/>
      <c r="L32" s="1163"/>
      <c r="M32" s="1163"/>
      <c r="N32" s="548"/>
      <c r="O32" s="548"/>
      <c r="P32" s="548"/>
      <c r="Q32" s="548"/>
      <c r="R32" s="519"/>
      <c r="S32" s="548"/>
      <c r="T32" s="241"/>
    </row>
    <row r="33" spans="1:20" ht="15" customHeight="1" x14ac:dyDescent="0.25">
      <c r="A33" s="567"/>
      <c r="B33" s="564"/>
      <c r="C33" s="553"/>
      <c r="D33" s="553"/>
      <c r="E33" s="553"/>
      <c r="F33" s="556"/>
      <c r="G33" s="1164" t="s">
        <v>2262</v>
      </c>
      <c r="H33" s="1164"/>
      <c r="I33" s="1164"/>
      <c r="J33" s="1165">
        <f>0.301*0.9*0.6</f>
        <v>0.16253999999999999</v>
      </c>
      <c r="K33" s="1166"/>
      <c r="L33" s="543"/>
      <c r="M33" s="519"/>
      <c r="N33" s="548"/>
      <c r="O33" s="548"/>
      <c r="P33" s="548"/>
      <c r="Q33" s="548"/>
      <c r="R33" s="519"/>
      <c r="S33" s="548"/>
      <c r="T33" s="241"/>
    </row>
    <row r="34" spans="1:20" ht="15" customHeight="1" x14ac:dyDescent="0.25">
      <c r="A34" s="567"/>
      <c r="B34" s="564"/>
      <c r="C34" s="553"/>
      <c r="D34" s="553"/>
      <c r="E34" s="553"/>
      <c r="F34" s="556"/>
      <c r="G34" s="590" t="s">
        <v>17474</v>
      </c>
      <c r="H34" s="590" t="s">
        <v>17475</v>
      </c>
      <c r="I34" s="590" t="s">
        <v>17476</v>
      </c>
      <c r="J34" s="590"/>
      <c r="K34" s="302">
        <f>0.2676*0.75</f>
        <v>0.20069999999999999</v>
      </c>
      <c r="L34" s="548"/>
      <c r="M34" s="519"/>
      <c r="N34" s="548"/>
      <c r="O34" s="548"/>
      <c r="P34" s="548"/>
      <c r="Q34" s="548"/>
      <c r="R34" s="519"/>
      <c r="S34" s="548"/>
      <c r="T34" s="241"/>
    </row>
    <row r="35" spans="1:20" ht="15" customHeight="1" x14ac:dyDescent="0.25">
      <c r="A35" s="567"/>
      <c r="B35" s="564"/>
      <c r="C35" s="553"/>
      <c r="D35" s="553"/>
      <c r="E35" s="553"/>
      <c r="F35" s="556"/>
      <c r="G35" s="1163" t="s">
        <v>18842</v>
      </c>
      <c r="H35" s="1163"/>
      <c r="I35" s="1163"/>
      <c r="J35" s="1163"/>
      <c r="K35" s="1163"/>
      <c r="L35" s="1163"/>
      <c r="M35" s="1163"/>
      <c r="N35" s="269"/>
      <c r="O35" s="269"/>
      <c r="P35" s="269"/>
      <c r="Q35" s="269"/>
      <c r="R35" s="594"/>
      <c r="S35" s="269"/>
      <c r="T35" s="259"/>
    </row>
    <row r="36" spans="1:20" ht="15" customHeight="1" x14ac:dyDescent="0.25">
      <c r="A36" s="567"/>
      <c r="B36" s="564"/>
      <c r="C36" s="553"/>
      <c r="D36" s="553"/>
      <c r="E36" s="553"/>
      <c r="F36" s="556"/>
      <c r="G36" s="1164" t="s">
        <v>2262</v>
      </c>
      <c r="H36" s="1164"/>
      <c r="I36" s="1164"/>
      <c r="J36" s="1165">
        <f>1.131*0.9*0.6</f>
        <v>0.61073999999999995</v>
      </c>
      <c r="K36" s="1166"/>
      <c r="L36" s="543"/>
      <c r="M36" s="519"/>
      <c r="N36" s="269"/>
      <c r="O36" s="269"/>
      <c r="P36" s="269"/>
      <c r="Q36" s="269"/>
      <c r="R36" s="594"/>
      <c r="S36" s="269"/>
      <c r="T36" s="259"/>
    </row>
    <row r="37" spans="1:20" ht="15" customHeight="1" thickBot="1" x14ac:dyDescent="0.3">
      <c r="A37" s="242"/>
      <c r="B37" s="243"/>
      <c r="C37" s="244"/>
      <c r="D37" s="244"/>
      <c r="E37" s="244"/>
      <c r="F37" s="245"/>
      <c r="G37" s="1032" t="s">
        <v>1199</v>
      </c>
      <c r="H37" s="1032"/>
      <c r="I37" s="1032"/>
      <c r="J37" s="542"/>
      <c r="K37" s="247">
        <f>SUM(J33:K36)</f>
        <v>0.97397999999999996</v>
      </c>
      <c r="L37" s="542">
        <v>0.92</v>
      </c>
      <c r="M37" s="247">
        <f>K37/L37</f>
        <v>1.0586739130434781</v>
      </c>
      <c r="N37" s="1032" t="s">
        <v>1199</v>
      </c>
      <c r="O37" s="1032"/>
      <c r="P37" s="1032"/>
      <c r="Q37" s="542"/>
      <c r="R37" s="247">
        <f>SUM(R20:R24)</f>
        <v>0.1135</v>
      </c>
      <c r="S37" s="542">
        <v>0.92</v>
      </c>
      <c r="T37" s="249">
        <f>R37/S37</f>
        <v>0.1233695652173913</v>
      </c>
    </row>
    <row r="38" spans="1:20" ht="15" customHeight="1" x14ac:dyDescent="0.25">
      <c r="A38" s="1092" t="str">
        <f>Итоговая!C249</f>
        <v xml:space="preserve">ПС 35/10 кВ Салино </v>
      </c>
      <c r="B38" s="1072">
        <f>Итоговая!D249</f>
        <v>2.5</v>
      </c>
      <c r="C38" s="552"/>
      <c r="D38" s="552"/>
      <c r="E38" s="552"/>
      <c r="F38" s="555"/>
      <c r="G38" s="1162">
        <v>2006</v>
      </c>
      <c r="H38" s="1162"/>
      <c r="I38" s="1162"/>
      <c r="J38" s="1162"/>
      <c r="K38" s="1162"/>
      <c r="L38" s="1162"/>
      <c r="M38" s="1162"/>
      <c r="N38" s="1073"/>
      <c r="O38" s="1073"/>
      <c r="P38" s="1073"/>
      <c r="Q38" s="1073"/>
      <c r="R38" s="1073"/>
      <c r="S38" s="1073"/>
      <c r="T38" s="1074"/>
    </row>
    <row r="39" spans="1:20" ht="15" customHeight="1" x14ac:dyDescent="0.25">
      <c r="A39" s="1093"/>
      <c r="B39" s="1023"/>
      <c r="C39" s="553"/>
      <c r="D39" s="553"/>
      <c r="E39" s="553"/>
      <c r="F39" s="556"/>
      <c r="G39" s="543" t="s">
        <v>1372</v>
      </c>
      <c r="H39" s="543" t="s">
        <v>1373</v>
      </c>
      <c r="I39" s="543" t="s">
        <v>1374</v>
      </c>
      <c r="J39" s="543"/>
      <c r="K39" s="205">
        <v>0.2</v>
      </c>
      <c r="L39" s="543"/>
      <c r="M39" s="519"/>
      <c r="N39" s="548"/>
      <c r="O39" s="548"/>
      <c r="P39" s="548"/>
      <c r="Q39" s="548"/>
      <c r="R39" s="519"/>
      <c r="S39" s="548"/>
      <c r="T39" s="241"/>
    </row>
    <row r="40" spans="1:20" ht="15" customHeight="1" x14ac:dyDescent="0.25">
      <c r="A40" s="567"/>
      <c r="B40" s="564"/>
      <c r="C40" s="553"/>
      <c r="D40" s="553"/>
      <c r="E40" s="553"/>
      <c r="F40" s="556"/>
      <c r="G40" s="1163" t="s">
        <v>2266</v>
      </c>
      <c r="H40" s="1163"/>
      <c r="I40" s="1163"/>
      <c r="J40" s="1163"/>
      <c r="K40" s="1163"/>
      <c r="L40" s="1163"/>
      <c r="M40" s="1163"/>
      <c r="N40" s="548"/>
      <c r="O40" s="548"/>
      <c r="P40" s="548"/>
      <c r="Q40" s="548"/>
      <c r="R40" s="519"/>
      <c r="S40" s="548"/>
      <c r="T40" s="241"/>
    </row>
    <row r="41" spans="1:20" ht="15" customHeight="1" x14ac:dyDescent="0.25">
      <c r="A41" s="567"/>
      <c r="B41" s="564"/>
      <c r="C41" s="553"/>
      <c r="D41" s="553"/>
      <c r="E41" s="553"/>
      <c r="F41" s="556"/>
      <c r="G41" s="543" t="s">
        <v>13429</v>
      </c>
      <c r="H41" s="543" t="s">
        <v>13430</v>
      </c>
      <c r="I41" s="543" t="s">
        <v>14848</v>
      </c>
      <c r="J41" s="543"/>
      <c r="K41" s="205">
        <f>0.09*0.75</f>
        <v>6.7500000000000004E-2</v>
      </c>
      <c r="L41" s="543"/>
      <c r="M41" s="519"/>
      <c r="N41" s="548"/>
      <c r="O41" s="548"/>
      <c r="P41" s="548"/>
      <c r="Q41" s="548"/>
      <c r="R41" s="519"/>
      <c r="S41" s="548"/>
      <c r="T41" s="241"/>
    </row>
    <row r="42" spans="1:20" ht="15" customHeight="1" x14ac:dyDescent="0.25">
      <c r="A42" s="567"/>
      <c r="B42" s="564"/>
      <c r="C42" s="553"/>
      <c r="D42" s="553"/>
      <c r="E42" s="553"/>
      <c r="F42" s="556"/>
      <c r="G42" s="1163" t="s">
        <v>14978</v>
      </c>
      <c r="H42" s="1163"/>
      <c r="I42" s="1163"/>
      <c r="J42" s="1163"/>
      <c r="K42" s="1163"/>
      <c r="L42" s="1163"/>
      <c r="M42" s="1163"/>
      <c r="N42" s="548"/>
      <c r="O42" s="548"/>
      <c r="P42" s="548"/>
      <c r="Q42" s="548"/>
      <c r="R42" s="519"/>
      <c r="S42" s="548"/>
      <c r="T42" s="241"/>
    </row>
    <row r="43" spans="1:20" ht="15" customHeight="1" x14ac:dyDescent="0.25">
      <c r="A43" s="567"/>
      <c r="B43" s="564"/>
      <c r="C43" s="553"/>
      <c r="D43" s="553"/>
      <c r="E43" s="553"/>
      <c r="F43" s="556"/>
      <c r="G43" s="1164" t="s">
        <v>2262</v>
      </c>
      <c r="H43" s="1164"/>
      <c r="I43" s="1164"/>
      <c r="J43" s="1165">
        <f>0.112*0.9*0.6</f>
        <v>6.0479999999999999E-2</v>
      </c>
      <c r="K43" s="1166"/>
      <c r="L43" s="543"/>
      <c r="M43" s="519"/>
      <c r="N43" s="548"/>
      <c r="O43" s="548"/>
      <c r="P43" s="548"/>
      <c r="Q43" s="548"/>
      <c r="R43" s="519"/>
      <c r="S43" s="548"/>
      <c r="T43" s="241"/>
    </row>
    <row r="44" spans="1:20" ht="15" customHeight="1" x14ac:dyDescent="0.25">
      <c r="A44" s="567"/>
      <c r="B44" s="564"/>
      <c r="C44" s="553"/>
      <c r="D44" s="553"/>
      <c r="E44" s="553"/>
      <c r="F44" s="556"/>
      <c r="G44" s="1163" t="s">
        <v>18842</v>
      </c>
      <c r="H44" s="1163"/>
      <c r="I44" s="1163"/>
      <c r="J44" s="1163"/>
      <c r="K44" s="1163"/>
      <c r="L44" s="1163"/>
      <c r="M44" s="1163"/>
      <c r="N44" s="269"/>
      <c r="O44" s="269"/>
      <c r="P44" s="269"/>
      <c r="Q44" s="269"/>
      <c r="R44" s="594"/>
      <c r="S44" s="269"/>
      <c r="T44" s="259"/>
    </row>
    <row r="45" spans="1:20" ht="15" customHeight="1" x14ac:dyDescent="0.25">
      <c r="A45" s="567"/>
      <c r="B45" s="564"/>
      <c r="C45" s="553"/>
      <c r="D45" s="553"/>
      <c r="E45" s="553"/>
      <c r="F45" s="556"/>
      <c r="G45" s="1164" t="s">
        <v>2262</v>
      </c>
      <c r="H45" s="1164"/>
      <c r="I45" s="1164"/>
      <c r="J45" s="1165">
        <f>0.104*0.9*0.6</f>
        <v>5.6160000000000002E-2</v>
      </c>
      <c r="K45" s="1166"/>
      <c r="L45" s="543"/>
      <c r="M45" s="519"/>
      <c r="N45" s="269"/>
      <c r="O45" s="269"/>
      <c r="P45" s="269"/>
      <c r="Q45" s="269"/>
      <c r="R45" s="594"/>
      <c r="S45" s="269"/>
      <c r="T45" s="259"/>
    </row>
    <row r="46" spans="1:20" ht="15" customHeight="1" thickBot="1" x14ac:dyDescent="0.3">
      <c r="A46" s="242"/>
      <c r="B46" s="243"/>
      <c r="C46" s="244"/>
      <c r="D46" s="244"/>
      <c r="E46" s="244"/>
      <c r="F46" s="245"/>
      <c r="G46" s="1032" t="s">
        <v>1199</v>
      </c>
      <c r="H46" s="1032"/>
      <c r="I46" s="1032"/>
      <c r="J46" s="542"/>
      <c r="K46" s="247">
        <f>SUM(J43:K45)</f>
        <v>0.11663999999999999</v>
      </c>
      <c r="L46" s="542">
        <v>0.92</v>
      </c>
      <c r="M46" s="247">
        <f>K46/L46</f>
        <v>0.12678260869565217</v>
      </c>
      <c r="N46" s="1032" t="s">
        <v>1199</v>
      </c>
      <c r="O46" s="1032"/>
      <c r="P46" s="1032"/>
      <c r="Q46" s="542"/>
      <c r="R46" s="247">
        <v>0</v>
      </c>
      <c r="S46" s="542">
        <v>0.92</v>
      </c>
      <c r="T46" s="249">
        <f>R46/S46</f>
        <v>0</v>
      </c>
    </row>
    <row r="47" spans="1:20" ht="15" customHeight="1" x14ac:dyDescent="0.25">
      <c r="A47" s="566" t="str">
        <f>Итоговая!C250</f>
        <v xml:space="preserve">ПС 35/10 кВ Гусево </v>
      </c>
      <c r="B47" s="563">
        <f>Итоговая!D250</f>
        <v>2.5</v>
      </c>
      <c r="C47" s="552"/>
      <c r="D47" s="552"/>
      <c r="E47" s="552"/>
      <c r="F47" s="555"/>
      <c r="G47" s="1163" t="s">
        <v>18842</v>
      </c>
      <c r="H47" s="1163"/>
      <c r="I47" s="1163"/>
      <c r="J47" s="1163"/>
      <c r="K47" s="1163"/>
      <c r="L47" s="1163"/>
      <c r="M47" s="1163"/>
      <c r="N47" s="215"/>
      <c r="O47" s="215"/>
      <c r="P47" s="215"/>
      <c r="Q47" s="215"/>
      <c r="R47" s="216"/>
      <c r="S47" s="215"/>
      <c r="T47" s="217"/>
    </row>
    <row r="48" spans="1:20" ht="15" customHeight="1" x14ac:dyDescent="0.25">
      <c r="A48" s="567"/>
      <c r="B48" s="564"/>
      <c r="C48" s="553"/>
      <c r="D48" s="553"/>
      <c r="E48" s="553"/>
      <c r="F48" s="556"/>
      <c r="G48" s="1164" t="s">
        <v>2262</v>
      </c>
      <c r="H48" s="1164"/>
      <c r="I48" s="1164"/>
      <c r="J48" s="1165">
        <f>0.015*0.9</f>
        <v>1.35E-2</v>
      </c>
      <c r="K48" s="1166"/>
      <c r="L48" s="543"/>
      <c r="M48" s="519"/>
      <c r="N48" s="223"/>
      <c r="O48" s="223"/>
      <c r="P48" s="223"/>
      <c r="Q48" s="223"/>
      <c r="R48" s="224"/>
      <c r="S48" s="223"/>
      <c r="T48" s="225"/>
    </row>
    <row r="49" spans="1:20" ht="15" customHeight="1" thickBot="1" x14ac:dyDescent="0.3">
      <c r="A49" s="242"/>
      <c r="B49" s="243"/>
      <c r="C49" s="244"/>
      <c r="D49" s="244"/>
      <c r="E49" s="244"/>
      <c r="F49" s="245"/>
      <c r="G49" s="1032" t="s">
        <v>1199</v>
      </c>
      <c r="H49" s="1032"/>
      <c r="I49" s="1032"/>
      <c r="J49" s="542"/>
      <c r="K49" s="247">
        <f>SUM(J48)</f>
        <v>1.35E-2</v>
      </c>
      <c r="L49" s="542">
        <v>0.92</v>
      </c>
      <c r="M49" s="247">
        <f>K49/L49</f>
        <v>1.4673913043478259E-2</v>
      </c>
      <c r="N49" s="1032" t="s">
        <v>1199</v>
      </c>
      <c r="O49" s="1032"/>
      <c r="P49" s="1032"/>
      <c r="Q49" s="542"/>
      <c r="R49" s="247">
        <f>SUM(R47:R47)</f>
        <v>0</v>
      </c>
      <c r="S49" s="542">
        <v>0.92</v>
      </c>
      <c r="T49" s="249">
        <f>R49/S49</f>
        <v>0</v>
      </c>
    </row>
    <row r="50" spans="1:20" ht="15" customHeight="1" x14ac:dyDescent="0.25">
      <c r="A50" s="566" t="str">
        <f>Итоговая!C251</f>
        <v xml:space="preserve">ПС 35/10 кВ Мол.Туд </v>
      </c>
      <c r="B50" s="563">
        <f>Итоговая!D251</f>
        <v>2.5</v>
      </c>
      <c r="C50" s="552"/>
      <c r="D50" s="552"/>
      <c r="E50" s="552"/>
      <c r="F50" s="555"/>
      <c r="G50" s="215"/>
      <c r="H50" s="215"/>
      <c r="I50" s="215"/>
      <c r="J50" s="215"/>
      <c r="K50" s="216"/>
      <c r="L50" s="215"/>
      <c r="M50" s="264"/>
      <c r="N50" s="215"/>
      <c r="O50" s="215"/>
      <c r="P50" s="215"/>
      <c r="Q50" s="215"/>
      <c r="R50" s="216"/>
      <c r="S50" s="215"/>
      <c r="T50" s="217"/>
    </row>
    <row r="51" spans="1:20" ht="15" customHeight="1" thickBot="1" x14ac:dyDescent="0.3">
      <c r="A51" s="242"/>
      <c r="B51" s="243"/>
      <c r="C51" s="244"/>
      <c r="D51" s="244"/>
      <c r="E51" s="244"/>
      <c r="F51" s="245"/>
      <c r="G51" s="1032" t="s">
        <v>1199</v>
      </c>
      <c r="H51" s="1032"/>
      <c r="I51" s="1032"/>
      <c r="J51" s="542"/>
      <c r="K51" s="247">
        <f>SUM(K50:K50)</f>
        <v>0</v>
      </c>
      <c r="L51" s="542">
        <v>0.92</v>
      </c>
      <c r="M51" s="247">
        <f>K51/L51</f>
        <v>0</v>
      </c>
      <c r="N51" s="1032" t="s">
        <v>1199</v>
      </c>
      <c r="O51" s="1032"/>
      <c r="P51" s="1032"/>
      <c r="Q51" s="542"/>
      <c r="R51" s="247">
        <f>SUM(R50:R50)</f>
        <v>0</v>
      </c>
      <c r="S51" s="542">
        <v>0.92</v>
      </c>
      <c r="T51" s="249">
        <f>R51/S51</f>
        <v>0</v>
      </c>
    </row>
    <row r="52" spans="1:20" ht="15" customHeight="1" x14ac:dyDescent="0.25">
      <c r="A52" s="566" t="str">
        <f>Итоговая!C252</f>
        <v xml:space="preserve">ПС 35/10 кВ Ильенки </v>
      </c>
      <c r="B52" s="563">
        <f>Итоговая!D252</f>
        <v>2.5</v>
      </c>
      <c r="C52" s="552"/>
      <c r="D52" s="552"/>
      <c r="E52" s="552"/>
      <c r="F52" s="555"/>
      <c r="G52" s="215"/>
      <c r="H52" s="215"/>
      <c r="I52" s="215"/>
      <c r="J52" s="215"/>
      <c r="K52" s="216"/>
      <c r="L52" s="215"/>
      <c r="M52" s="264"/>
      <c r="N52" s="215"/>
      <c r="O52" s="215"/>
      <c r="P52" s="215"/>
      <c r="Q52" s="215"/>
      <c r="R52" s="216"/>
      <c r="S52" s="215"/>
      <c r="T52" s="217"/>
    </row>
    <row r="53" spans="1:20" ht="15" customHeight="1" thickBot="1" x14ac:dyDescent="0.3">
      <c r="A53" s="242"/>
      <c r="B53" s="243"/>
      <c r="C53" s="244"/>
      <c r="D53" s="244"/>
      <c r="E53" s="244"/>
      <c r="F53" s="245"/>
      <c r="G53" s="1032" t="s">
        <v>1199</v>
      </c>
      <c r="H53" s="1032"/>
      <c r="I53" s="1032"/>
      <c r="J53" s="542"/>
      <c r="K53" s="247">
        <f>SUM(K52:K52)</f>
        <v>0</v>
      </c>
      <c r="L53" s="542">
        <v>0.92</v>
      </c>
      <c r="M53" s="247">
        <f>K53/L53</f>
        <v>0</v>
      </c>
      <c r="N53" s="1032" t="s">
        <v>1199</v>
      </c>
      <c r="O53" s="1032"/>
      <c r="P53" s="1032"/>
      <c r="Q53" s="542"/>
      <c r="R53" s="247">
        <f>SUM(R52:R52)</f>
        <v>0</v>
      </c>
      <c r="S53" s="542">
        <v>0.92</v>
      </c>
      <c r="T53" s="249">
        <f>R53/S53</f>
        <v>0</v>
      </c>
    </row>
    <row r="54" spans="1:20" ht="15" customHeight="1" x14ac:dyDescent="0.25">
      <c r="A54" s="567" t="str">
        <f>Итоговая!C253</f>
        <v xml:space="preserve">ПС 35/10 кВ Каденка </v>
      </c>
      <c r="B54" s="564">
        <f>Итоговая!D253</f>
        <v>1</v>
      </c>
      <c r="C54" s="553"/>
      <c r="D54" s="553"/>
      <c r="E54" s="553"/>
      <c r="F54" s="556"/>
      <c r="G54" s="593"/>
      <c r="H54" s="593"/>
      <c r="I54" s="593"/>
      <c r="J54" s="593"/>
      <c r="K54" s="251"/>
      <c r="L54" s="593"/>
      <c r="M54" s="595"/>
      <c r="N54" s="593"/>
      <c r="O54" s="593"/>
      <c r="P54" s="593"/>
      <c r="Q54" s="593"/>
      <c r="R54" s="251"/>
      <c r="S54" s="593"/>
      <c r="T54" s="253"/>
    </row>
    <row r="55" spans="1:20" ht="15" customHeight="1" thickBot="1" x14ac:dyDescent="0.3">
      <c r="A55" s="567"/>
      <c r="B55" s="564"/>
      <c r="C55" s="553"/>
      <c r="D55" s="553"/>
      <c r="E55" s="553"/>
      <c r="F55" s="556"/>
      <c r="G55" s="1007" t="s">
        <v>1199</v>
      </c>
      <c r="H55" s="1007"/>
      <c r="I55" s="1007"/>
      <c r="J55" s="557"/>
      <c r="K55" s="231">
        <f>SUM(K54:K54)</f>
        <v>0</v>
      </c>
      <c r="L55" s="557">
        <v>0.92</v>
      </c>
      <c r="M55" s="231">
        <f>K55/L55</f>
        <v>0</v>
      </c>
      <c r="N55" s="1007" t="s">
        <v>1199</v>
      </c>
      <c r="O55" s="1007"/>
      <c r="P55" s="1007"/>
      <c r="Q55" s="557"/>
      <c r="R55" s="231">
        <f>SUM(R54:R54)</f>
        <v>0</v>
      </c>
      <c r="S55" s="557">
        <v>0.92</v>
      </c>
      <c r="T55" s="233">
        <f>R55/S55</f>
        <v>0</v>
      </c>
    </row>
    <row r="56" spans="1:20" ht="15" customHeight="1" x14ac:dyDescent="0.25">
      <c r="A56" s="1092" t="str">
        <f>Итоговая!C254</f>
        <v xml:space="preserve">ПС 35/10 кВ Родня </v>
      </c>
      <c r="B56" s="1072">
        <f>Итоговая!D254</f>
        <v>2.5</v>
      </c>
      <c r="C56" s="552"/>
      <c r="D56" s="552"/>
      <c r="E56" s="552"/>
      <c r="F56" s="555"/>
      <c r="G56" s="1162" t="s">
        <v>1286</v>
      </c>
      <c r="H56" s="1162"/>
      <c r="I56" s="1162"/>
      <c r="J56" s="1162"/>
      <c r="K56" s="1162"/>
      <c r="L56" s="1162"/>
      <c r="M56" s="1162"/>
      <c r="N56" s="1162" t="s">
        <v>1286</v>
      </c>
      <c r="O56" s="1162"/>
      <c r="P56" s="1162"/>
      <c r="Q56" s="1162"/>
      <c r="R56" s="1162"/>
      <c r="S56" s="1162"/>
      <c r="T56" s="1167"/>
    </row>
    <row r="57" spans="1:20" ht="15" customHeight="1" x14ac:dyDescent="0.25">
      <c r="A57" s="1093"/>
      <c r="B57" s="1023"/>
      <c r="C57" s="553"/>
      <c r="D57" s="553"/>
      <c r="E57" s="553"/>
      <c r="F57" s="556"/>
      <c r="G57" s="340"/>
      <c r="H57" s="340"/>
      <c r="I57" s="340"/>
      <c r="J57" s="340"/>
      <c r="K57" s="341"/>
      <c r="L57" s="340"/>
      <c r="M57" s="342"/>
      <c r="N57" s="277" t="s">
        <v>556</v>
      </c>
      <c r="O57" s="277" t="s">
        <v>557</v>
      </c>
      <c r="P57" s="277" t="s">
        <v>1667</v>
      </c>
      <c r="Q57" s="277"/>
      <c r="R57" s="279">
        <v>0.19</v>
      </c>
      <c r="S57" s="277"/>
      <c r="T57" s="280"/>
    </row>
    <row r="58" spans="1:20" ht="15" customHeight="1" x14ac:dyDescent="0.25">
      <c r="A58" s="567"/>
      <c r="B58" s="564"/>
      <c r="C58" s="553"/>
      <c r="D58" s="553"/>
      <c r="E58" s="553"/>
      <c r="F58" s="556"/>
      <c r="G58" s="543" t="s">
        <v>1305</v>
      </c>
      <c r="H58" s="543" t="s">
        <v>1306</v>
      </c>
      <c r="I58" s="543" t="s">
        <v>1546</v>
      </c>
      <c r="J58" s="543"/>
      <c r="K58" s="205">
        <v>0.15</v>
      </c>
      <c r="L58" s="543"/>
      <c r="M58" s="519"/>
      <c r="N58" s="548"/>
      <c r="O58" s="548"/>
      <c r="P58" s="548"/>
      <c r="Q58" s="548"/>
      <c r="R58" s="519"/>
      <c r="S58" s="548"/>
      <c r="T58" s="241"/>
    </row>
    <row r="59" spans="1:20" ht="15" customHeight="1" x14ac:dyDescent="0.25">
      <c r="A59" s="567"/>
      <c r="B59" s="564"/>
      <c r="C59" s="553"/>
      <c r="D59" s="553"/>
      <c r="E59" s="553"/>
      <c r="F59" s="556"/>
      <c r="G59" s="1161" t="s">
        <v>14933</v>
      </c>
      <c r="H59" s="1161"/>
      <c r="I59" s="1161"/>
      <c r="J59" s="1161"/>
      <c r="K59" s="1161"/>
      <c r="L59" s="1161"/>
      <c r="M59" s="1161"/>
      <c r="N59" s="548"/>
      <c r="O59" s="548"/>
      <c r="P59" s="548"/>
      <c r="Q59" s="548"/>
      <c r="R59" s="519"/>
      <c r="S59" s="548"/>
      <c r="T59" s="241"/>
    </row>
    <row r="60" spans="1:20" ht="15" customHeight="1" x14ac:dyDescent="0.25">
      <c r="A60" s="567"/>
      <c r="B60" s="564"/>
      <c r="C60" s="553"/>
      <c r="D60" s="553"/>
      <c r="E60" s="553"/>
      <c r="F60" s="556"/>
      <c r="G60" s="543" t="s">
        <v>17252</v>
      </c>
      <c r="H60" s="543" t="s">
        <v>17253</v>
      </c>
      <c r="I60" s="543" t="s">
        <v>17254</v>
      </c>
      <c r="J60" s="543"/>
      <c r="K60" s="205">
        <f>0.16*0.9</f>
        <v>0.14400000000000002</v>
      </c>
      <c r="L60" s="543"/>
      <c r="M60" s="519"/>
      <c r="N60" s="548"/>
      <c r="O60" s="548"/>
      <c r="P60" s="548"/>
      <c r="Q60" s="548"/>
      <c r="R60" s="519"/>
      <c r="S60" s="548"/>
      <c r="T60" s="241"/>
    </row>
    <row r="61" spans="1:20" ht="15" customHeight="1" x14ac:dyDescent="0.25">
      <c r="A61" s="567"/>
      <c r="B61" s="564"/>
      <c r="C61" s="553"/>
      <c r="D61" s="553"/>
      <c r="E61" s="553"/>
      <c r="F61" s="556"/>
      <c r="G61" s="543" t="s">
        <v>17308</v>
      </c>
      <c r="H61" s="543" t="s">
        <v>17309</v>
      </c>
      <c r="I61" s="543" t="s">
        <v>17310</v>
      </c>
      <c r="J61" s="543"/>
      <c r="K61" s="205">
        <f>(0.085-0.015)*0.9</f>
        <v>6.3000000000000014E-2</v>
      </c>
      <c r="L61" s="543"/>
      <c r="M61" s="519"/>
      <c r="N61" s="548"/>
      <c r="O61" s="548"/>
      <c r="P61" s="548"/>
      <c r="Q61" s="548"/>
      <c r="R61" s="519"/>
      <c r="S61" s="548"/>
      <c r="T61" s="241"/>
    </row>
    <row r="62" spans="1:20" ht="15" customHeight="1" x14ac:dyDescent="0.25">
      <c r="A62" s="567"/>
      <c r="B62" s="564"/>
      <c r="C62" s="553"/>
      <c r="D62" s="553"/>
      <c r="E62" s="553"/>
      <c r="F62" s="556"/>
      <c r="G62" s="1163" t="s">
        <v>18842</v>
      </c>
      <c r="H62" s="1163"/>
      <c r="I62" s="1163"/>
      <c r="J62" s="1163"/>
      <c r="K62" s="1163"/>
      <c r="L62" s="1163"/>
      <c r="M62" s="1163"/>
      <c r="N62" s="269"/>
      <c r="O62" s="269"/>
      <c r="P62" s="269"/>
      <c r="Q62" s="269"/>
      <c r="R62" s="594"/>
      <c r="S62" s="269"/>
      <c r="T62" s="259"/>
    </row>
    <row r="63" spans="1:20" ht="15" customHeight="1" x14ac:dyDescent="0.25">
      <c r="A63" s="567"/>
      <c r="B63" s="564"/>
      <c r="C63" s="553"/>
      <c r="D63" s="553"/>
      <c r="E63" s="553"/>
      <c r="F63" s="556"/>
      <c r="G63" s="1164" t="s">
        <v>2262</v>
      </c>
      <c r="H63" s="1164"/>
      <c r="I63" s="1164"/>
      <c r="J63" s="1165">
        <f>0.087*0.9*0.6</f>
        <v>4.6979999999999994E-2</v>
      </c>
      <c r="K63" s="1166"/>
      <c r="L63" s="543"/>
      <c r="M63" s="519"/>
      <c r="N63" s="269"/>
      <c r="O63" s="269"/>
      <c r="P63" s="269"/>
      <c r="Q63" s="269"/>
      <c r="R63" s="594"/>
      <c r="S63" s="269"/>
      <c r="T63" s="259"/>
    </row>
    <row r="64" spans="1:20" ht="15" customHeight="1" thickBot="1" x14ac:dyDescent="0.3">
      <c r="A64" s="242"/>
      <c r="B64" s="243"/>
      <c r="C64" s="244"/>
      <c r="D64" s="244"/>
      <c r="E64" s="244"/>
      <c r="F64" s="245"/>
      <c r="G64" s="1032" t="s">
        <v>1199</v>
      </c>
      <c r="H64" s="1032"/>
      <c r="I64" s="1032"/>
      <c r="J64" s="542"/>
      <c r="K64" s="247">
        <f>SUM(J59:K63)</f>
        <v>0.25397999999999998</v>
      </c>
      <c r="L64" s="542">
        <v>0.92</v>
      </c>
      <c r="M64" s="247">
        <f>K64/L64</f>
        <v>0.2760652173913043</v>
      </c>
      <c r="N64" s="1032" t="s">
        <v>1199</v>
      </c>
      <c r="O64" s="1032"/>
      <c r="P64" s="1032"/>
      <c r="Q64" s="542"/>
      <c r="R64" s="247">
        <f>SUM(R57:R58)</f>
        <v>0.19</v>
      </c>
      <c r="S64" s="542">
        <v>0.92</v>
      </c>
      <c r="T64" s="249">
        <f>R64/S64</f>
        <v>0.20652173913043478</v>
      </c>
    </row>
    <row r="65" spans="1:20" ht="15" customHeight="1" x14ac:dyDescent="0.25">
      <c r="A65" s="566" t="str">
        <f>Итоговая!C255</f>
        <v xml:space="preserve">ПС 35/10 кВ Берново </v>
      </c>
      <c r="B65" s="563">
        <f>Итоговая!D255</f>
        <v>1.6</v>
      </c>
      <c r="C65" s="552"/>
      <c r="D65" s="552"/>
      <c r="E65" s="552"/>
      <c r="F65" s="555"/>
      <c r="G65" s="1163" t="s">
        <v>18842</v>
      </c>
      <c r="H65" s="1163"/>
      <c r="I65" s="1163"/>
      <c r="J65" s="1163"/>
      <c r="K65" s="1163"/>
      <c r="L65" s="1163"/>
      <c r="M65" s="1163"/>
      <c r="N65" s="215"/>
      <c r="O65" s="215"/>
      <c r="P65" s="215"/>
      <c r="Q65" s="215"/>
      <c r="R65" s="216"/>
      <c r="S65" s="215"/>
      <c r="T65" s="217"/>
    </row>
    <row r="66" spans="1:20" ht="15" customHeight="1" x14ac:dyDescent="0.25">
      <c r="A66" s="730"/>
      <c r="B66" s="720"/>
      <c r="C66" s="721"/>
      <c r="D66" s="721"/>
      <c r="E66" s="721"/>
      <c r="F66" s="722"/>
      <c r="G66" s="1164" t="s">
        <v>2262</v>
      </c>
      <c r="H66" s="1164"/>
      <c r="I66" s="1164"/>
      <c r="J66" s="1165">
        <f>0.015*0.9*0.6</f>
        <v>8.0999999999999996E-3</v>
      </c>
      <c r="K66" s="1166"/>
      <c r="L66" s="724"/>
      <c r="M66" s="519"/>
      <c r="N66" s="223"/>
      <c r="O66" s="223"/>
      <c r="P66" s="223"/>
      <c r="Q66" s="223"/>
      <c r="R66" s="224"/>
      <c r="S66" s="223"/>
      <c r="T66" s="225"/>
    </row>
    <row r="67" spans="1:20" ht="15" customHeight="1" thickBot="1" x14ac:dyDescent="0.3">
      <c r="A67" s="242"/>
      <c r="B67" s="243"/>
      <c r="C67" s="244"/>
      <c r="D67" s="244"/>
      <c r="E67" s="244"/>
      <c r="F67" s="245"/>
      <c r="G67" s="1032" t="s">
        <v>1199</v>
      </c>
      <c r="H67" s="1032"/>
      <c r="I67" s="1032"/>
      <c r="J67" s="542"/>
      <c r="K67" s="247">
        <f>SUM(J66)</f>
        <v>8.0999999999999996E-3</v>
      </c>
      <c r="L67" s="542">
        <v>0.92</v>
      </c>
      <c r="M67" s="247">
        <f>K67/L67</f>
        <v>8.8043478260869563E-3</v>
      </c>
      <c r="N67" s="1032" t="s">
        <v>1199</v>
      </c>
      <c r="O67" s="1032"/>
      <c r="P67" s="1032"/>
      <c r="Q67" s="542"/>
      <c r="R67" s="247">
        <f>SUM(R65:R65)</f>
        <v>0</v>
      </c>
      <c r="S67" s="542">
        <v>0.92</v>
      </c>
      <c r="T67" s="249">
        <f>R67/S67</f>
        <v>0</v>
      </c>
    </row>
    <row r="68" spans="1:20" ht="15" customHeight="1" x14ac:dyDescent="0.25">
      <c r="A68" s="566" t="str">
        <f>Итоговая!C256</f>
        <v xml:space="preserve">ПС 35/10 кВ РМК </v>
      </c>
      <c r="B68" s="563">
        <f>Итоговая!D256</f>
        <v>10</v>
      </c>
      <c r="C68" s="552" t="str">
        <f>Итоговая!E256</f>
        <v>+</v>
      </c>
      <c r="D68" s="552">
        <f>Итоговая!F256</f>
        <v>10</v>
      </c>
      <c r="E68" s="552"/>
      <c r="F68" s="555"/>
      <c r="G68" s="1162"/>
      <c r="H68" s="1162"/>
      <c r="I68" s="1162"/>
      <c r="J68" s="1162"/>
      <c r="K68" s="1162"/>
      <c r="L68" s="1162"/>
      <c r="M68" s="1162"/>
      <c r="N68" s="1162">
        <v>2011</v>
      </c>
      <c r="O68" s="1162"/>
      <c r="P68" s="1162"/>
      <c r="Q68" s="1162"/>
      <c r="R68" s="1162"/>
      <c r="S68" s="1162"/>
      <c r="T68" s="1162"/>
    </row>
    <row r="69" spans="1:20" ht="15" customHeight="1" x14ac:dyDescent="0.25">
      <c r="A69" s="567"/>
      <c r="B69" s="564"/>
      <c r="C69" s="553"/>
      <c r="D69" s="553"/>
      <c r="E69" s="553"/>
      <c r="F69" s="556"/>
      <c r="G69" s="543"/>
      <c r="H69" s="543"/>
      <c r="I69" s="543"/>
      <c r="J69" s="543"/>
      <c r="K69" s="205"/>
      <c r="L69" s="543"/>
      <c r="M69" s="519"/>
      <c r="N69" s="724" t="s">
        <v>516</v>
      </c>
      <c r="O69" s="724" t="s">
        <v>24</v>
      </c>
      <c r="P69" s="724" t="s">
        <v>13376</v>
      </c>
      <c r="Q69" s="724"/>
      <c r="R69" s="205">
        <v>0.4</v>
      </c>
      <c r="S69" s="724"/>
      <c r="T69" s="519"/>
    </row>
    <row r="70" spans="1:20" ht="15" customHeight="1" x14ac:dyDescent="0.25">
      <c r="A70" s="567"/>
      <c r="B70" s="564"/>
      <c r="C70" s="553"/>
      <c r="D70" s="553"/>
      <c r="E70" s="553"/>
      <c r="F70" s="556"/>
      <c r="G70" s="1161">
        <v>2014</v>
      </c>
      <c r="H70" s="1161"/>
      <c r="I70" s="1161"/>
      <c r="J70" s="1161"/>
      <c r="K70" s="1161"/>
      <c r="L70" s="1161"/>
      <c r="M70" s="1161"/>
      <c r="N70" s="543"/>
      <c r="O70" s="543"/>
      <c r="P70" s="543"/>
      <c r="Q70" s="543"/>
      <c r="R70" s="205"/>
      <c r="S70" s="543"/>
      <c r="T70" s="241"/>
    </row>
    <row r="71" spans="1:20" ht="15" customHeight="1" x14ac:dyDescent="0.25">
      <c r="A71" s="567"/>
      <c r="B71" s="564"/>
      <c r="C71" s="553"/>
      <c r="D71" s="553"/>
      <c r="E71" s="553"/>
      <c r="F71" s="556"/>
      <c r="G71" s="543" t="s">
        <v>1852</v>
      </c>
      <c r="H71" s="543" t="s">
        <v>17298</v>
      </c>
      <c r="I71" s="543" t="s">
        <v>17299</v>
      </c>
      <c r="J71" s="543"/>
      <c r="K71" s="205">
        <f>0.3*0.15</f>
        <v>4.4999999999999998E-2</v>
      </c>
      <c r="L71" s="543"/>
      <c r="M71" s="519"/>
      <c r="N71" s="543"/>
      <c r="O71" s="543"/>
      <c r="P71" s="543"/>
      <c r="Q71" s="543"/>
      <c r="R71" s="205"/>
      <c r="S71" s="543"/>
      <c r="T71" s="241"/>
    </row>
    <row r="72" spans="1:20" ht="15" customHeight="1" x14ac:dyDescent="0.25">
      <c r="A72" s="567"/>
      <c r="B72" s="564"/>
      <c r="C72" s="553"/>
      <c r="D72" s="553"/>
      <c r="E72" s="553"/>
      <c r="F72" s="556"/>
      <c r="G72" s="1157" t="s">
        <v>2262</v>
      </c>
      <c r="H72" s="1157"/>
      <c r="I72" s="1157"/>
      <c r="J72" s="994">
        <f>0.417*0.9*0.6</f>
        <v>0.22517999999999996</v>
      </c>
      <c r="K72" s="995"/>
      <c r="L72" s="543"/>
      <c r="M72" s="519"/>
      <c r="N72" s="543"/>
      <c r="O72" s="543"/>
      <c r="P72" s="543"/>
      <c r="Q72" s="543"/>
      <c r="R72" s="205"/>
      <c r="S72" s="543"/>
      <c r="T72" s="241"/>
    </row>
    <row r="73" spans="1:20" ht="15" customHeight="1" x14ac:dyDescent="0.25">
      <c r="A73" s="567"/>
      <c r="B73" s="564"/>
      <c r="C73" s="553"/>
      <c r="D73" s="553"/>
      <c r="E73" s="553"/>
      <c r="F73" s="556"/>
      <c r="G73" s="548" t="s">
        <v>17566</v>
      </c>
      <c r="H73" s="548" t="s">
        <v>17567</v>
      </c>
      <c r="I73" s="548" t="s">
        <v>17568</v>
      </c>
      <c r="J73" s="548"/>
      <c r="K73" s="519">
        <f>0.04*0.15</f>
        <v>6.0000000000000001E-3</v>
      </c>
      <c r="L73" s="548"/>
      <c r="M73" s="519"/>
      <c r="N73" s="543"/>
      <c r="O73" s="543"/>
      <c r="P73" s="543"/>
      <c r="Q73" s="543"/>
      <c r="R73" s="205"/>
      <c r="S73" s="543"/>
      <c r="T73" s="241"/>
    </row>
    <row r="74" spans="1:20" ht="15" customHeight="1" x14ac:dyDescent="0.25">
      <c r="A74" s="567"/>
      <c r="B74" s="564"/>
      <c r="C74" s="553"/>
      <c r="D74" s="553"/>
      <c r="E74" s="553"/>
      <c r="F74" s="556"/>
      <c r="G74" s="548" t="s">
        <v>18476</v>
      </c>
      <c r="H74" s="548" t="s">
        <v>18477</v>
      </c>
      <c r="I74" s="548" t="s">
        <v>18478</v>
      </c>
      <c r="J74" s="548"/>
      <c r="K74" s="519">
        <f>0.9*0.063</f>
        <v>5.67E-2</v>
      </c>
      <c r="L74" s="548"/>
      <c r="M74" s="519"/>
      <c r="N74" s="543"/>
      <c r="O74" s="543"/>
      <c r="P74" s="543"/>
      <c r="Q74" s="543"/>
      <c r="R74" s="205"/>
      <c r="S74" s="543"/>
      <c r="T74" s="241"/>
    </row>
    <row r="75" spans="1:20" ht="15" customHeight="1" x14ac:dyDescent="0.25">
      <c r="A75" s="567"/>
      <c r="B75" s="564"/>
      <c r="C75" s="553"/>
      <c r="D75" s="553"/>
      <c r="E75" s="553"/>
      <c r="F75" s="556"/>
      <c r="G75" s="1161" t="s">
        <v>18518</v>
      </c>
      <c r="H75" s="1161"/>
      <c r="I75" s="1161"/>
      <c r="J75" s="1161"/>
      <c r="K75" s="1161"/>
      <c r="L75" s="1161"/>
      <c r="M75" s="1161"/>
      <c r="N75" s="557"/>
      <c r="O75" s="557"/>
      <c r="P75" s="557"/>
      <c r="Q75" s="557"/>
      <c r="R75" s="230"/>
      <c r="S75" s="557"/>
      <c r="T75" s="259"/>
    </row>
    <row r="76" spans="1:20" ht="15" customHeight="1" x14ac:dyDescent="0.25">
      <c r="A76" s="567"/>
      <c r="B76" s="564"/>
      <c r="C76" s="553"/>
      <c r="D76" s="553"/>
      <c r="E76" s="553"/>
      <c r="F76" s="556"/>
      <c r="G76" s="265" t="s">
        <v>18983</v>
      </c>
      <c r="H76" s="266" t="s">
        <v>18984</v>
      </c>
      <c r="I76" s="265">
        <v>41123231</v>
      </c>
      <c r="J76" s="265"/>
      <c r="K76" s="266">
        <f>0.056*0.9</f>
        <v>5.04E-2</v>
      </c>
      <c r="L76" s="548"/>
      <c r="M76" s="548"/>
      <c r="N76" s="557"/>
      <c r="O76" s="557"/>
      <c r="P76" s="557"/>
      <c r="Q76" s="557"/>
      <c r="R76" s="230"/>
      <c r="S76" s="557"/>
      <c r="T76" s="259"/>
    </row>
    <row r="77" spans="1:20" ht="15" customHeight="1" x14ac:dyDescent="0.25">
      <c r="A77" s="567"/>
      <c r="B77" s="564"/>
      <c r="C77" s="553"/>
      <c r="D77" s="553"/>
      <c r="E77" s="553"/>
      <c r="F77" s="556"/>
      <c r="G77" s="1157" t="s">
        <v>2262</v>
      </c>
      <c r="H77" s="1157"/>
      <c r="I77" s="1157"/>
      <c r="J77" s="994">
        <f>1.639*0.9*0.6</f>
        <v>0.88506000000000007</v>
      </c>
      <c r="K77" s="995"/>
      <c r="L77" s="543"/>
      <c r="M77" s="519"/>
      <c r="N77" s="557"/>
      <c r="O77" s="557"/>
      <c r="P77" s="557"/>
      <c r="Q77" s="557"/>
      <c r="R77" s="230"/>
      <c r="S77" s="557"/>
      <c r="T77" s="259"/>
    </row>
    <row r="78" spans="1:20" ht="15" customHeight="1" x14ac:dyDescent="0.25">
      <c r="A78" s="795"/>
      <c r="B78" s="790"/>
      <c r="C78" s="791"/>
      <c r="D78" s="791"/>
      <c r="E78" s="791"/>
      <c r="F78" s="792"/>
      <c r="G78" s="1161" t="s">
        <v>19719</v>
      </c>
      <c r="H78" s="1161"/>
      <c r="I78" s="1161"/>
      <c r="J78" s="1161"/>
      <c r="K78" s="1161"/>
      <c r="L78" s="1161"/>
      <c r="M78" s="1161"/>
      <c r="N78" s="787"/>
      <c r="O78" s="787"/>
      <c r="P78" s="787"/>
      <c r="Q78" s="787"/>
      <c r="R78" s="788"/>
      <c r="S78" s="787"/>
      <c r="T78" s="259"/>
    </row>
    <row r="79" spans="1:20" ht="15" customHeight="1" x14ac:dyDescent="0.25">
      <c r="A79" s="795"/>
      <c r="B79" s="790"/>
      <c r="C79" s="791"/>
      <c r="D79" s="791"/>
      <c r="E79" s="791"/>
      <c r="F79" s="792"/>
      <c r="G79" s="794" t="s">
        <v>18983</v>
      </c>
      <c r="H79" s="794" t="s">
        <v>19770</v>
      </c>
      <c r="I79" s="794" t="s">
        <v>19771</v>
      </c>
      <c r="J79" s="519"/>
      <c r="K79" s="519">
        <f>0.056*0.9</f>
        <v>5.04E-2</v>
      </c>
      <c r="L79" s="787"/>
      <c r="M79" s="789"/>
      <c r="N79" s="787"/>
      <c r="O79" s="787"/>
      <c r="P79" s="787"/>
      <c r="Q79" s="787"/>
      <c r="R79" s="788"/>
      <c r="S79" s="787"/>
      <c r="T79" s="259"/>
    </row>
    <row r="80" spans="1:20" ht="15" customHeight="1" x14ac:dyDescent="0.25">
      <c r="A80" s="795"/>
      <c r="B80" s="790"/>
      <c r="C80" s="791"/>
      <c r="D80" s="791"/>
      <c r="E80" s="791"/>
      <c r="F80" s="792"/>
      <c r="G80" s="794" t="s">
        <v>18476</v>
      </c>
      <c r="H80" s="794" t="s">
        <v>19772</v>
      </c>
      <c r="I80" s="794" t="s">
        <v>19773</v>
      </c>
      <c r="J80" s="519"/>
      <c r="K80" s="519">
        <f>0.1*0.9</f>
        <v>9.0000000000000011E-2</v>
      </c>
      <c r="L80" s="787"/>
      <c r="M80" s="789"/>
      <c r="N80" s="787"/>
      <c r="O80" s="787"/>
      <c r="P80" s="787"/>
      <c r="Q80" s="787"/>
      <c r="R80" s="788"/>
      <c r="S80" s="787"/>
      <c r="T80" s="259"/>
    </row>
    <row r="81" spans="1:20" ht="15" customHeight="1" thickBot="1" x14ac:dyDescent="0.3">
      <c r="A81" s="242"/>
      <c r="B81" s="243"/>
      <c r="C81" s="244"/>
      <c r="D81" s="244"/>
      <c r="E81" s="244"/>
      <c r="F81" s="245"/>
      <c r="G81" s="1032" t="s">
        <v>1199</v>
      </c>
      <c r="H81" s="1032"/>
      <c r="I81" s="1032"/>
      <c r="J81" s="542"/>
      <c r="K81" s="247">
        <f>SUM(J71:K80)</f>
        <v>1.4087400000000001</v>
      </c>
      <c r="L81" s="542">
        <v>0.92</v>
      </c>
      <c r="M81" s="247">
        <f>K81/L81</f>
        <v>1.5312391304347825</v>
      </c>
      <c r="N81" s="1032" t="s">
        <v>1199</v>
      </c>
      <c r="O81" s="1032"/>
      <c r="P81" s="1032"/>
      <c r="Q81" s="542"/>
      <c r="R81" s="247">
        <f>SUM(0)</f>
        <v>0</v>
      </c>
      <c r="S81" s="542">
        <v>0.92</v>
      </c>
      <c r="T81" s="249">
        <f>R81/S81</f>
        <v>0</v>
      </c>
    </row>
    <row r="82" spans="1:20" ht="15" customHeight="1" x14ac:dyDescent="0.25">
      <c r="A82" s="566" t="str">
        <f>Итоговая!C257</f>
        <v xml:space="preserve">ПС 35/10 кВ Осуга </v>
      </c>
      <c r="B82" s="563">
        <f>Итоговая!D257</f>
        <v>2.5</v>
      </c>
      <c r="C82" s="552" t="str">
        <f>Итоговая!E257</f>
        <v>+</v>
      </c>
      <c r="D82" s="552">
        <f>Итоговая!F257</f>
        <v>2.5</v>
      </c>
      <c r="E82" s="552"/>
      <c r="F82" s="555"/>
      <c r="G82" s="1161" t="s">
        <v>18518</v>
      </c>
      <c r="H82" s="1161"/>
      <c r="I82" s="1161"/>
      <c r="J82" s="1161"/>
      <c r="K82" s="1161"/>
      <c r="L82" s="1161"/>
      <c r="M82" s="1161"/>
      <c r="N82" s="215"/>
      <c r="O82" s="215"/>
      <c r="P82" s="215"/>
      <c r="Q82" s="215"/>
      <c r="R82" s="216"/>
      <c r="S82" s="215"/>
      <c r="T82" s="217"/>
    </row>
    <row r="83" spans="1:20" ht="15" customHeight="1" x14ac:dyDescent="0.25">
      <c r="A83" s="567"/>
      <c r="B83" s="564"/>
      <c r="C83" s="553"/>
      <c r="D83" s="553"/>
      <c r="E83" s="553"/>
      <c r="F83" s="556"/>
      <c r="G83" s="1157" t="s">
        <v>2262</v>
      </c>
      <c r="H83" s="1157"/>
      <c r="I83" s="1157"/>
      <c r="J83" s="994">
        <f>0.052*0.9*0.6</f>
        <v>2.8080000000000001E-2</v>
      </c>
      <c r="K83" s="995"/>
      <c r="L83" s="543"/>
      <c r="M83" s="519"/>
      <c r="N83" s="223"/>
      <c r="O83" s="223"/>
      <c r="P83" s="223"/>
      <c r="Q83" s="223"/>
      <c r="R83" s="224"/>
      <c r="S83" s="223"/>
      <c r="T83" s="225"/>
    </row>
    <row r="84" spans="1:20" ht="15" customHeight="1" thickBot="1" x14ac:dyDescent="0.3">
      <c r="A84" s="242"/>
      <c r="B84" s="243"/>
      <c r="C84" s="244"/>
      <c r="D84" s="244"/>
      <c r="E84" s="244"/>
      <c r="F84" s="245"/>
      <c r="G84" s="1032" t="s">
        <v>1199</v>
      </c>
      <c r="H84" s="1032"/>
      <c r="I84" s="1032"/>
      <c r="J84" s="542"/>
      <c r="K84" s="247">
        <f>SUM(J82:K83)</f>
        <v>2.8080000000000001E-2</v>
      </c>
      <c r="L84" s="542">
        <v>0.92</v>
      </c>
      <c r="M84" s="247">
        <f>K84/L84</f>
        <v>3.0521739130434784E-2</v>
      </c>
      <c r="N84" s="1032" t="s">
        <v>1199</v>
      </c>
      <c r="O84" s="1032"/>
      <c r="P84" s="1032"/>
      <c r="Q84" s="542"/>
      <c r="R84" s="247">
        <f>SUM(R82:R82)</f>
        <v>0</v>
      </c>
      <c r="S84" s="542">
        <v>0.92</v>
      </c>
      <c r="T84" s="249">
        <f>R84/S84</f>
        <v>0</v>
      </c>
    </row>
    <row r="85" spans="1:20" ht="15" customHeight="1" x14ac:dyDescent="0.25">
      <c r="A85" s="1092" t="str">
        <f>Итоговая!C258</f>
        <v xml:space="preserve">ПС 35/10 кВ Мин.Дворы </v>
      </c>
      <c r="B85" s="1072">
        <f>Итоговая!D258</f>
        <v>2.5</v>
      </c>
      <c r="C85" s="1067" t="str">
        <f>Итоговая!E258</f>
        <v>+</v>
      </c>
      <c r="D85" s="1067">
        <f>Итоговая!F258</f>
        <v>3.2</v>
      </c>
      <c r="E85" s="552"/>
      <c r="F85" s="555"/>
      <c r="G85" s="1162" t="s">
        <v>1287</v>
      </c>
      <c r="H85" s="1162"/>
      <c r="I85" s="1162"/>
      <c r="J85" s="1162"/>
      <c r="K85" s="1162"/>
      <c r="L85" s="1162"/>
      <c r="M85" s="1162"/>
      <c r="N85" s="1162" t="s">
        <v>1324</v>
      </c>
      <c r="O85" s="1162"/>
      <c r="P85" s="1162"/>
      <c r="Q85" s="1162"/>
      <c r="R85" s="1162"/>
      <c r="S85" s="1162"/>
      <c r="T85" s="1167"/>
    </row>
    <row r="86" spans="1:20" ht="15" customHeight="1" x14ac:dyDescent="0.25">
      <c r="A86" s="1093"/>
      <c r="B86" s="1023"/>
      <c r="C86" s="1024"/>
      <c r="D86" s="1024"/>
      <c r="E86" s="553"/>
      <c r="F86" s="556"/>
      <c r="G86" s="543" t="s">
        <v>1344</v>
      </c>
      <c r="H86" s="543" t="s">
        <v>1345</v>
      </c>
      <c r="I86" s="543" t="s">
        <v>1346</v>
      </c>
      <c r="J86" s="543"/>
      <c r="K86" s="205">
        <v>0.7</v>
      </c>
      <c r="L86" s="543"/>
      <c r="M86" s="519"/>
      <c r="N86" s="277" t="s">
        <v>1347</v>
      </c>
      <c r="O86" s="277" t="s">
        <v>1348</v>
      </c>
      <c r="P86" s="277" t="s">
        <v>1653</v>
      </c>
      <c r="Q86" s="277"/>
      <c r="R86" s="279">
        <v>0.51</v>
      </c>
      <c r="S86" s="543"/>
      <c r="T86" s="241"/>
    </row>
    <row r="87" spans="1:20" ht="15" customHeight="1" x14ac:dyDescent="0.25">
      <c r="A87" s="562"/>
      <c r="B87" s="564"/>
      <c r="C87" s="553"/>
      <c r="D87" s="553"/>
      <c r="E87" s="553"/>
      <c r="F87" s="556"/>
      <c r="G87" s="1161" t="s">
        <v>1324</v>
      </c>
      <c r="H87" s="1161"/>
      <c r="I87" s="1161"/>
      <c r="J87" s="1161"/>
      <c r="K87" s="1161"/>
      <c r="L87" s="1161"/>
      <c r="M87" s="1161"/>
      <c r="N87" s="1161" t="s">
        <v>2290</v>
      </c>
      <c r="O87" s="1161"/>
      <c r="P87" s="1161"/>
      <c r="Q87" s="1161"/>
      <c r="R87" s="1161"/>
      <c r="S87" s="1161"/>
      <c r="T87" s="1161"/>
    </row>
    <row r="88" spans="1:20" ht="15" customHeight="1" x14ac:dyDescent="0.25">
      <c r="A88" s="562"/>
      <c r="B88" s="564"/>
      <c r="C88" s="553"/>
      <c r="D88" s="553"/>
      <c r="E88" s="553"/>
      <c r="F88" s="556"/>
      <c r="G88" s="543" t="s">
        <v>28</v>
      </c>
      <c r="H88" s="543" t="s">
        <v>605</v>
      </c>
      <c r="I88" s="543" t="s">
        <v>1567</v>
      </c>
      <c r="J88" s="543"/>
      <c r="K88" s="205">
        <v>9.9000000000000005E-2</v>
      </c>
      <c r="L88" s="543"/>
      <c r="M88" s="519"/>
      <c r="N88" s="724" t="s">
        <v>2388</v>
      </c>
      <c r="O88" s="724" t="s">
        <v>2389</v>
      </c>
      <c r="P88" s="727" t="s">
        <v>2425</v>
      </c>
      <c r="Q88" s="727"/>
      <c r="R88" s="205">
        <f>0.38*0.75</f>
        <v>0.28500000000000003</v>
      </c>
      <c r="S88" s="727"/>
      <c r="T88" s="519"/>
    </row>
    <row r="89" spans="1:20" ht="15" customHeight="1" x14ac:dyDescent="0.25">
      <c r="A89" s="562"/>
      <c r="B89" s="564"/>
      <c r="C89" s="553"/>
      <c r="D89" s="553"/>
      <c r="E89" s="553"/>
      <c r="F89" s="556"/>
      <c r="G89" s="1161" t="s">
        <v>2290</v>
      </c>
      <c r="H89" s="1161"/>
      <c r="I89" s="1161"/>
      <c r="J89" s="1161"/>
      <c r="K89" s="1161"/>
      <c r="L89" s="1161"/>
      <c r="M89" s="1161"/>
      <c r="N89" s="724"/>
      <c r="O89" s="724"/>
      <c r="P89" s="727"/>
      <c r="Q89" s="727"/>
      <c r="R89" s="205"/>
      <c r="S89" s="727"/>
      <c r="T89" s="519"/>
    </row>
    <row r="90" spans="1:20" ht="15" customHeight="1" x14ac:dyDescent="0.25">
      <c r="A90" s="562"/>
      <c r="B90" s="564"/>
      <c r="C90" s="553"/>
      <c r="D90" s="553"/>
      <c r="E90" s="553"/>
      <c r="F90" s="556"/>
      <c r="G90" s="543" t="s">
        <v>2283</v>
      </c>
      <c r="H90" s="543" t="s">
        <v>2374</v>
      </c>
      <c r="I90" s="548" t="s">
        <v>2419</v>
      </c>
      <c r="J90" s="548"/>
      <c r="K90" s="205">
        <f>0.5*0.75</f>
        <v>0.375</v>
      </c>
      <c r="L90" s="548"/>
      <c r="M90" s="519"/>
      <c r="N90" s="548"/>
      <c r="O90" s="548"/>
      <c r="P90" s="548"/>
      <c r="Q90" s="548"/>
      <c r="R90" s="519"/>
      <c r="S90" s="548"/>
      <c r="T90" s="241"/>
    </row>
    <row r="91" spans="1:20" ht="15" customHeight="1" x14ac:dyDescent="0.25">
      <c r="A91" s="562"/>
      <c r="B91" s="564"/>
      <c r="C91" s="553"/>
      <c r="D91" s="553"/>
      <c r="E91" s="553"/>
      <c r="F91" s="556"/>
      <c r="G91" s="1161" t="s">
        <v>14933</v>
      </c>
      <c r="H91" s="1161"/>
      <c r="I91" s="1161"/>
      <c r="J91" s="1161"/>
      <c r="K91" s="1161"/>
      <c r="L91" s="1161"/>
      <c r="M91" s="1161"/>
      <c r="N91" s="548"/>
      <c r="O91" s="548"/>
      <c r="P91" s="548"/>
      <c r="Q91" s="548"/>
      <c r="R91" s="519"/>
      <c r="S91" s="548"/>
      <c r="T91" s="241"/>
    </row>
    <row r="92" spans="1:20" ht="15" customHeight="1" x14ac:dyDescent="0.25">
      <c r="A92" s="562"/>
      <c r="B92" s="564"/>
      <c r="C92" s="553"/>
      <c r="D92" s="553"/>
      <c r="E92" s="553"/>
      <c r="F92" s="556"/>
      <c r="G92" s="543" t="s">
        <v>2161</v>
      </c>
      <c r="H92" s="543" t="s">
        <v>14891</v>
      </c>
      <c r="I92" s="548" t="s">
        <v>14940</v>
      </c>
      <c r="J92" s="548"/>
      <c r="K92" s="205">
        <f>0.035*0.9</f>
        <v>3.1500000000000007E-2</v>
      </c>
      <c r="L92" s="548"/>
      <c r="M92" s="519"/>
      <c r="N92" s="548"/>
      <c r="O92" s="548"/>
      <c r="P92" s="548"/>
      <c r="Q92" s="548"/>
      <c r="R92" s="519"/>
      <c r="S92" s="548"/>
      <c r="T92" s="241"/>
    </row>
    <row r="93" spans="1:20" ht="15" customHeight="1" x14ac:dyDescent="0.25">
      <c r="A93" s="562"/>
      <c r="B93" s="564"/>
      <c r="C93" s="553"/>
      <c r="D93" s="553"/>
      <c r="E93" s="553"/>
      <c r="F93" s="556"/>
      <c r="G93" s="548" t="s">
        <v>17691</v>
      </c>
      <c r="H93" s="548" t="s">
        <v>17692</v>
      </c>
      <c r="I93" s="543" t="s">
        <v>17693</v>
      </c>
      <c r="J93" s="543"/>
      <c r="K93" s="205">
        <f>0.03*0.75</f>
        <v>2.2499999999999999E-2</v>
      </c>
      <c r="L93" s="543"/>
      <c r="M93" s="519"/>
      <c r="N93" s="548"/>
      <c r="O93" s="548"/>
      <c r="P93" s="548"/>
      <c r="Q93" s="548"/>
      <c r="R93" s="519"/>
      <c r="S93" s="548"/>
      <c r="T93" s="241"/>
    </row>
    <row r="94" spans="1:20" ht="15" customHeight="1" x14ac:dyDescent="0.25">
      <c r="A94" s="562"/>
      <c r="B94" s="564"/>
      <c r="C94" s="553"/>
      <c r="D94" s="553"/>
      <c r="E94" s="553"/>
      <c r="F94" s="556"/>
      <c r="G94" s="1157" t="s">
        <v>2262</v>
      </c>
      <c r="H94" s="1157"/>
      <c r="I94" s="1157"/>
      <c r="J94" s="994">
        <f>0.167*0.9</f>
        <v>0.15030000000000002</v>
      </c>
      <c r="K94" s="995"/>
      <c r="L94" s="543"/>
      <c r="M94" s="519"/>
      <c r="N94" s="548"/>
      <c r="O94" s="548"/>
      <c r="P94" s="548"/>
      <c r="Q94" s="548"/>
      <c r="R94" s="519"/>
      <c r="S94" s="548"/>
      <c r="T94" s="241"/>
    </row>
    <row r="95" spans="1:20" ht="15" customHeight="1" x14ac:dyDescent="0.25">
      <c r="A95" s="562"/>
      <c r="B95" s="564"/>
      <c r="C95" s="553"/>
      <c r="D95" s="553"/>
      <c r="E95" s="553"/>
      <c r="F95" s="556"/>
      <c r="G95" s="1161" t="s">
        <v>18518</v>
      </c>
      <c r="H95" s="1161"/>
      <c r="I95" s="1161"/>
      <c r="J95" s="1161"/>
      <c r="K95" s="1161"/>
      <c r="L95" s="1161"/>
      <c r="M95" s="1161"/>
      <c r="N95" s="269"/>
      <c r="O95" s="269"/>
      <c r="P95" s="269"/>
      <c r="Q95" s="269"/>
      <c r="R95" s="594"/>
      <c r="S95" s="269"/>
      <c r="T95" s="259"/>
    </row>
    <row r="96" spans="1:20" ht="15" customHeight="1" x14ac:dyDescent="0.25">
      <c r="A96" s="562"/>
      <c r="B96" s="564"/>
      <c r="C96" s="553"/>
      <c r="D96" s="553"/>
      <c r="E96" s="553"/>
      <c r="F96" s="556"/>
      <c r="G96" s="1157" t="s">
        <v>2262</v>
      </c>
      <c r="H96" s="1157"/>
      <c r="I96" s="1157"/>
      <c r="J96" s="994">
        <f>0.117*0.9</f>
        <v>0.1053</v>
      </c>
      <c r="K96" s="995"/>
      <c r="L96" s="543"/>
      <c r="M96" s="519"/>
      <c r="N96" s="269"/>
      <c r="O96" s="269"/>
      <c r="P96" s="269"/>
      <c r="Q96" s="269"/>
      <c r="R96" s="594"/>
      <c r="S96" s="269"/>
      <c r="T96" s="259"/>
    </row>
    <row r="97" spans="1:20" ht="15" customHeight="1" thickBot="1" x14ac:dyDescent="0.3">
      <c r="A97" s="346"/>
      <c r="B97" s="243"/>
      <c r="C97" s="244"/>
      <c r="D97" s="244"/>
      <c r="E97" s="244"/>
      <c r="F97" s="245"/>
      <c r="G97" s="1032" t="s">
        <v>1199</v>
      </c>
      <c r="H97" s="1032"/>
      <c r="I97" s="1032"/>
      <c r="J97" s="542"/>
      <c r="K97" s="247">
        <f>SUM(J92:K96)</f>
        <v>0.30960000000000004</v>
      </c>
      <c r="L97" s="542">
        <v>0.92</v>
      </c>
      <c r="M97" s="247">
        <f>K97/L97</f>
        <v>0.33652173913043482</v>
      </c>
      <c r="N97" s="1032" t="s">
        <v>1199</v>
      </c>
      <c r="O97" s="1032"/>
      <c r="P97" s="1032"/>
      <c r="Q97" s="542"/>
      <c r="R97" s="247">
        <f>SUM(R86:R88)</f>
        <v>0.79500000000000004</v>
      </c>
      <c r="S97" s="542">
        <v>0.92</v>
      </c>
      <c r="T97" s="249">
        <f>R97/S97</f>
        <v>0.86413043478260865</v>
      </c>
    </row>
    <row r="98" spans="1:20" ht="15" customHeight="1" x14ac:dyDescent="0.25">
      <c r="A98" s="1070" t="str">
        <f>Итоговая!C259</f>
        <v xml:space="preserve">ПС 35/10 кВ Клешнево </v>
      </c>
      <c r="B98" s="1072">
        <f>Итоговая!D259</f>
        <v>4</v>
      </c>
      <c r="C98" s="1067" t="str">
        <f>Итоговая!E259</f>
        <v>+</v>
      </c>
      <c r="D98" s="1067">
        <f>Итоговая!F259</f>
        <v>4</v>
      </c>
      <c r="E98" s="552"/>
      <c r="F98" s="555"/>
      <c r="G98" s="1162" t="s">
        <v>1286</v>
      </c>
      <c r="H98" s="1162"/>
      <c r="I98" s="1162"/>
      <c r="J98" s="1162"/>
      <c r="K98" s="1162"/>
      <c r="L98" s="1162"/>
      <c r="M98" s="1162"/>
      <c r="N98" s="1073"/>
      <c r="O98" s="1073"/>
      <c r="P98" s="1073"/>
      <c r="Q98" s="1073"/>
      <c r="R98" s="1073"/>
      <c r="S98" s="1073"/>
      <c r="T98" s="1074"/>
    </row>
    <row r="99" spans="1:20" ht="15" customHeight="1" x14ac:dyDescent="0.25">
      <c r="A99" s="1071"/>
      <c r="B99" s="1023"/>
      <c r="C99" s="1024"/>
      <c r="D99" s="1024"/>
      <c r="E99" s="553"/>
      <c r="F99" s="556"/>
      <c r="G99" s="543" t="s">
        <v>1341</v>
      </c>
      <c r="H99" s="543" t="s">
        <v>1349</v>
      </c>
      <c r="I99" s="543" t="s">
        <v>1350</v>
      </c>
      <c r="J99" s="543"/>
      <c r="K99" s="205">
        <v>0.72</v>
      </c>
      <c r="L99" s="543"/>
      <c r="M99" s="519"/>
      <c r="N99" s="548"/>
      <c r="O99" s="548"/>
      <c r="P99" s="548"/>
      <c r="Q99" s="548"/>
      <c r="R99" s="519"/>
      <c r="S99" s="548"/>
      <c r="T99" s="241"/>
    </row>
    <row r="100" spans="1:20" ht="15" customHeight="1" x14ac:dyDescent="0.25">
      <c r="A100" s="567"/>
      <c r="B100" s="564"/>
      <c r="C100" s="553"/>
      <c r="D100" s="553"/>
      <c r="E100" s="553"/>
      <c r="F100" s="556"/>
      <c r="G100" s="543" t="s">
        <v>1341</v>
      </c>
      <c r="H100" s="543" t="s">
        <v>1349</v>
      </c>
      <c r="I100" s="543" t="s">
        <v>1351</v>
      </c>
      <c r="J100" s="543"/>
      <c r="K100" s="205">
        <v>0.69</v>
      </c>
      <c r="L100" s="543"/>
      <c r="M100" s="519"/>
      <c r="N100" s="548"/>
      <c r="O100" s="548"/>
      <c r="P100" s="548"/>
      <c r="Q100" s="548"/>
      <c r="R100" s="519"/>
      <c r="S100" s="548"/>
      <c r="T100" s="241"/>
    </row>
    <row r="101" spans="1:20" ht="15" customHeight="1" x14ac:dyDescent="0.25">
      <c r="A101" s="567"/>
      <c r="B101" s="564"/>
      <c r="C101" s="553"/>
      <c r="D101" s="553"/>
      <c r="E101" s="553"/>
      <c r="F101" s="556"/>
      <c r="G101" s="1161" t="s">
        <v>1645</v>
      </c>
      <c r="H101" s="1161"/>
      <c r="I101" s="1161"/>
      <c r="J101" s="1161"/>
      <c r="K101" s="1161"/>
      <c r="L101" s="1161"/>
      <c r="M101" s="1161"/>
      <c r="N101" s="548"/>
      <c r="O101" s="548"/>
      <c r="P101" s="548"/>
      <c r="Q101" s="548"/>
      <c r="R101" s="519"/>
      <c r="S101" s="548"/>
      <c r="T101" s="241"/>
    </row>
    <row r="102" spans="1:20" ht="15" customHeight="1" x14ac:dyDescent="0.25">
      <c r="A102" s="567"/>
      <c r="B102" s="564"/>
      <c r="C102" s="553"/>
      <c r="D102" s="553"/>
      <c r="E102" s="553"/>
      <c r="F102" s="556"/>
      <c r="G102" s="543" t="s">
        <v>1880</v>
      </c>
      <c r="H102" s="543" t="s">
        <v>1881</v>
      </c>
      <c r="I102" s="543" t="s">
        <v>1946</v>
      </c>
      <c r="J102" s="543"/>
      <c r="K102" s="205">
        <v>0.45</v>
      </c>
      <c r="L102" s="543"/>
      <c r="M102" s="519"/>
      <c r="N102" s="548"/>
      <c r="O102" s="548"/>
      <c r="P102" s="548"/>
      <c r="Q102" s="548"/>
      <c r="R102" s="519"/>
      <c r="S102" s="548"/>
      <c r="T102" s="241"/>
    </row>
    <row r="103" spans="1:20" ht="15" customHeight="1" x14ac:dyDescent="0.25">
      <c r="A103" s="567"/>
      <c r="B103" s="564"/>
      <c r="C103" s="553"/>
      <c r="D103" s="553"/>
      <c r="E103" s="553"/>
      <c r="F103" s="556"/>
      <c r="G103" s="543" t="s">
        <v>1880</v>
      </c>
      <c r="H103" s="543" t="s">
        <v>1908</v>
      </c>
      <c r="I103" s="543" t="s">
        <v>1947</v>
      </c>
      <c r="J103" s="543"/>
      <c r="K103" s="205">
        <v>0.55000000000000004</v>
      </c>
      <c r="L103" s="543"/>
      <c r="M103" s="519"/>
      <c r="N103" s="548"/>
      <c r="O103" s="548"/>
      <c r="P103" s="548"/>
      <c r="Q103" s="548"/>
      <c r="R103" s="519"/>
      <c r="S103" s="548"/>
      <c r="T103" s="241"/>
    </row>
    <row r="104" spans="1:20" ht="15" customHeight="1" x14ac:dyDescent="0.25">
      <c r="A104" s="567"/>
      <c r="B104" s="564"/>
      <c r="C104" s="553"/>
      <c r="D104" s="553"/>
      <c r="E104" s="553"/>
      <c r="F104" s="556"/>
      <c r="G104" s="543" t="s">
        <v>1880</v>
      </c>
      <c r="H104" s="543" t="s">
        <v>1907</v>
      </c>
      <c r="I104" s="543" t="s">
        <v>1948</v>
      </c>
      <c r="J104" s="543"/>
      <c r="K104" s="205">
        <v>0.5</v>
      </c>
      <c r="L104" s="543"/>
      <c r="M104" s="519"/>
      <c r="N104" s="548"/>
      <c r="O104" s="548"/>
      <c r="P104" s="548"/>
      <c r="Q104" s="548"/>
      <c r="R104" s="519"/>
      <c r="S104" s="548"/>
      <c r="T104" s="241"/>
    </row>
    <row r="105" spans="1:20" ht="15" customHeight="1" x14ac:dyDescent="0.25">
      <c r="A105" s="567"/>
      <c r="B105" s="564"/>
      <c r="C105" s="553"/>
      <c r="D105" s="553"/>
      <c r="E105" s="553"/>
      <c r="F105" s="556"/>
      <c r="G105" s="543" t="s">
        <v>1880</v>
      </c>
      <c r="H105" s="543" t="s">
        <v>1911</v>
      </c>
      <c r="I105" s="543" t="s">
        <v>1949</v>
      </c>
      <c r="J105" s="543"/>
      <c r="K105" s="205">
        <v>0.5</v>
      </c>
      <c r="L105" s="543"/>
      <c r="M105" s="519"/>
      <c r="N105" s="548"/>
      <c r="O105" s="548"/>
      <c r="P105" s="548"/>
      <c r="Q105" s="548"/>
      <c r="R105" s="519"/>
      <c r="S105" s="548"/>
      <c r="T105" s="241"/>
    </row>
    <row r="106" spans="1:20" ht="15" customHeight="1" x14ac:dyDescent="0.25">
      <c r="A106" s="567"/>
      <c r="B106" s="564"/>
      <c r="C106" s="553"/>
      <c r="D106" s="553"/>
      <c r="E106" s="553"/>
      <c r="F106" s="556"/>
      <c r="G106" s="548" t="s">
        <v>1880</v>
      </c>
      <c r="H106" s="548" t="s">
        <v>14811</v>
      </c>
      <c r="I106" s="543" t="s">
        <v>14880</v>
      </c>
      <c r="J106" s="543"/>
      <c r="K106" s="205">
        <v>0.12</v>
      </c>
      <c r="L106" s="543"/>
      <c r="M106" s="519"/>
      <c r="N106" s="548"/>
      <c r="O106" s="548"/>
      <c r="P106" s="548"/>
      <c r="Q106" s="548"/>
      <c r="R106" s="519"/>
      <c r="S106" s="548"/>
      <c r="T106" s="241"/>
    </row>
    <row r="107" spans="1:20" ht="15" customHeight="1" x14ac:dyDescent="0.25">
      <c r="A107" s="567"/>
      <c r="B107" s="564"/>
      <c r="C107" s="553"/>
      <c r="D107" s="553"/>
      <c r="E107" s="553"/>
      <c r="F107" s="556"/>
      <c r="G107" s="1161" t="s">
        <v>18518</v>
      </c>
      <c r="H107" s="1161"/>
      <c r="I107" s="1161"/>
      <c r="J107" s="1161"/>
      <c r="K107" s="1161"/>
      <c r="L107" s="1161"/>
      <c r="M107" s="1161"/>
      <c r="N107" s="269"/>
      <c r="O107" s="269"/>
      <c r="P107" s="269"/>
      <c r="Q107" s="269"/>
      <c r="R107" s="594"/>
      <c r="S107" s="269"/>
      <c r="T107" s="259"/>
    </row>
    <row r="108" spans="1:20" ht="15" customHeight="1" x14ac:dyDescent="0.25">
      <c r="A108" s="567"/>
      <c r="B108" s="564"/>
      <c r="C108" s="553"/>
      <c r="D108" s="553"/>
      <c r="E108" s="553"/>
      <c r="F108" s="556"/>
      <c r="G108" s="269" t="s">
        <v>18476</v>
      </c>
      <c r="H108" s="269" t="s">
        <v>18853</v>
      </c>
      <c r="I108" s="557" t="s">
        <v>18854</v>
      </c>
      <c r="J108" s="230">
        <f>0.045*0.9</f>
        <v>4.0500000000000001E-2</v>
      </c>
      <c r="K108" s="230"/>
      <c r="L108" s="557"/>
      <c r="M108" s="594"/>
      <c r="N108" s="269"/>
      <c r="O108" s="269"/>
      <c r="P108" s="269"/>
      <c r="Q108" s="269"/>
      <c r="R108" s="594"/>
      <c r="S108" s="269"/>
      <c r="T108" s="259"/>
    </row>
    <row r="109" spans="1:20" ht="15" customHeight="1" x14ac:dyDescent="0.25">
      <c r="A109" s="567"/>
      <c r="B109" s="564"/>
      <c r="C109" s="553"/>
      <c r="D109" s="553"/>
      <c r="E109" s="553"/>
      <c r="F109" s="556"/>
      <c r="G109" s="1157" t="s">
        <v>2262</v>
      </c>
      <c r="H109" s="1157"/>
      <c r="I109" s="1157"/>
      <c r="J109" s="994">
        <f>0.344*0.9*0.6</f>
        <v>0.18575999999999998</v>
      </c>
      <c r="K109" s="995"/>
      <c r="L109" s="543"/>
      <c r="M109" s="519"/>
      <c r="N109" s="269"/>
      <c r="O109" s="269"/>
      <c r="P109" s="269"/>
      <c r="Q109" s="269"/>
      <c r="R109" s="594"/>
      <c r="S109" s="269"/>
      <c r="T109" s="259"/>
    </row>
    <row r="110" spans="1:20" ht="15" customHeight="1" thickBot="1" x14ac:dyDescent="0.3">
      <c r="A110" s="242"/>
      <c r="B110" s="243"/>
      <c r="C110" s="244"/>
      <c r="D110" s="244"/>
      <c r="E110" s="244"/>
      <c r="F110" s="245"/>
      <c r="G110" s="1032" t="s">
        <v>1199</v>
      </c>
      <c r="H110" s="1032"/>
      <c r="I110" s="1032"/>
      <c r="J110" s="542"/>
      <c r="K110" s="247">
        <f>SUM(J108:K109)</f>
        <v>0.22625999999999999</v>
      </c>
      <c r="L110" s="542">
        <v>0.92</v>
      </c>
      <c r="M110" s="247">
        <f>K110/L110</f>
        <v>0.24593478260869564</v>
      </c>
      <c r="N110" s="1032" t="s">
        <v>1199</v>
      </c>
      <c r="O110" s="1032"/>
      <c r="P110" s="1032"/>
      <c r="Q110" s="542"/>
      <c r="R110" s="247">
        <f>SUM(R99:R100)</f>
        <v>0</v>
      </c>
      <c r="S110" s="542">
        <v>0.92</v>
      </c>
      <c r="T110" s="249">
        <f>R110/S110</f>
        <v>0</v>
      </c>
    </row>
    <row r="111" spans="1:20" ht="15" customHeight="1" x14ac:dyDescent="0.25">
      <c r="A111" s="1092" t="str">
        <f>Итоговая!C260</f>
        <v xml:space="preserve">ПС 110/35/10 кВ Зубцов </v>
      </c>
      <c r="B111" s="1072">
        <f>Итоговая!D260</f>
        <v>25</v>
      </c>
      <c r="C111" s="1067" t="str">
        <f>Итоговая!E260</f>
        <v>+</v>
      </c>
      <c r="D111" s="1067">
        <f>Итоговая!F260</f>
        <v>25</v>
      </c>
      <c r="E111" s="552"/>
      <c r="F111" s="555"/>
      <c r="G111" s="1162" t="s">
        <v>1288</v>
      </c>
      <c r="H111" s="1162"/>
      <c r="I111" s="1162"/>
      <c r="J111" s="1162"/>
      <c r="K111" s="1162"/>
      <c r="L111" s="1162"/>
      <c r="M111" s="1162"/>
      <c r="N111" s="1162" t="s">
        <v>1324</v>
      </c>
      <c r="O111" s="1162"/>
      <c r="P111" s="1162"/>
      <c r="Q111" s="1162"/>
      <c r="R111" s="1162"/>
      <c r="S111" s="1162"/>
      <c r="T111" s="1167"/>
    </row>
    <row r="112" spans="1:20" ht="15" customHeight="1" x14ac:dyDescent="0.25">
      <c r="A112" s="1093"/>
      <c r="B112" s="1023"/>
      <c r="C112" s="1024"/>
      <c r="D112" s="1024"/>
      <c r="E112" s="553"/>
      <c r="F112" s="556"/>
      <c r="G112" s="543" t="s">
        <v>1375</v>
      </c>
      <c r="H112" s="543" t="s">
        <v>1376</v>
      </c>
      <c r="I112" s="543" t="s">
        <v>1377</v>
      </c>
      <c r="J112" s="543"/>
      <c r="K112" s="205">
        <v>0.45</v>
      </c>
      <c r="L112" s="543"/>
      <c r="M112" s="519"/>
      <c r="N112" s="277" t="s">
        <v>1386</v>
      </c>
      <c r="O112" s="277" t="s">
        <v>1387</v>
      </c>
      <c r="P112" s="277" t="s">
        <v>1652</v>
      </c>
      <c r="Q112" s="277"/>
      <c r="R112" s="279">
        <v>2.4E-2</v>
      </c>
      <c r="S112" s="277"/>
      <c r="T112" s="280"/>
    </row>
    <row r="113" spans="1:20" ht="15" customHeight="1" x14ac:dyDescent="0.25">
      <c r="A113" s="567"/>
      <c r="B113" s="564"/>
      <c r="C113" s="553"/>
      <c r="D113" s="553"/>
      <c r="E113" s="553"/>
      <c r="F113" s="556"/>
      <c r="G113" s="546" t="s">
        <v>1378</v>
      </c>
      <c r="H113" s="543" t="s">
        <v>1379</v>
      </c>
      <c r="I113" s="543" t="s">
        <v>1380</v>
      </c>
      <c r="J113" s="543"/>
      <c r="K113" s="205">
        <v>0.16</v>
      </c>
      <c r="L113" s="543"/>
      <c r="M113" s="519"/>
      <c r="N113" s="343"/>
      <c r="O113" s="543"/>
      <c r="P113" s="543"/>
      <c r="Q113" s="543"/>
      <c r="R113" s="205"/>
      <c r="S113" s="543"/>
      <c r="T113" s="241"/>
    </row>
    <row r="114" spans="1:20" ht="15" customHeight="1" x14ac:dyDescent="0.25">
      <c r="A114" s="567"/>
      <c r="B114" s="564"/>
      <c r="C114" s="553"/>
      <c r="D114" s="553"/>
      <c r="E114" s="553"/>
      <c r="F114" s="556"/>
      <c r="G114" s="546" t="s">
        <v>1381</v>
      </c>
      <c r="H114" s="543" t="s">
        <v>1379</v>
      </c>
      <c r="I114" s="543" t="s">
        <v>1382</v>
      </c>
      <c r="J114" s="543"/>
      <c r="K114" s="205">
        <v>0.24</v>
      </c>
      <c r="L114" s="543"/>
      <c r="M114" s="519"/>
      <c r="N114" s="343"/>
      <c r="O114" s="543"/>
      <c r="P114" s="543"/>
      <c r="Q114" s="543"/>
      <c r="R114" s="205"/>
      <c r="S114" s="543"/>
      <c r="T114" s="241"/>
    </row>
    <row r="115" spans="1:20" ht="15" customHeight="1" x14ac:dyDescent="0.25">
      <c r="A115" s="567"/>
      <c r="B115" s="564"/>
      <c r="C115" s="553"/>
      <c r="D115" s="553"/>
      <c r="E115" s="553"/>
      <c r="F115" s="556"/>
      <c r="G115" s="546" t="s">
        <v>1383</v>
      </c>
      <c r="H115" s="543" t="s">
        <v>1384</v>
      </c>
      <c r="I115" s="543" t="s">
        <v>1385</v>
      </c>
      <c r="J115" s="543"/>
      <c r="K115" s="205">
        <v>0.6</v>
      </c>
      <c r="L115" s="543"/>
      <c r="M115" s="519"/>
      <c r="N115" s="343"/>
      <c r="O115" s="543"/>
      <c r="P115" s="543"/>
      <c r="Q115" s="543"/>
      <c r="R115" s="205"/>
      <c r="S115" s="543"/>
      <c r="T115" s="241"/>
    </row>
    <row r="116" spans="1:20" ht="15" customHeight="1" x14ac:dyDescent="0.25">
      <c r="A116" s="567"/>
      <c r="B116" s="564"/>
      <c r="C116" s="553"/>
      <c r="D116" s="553"/>
      <c r="E116" s="553"/>
      <c r="F116" s="556"/>
      <c r="G116" s="1161" t="s">
        <v>1287</v>
      </c>
      <c r="H116" s="1161"/>
      <c r="I116" s="1161"/>
      <c r="J116" s="1161"/>
      <c r="K116" s="1161"/>
      <c r="L116" s="1161"/>
      <c r="M116" s="1161"/>
      <c r="N116" s="1053"/>
      <c r="O116" s="1053"/>
      <c r="P116" s="1053"/>
      <c r="Q116" s="1053"/>
      <c r="R116" s="1053"/>
      <c r="S116" s="1053"/>
      <c r="T116" s="1075"/>
    </row>
    <row r="117" spans="1:20" ht="15" customHeight="1" x14ac:dyDescent="0.25">
      <c r="A117" s="567"/>
      <c r="B117" s="564"/>
      <c r="C117" s="553"/>
      <c r="D117" s="553"/>
      <c r="E117" s="553"/>
      <c r="F117" s="556"/>
      <c r="G117" s="543" t="s">
        <v>1388</v>
      </c>
      <c r="H117" s="543" t="s">
        <v>938</v>
      </c>
      <c r="I117" s="543" t="s">
        <v>939</v>
      </c>
      <c r="J117" s="543"/>
      <c r="K117" s="205">
        <v>2</v>
      </c>
      <c r="L117" s="548"/>
      <c r="M117" s="519"/>
      <c r="N117" s="548"/>
      <c r="O117" s="548"/>
      <c r="P117" s="548"/>
      <c r="Q117" s="548"/>
      <c r="R117" s="519"/>
      <c r="S117" s="548"/>
      <c r="T117" s="241"/>
    </row>
    <row r="118" spans="1:20" ht="15" customHeight="1" x14ac:dyDescent="0.25">
      <c r="A118" s="567"/>
      <c r="B118" s="564"/>
      <c r="C118" s="553"/>
      <c r="D118" s="553"/>
      <c r="E118" s="553"/>
      <c r="F118" s="556"/>
      <c r="G118" s="543" t="s">
        <v>1389</v>
      </c>
      <c r="H118" s="543" t="s">
        <v>1390</v>
      </c>
      <c r="I118" s="543" t="s">
        <v>1391</v>
      </c>
      <c r="J118" s="543"/>
      <c r="K118" s="205">
        <v>0.15</v>
      </c>
      <c r="L118" s="543"/>
      <c r="M118" s="519"/>
      <c r="N118" s="548"/>
      <c r="O118" s="548"/>
      <c r="P118" s="548"/>
      <c r="Q118" s="548"/>
      <c r="R118" s="519"/>
      <c r="S118" s="548"/>
      <c r="T118" s="241"/>
    </row>
    <row r="119" spans="1:20" ht="15" customHeight="1" x14ac:dyDescent="0.25">
      <c r="A119" s="567"/>
      <c r="B119" s="564"/>
      <c r="C119" s="553"/>
      <c r="D119" s="553"/>
      <c r="E119" s="553"/>
      <c r="F119" s="556"/>
      <c r="G119" s="1161" t="s">
        <v>1286</v>
      </c>
      <c r="H119" s="1161"/>
      <c r="I119" s="1161"/>
      <c r="J119" s="1161"/>
      <c r="K119" s="1161"/>
      <c r="L119" s="1161"/>
      <c r="M119" s="1161"/>
      <c r="N119" s="1053"/>
      <c r="O119" s="1053"/>
      <c r="P119" s="1053"/>
      <c r="Q119" s="1053"/>
      <c r="R119" s="1053"/>
      <c r="S119" s="1053"/>
      <c r="T119" s="1075"/>
    </row>
    <row r="120" spans="1:20" ht="15" customHeight="1" x14ac:dyDescent="0.25">
      <c r="A120" s="567"/>
      <c r="B120" s="564"/>
      <c r="C120" s="553"/>
      <c r="D120" s="553"/>
      <c r="E120" s="553"/>
      <c r="F120" s="556"/>
      <c r="G120" s="543" t="s">
        <v>1392</v>
      </c>
      <c r="H120" s="543" t="s">
        <v>545</v>
      </c>
      <c r="I120" s="543" t="s">
        <v>546</v>
      </c>
      <c r="J120" s="543"/>
      <c r="K120" s="205">
        <v>0.5</v>
      </c>
      <c r="L120" s="543"/>
      <c r="M120" s="519"/>
      <c r="N120" s="548"/>
      <c r="O120" s="548"/>
      <c r="P120" s="548"/>
      <c r="Q120" s="548"/>
      <c r="R120" s="519"/>
      <c r="S120" s="548"/>
      <c r="T120" s="241"/>
    </row>
    <row r="121" spans="1:20" ht="15" customHeight="1" x14ac:dyDescent="0.25">
      <c r="A121" s="567"/>
      <c r="B121" s="564"/>
      <c r="C121" s="553"/>
      <c r="D121" s="553"/>
      <c r="E121" s="553"/>
      <c r="F121" s="556"/>
      <c r="G121" s="1161" t="s">
        <v>1324</v>
      </c>
      <c r="H121" s="1161"/>
      <c r="I121" s="1161"/>
      <c r="J121" s="1161"/>
      <c r="K121" s="1161"/>
      <c r="L121" s="1161"/>
      <c r="M121" s="1161"/>
      <c r="N121" s="548"/>
      <c r="O121" s="548"/>
      <c r="P121" s="548"/>
      <c r="Q121" s="548"/>
      <c r="R121" s="519"/>
      <c r="S121" s="548"/>
      <c r="T121" s="241"/>
    </row>
    <row r="122" spans="1:20" ht="15" customHeight="1" x14ac:dyDescent="0.25">
      <c r="A122" s="567"/>
      <c r="B122" s="564"/>
      <c r="C122" s="553"/>
      <c r="D122" s="553"/>
      <c r="E122" s="553"/>
      <c r="F122" s="556"/>
      <c r="G122" s="590" t="s">
        <v>1557</v>
      </c>
      <c r="H122" s="590" t="s">
        <v>1586</v>
      </c>
      <c r="I122" s="596" t="s">
        <v>1585</v>
      </c>
      <c r="J122" s="596"/>
      <c r="K122" s="205">
        <v>8.6999999999999994E-2</v>
      </c>
      <c r="L122" s="543"/>
      <c r="M122" s="519"/>
      <c r="N122" s="590"/>
      <c r="O122" s="590"/>
      <c r="P122" s="590"/>
      <c r="Q122" s="590"/>
      <c r="R122" s="519"/>
      <c r="S122" s="548"/>
      <c r="T122" s="241"/>
    </row>
    <row r="123" spans="1:20" ht="15" customHeight="1" x14ac:dyDescent="0.25">
      <c r="A123" s="567"/>
      <c r="B123" s="564"/>
      <c r="C123" s="553"/>
      <c r="D123" s="553"/>
      <c r="E123" s="553"/>
      <c r="F123" s="556"/>
      <c r="G123" s="590" t="s">
        <v>1557</v>
      </c>
      <c r="H123" s="590" t="s">
        <v>1587</v>
      </c>
      <c r="I123" s="596" t="s">
        <v>1588</v>
      </c>
      <c r="J123" s="596"/>
      <c r="K123" s="205">
        <v>8.6999999999999994E-2</v>
      </c>
      <c r="L123" s="543"/>
      <c r="M123" s="519"/>
      <c r="N123" s="590"/>
      <c r="O123" s="590"/>
      <c r="P123" s="590"/>
      <c r="Q123" s="590"/>
      <c r="R123" s="519"/>
      <c r="S123" s="548"/>
      <c r="T123" s="241"/>
    </row>
    <row r="124" spans="1:20" ht="15" customHeight="1" x14ac:dyDescent="0.25">
      <c r="A124" s="567"/>
      <c r="B124" s="564"/>
      <c r="C124" s="553"/>
      <c r="D124" s="553"/>
      <c r="E124" s="553"/>
      <c r="F124" s="556"/>
      <c r="G124" s="1161" t="s">
        <v>1645</v>
      </c>
      <c r="H124" s="1161"/>
      <c r="I124" s="1161"/>
      <c r="J124" s="1161"/>
      <c r="K124" s="1161"/>
      <c r="L124" s="1161"/>
      <c r="M124" s="1161"/>
      <c r="N124" s="590"/>
      <c r="O124" s="590"/>
      <c r="P124" s="590"/>
      <c r="Q124" s="590"/>
      <c r="R124" s="519"/>
      <c r="S124" s="548"/>
      <c r="T124" s="241"/>
    </row>
    <row r="125" spans="1:20" ht="15" customHeight="1" x14ac:dyDescent="0.25">
      <c r="A125" s="567"/>
      <c r="B125" s="564"/>
      <c r="C125" s="553"/>
      <c r="D125" s="553"/>
      <c r="E125" s="553"/>
      <c r="F125" s="556"/>
      <c r="G125" s="543" t="s">
        <v>1785</v>
      </c>
      <c r="H125" s="543" t="s">
        <v>1786</v>
      </c>
      <c r="I125" s="596" t="s">
        <v>1802</v>
      </c>
      <c r="J125" s="596"/>
      <c r="K125" s="205">
        <v>0.06</v>
      </c>
      <c r="L125" s="543"/>
      <c r="M125" s="519"/>
      <c r="N125" s="590"/>
      <c r="O125" s="590"/>
      <c r="P125" s="590"/>
      <c r="Q125" s="590"/>
      <c r="R125" s="519"/>
      <c r="S125" s="548"/>
      <c r="T125" s="241"/>
    </row>
    <row r="126" spans="1:20" ht="15" customHeight="1" x14ac:dyDescent="0.25">
      <c r="A126" s="567"/>
      <c r="B126" s="564"/>
      <c r="C126" s="553"/>
      <c r="D126" s="553"/>
      <c r="E126" s="553"/>
      <c r="F126" s="556"/>
      <c r="G126" s="1161" t="s">
        <v>2290</v>
      </c>
      <c r="H126" s="1161"/>
      <c r="I126" s="1161"/>
      <c r="J126" s="1161"/>
      <c r="K126" s="1161"/>
      <c r="L126" s="1161"/>
      <c r="M126" s="1161"/>
      <c r="N126" s="590"/>
      <c r="O126" s="590"/>
      <c r="P126" s="590"/>
      <c r="Q126" s="590"/>
      <c r="R126" s="519"/>
      <c r="S126" s="548"/>
      <c r="T126" s="241"/>
    </row>
    <row r="127" spans="1:20" ht="15" customHeight="1" x14ac:dyDescent="0.25">
      <c r="A127" s="567"/>
      <c r="B127" s="564"/>
      <c r="C127" s="553"/>
      <c r="D127" s="553"/>
      <c r="E127" s="553"/>
      <c r="F127" s="556"/>
      <c r="G127" s="543" t="s">
        <v>14792</v>
      </c>
      <c r="H127" s="543" t="s">
        <v>14793</v>
      </c>
      <c r="I127" s="548" t="s">
        <v>14851</v>
      </c>
      <c r="J127" s="548"/>
      <c r="K127" s="205">
        <f>0.151*0.9</f>
        <v>0.13589999999999999</v>
      </c>
      <c r="L127" s="548"/>
      <c r="M127" s="519"/>
      <c r="N127" s="590"/>
      <c r="O127" s="590"/>
      <c r="P127" s="590"/>
      <c r="Q127" s="590"/>
      <c r="R127" s="519"/>
      <c r="S127" s="548"/>
      <c r="T127" s="241"/>
    </row>
    <row r="128" spans="1:20" ht="15" customHeight="1" x14ac:dyDescent="0.25">
      <c r="A128" s="567"/>
      <c r="B128" s="564"/>
      <c r="C128" s="553"/>
      <c r="D128" s="553"/>
      <c r="E128" s="553"/>
      <c r="F128" s="556"/>
      <c r="G128" s="543" t="s">
        <v>14958</v>
      </c>
      <c r="H128" s="543" t="s">
        <v>14959</v>
      </c>
      <c r="I128" s="548" t="s">
        <v>14960</v>
      </c>
      <c r="J128" s="548"/>
      <c r="K128" s="205">
        <f>0.03*0.15</f>
        <v>4.4999999999999997E-3</v>
      </c>
      <c r="L128" s="548"/>
      <c r="M128" s="519"/>
      <c r="N128" s="590"/>
      <c r="O128" s="590"/>
      <c r="P128" s="590"/>
      <c r="Q128" s="590"/>
      <c r="R128" s="519"/>
      <c r="S128" s="548"/>
      <c r="T128" s="241"/>
    </row>
    <row r="129" spans="1:20" ht="15" customHeight="1" x14ac:dyDescent="0.25">
      <c r="A129" s="567"/>
      <c r="B129" s="564"/>
      <c r="C129" s="553"/>
      <c r="D129" s="553"/>
      <c r="E129" s="553"/>
      <c r="F129" s="556"/>
      <c r="G129" s="1161" t="s">
        <v>14933</v>
      </c>
      <c r="H129" s="1161"/>
      <c r="I129" s="1161"/>
      <c r="J129" s="1161"/>
      <c r="K129" s="1161"/>
      <c r="L129" s="1161"/>
      <c r="M129" s="1161"/>
      <c r="N129" s="590"/>
      <c r="O129" s="590"/>
      <c r="P129" s="590"/>
      <c r="Q129" s="590"/>
      <c r="R129" s="519"/>
      <c r="S129" s="548"/>
      <c r="T129" s="241"/>
    </row>
    <row r="130" spans="1:20" ht="15" customHeight="1" x14ac:dyDescent="0.25">
      <c r="A130" s="567"/>
      <c r="B130" s="564"/>
      <c r="C130" s="553"/>
      <c r="D130" s="553"/>
      <c r="E130" s="553"/>
      <c r="F130" s="556"/>
      <c r="G130" s="543" t="s">
        <v>1785</v>
      </c>
      <c r="H130" s="543" t="s">
        <v>17369</v>
      </c>
      <c r="I130" s="548" t="s">
        <v>17370</v>
      </c>
      <c r="J130" s="548"/>
      <c r="K130" s="205">
        <f>0.06*0.75</f>
        <v>4.4999999999999998E-2</v>
      </c>
      <c r="L130" s="548"/>
      <c r="M130" s="519"/>
      <c r="N130" s="590"/>
      <c r="O130" s="590"/>
      <c r="P130" s="590"/>
      <c r="Q130" s="590"/>
      <c r="R130" s="519"/>
      <c r="S130" s="548"/>
      <c r="T130" s="241"/>
    </row>
    <row r="131" spans="1:20" ht="15" customHeight="1" x14ac:dyDescent="0.25">
      <c r="A131" s="567"/>
      <c r="B131" s="564"/>
      <c r="C131" s="553"/>
      <c r="D131" s="553"/>
      <c r="E131" s="553"/>
      <c r="F131" s="556"/>
      <c r="G131" s="1157" t="s">
        <v>2262</v>
      </c>
      <c r="H131" s="1157"/>
      <c r="I131" s="1157"/>
      <c r="J131" s="994">
        <f>0.665*0.9</f>
        <v>0.59850000000000003</v>
      </c>
      <c r="K131" s="995"/>
      <c r="L131" s="548"/>
      <c r="M131" s="519"/>
      <c r="N131" s="590"/>
      <c r="O131" s="590"/>
      <c r="P131" s="590"/>
      <c r="Q131" s="590"/>
      <c r="R131" s="519"/>
      <c r="S131" s="548"/>
      <c r="T131" s="241"/>
    </row>
    <row r="132" spans="1:20" ht="15" customHeight="1" x14ac:dyDescent="0.25">
      <c r="A132" s="567"/>
      <c r="B132" s="564"/>
      <c r="C132" s="553"/>
      <c r="D132" s="553"/>
      <c r="E132" s="553"/>
      <c r="F132" s="556"/>
      <c r="G132" s="548" t="s">
        <v>17523</v>
      </c>
      <c r="H132" s="548" t="s">
        <v>17524</v>
      </c>
      <c r="I132" s="548" t="s">
        <v>17525</v>
      </c>
      <c r="J132" s="548"/>
      <c r="K132" s="519">
        <f>0.08*0.75</f>
        <v>0.06</v>
      </c>
      <c r="L132" s="548"/>
      <c r="M132" s="519"/>
      <c r="N132" s="590"/>
      <c r="O132" s="590"/>
      <c r="P132" s="590"/>
      <c r="Q132" s="590"/>
      <c r="R132" s="519"/>
      <c r="S132" s="548"/>
      <c r="T132" s="241"/>
    </row>
    <row r="133" spans="1:20" ht="15" customHeight="1" x14ac:dyDescent="0.25">
      <c r="A133" s="567"/>
      <c r="B133" s="564"/>
      <c r="C133" s="553"/>
      <c r="D133" s="553"/>
      <c r="E133" s="553"/>
      <c r="F133" s="556"/>
      <c r="G133" s="548" t="s">
        <v>17537</v>
      </c>
      <c r="H133" s="548" t="s">
        <v>17538</v>
      </c>
      <c r="I133" s="548" t="s">
        <v>17539</v>
      </c>
      <c r="J133" s="548"/>
      <c r="K133" s="519">
        <f>0.25*0.15</f>
        <v>3.7499999999999999E-2</v>
      </c>
      <c r="L133" s="548"/>
      <c r="M133" s="519"/>
      <c r="N133" s="590"/>
      <c r="O133" s="590"/>
      <c r="P133" s="590"/>
      <c r="Q133" s="590"/>
      <c r="R133" s="519"/>
      <c r="S133" s="548"/>
      <c r="T133" s="241"/>
    </row>
    <row r="134" spans="1:20" ht="15" customHeight="1" x14ac:dyDescent="0.25">
      <c r="A134" s="567"/>
      <c r="B134" s="564"/>
      <c r="C134" s="553"/>
      <c r="D134" s="553"/>
      <c r="E134" s="553"/>
      <c r="F134" s="556"/>
      <c r="G134" s="548" t="s">
        <v>17637</v>
      </c>
      <c r="H134" s="548" t="s">
        <v>17638</v>
      </c>
      <c r="I134" s="548" t="s">
        <v>17639</v>
      </c>
      <c r="J134" s="548"/>
      <c r="K134" s="519">
        <f>(0.463-0.303)*0.9</f>
        <v>0.14400000000000004</v>
      </c>
      <c r="L134" s="548"/>
      <c r="M134" s="519"/>
      <c r="N134" s="590"/>
      <c r="O134" s="590"/>
      <c r="P134" s="590"/>
      <c r="Q134" s="590"/>
      <c r="R134" s="519"/>
      <c r="S134" s="548"/>
      <c r="T134" s="241"/>
    </row>
    <row r="135" spans="1:20" ht="15" customHeight="1" x14ac:dyDescent="0.25">
      <c r="A135" s="567"/>
      <c r="B135" s="564"/>
      <c r="C135" s="553"/>
      <c r="D135" s="553"/>
      <c r="E135" s="553"/>
      <c r="F135" s="556"/>
      <c r="G135" s="548" t="s">
        <v>18512</v>
      </c>
      <c r="H135" s="548" t="s">
        <v>18513</v>
      </c>
      <c r="I135" s="548" t="s">
        <v>18514</v>
      </c>
      <c r="J135" s="548"/>
      <c r="K135" s="519">
        <f>(0.03-0.003)*0.9</f>
        <v>2.4299999999999999E-2</v>
      </c>
      <c r="L135" s="548"/>
      <c r="M135" s="519"/>
      <c r="N135" s="590"/>
      <c r="O135" s="590"/>
      <c r="P135" s="590"/>
      <c r="Q135" s="590"/>
      <c r="R135" s="519"/>
      <c r="S135" s="548"/>
      <c r="T135" s="241"/>
    </row>
    <row r="136" spans="1:20" ht="15" customHeight="1" x14ac:dyDescent="0.25">
      <c r="A136" s="567"/>
      <c r="B136" s="564"/>
      <c r="C136" s="553"/>
      <c r="D136" s="553"/>
      <c r="E136" s="553"/>
      <c r="F136" s="556"/>
      <c r="G136" s="1161" t="s">
        <v>18518</v>
      </c>
      <c r="H136" s="1161"/>
      <c r="I136" s="1161"/>
      <c r="J136" s="1161"/>
      <c r="K136" s="1161"/>
      <c r="L136" s="1161"/>
      <c r="M136" s="1161"/>
      <c r="N136" s="290"/>
      <c r="O136" s="290"/>
      <c r="P136" s="290"/>
      <c r="Q136" s="290"/>
      <c r="R136" s="594"/>
      <c r="S136" s="269"/>
      <c r="T136" s="259"/>
    </row>
    <row r="137" spans="1:20" ht="15" customHeight="1" x14ac:dyDescent="0.25">
      <c r="A137" s="567"/>
      <c r="B137" s="564"/>
      <c r="C137" s="553"/>
      <c r="D137" s="553"/>
      <c r="E137" s="553"/>
      <c r="F137" s="556"/>
      <c r="G137" s="269" t="s">
        <v>19655</v>
      </c>
      <c r="H137" s="269" t="s">
        <v>19656</v>
      </c>
      <c r="I137" s="269" t="s">
        <v>19657</v>
      </c>
      <c r="J137" s="269">
        <f>0.773*0.9</f>
        <v>0.69569999999999999</v>
      </c>
      <c r="K137" s="594"/>
      <c r="L137" s="269"/>
      <c r="M137" s="594"/>
      <c r="N137" s="290"/>
      <c r="O137" s="290"/>
      <c r="P137" s="290"/>
      <c r="Q137" s="290"/>
      <c r="R137" s="594"/>
      <c r="S137" s="269"/>
      <c r="T137" s="259"/>
    </row>
    <row r="138" spans="1:20" ht="15" customHeight="1" x14ac:dyDescent="0.25">
      <c r="A138" s="567"/>
      <c r="B138" s="564"/>
      <c r="C138" s="553"/>
      <c r="D138" s="553"/>
      <c r="E138" s="553"/>
      <c r="F138" s="556"/>
      <c r="G138" s="269" t="s">
        <v>18875</v>
      </c>
      <c r="H138" s="269" t="s">
        <v>19658</v>
      </c>
      <c r="I138" s="269" t="s">
        <v>19659</v>
      </c>
      <c r="J138" s="269"/>
      <c r="K138" s="594">
        <f>0.1*0.75</f>
        <v>7.5000000000000011E-2</v>
      </c>
      <c r="L138" s="269"/>
      <c r="M138" s="594"/>
      <c r="N138" s="290"/>
      <c r="O138" s="290"/>
      <c r="P138" s="290"/>
      <c r="Q138" s="290"/>
      <c r="R138" s="594"/>
      <c r="S138" s="269"/>
      <c r="T138" s="259"/>
    </row>
    <row r="139" spans="1:20" ht="15" customHeight="1" x14ac:dyDescent="0.25">
      <c r="A139" s="567"/>
      <c r="B139" s="564"/>
      <c r="C139" s="553"/>
      <c r="D139" s="553"/>
      <c r="E139" s="553"/>
      <c r="F139" s="556"/>
      <c r="G139" s="266" t="s">
        <v>18887</v>
      </c>
      <c r="H139" s="266" t="s">
        <v>18888</v>
      </c>
      <c r="I139" s="266" t="s">
        <v>19660</v>
      </c>
      <c r="J139" s="266"/>
      <c r="K139" s="266">
        <f>0.03*0.9</f>
        <v>2.7E-2</v>
      </c>
      <c r="L139" s="269"/>
      <c r="M139" s="594"/>
      <c r="N139" s="290"/>
      <c r="O139" s="290"/>
      <c r="P139" s="290"/>
      <c r="Q139" s="290"/>
      <c r="R139" s="594"/>
      <c r="S139" s="269"/>
      <c r="T139" s="259"/>
    </row>
    <row r="140" spans="1:20" ht="15" customHeight="1" x14ac:dyDescent="0.25">
      <c r="A140" s="567"/>
      <c r="B140" s="564"/>
      <c r="C140" s="553"/>
      <c r="D140" s="553"/>
      <c r="E140" s="553"/>
      <c r="F140" s="556"/>
      <c r="G140" s="266" t="s">
        <v>18961</v>
      </c>
      <c r="H140" s="266" t="s">
        <v>18962</v>
      </c>
      <c r="I140" s="266" t="s">
        <v>19661</v>
      </c>
      <c r="J140" s="266"/>
      <c r="K140" s="266">
        <f>0.055*0.9</f>
        <v>4.9500000000000002E-2</v>
      </c>
      <c r="L140" s="269"/>
      <c r="M140" s="594"/>
      <c r="N140" s="290"/>
      <c r="O140" s="290"/>
      <c r="P140" s="290"/>
      <c r="Q140" s="290"/>
      <c r="R140" s="594"/>
      <c r="S140" s="269"/>
      <c r="T140" s="259"/>
    </row>
    <row r="141" spans="1:20" ht="15" customHeight="1" x14ac:dyDescent="0.25">
      <c r="A141" s="567"/>
      <c r="B141" s="564"/>
      <c r="C141" s="553"/>
      <c r="D141" s="553"/>
      <c r="E141" s="553"/>
      <c r="F141" s="556"/>
      <c r="G141" s="266" t="s">
        <v>19662</v>
      </c>
      <c r="H141" s="266" t="s">
        <v>19663</v>
      </c>
      <c r="I141" s="266" t="s">
        <v>19664</v>
      </c>
      <c r="J141" s="266"/>
      <c r="K141" s="266">
        <f>0.17*0.75</f>
        <v>0.1275</v>
      </c>
      <c r="L141" s="269"/>
      <c r="M141" s="594"/>
      <c r="N141" s="290"/>
      <c r="O141" s="290"/>
      <c r="P141" s="290"/>
      <c r="Q141" s="290"/>
      <c r="R141" s="594"/>
      <c r="S141" s="269"/>
      <c r="T141" s="259"/>
    </row>
    <row r="142" spans="1:20" ht="15" customHeight="1" x14ac:dyDescent="0.25">
      <c r="A142" s="567"/>
      <c r="B142" s="564"/>
      <c r="C142" s="553"/>
      <c r="D142" s="553"/>
      <c r="E142" s="553"/>
      <c r="F142" s="556"/>
      <c r="G142" s="1157" t="s">
        <v>2262</v>
      </c>
      <c r="H142" s="1157"/>
      <c r="I142" s="1157"/>
      <c r="J142" s="994">
        <f>1.007*0.9*0.6</f>
        <v>0.54377999999999993</v>
      </c>
      <c r="K142" s="995"/>
      <c r="L142" s="548"/>
      <c r="M142" s="519"/>
      <c r="N142" s="290"/>
      <c r="O142" s="290"/>
      <c r="P142" s="290"/>
      <c r="Q142" s="290"/>
      <c r="R142" s="594"/>
      <c r="S142" s="269"/>
      <c r="T142" s="259"/>
    </row>
    <row r="143" spans="1:20" ht="15" customHeight="1" x14ac:dyDescent="0.25">
      <c r="A143" s="776"/>
      <c r="B143" s="771"/>
      <c r="C143" s="772"/>
      <c r="D143" s="772"/>
      <c r="E143" s="772"/>
      <c r="F143" s="773"/>
      <c r="G143" s="1161" t="s">
        <v>18518</v>
      </c>
      <c r="H143" s="1161"/>
      <c r="I143" s="1161"/>
      <c r="J143" s="1161"/>
      <c r="K143" s="1161"/>
      <c r="L143" s="1161"/>
      <c r="M143" s="1161"/>
      <c r="N143" s="290"/>
      <c r="O143" s="290"/>
      <c r="P143" s="290"/>
      <c r="Q143" s="290"/>
      <c r="R143" s="774"/>
      <c r="S143" s="775"/>
      <c r="T143" s="259"/>
    </row>
    <row r="144" spans="1:20" ht="15" customHeight="1" x14ac:dyDescent="0.25">
      <c r="A144" s="776"/>
      <c r="B144" s="771"/>
      <c r="C144" s="772"/>
      <c r="D144" s="772"/>
      <c r="E144" s="772"/>
      <c r="F144" s="773"/>
      <c r="G144" s="770" t="s">
        <v>19761</v>
      </c>
      <c r="H144" s="770" t="s">
        <v>19762</v>
      </c>
      <c r="I144" s="770" t="s">
        <v>19763</v>
      </c>
      <c r="J144" s="519">
        <f>0.145*0.9</f>
        <v>0.1305</v>
      </c>
      <c r="K144" s="519"/>
      <c r="L144" s="775"/>
      <c r="M144" s="774"/>
      <c r="N144" s="290"/>
      <c r="O144" s="290"/>
      <c r="P144" s="290"/>
      <c r="Q144" s="290"/>
      <c r="R144" s="774"/>
      <c r="S144" s="775"/>
      <c r="T144" s="259"/>
    </row>
    <row r="145" spans="1:20" ht="15" customHeight="1" thickBot="1" x14ac:dyDescent="0.3">
      <c r="A145" s="242"/>
      <c r="B145" s="243"/>
      <c r="C145" s="244"/>
      <c r="D145" s="244"/>
      <c r="E145" s="244"/>
      <c r="F145" s="245"/>
      <c r="G145" s="1032" t="s">
        <v>1199</v>
      </c>
      <c r="H145" s="1032"/>
      <c r="I145" s="1032"/>
      <c r="J145" s="542"/>
      <c r="K145" s="247">
        <f>SUM(J130:K144)</f>
        <v>2.5582799999999999</v>
      </c>
      <c r="L145" s="542">
        <v>0.93</v>
      </c>
      <c r="M145" s="247">
        <f>K145/L145</f>
        <v>2.7508387096774189</v>
      </c>
      <c r="N145" s="1032" t="s">
        <v>1199</v>
      </c>
      <c r="O145" s="1032"/>
      <c r="P145" s="1032"/>
      <c r="Q145" s="542"/>
      <c r="R145" s="247">
        <f>SUM(R112)</f>
        <v>2.4E-2</v>
      </c>
      <c r="S145" s="542">
        <v>0.92</v>
      </c>
      <c r="T145" s="249">
        <f>R145/S145</f>
        <v>2.6086956521739129E-2</v>
      </c>
    </row>
    <row r="146" spans="1:20" ht="15" customHeight="1" x14ac:dyDescent="0.25">
      <c r="A146" s="1092" t="str">
        <f>Итоговая!C263</f>
        <v xml:space="preserve">ПС 35/10 кВ П.Городище </v>
      </c>
      <c r="B146" s="1072">
        <f>Итоговая!D263</f>
        <v>5.6</v>
      </c>
      <c r="C146" s="1067" t="str">
        <f>Итоговая!E263</f>
        <v>+</v>
      </c>
      <c r="D146" s="1067">
        <f>Итоговая!F263</f>
        <v>5.6</v>
      </c>
      <c r="E146" s="552"/>
      <c r="F146" s="555"/>
      <c r="G146" s="1162" t="s">
        <v>1286</v>
      </c>
      <c r="H146" s="1162"/>
      <c r="I146" s="1162"/>
      <c r="J146" s="1162"/>
      <c r="K146" s="1162"/>
      <c r="L146" s="1162"/>
      <c r="M146" s="1162"/>
      <c r="N146" s="1162" t="s">
        <v>14933</v>
      </c>
      <c r="O146" s="1162"/>
      <c r="P146" s="1162"/>
      <c r="Q146" s="1162"/>
      <c r="R146" s="1162"/>
      <c r="S146" s="1162"/>
      <c r="T146" s="1167"/>
    </row>
    <row r="147" spans="1:20" ht="15" customHeight="1" x14ac:dyDescent="0.25">
      <c r="A147" s="1093"/>
      <c r="B147" s="1023"/>
      <c r="C147" s="1024"/>
      <c r="D147" s="1024"/>
      <c r="E147" s="553"/>
      <c r="F147" s="556"/>
      <c r="G147" s="543" t="s">
        <v>547</v>
      </c>
      <c r="H147" s="543" t="s">
        <v>548</v>
      </c>
      <c r="I147" s="543" t="s">
        <v>549</v>
      </c>
      <c r="J147" s="543"/>
      <c r="K147" s="205">
        <v>0.05</v>
      </c>
      <c r="L147" s="543"/>
      <c r="M147" s="519"/>
      <c r="N147" s="543" t="s">
        <v>17381</v>
      </c>
      <c r="O147" s="543" t="s">
        <v>17382</v>
      </c>
      <c r="P147" s="543" t="s">
        <v>18173</v>
      </c>
      <c r="Q147" s="543"/>
      <c r="R147" s="205">
        <f>(0.05-0.015)*0.9</f>
        <v>3.1500000000000007E-2</v>
      </c>
      <c r="S147" s="548"/>
      <c r="T147" s="241"/>
    </row>
    <row r="148" spans="1:20" ht="15" customHeight="1" x14ac:dyDescent="0.25">
      <c r="A148" s="562"/>
      <c r="B148" s="564"/>
      <c r="C148" s="553"/>
      <c r="D148" s="553"/>
      <c r="E148" s="553"/>
      <c r="F148" s="556"/>
      <c r="G148" s="1161" t="s">
        <v>1324</v>
      </c>
      <c r="H148" s="1161"/>
      <c r="I148" s="1161"/>
      <c r="J148" s="1161"/>
      <c r="K148" s="1161"/>
      <c r="L148" s="1161"/>
      <c r="M148" s="1161"/>
      <c r="N148" s="1053"/>
      <c r="O148" s="1053"/>
      <c r="P148" s="1053"/>
      <c r="Q148" s="1053"/>
      <c r="R148" s="1053"/>
      <c r="S148" s="1053"/>
      <c r="T148" s="1075"/>
    </row>
    <row r="149" spans="1:20" ht="15" customHeight="1" x14ac:dyDescent="0.25">
      <c r="A149" s="562"/>
      <c r="B149" s="564"/>
      <c r="C149" s="553"/>
      <c r="D149" s="553"/>
      <c r="E149" s="553"/>
      <c r="F149" s="556"/>
      <c r="G149" s="543" t="s">
        <v>1322</v>
      </c>
      <c r="H149" s="543" t="s">
        <v>1323</v>
      </c>
      <c r="I149" s="543" t="s">
        <v>1467</v>
      </c>
      <c r="J149" s="543"/>
      <c r="K149" s="205">
        <v>0.05</v>
      </c>
      <c r="L149" s="543"/>
      <c r="M149" s="519"/>
      <c r="N149" s="548"/>
      <c r="O149" s="548"/>
      <c r="P149" s="548"/>
      <c r="Q149" s="548"/>
      <c r="R149" s="519"/>
      <c r="S149" s="548"/>
      <c r="T149" s="241"/>
    </row>
    <row r="150" spans="1:20" ht="15" customHeight="1" x14ac:dyDescent="0.25">
      <c r="A150" s="562"/>
      <c r="B150" s="564"/>
      <c r="C150" s="553"/>
      <c r="D150" s="553"/>
      <c r="E150" s="553"/>
      <c r="F150" s="556"/>
      <c r="G150" s="543" t="s">
        <v>1604</v>
      </c>
      <c r="H150" s="543" t="s">
        <v>1605</v>
      </c>
      <c r="I150" s="543" t="s">
        <v>1626</v>
      </c>
      <c r="J150" s="543"/>
      <c r="K150" s="205">
        <v>0.2</v>
      </c>
      <c r="L150" s="543"/>
      <c r="M150" s="519"/>
      <c r="N150" s="548"/>
      <c r="O150" s="548"/>
      <c r="P150" s="548"/>
      <c r="Q150" s="548"/>
      <c r="R150" s="519"/>
      <c r="S150" s="548"/>
      <c r="T150" s="241"/>
    </row>
    <row r="151" spans="1:20" ht="15" customHeight="1" x14ac:dyDescent="0.25">
      <c r="A151" s="562"/>
      <c r="B151" s="564"/>
      <c r="C151" s="553"/>
      <c r="D151" s="553"/>
      <c r="E151" s="553"/>
      <c r="F151" s="556"/>
      <c r="G151" s="1161" t="s">
        <v>2011</v>
      </c>
      <c r="H151" s="1161"/>
      <c r="I151" s="1161"/>
      <c r="J151" s="1161"/>
      <c r="K151" s="1161"/>
      <c r="L151" s="1161"/>
      <c r="M151" s="1161"/>
      <c r="N151" s="548"/>
      <c r="O151" s="548"/>
      <c r="P151" s="548"/>
      <c r="Q151" s="548"/>
      <c r="R151" s="519"/>
      <c r="S151" s="548"/>
      <c r="T151" s="241"/>
    </row>
    <row r="152" spans="1:20" ht="15" customHeight="1" x14ac:dyDescent="0.25">
      <c r="A152" s="562"/>
      <c r="B152" s="564"/>
      <c r="C152" s="553"/>
      <c r="D152" s="553"/>
      <c r="E152" s="553"/>
      <c r="F152" s="556"/>
      <c r="G152" s="543" t="s">
        <v>1679</v>
      </c>
      <c r="H152" s="543" t="s">
        <v>1712</v>
      </c>
      <c r="I152" s="543" t="s">
        <v>2053</v>
      </c>
      <c r="J152" s="543"/>
      <c r="K152" s="205">
        <f>0.021-0.0124</f>
        <v>8.6000000000000017E-3</v>
      </c>
      <c r="L152" s="543"/>
      <c r="M152" s="519"/>
      <c r="N152" s="548"/>
      <c r="O152" s="548"/>
      <c r="P152" s="548"/>
      <c r="Q152" s="548"/>
      <c r="R152" s="519"/>
      <c r="S152" s="548"/>
      <c r="T152" s="241"/>
    </row>
    <row r="153" spans="1:20" ht="15" customHeight="1" x14ac:dyDescent="0.25">
      <c r="A153" s="562"/>
      <c r="B153" s="564"/>
      <c r="C153" s="553"/>
      <c r="D153" s="553"/>
      <c r="E153" s="553"/>
      <c r="F153" s="556"/>
      <c r="G153" s="543" t="s">
        <v>2161</v>
      </c>
      <c r="H153" s="543" t="s">
        <v>2162</v>
      </c>
      <c r="I153" s="543" t="s">
        <v>2166</v>
      </c>
      <c r="J153" s="543"/>
      <c r="K153" s="205">
        <f>0.022*0.9</f>
        <v>1.9799999999999998E-2</v>
      </c>
      <c r="L153" s="543"/>
      <c r="M153" s="519"/>
      <c r="N153" s="548"/>
      <c r="O153" s="548"/>
      <c r="P153" s="548"/>
      <c r="Q153" s="548"/>
      <c r="R153" s="519"/>
      <c r="S153" s="548"/>
      <c r="T153" s="241"/>
    </row>
    <row r="154" spans="1:20" ht="15" customHeight="1" x14ac:dyDescent="0.25">
      <c r="A154" s="562"/>
      <c r="B154" s="564"/>
      <c r="C154" s="553"/>
      <c r="D154" s="553"/>
      <c r="E154" s="553"/>
      <c r="F154" s="556"/>
      <c r="G154" s="1053"/>
      <c r="H154" s="1053"/>
      <c r="I154" s="1053"/>
      <c r="J154" s="548"/>
      <c r="K154" s="519"/>
      <c r="L154" s="548"/>
      <c r="M154" s="519"/>
      <c r="N154" s="548"/>
      <c r="O154" s="548"/>
      <c r="P154" s="548"/>
      <c r="Q154" s="548"/>
      <c r="R154" s="519"/>
      <c r="S154" s="548"/>
      <c r="T154" s="241"/>
    </row>
    <row r="155" spans="1:20" ht="15" customHeight="1" x14ac:dyDescent="0.25">
      <c r="A155" s="562"/>
      <c r="B155" s="564"/>
      <c r="C155" s="553"/>
      <c r="D155" s="553"/>
      <c r="E155" s="553"/>
      <c r="F155" s="556"/>
      <c r="G155" s="1161" t="s">
        <v>2290</v>
      </c>
      <c r="H155" s="1161"/>
      <c r="I155" s="1161"/>
      <c r="J155" s="1161"/>
      <c r="K155" s="1161"/>
      <c r="L155" s="1161"/>
      <c r="M155" s="1161"/>
      <c r="N155" s="548"/>
      <c r="O155" s="548"/>
      <c r="P155" s="548"/>
      <c r="Q155" s="548"/>
      <c r="R155" s="519"/>
      <c r="S155" s="548"/>
      <c r="T155" s="241"/>
    </row>
    <row r="156" spans="1:20" ht="15" customHeight="1" x14ac:dyDescent="0.25">
      <c r="A156" s="562"/>
      <c r="B156" s="564"/>
      <c r="C156" s="553"/>
      <c r="D156" s="553"/>
      <c r="E156" s="553"/>
      <c r="F156" s="556"/>
      <c r="G156" s="543" t="s">
        <v>2267</v>
      </c>
      <c r="H156" s="543" t="s">
        <v>2268</v>
      </c>
      <c r="I156" s="546" t="s">
        <v>14841</v>
      </c>
      <c r="J156" s="546"/>
      <c r="K156" s="262">
        <f>0.05*0.9</f>
        <v>4.5000000000000005E-2</v>
      </c>
      <c r="L156" s="546"/>
      <c r="M156" s="262"/>
      <c r="N156" s="548"/>
      <c r="O156" s="548"/>
      <c r="P156" s="548"/>
      <c r="Q156" s="548"/>
      <c r="R156" s="519"/>
      <c r="S156" s="548"/>
      <c r="T156" s="241"/>
    </row>
    <row r="157" spans="1:20" ht="15" customHeight="1" x14ac:dyDescent="0.25">
      <c r="A157" s="562"/>
      <c r="B157" s="564"/>
      <c r="C157" s="553"/>
      <c r="D157" s="553"/>
      <c r="E157" s="553"/>
      <c r="F157" s="556"/>
      <c r="G157" s="543" t="s">
        <v>13402</v>
      </c>
      <c r="H157" s="543" t="s">
        <v>13403</v>
      </c>
      <c r="I157" s="543" t="s">
        <v>14840</v>
      </c>
      <c r="J157" s="543"/>
      <c r="K157" s="205">
        <f>(0.183-0.143)*0.9</f>
        <v>3.6000000000000011E-2</v>
      </c>
      <c r="L157" s="548"/>
      <c r="M157" s="519"/>
      <c r="N157" s="548"/>
      <c r="O157" s="548"/>
      <c r="P157" s="548"/>
      <c r="Q157" s="548"/>
      <c r="R157" s="519"/>
      <c r="S157" s="548"/>
      <c r="T157" s="241"/>
    </row>
    <row r="158" spans="1:20" ht="15" customHeight="1" x14ac:dyDescent="0.25">
      <c r="A158" s="562"/>
      <c r="B158" s="564"/>
      <c r="C158" s="553"/>
      <c r="D158" s="553"/>
      <c r="E158" s="553"/>
      <c r="F158" s="556"/>
      <c r="G158" s="1161" t="s">
        <v>14933</v>
      </c>
      <c r="H158" s="1161"/>
      <c r="I158" s="1161"/>
      <c r="J158" s="1161"/>
      <c r="K158" s="1161"/>
      <c r="L158" s="1161"/>
      <c r="M158" s="1161"/>
      <c r="N158" s="548"/>
      <c r="O158" s="548"/>
      <c r="P158" s="548"/>
      <c r="Q158" s="548"/>
      <c r="R158" s="519"/>
      <c r="S158" s="548"/>
      <c r="T158" s="241"/>
    </row>
    <row r="159" spans="1:20" ht="15" customHeight="1" x14ac:dyDescent="0.25">
      <c r="A159" s="562"/>
      <c r="B159" s="564"/>
      <c r="C159" s="553"/>
      <c r="D159" s="553"/>
      <c r="E159" s="553"/>
      <c r="F159" s="556"/>
      <c r="G159" s="1157" t="s">
        <v>2262</v>
      </c>
      <c r="H159" s="1157"/>
      <c r="I159" s="1157"/>
      <c r="J159" s="994">
        <f>0.635*0.9*0.6</f>
        <v>0.34289999999999998</v>
      </c>
      <c r="K159" s="995"/>
      <c r="L159" s="546"/>
      <c r="M159" s="262"/>
      <c r="N159" s="548"/>
      <c r="O159" s="548"/>
      <c r="P159" s="548"/>
      <c r="Q159" s="548"/>
      <c r="R159" s="519"/>
      <c r="S159" s="548"/>
      <c r="T159" s="241"/>
    </row>
    <row r="160" spans="1:20" ht="15" customHeight="1" x14ac:dyDescent="0.25">
      <c r="A160" s="562"/>
      <c r="B160" s="564"/>
      <c r="C160" s="553"/>
      <c r="D160" s="553"/>
      <c r="E160" s="553"/>
      <c r="F160" s="556"/>
      <c r="G160" s="548" t="s">
        <v>17604</v>
      </c>
      <c r="H160" s="548" t="s">
        <v>17605</v>
      </c>
      <c r="I160" s="548" t="s">
        <v>17606</v>
      </c>
      <c r="J160" s="548"/>
      <c r="K160" s="519">
        <f>0.25*0.75</f>
        <v>0.1875</v>
      </c>
      <c r="L160" s="548"/>
      <c r="M160" s="519"/>
      <c r="N160" s="548"/>
      <c r="O160" s="548"/>
      <c r="P160" s="548"/>
      <c r="Q160" s="548"/>
      <c r="R160" s="519"/>
      <c r="S160" s="548"/>
      <c r="T160" s="241"/>
    </row>
    <row r="161" spans="1:20" ht="15" customHeight="1" x14ac:dyDescent="0.25">
      <c r="A161" s="562"/>
      <c r="B161" s="564"/>
      <c r="C161" s="553"/>
      <c r="D161" s="553"/>
      <c r="E161" s="553"/>
      <c r="F161" s="556"/>
      <c r="G161" s="548" t="s">
        <v>18497</v>
      </c>
      <c r="H161" s="548" t="s">
        <v>18498</v>
      </c>
      <c r="I161" s="548" t="s">
        <v>18499</v>
      </c>
      <c r="J161" s="548"/>
      <c r="K161" s="519">
        <f>(0.029-0.005)*0.9</f>
        <v>2.1600000000000001E-2</v>
      </c>
      <c r="L161" s="548"/>
      <c r="M161" s="519"/>
      <c r="N161" s="548"/>
      <c r="O161" s="548"/>
      <c r="P161" s="548"/>
      <c r="Q161" s="548"/>
      <c r="R161" s="519"/>
      <c r="S161" s="548"/>
      <c r="T161" s="241"/>
    </row>
    <row r="162" spans="1:20" ht="15" customHeight="1" x14ac:dyDescent="0.25">
      <c r="A162" s="562"/>
      <c r="B162" s="564"/>
      <c r="C162" s="553"/>
      <c r="D162" s="553"/>
      <c r="E162" s="553"/>
      <c r="F162" s="556"/>
      <c r="G162" s="1161" t="s">
        <v>18518</v>
      </c>
      <c r="H162" s="1161"/>
      <c r="I162" s="1161"/>
      <c r="J162" s="1161"/>
      <c r="K162" s="1161"/>
      <c r="L162" s="1161"/>
      <c r="M162" s="1161"/>
      <c r="N162" s="548"/>
      <c r="O162" s="548"/>
      <c r="P162" s="548"/>
      <c r="Q162" s="548"/>
      <c r="R162" s="519"/>
      <c r="S162" s="548"/>
      <c r="T162" s="241"/>
    </row>
    <row r="163" spans="1:20" ht="15" customHeight="1" x14ac:dyDescent="0.25">
      <c r="A163" s="562"/>
      <c r="B163" s="564"/>
      <c r="C163" s="553"/>
      <c r="D163" s="553"/>
      <c r="E163" s="553"/>
      <c r="F163" s="556"/>
      <c r="G163" s="548" t="s">
        <v>18515</v>
      </c>
      <c r="H163" s="548" t="s">
        <v>18516</v>
      </c>
      <c r="I163" s="548" t="s">
        <v>18517</v>
      </c>
      <c r="J163" s="548"/>
      <c r="K163" s="519">
        <f>1.57*0.75</f>
        <v>1.1775</v>
      </c>
      <c r="L163" s="548"/>
      <c r="M163" s="519"/>
      <c r="N163" s="548"/>
      <c r="O163" s="548"/>
      <c r="P163" s="548"/>
      <c r="Q163" s="548"/>
      <c r="R163" s="519"/>
      <c r="S163" s="548"/>
      <c r="T163" s="241"/>
    </row>
    <row r="164" spans="1:20" ht="15" customHeight="1" x14ac:dyDescent="0.25">
      <c r="A164" s="562"/>
      <c r="B164" s="564"/>
      <c r="C164" s="553"/>
      <c r="D164" s="553"/>
      <c r="E164" s="553"/>
      <c r="F164" s="556"/>
      <c r="G164" s="548" t="s">
        <v>18519</v>
      </c>
      <c r="H164" s="548" t="s">
        <v>18520</v>
      </c>
      <c r="I164" s="548" t="s">
        <v>18521</v>
      </c>
      <c r="J164" s="548"/>
      <c r="K164" s="519">
        <f>0.1*0.15</f>
        <v>1.4999999999999999E-2</v>
      </c>
      <c r="L164" s="548"/>
      <c r="M164" s="519"/>
      <c r="N164" s="548"/>
      <c r="O164" s="548"/>
      <c r="P164" s="548"/>
      <c r="Q164" s="548"/>
      <c r="R164" s="519"/>
      <c r="S164" s="548"/>
      <c r="T164" s="241"/>
    </row>
    <row r="165" spans="1:20" ht="15" customHeight="1" x14ac:dyDescent="0.25">
      <c r="A165" s="562"/>
      <c r="B165" s="564"/>
      <c r="C165" s="553"/>
      <c r="D165" s="553"/>
      <c r="E165" s="553"/>
      <c r="F165" s="556"/>
      <c r="G165" s="1157" t="s">
        <v>2262</v>
      </c>
      <c r="H165" s="1157"/>
      <c r="I165" s="1157"/>
      <c r="J165" s="994">
        <f>0.57*0.9*0.6</f>
        <v>0.30780000000000002</v>
      </c>
      <c r="K165" s="995"/>
      <c r="L165" s="269"/>
      <c r="M165" s="594"/>
      <c r="N165" s="269"/>
      <c r="O165" s="269"/>
      <c r="P165" s="269"/>
      <c r="Q165" s="269"/>
      <c r="R165" s="594"/>
      <c r="S165" s="269"/>
      <c r="T165" s="259"/>
    </row>
    <row r="166" spans="1:20" ht="15" customHeight="1" thickBot="1" x14ac:dyDescent="0.3">
      <c r="A166" s="346"/>
      <c r="B166" s="243"/>
      <c r="C166" s="244"/>
      <c r="D166" s="244"/>
      <c r="E166" s="244"/>
      <c r="F166" s="245"/>
      <c r="G166" s="1032" t="s">
        <v>1199</v>
      </c>
      <c r="H166" s="1032"/>
      <c r="I166" s="1032"/>
      <c r="J166" s="542"/>
      <c r="K166" s="247">
        <f>SUM(J159:K165)</f>
        <v>2.0522999999999998</v>
      </c>
      <c r="L166" s="542">
        <v>0.92</v>
      </c>
      <c r="M166" s="247">
        <f>K166/L166</f>
        <v>2.2307608695652172</v>
      </c>
      <c r="N166" s="1032" t="s">
        <v>1199</v>
      </c>
      <c r="O166" s="1032"/>
      <c r="P166" s="1032"/>
      <c r="Q166" s="542"/>
      <c r="R166" s="247">
        <f>SUM(R147:R160)</f>
        <v>3.1500000000000007E-2</v>
      </c>
      <c r="S166" s="542">
        <v>0.92</v>
      </c>
      <c r="T166" s="249">
        <f>R166/S166</f>
        <v>3.4239130434782612E-2</v>
      </c>
    </row>
    <row r="167" spans="1:20" ht="15" customHeight="1" x14ac:dyDescent="0.25">
      <c r="A167" s="566" t="str">
        <f>Итоговая!C264</f>
        <v xml:space="preserve">ПС 35/10 кВ Степурино </v>
      </c>
      <c r="B167" s="563">
        <f>Итоговая!D264</f>
        <v>4</v>
      </c>
      <c r="C167" s="552" t="str">
        <f>Итоговая!E264</f>
        <v>+</v>
      </c>
      <c r="D167" s="552">
        <f>Итоговая!F264</f>
        <v>4</v>
      </c>
      <c r="E167" s="552"/>
      <c r="F167" s="555"/>
      <c r="G167" s="1162" t="s">
        <v>14978</v>
      </c>
      <c r="H167" s="1162"/>
      <c r="I167" s="1162"/>
      <c r="J167" s="1162"/>
      <c r="K167" s="1162"/>
      <c r="L167" s="1162"/>
      <c r="M167" s="1162"/>
      <c r="N167" s="1162" t="s">
        <v>18842</v>
      </c>
      <c r="O167" s="1162"/>
      <c r="P167" s="1162"/>
      <c r="Q167" s="1162"/>
      <c r="R167" s="1162"/>
      <c r="S167" s="1162"/>
      <c r="T167" s="1162"/>
    </row>
    <row r="168" spans="1:20" ht="15" customHeight="1" x14ac:dyDescent="0.25">
      <c r="A168" s="567"/>
      <c r="B168" s="564"/>
      <c r="C168" s="553"/>
      <c r="D168" s="553"/>
      <c r="E168" s="553"/>
      <c r="F168" s="556"/>
      <c r="G168" s="548" t="s">
        <v>17374</v>
      </c>
      <c r="H168" s="548" t="s">
        <v>17375</v>
      </c>
      <c r="I168" s="548" t="s">
        <v>17376</v>
      </c>
      <c r="J168" s="548"/>
      <c r="K168" s="519">
        <f>(0.16-0.015)*0.75</f>
        <v>0.10875000000000001</v>
      </c>
      <c r="L168" s="548"/>
      <c r="M168" s="519"/>
      <c r="N168" s="596" t="s">
        <v>1220</v>
      </c>
      <c r="O168" s="596" t="s">
        <v>13404</v>
      </c>
      <c r="P168" s="272" t="s">
        <v>14979</v>
      </c>
      <c r="Q168" s="272"/>
      <c r="R168" s="519">
        <f>0.1*0.85</f>
        <v>8.5000000000000006E-2</v>
      </c>
      <c r="S168" s="543"/>
      <c r="T168" s="241"/>
    </row>
    <row r="169" spans="1:20" ht="15" customHeight="1" x14ac:dyDescent="0.25">
      <c r="A169" s="567"/>
      <c r="B169" s="564"/>
      <c r="C169" s="553"/>
      <c r="D169" s="553"/>
      <c r="E169" s="553"/>
      <c r="F169" s="556"/>
      <c r="G169" s="1161" t="s">
        <v>18518</v>
      </c>
      <c r="H169" s="1161"/>
      <c r="I169" s="1161"/>
      <c r="J169" s="1161"/>
      <c r="K169" s="1161"/>
      <c r="L169" s="1161"/>
      <c r="M169" s="1161"/>
      <c r="N169" s="543"/>
      <c r="O169" s="543"/>
      <c r="P169" s="543"/>
      <c r="Q169" s="543"/>
      <c r="R169" s="205"/>
      <c r="S169" s="543"/>
      <c r="T169" s="241"/>
    </row>
    <row r="170" spans="1:20" ht="15" customHeight="1" x14ac:dyDescent="0.25">
      <c r="A170" s="567"/>
      <c r="B170" s="564"/>
      <c r="C170" s="553"/>
      <c r="D170" s="553"/>
      <c r="E170" s="553"/>
      <c r="F170" s="556"/>
      <c r="G170" s="543" t="s">
        <v>18522</v>
      </c>
      <c r="H170" s="543" t="s">
        <v>18523</v>
      </c>
      <c r="I170" s="543" t="s">
        <v>18524</v>
      </c>
      <c r="J170" s="543"/>
      <c r="K170" s="205">
        <f>0.015*0.9</f>
        <v>1.35E-2</v>
      </c>
      <c r="L170" s="543"/>
      <c r="M170" s="519"/>
      <c r="N170" s="543"/>
      <c r="O170" s="543"/>
      <c r="P170" s="543"/>
      <c r="Q170" s="543"/>
      <c r="R170" s="205"/>
      <c r="S170" s="543"/>
      <c r="T170" s="241"/>
    </row>
    <row r="171" spans="1:20" ht="15" customHeight="1" x14ac:dyDescent="0.25">
      <c r="A171" s="567"/>
      <c r="B171" s="564"/>
      <c r="C171" s="553"/>
      <c r="D171" s="553"/>
      <c r="E171" s="553"/>
      <c r="F171" s="556"/>
      <c r="G171" s="1157" t="s">
        <v>2262</v>
      </c>
      <c r="H171" s="1157"/>
      <c r="I171" s="1157"/>
      <c r="J171" s="994">
        <f>0.324*0.9*0.6</f>
        <v>0.17496</v>
      </c>
      <c r="K171" s="995"/>
      <c r="L171" s="557"/>
      <c r="M171" s="594"/>
      <c r="N171" s="557"/>
      <c r="O171" s="557"/>
      <c r="P171" s="557"/>
      <c r="Q171" s="557"/>
      <c r="R171" s="230"/>
      <c r="S171" s="557"/>
      <c r="T171" s="259"/>
    </row>
    <row r="172" spans="1:20" ht="15" customHeight="1" thickBot="1" x14ac:dyDescent="0.3">
      <c r="A172" s="242"/>
      <c r="B172" s="243"/>
      <c r="C172" s="244"/>
      <c r="D172" s="244"/>
      <c r="E172" s="244"/>
      <c r="F172" s="245"/>
      <c r="G172" s="1032" t="s">
        <v>1199</v>
      </c>
      <c r="H172" s="1032"/>
      <c r="I172" s="1032"/>
      <c r="J172" s="542"/>
      <c r="K172" s="247">
        <f>SUM(J168:K171)</f>
        <v>0.29721000000000003</v>
      </c>
      <c r="L172" s="542">
        <v>0.92</v>
      </c>
      <c r="M172" s="247">
        <f>K172/L172</f>
        <v>0.323054347826087</v>
      </c>
      <c r="N172" s="1032" t="s">
        <v>1199</v>
      </c>
      <c r="O172" s="1032"/>
      <c r="P172" s="1032"/>
      <c r="Q172" s="542"/>
      <c r="R172" s="247">
        <f>SUM(R167:R168)</f>
        <v>8.5000000000000006E-2</v>
      </c>
      <c r="S172" s="542">
        <v>0.92</v>
      </c>
      <c r="T172" s="249">
        <f>R172/S172</f>
        <v>9.2391304347826095E-2</v>
      </c>
    </row>
    <row r="173" spans="1:20" ht="15" customHeight="1" x14ac:dyDescent="0.25">
      <c r="A173" s="566" t="str">
        <f>Итоговая!C265</f>
        <v xml:space="preserve">ПС 35/10 кВ Максимово </v>
      </c>
      <c r="B173" s="563">
        <f>Итоговая!D265</f>
        <v>2.5</v>
      </c>
      <c r="C173" s="552" t="str">
        <f>Итоговая!E265</f>
        <v>+</v>
      </c>
      <c r="D173" s="552">
        <f>Итоговая!F265</f>
        <v>2.5</v>
      </c>
      <c r="E173" s="552"/>
      <c r="F173" s="555"/>
      <c r="G173" s="1161" t="s">
        <v>18842</v>
      </c>
      <c r="H173" s="1161"/>
      <c r="I173" s="1161"/>
      <c r="J173" s="1161"/>
      <c r="K173" s="1161"/>
      <c r="L173" s="1161"/>
      <c r="M173" s="1161"/>
      <c r="N173" s="215"/>
      <c r="O173" s="215"/>
      <c r="P173" s="215"/>
      <c r="Q173" s="215"/>
      <c r="R173" s="216"/>
      <c r="S173" s="215"/>
      <c r="T173" s="217"/>
    </row>
    <row r="174" spans="1:20" ht="15" customHeight="1" x14ac:dyDescent="0.25">
      <c r="A174" s="567"/>
      <c r="B174" s="564"/>
      <c r="C174" s="553"/>
      <c r="D174" s="553"/>
      <c r="E174" s="553"/>
      <c r="F174" s="556"/>
      <c r="G174" s="1157" t="s">
        <v>2262</v>
      </c>
      <c r="H174" s="1157"/>
      <c r="I174" s="1157"/>
      <c r="J174" s="994">
        <f>0.05*0.9*0.6</f>
        <v>2.7000000000000003E-2</v>
      </c>
      <c r="K174" s="995"/>
      <c r="L174" s="548"/>
      <c r="M174" s="519"/>
      <c r="N174" s="223"/>
      <c r="O174" s="223"/>
      <c r="P174" s="223"/>
      <c r="Q174" s="223"/>
      <c r="R174" s="224"/>
      <c r="S174" s="223"/>
      <c r="T174" s="225"/>
    </row>
    <row r="175" spans="1:20" ht="15" customHeight="1" thickBot="1" x14ac:dyDescent="0.3">
      <c r="A175" s="242"/>
      <c r="B175" s="243"/>
      <c r="C175" s="244"/>
      <c r="D175" s="244"/>
      <c r="E175" s="244"/>
      <c r="F175" s="245"/>
      <c r="G175" s="1032" t="s">
        <v>1199</v>
      </c>
      <c r="H175" s="1032"/>
      <c r="I175" s="1032"/>
      <c r="J175" s="542"/>
      <c r="K175" s="247">
        <f>SUM(J174)</f>
        <v>2.7000000000000003E-2</v>
      </c>
      <c r="L175" s="542">
        <v>0.92</v>
      </c>
      <c r="M175" s="247">
        <f>K175/L175</f>
        <v>2.9347826086956522E-2</v>
      </c>
      <c r="N175" s="1032" t="s">
        <v>1199</v>
      </c>
      <c r="O175" s="1032"/>
      <c r="P175" s="1032"/>
      <c r="Q175" s="542"/>
      <c r="R175" s="247">
        <f>SUM(R173:R173)</f>
        <v>0</v>
      </c>
      <c r="S175" s="542">
        <v>0.92</v>
      </c>
      <c r="T175" s="249">
        <f>R175/S175</f>
        <v>0</v>
      </c>
    </row>
    <row r="176" spans="1:20" ht="15" customHeight="1" x14ac:dyDescent="0.25">
      <c r="A176" s="566" t="str">
        <f>Итоговая!C266</f>
        <v xml:space="preserve">ПС 35/10 кВ Луковниково </v>
      </c>
      <c r="B176" s="563">
        <f>Итоговая!D266</f>
        <v>4</v>
      </c>
      <c r="C176" s="552" t="str">
        <f>Итоговая!E266</f>
        <v>+</v>
      </c>
      <c r="D176" s="552">
        <f>Итоговая!F266</f>
        <v>2.5</v>
      </c>
      <c r="E176" s="552"/>
      <c r="F176" s="555"/>
      <c r="G176" s="1162" t="s">
        <v>14933</v>
      </c>
      <c r="H176" s="1162"/>
      <c r="I176" s="1162"/>
      <c r="J176" s="1162"/>
      <c r="K176" s="1162"/>
      <c r="L176" s="1162"/>
      <c r="M176" s="1162"/>
      <c r="N176" s="215"/>
      <c r="O176" s="215"/>
      <c r="P176" s="215"/>
      <c r="Q176" s="215"/>
      <c r="R176" s="216"/>
      <c r="S176" s="215"/>
      <c r="T176" s="217"/>
    </row>
    <row r="177" spans="1:20" ht="15" customHeight="1" x14ac:dyDescent="0.25">
      <c r="A177" s="567"/>
      <c r="B177" s="564"/>
      <c r="C177" s="553"/>
      <c r="D177" s="553"/>
      <c r="E177" s="553"/>
      <c r="F177" s="556"/>
      <c r="G177" s="543" t="s">
        <v>14948</v>
      </c>
      <c r="H177" s="543" t="s">
        <v>14949</v>
      </c>
      <c r="I177" s="543" t="s">
        <v>14950</v>
      </c>
      <c r="J177" s="543"/>
      <c r="K177" s="205">
        <f>0.25*0.75</f>
        <v>0.1875</v>
      </c>
      <c r="L177" s="543"/>
      <c r="M177" s="519"/>
      <c r="N177" s="543"/>
      <c r="O177" s="543"/>
      <c r="P177" s="543"/>
      <c r="Q177" s="543"/>
      <c r="R177" s="205"/>
      <c r="S177" s="543"/>
      <c r="T177" s="241"/>
    </row>
    <row r="178" spans="1:20" ht="15" customHeight="1" x14ac:dyDescent="0.25">
      <c r="A178" s="567"/>
      <c r="B178" s="564"/>
      <c r="C178" s="553"/>
      <c r="D178" s="553"/>
      <c r="E178" s="553"/>
      <c r="F178" s="556"/>
      <c r="G178" s="543" t="s">
        <v>17640</v>
      </c>
      <c r="H178" s="543" t="s">
        <v>17641</v>
      </c>
      <c r="I178" s="543" t="s">
        <v>17642</v>
      </c>
      <c r="J178" s="543"/>
      <c r="K178" s="205">
        <f>1.15*0.75</f>
        <v>0.86249999999999993</v>
      </c>
      <c r="L178" s="543"/>
      <c r="M178" s="519"/>
      <c r="N178" s="543"/>
      <c r="O178" s="543"/>
      <c r="P178" s="543"/>
      <c r="Q178" s="543"/>
      <c r="R178" s="205"/>
      <c r="S178" s="543"/>
      <c r="T178" s="241"/>
    </row>
    <row r="179" spans="1:20" ht="15" customHeight="1" x14ac:dyDescent="0.25">
      <c r="A179" s="567"/>
      <c r="B179" s="564"/>
      <c r="C179" s="553"/>
      <c r="D179" s="553"/>
      <c r="E179" s="553"/>
      <c r="F179" s="556"/>
      <c r="G179" s="1161" t="s">
        <v>18842</v>
      </c>
      <c r="H179" s="1161"/>
      <c r="I179" s="1161"/>
      <c r="J179" s="1161"/>
      <c r="K179" s="1161"/>
      <c r="L179" s="1161"/>
      <c r="M179" s="1161"/>
      <c r="N179" s="557"/>
      <c r="O179" s="557"/>
      <c r="P179" s="557"/>
      <c r="Q179" s="557"/>
      <c r="R179" s="230"/>
      <c r="S179" s="557"/>
      <c r="T179" s="259"/>
    </row>
    <row r="180" spans="1:20" ht="15" customHeight="1" x14ac:dyDescent="0.25">
      <c r="A180" s="567"/>
      <c r="B180" s="564"/>
      <c r="C180" s="553"/>
      <c r="D180" s="553"/>
      <c r="E180" s="553"/>
      <c r="F180" s="556"/>
      <c r="G180" s="1157" t="s">
        <v>2262</v>
      </c>
      <c r="H180" s="1157"/>
      <c r="I180" s="1157"/>
      <c r="J180" s="994">
        <f>0.084*0.9*0.6</f>
        <v>4.5359999999999998E-2</v>
      </c>
      <c r="K180" s="995"/>
      <c r="L180" s="548"/>
      <c r="M180" s="519"/>
      <c r="N180" s="557"/>
      <c r="O180" s="557"/>
      <c r="P180" s="557"/>
      <c r="Q180" s="557"/>
      <c r="R180" s="230"/>
      <c r="S180" s="557"/>
      <c r="T180" s="259"/>
    </row>
    <row r="181" spans="1:20" ht="15" customHeight="1" thickBot="1" x14ac:dyDescent="0.3">
      <c r="A181" s="242"/>
      <c r="B181" s="243"/>
      <c r="C181" s="244"/>
      <c r="D181" s="244"/>
      <c r="E181" s="244"/>
      <c r="F181" s="245"/>
      <c r="G181" s="1032" t="s">
        <v>1199</v>
      </c>
      <c r="H181" s="1032"/>
      <c r="I181" s="1032"/>
      <c r="J181" s="542"/>
      <c r="K181" s="247">
        <f>SUM(J177:K180)</f>
        <v>1.0953599999999999</v>
      </c>
      <c r="L181" s="542">
        <v>0.92</v>
      </c>
      <c r="M181" s="247">
        <f>K181/L181</f>
        <v>1.1906086956521738</v>
      </c>
      <c r="N181" s="1032" t="s">
        <v>1199</v>
      </c>
      <c r="O181" s="1032"/>
      <c r="P181" s="1032"/>
      <c r="Q181" s="542"/>
      <c r="R181" s="247">
        <f>SUM(R176:R176)</f>
        <v>0</v>
      </c>
      <c r="S181" s="542">
        <v>0.92</v>
      </c>
      <c r="T181" s="249">
        <f>R181/S181</f>
        <v>0</v>
      </c>
    </row>
    <row r="182" spans="1:20" ht="15" customHeight="1" x14ac:dyDescent="0.25">
      <c r="A182" s="1092" t="str">
        <f>Итоговая!C267</f>
        <v xml:space="preserve">ПС 110/10 кВ НТПФ </v>
      </c>
      <c r="B182" s="1072">
        <f>Итоговая!D267</f>
        <v>6.3</v>
      </c>
      <c r="C182" s="1067" t="str">
        <f>Итоговая!E267</f>
        <v>+</v>
      </c>
      <c r="D182" s="1067">
        <f>Итоговая!F267</f>
        <v>6.3</v>
      </c>
      <c r="E182" s="552"/>
      <c r="F182" s="555"/>
      <c r="G182" s="1162" t="s">
        <v>1288</v>
      </c>
      <c r="H182" s="1162"/>
      <c r="I182" s="1162"/>
      <c r="J182" s="1162"/>
      <c r="K182" s="1162"/>
      <c r="L182" s="1162"/>
      <c r="M182" s="1162"/>
      <c r="N182" s="1073"/>
      <c r="O182" s="1073"/>
      <c r="P182" s="1073"/>
      <c r="Q182" s="1073"/>
      <c r="R182" s="1073"/>
      <c r="S182" s="1073"/>
      <c r="T182" s="1074"/>
    </row>
    <row r="183" spans="1:20" ht="15" customHeight="1" x14ac:dyDescent="0.25">
      <c r="A183" s="1093"/>
      <c r="B183" s="1023"/>
      <c r="C183" s="1024"/>
      <c r="D183" s="1024"/>
      <c r="E183" s="553"/>
      <c r="F183" s="556"/>
      <c r="G183" s="543" t="s">
        <v>1352</v>
      </c>
      <c r="H183" s="543" t="s">
        <v>1353</v>
      </c>
      <c r="I183" s="543" t="s">
        <v>1354</v>
      </c>
      <c r="J183" s="543"/>
      <c r="K183" s="205">
        <v>0.6</v>
      </c>
      <c r="L183" s="543"/>
      <c r="M183" s="519"/>
      <c r="N183" s="548"/>
      <c r="O183" s="548"/>
      <c r="P183" s="548"/>
      <c r="Q183" s="548"/>
      <c r="R183" s="519"/>
      <c r="S183" s="548"/>
      <c r="T183" s="241"/>
    </row>
    <row r="184" spans="1:20" ht="15" customHeight="1" x14ac:dyDescent="0.25">
      <c r="A184" s="567"/>
      <c r="B184" s="564"/>
      <c r="C184" s="553"/>
      <c r="D184" s="553"/>
      <c r="E184" s="553"/>
      <c r="F184" s="556"/>
      <c r="G184" s="1161" t="s">
        <v>1286</v>
      </c>
      <c r="H184" s="1161"/>
      <c r="I184" s="1161"/>
      <c r="J184" s="1161"/>
      <c r="K184" s="1161"/>
      <c r="L184" s="1161"/>
      <c r="M184" s="1161"/>
      <c r="N184" s="1053"/>
      <c r="O184" s="1053"/>
      <c r="P184" s="1053"/>
      <c r="Q184" s="1053"/>
      <c r="R184" s="1053"/>
      <c r="S184" s="1053"/>
      <c r="T184" s="1075"/>
    </row>
    <row r="185" spans="1:20" ht="15" customHeight="1" x14ac:dyDescent="0.25">
      <c r="A185" s="567"/>
      <c r="B185" s="564"/>
      <c r="C185" s="553"/>
      <c r="D185" s="553"/>
      <c r="E185" s="553"/>
      <c r="F185" s="556"/>
      <c r="G185" s="596" t="s">
        <v>1355</v>
      </c>
      <c r="H185" s="596" t="s">
        <v>1356</v>
      </c>
      <c r="I185" s="548" t="s">
        <v>1542</v>
      </c>
      <c r="J185" s="548"/>
      <c r="K185" s="286">
        <v>1.5</v>
      </c>
      <c r="L185" s="543"/>
      <c r="M185" s="519"/>
      <c r="N185" s="590"/>
      <c r="O185" s="590"/>
      <c r="P185" s="548"/>
      <c r="Q185" s="548"/>
      <c r="R185" s="302"/>
      <c r="S185" s="548"/>
      <c r="T185" s="241"/>
    </row>
    <row r="186" spans="1:20" ht="15" customHeight="1" thickBot="1" x14ac:dyDescent="0.3">
      <c r="A186" s="242"/>
      <c r="B186" s="243"/>
      <c r="C186" s="244"/>
      <c r="D186" s="244"/>
      <c r="E186" s="244"/>
      <c r="F186" s="245"/>
      <c r="G186" s="1032" t="s">
        <v>1199</v>
      </c>
      <c r="H186" s="1032"/>
      <c r="I186" s="1032"/>
      <c r="J186" s="542"/>
      <c r="K186" s="247">
        <f>SUM(0)</f>
        <v>0</v>
      </c>
      <c r="L186" s="542">
        <v>0.92</v>
      </c>
      <c r="M186" s="247">
        <f>K186/L186</f>
        <v>0</v>
      </c>
      <c r="N186" s="1032" t="s">
        <v>1199</v>
      </c>
      <c r="O186" s="1032"/>
      <c r="P186" s="1032"/>
      <c r="Q186" s="542"/>
      <c r="R186" s="247">
        <f>SUM(R185)</f>
        <v>0</v>
      </c>
      <c r="S186" s="542">
        <v>0.92</v>
      </c>
      <c r="T186" s="249">
        <f>R186/S186</f>
        <v>0</v>
      </c>
    </row>
    <row r="187" spans="1:20" ht="15" customHeight="1" x14ac:dyDescent="0.25">
      <c r="A187" s="1092" t="str">
        <f>Итоговая!C268</f>
        <v xml:space="preserve">ПС 110/10 кВ Мостовая </v>
      </c>
      <c r="B187" s="1072">
        <f>Итоговая!D268</f>
        <v>6.3</v>
      </c>
      <c r="C187" s="1067" t="str">
        <f>Итоговая!E268</f>
        <v>+</v>
      </c>
      <c r="D187" s="1067">
        <f>Итоговая!F268</f>
        <v>6.3</v>
      </c>
      <c r="E187" s="1067"/>
      <c r="F187" s="555"/>
      <c r="G187" s="1162" t="s">
        <v>1288</v>
      </c>
      <c r="H187" s="1162"/>
      <c r="I187" s="1162"/>
      <c r="J187" s="1162"/>
      <c r="K187" s="1162"/>
      <c r="L187" s="1162"/>
      <c r="M187" s="1162"/>
      <c r="N187" s="1161" t="s">
        <v>18842</v>
      </c>
      <c r="O187" s="1161"/>
      <c r="P187" s="1161"/>
      <c r="Q187" s="1161"/>
      <c r="R187" s="1161"/>
      <c r="S187" s="1161"/>
      <c r="T187" s="1161"/>
    </row>
    <row r="188" spans="1:20" ht="15" customHeight="1" x14ac:dyDescent="0.25">
      <c r="A188" s="1093"/>
      <c r="B188" s="1023"/>
      <c r="C188" s="1024"/>
      <c r="D188" s="1024"/>
      <c r="E188" s="1024"/>
      <c r="F188" s="556"/>
      <c r="G188" s="543" t="s">
        <v>550</v>
      </c>
      <c r="H188" s="543" t="s">
        <v>551</v>
      </c>
      <c r="I188" s="543" t="s">
        <v>552</v>
      </c>
      <c r="J188" s="543"/>
      <c r="K188" s="205">
        <v>0.25</v>
      </c>
      <c r="L188" s="543"/>
      <c r="M188" s="519"/>
      <c r="N188" s="548" t="s">
        <v>553</v>
      </c>
      <c r="O188" s="548" t="s">
        <v>18951</v>
      </c>
      <c r="P188" s="548">
        <v>40256712</v>
      </c>
      <c r="Q188" s="548"/>
      <c r="R188" s="519">
        <v>0.25</v>
      </c>
      <c r="S188" s="548"/>
      <c r="T188" s="241"/>
    </row>
    <row r="189" spans="1:20" ht="15" customHeight="1" x14ac:dyDescent="0.25">
      <c r="A189" s="567"/>
      <c r="B189" s="564"/>
      <c r="C189" s="553"/>
      <c r="D189" s="553"/>
      <c r="E189" s="553"/>
      <c r="F189" s="556"/>
      <c r="G189" s="1161" t="s">
        <v>1287</v>
      </c>
      <c r="H189" s="1161"/>
      <c r="I189" s="1161"/>
      <c r="J189" s="1161"/>
      <c r="K189" s="1161"/>
      <c r="L189" s="1161"/>
      <c r="M189" s="1161"/>
      <c r="N189" s="1053"/>
      <c r="O189" s="1053"/>
      <c r="P189" s="1053"/>
      <c r="Q189" s="1053"/>
      <c r="R189" s="1053"/>
      <c r="S189" s="1053"/>
      <c r="T189" s="1075"/>
    </row>
    <row r="190" spans="1:20" ht="15" customHeight="1" x14ac:dyDescent="0.25">
      <c r="A190" s="567"/>
      <c r="B190" s="564"/>
      <c r="C190" s="553"/>
      <c r="D190" s="553"/>
      <c r="E190" s="553"/>
      <c r="F190" s="556"/>
      <c r="G190" s="543" t="s">
        <v>553</v>
      </c>
      <c r="H190" s="543" t="s">
        <v>554</v>
      </c>
      <c r="I190" s="543" t="s">
        <v>555</v>
      </c>
      <c r="J190" s="543"/>
      <c r="K190" s="205">
        <v>0.1</v>
      </c>
      <c r="L190" s="543"/>
      <c r="M190" s="519"/>
      <c r="N190" s="548"/>
      <c r="O190" s="548"/>
      <c r="P190" s="548"/>
      <c r="Q190" s="548"/>
      <c r="R190" s="519"/>
      <c r="S190" s="548"/>
      <c r="T190" s="241"/>
    </row>
    <row r="191" spans="1:20" ht="15" customHeight="1" x14ac:dyDescent="0.25">
      <c r="A191" s="567"/>
      <c r="B191" s="564"/>
      <c r="C191" s="553"/>
      <c r="D191" s="553"/>
      <c r="E191" s="553"/>
      <c r="F191" s="556"/>
      <c r="G191" s="1161" t="s">
        <v>1645</v>
      </c>
      <c r="H191" s="1161"/>
      <c r="I191" s="1161"/>
      <c r="J191" s="1161"/>
      <c r="K191" s="1161"/>
      <c r="L191" s="1161"/>
      <c r="M191" s="1161"/>
      <c r="N191" s="548"/>
      <c r="O191" s="548"/>
      <c r="P191" s="548"/>
      <c r="Q191" s="548"/>
      <c r="R191" s="519"/>
      <c r="S191" s="548"/>
      <c r="T191" s="241"/>
    </row>
    <row r="192" spans="1:20" ht="15" customHeight="1" x14ac:dyDescent="0.25">
      <c r="A192" s="567"/>
      <c r="B192" s="564"/>
      <c r="C192" s="553"/>
      <c r="D192" s="553"/>
      <c r="E192" s="553"/>
      <c r="F192" s="556"/>
      <c r="G192" s="543" t="s">
        <v>1909</v>
      </c>
      <c r="H192" s="543" t="s">
        <v>1910</v>
      </c>
      <c r="I192" s="543" t="s">
        <v>1942</v>
      </c>
      <c r="J192" s="543"/>
      <c r="K192" s="205">
        <v>1.9E-2</v>
      </c>
      <c r="L192" s="543"/>
      <c r="M192" s="519"/>
      <c r="N192" s="548"/>
      <c r="O192" s="548"/>
      <c r="P192" s="548"/>
      <c r="Q192" s="548"/>
      <c r="R192" s="519"/>
      <c r="S192" s="548"/>
      <c r="T192" s="241"/>
    </row>
    <row r="193" spans="1:20" ht="15" customHeight="1" thickBot="1" x14ac:dyDescent="0.3">
      <c r="A193" s="242"/>
      <c r="B193" s="243"/>
      <c r="C193" s="244"/>
      <c r="D193" s="244"/>
      <c r="E193" s="244"/>
      <c r="F193" s="245"/>
      <c r="G193" s="1032" t="s">
        <v>1199</v>
      </c>
      <c r="H193" s="1032"/>
      <c r="I193" s="1032"/>
      <c r="J193" s="542"/>
      <c r="K193" s="247">
        <f>SUM(0)</f>
        <v>0</v>
      </c>
      <c r="L193" s="542">
        <v>0.92</v>
      </c>
      <c r="M193" s="247">
        <f>K193/L193</f>
        <v>0</v>
      </c>
      <c r="N193" s="1032" t="s">
        <v>1199</v>
      </c>
      <c r="O193" s="1032"/>
      <c r="P193" s="1032"/>
      <c r="Q193" s="542"/>
      <c r="R193" s="247">
        <f>SUM(R188:R190)</f>
        <v>0.25</v>
      </c>
      <c r="S193" s="542">
        <v>0.92</v>
      </c>
      <c r="T193" s="249">
        <f>R193/S193</f>
        <v>0.27173913043478259</v>
      </c>
    </row>
    <row r="194" spans="1:20" ht="15" customHeight="1" x14ac:dyDescent="0.25">
      <c r="A194" s="1092" t="str">
        <f>Итоговая!C269</f>
        <v xml:space="preserve">ПС 110/35/10кВ Ржев </v>
      </c>
      <c r="B194" s="1072">
        <f>Итоговая!D269</f>
        <v>40.5</v>
      </c>
      <c r="C194" s="1067" t="str">
        <f>Итоговая!E269</f>
        <v>+</v>
      </c>
      <c r="D194" s="1067">
        <f>Итоговая!F269</f>
        <v>40</v>
      </c>
      <c r="E194" s="552"/>
      <c r="F194" s="555"/>
      <c r="G194" s="1162" t="s">
        <v>1287</v>
      </c>
      <c r="H194" s="1162"/>
      <c r="I194" s="1162"/>
      <c r="J194" s="1162"/>
      <c r="K194" s="1162"/>
      <c r="L194" s="1162"/>
      <c r="M194" s="1162"/>
      <c r="N194" s="1161" t="s">
        <v>18518</v>
      </c>
      <c r="O194" s="1161"/>
      <c r="P194" s="1161"/>
      <c r="Q194" s="1161"/>
      <c r="R194" s="1161"/>
      <c r="S194" s="1161"/>
      <c r="T194" s="1161"/>
    </row>
    <row r="195" spans="1:20" ht="15" customHeight="1" x14ac:dyDescent="0.25">
      <c r="A195" s="1093"/>
      <c r="B195" s="1023"/>
      <c r="C195" s="1024"/>
      <c r="D195" s="1024"/>
      <c r="E195" s="553"/>
      <c r="F195" s="556"/>
      <c r="G195" s="543" t="s">
        <v>1341</v>
      </c>
      <c r="H195" s="543" t="s">
        <v>1342</v>
      </c>
      <c r="I195" s="543" t="s">
        <v>1343</v>
      </c>
      <c r="J195" s="543"/>
      <c r="K195" s="205">
        <v>0.1</v>
      </c>
      <c r="L195" s="543"/>
      <c r="M195" s="519"/>
      <c r="N195" s="548" t="s">
        <v>17666</v>
      </c>
      <c r="O195" s="548" t="s">
        <v>17667</v>
      </c>
      <c r="P195" s="548" t="s">
        <v>17668</v>
      </c>
      <c r="Q195" s="548"/>
      <c r="R195" s="519">
        <f>0.25*0.75</f>
        <v>0.1875</v>
      </c>
      <c r="S195" s="548"/>
      <c r="T195" s="519"/>
    </row>
    <row r="196" spans="1:20" ht="15" customHeight="1" x14ac:dyDescent="0.25">
      <c r="A196" s="567"/>
      <c r="B196" s="564"/>
      <c r="C196" s="553"/>
      <c r="D196" s="553"/>
      <c r="E196" s="553"/>
      <c r="F196" s="556"/>
      <c r="G196" s="1161" t="s">
        <v>1286</v>
      </c>
      <c r="H196" s="1161"/>
      <c r="I196" s="1161"/>
      <c r="J196" s="1161"/>
      <c r="K196" s="1161"/>
      <c r="L196" s="1161"/>
      <c r="M196" s="1161"/>
      <c r="N196" s="1053"/>
      <c r="O196" s="1053"/>
      <c r="P196" s="1053"/>
      <c r="Q196" s="1053"/>
      <c r="R196" s="1053"/>
      <c r="S196" s="1053"/>
      <c r="T196" s="1075"/>
    </row>
    <row r="197" spans="1:20" s="301" customFormat="1" ht="15" customHeight="1" x14ac:dyDescent="0.25">
      <c r="A197" s="567"/>
      <c r="B197" s="564"/>
      <c r="C197" s="553"/>
      <c r="D197" s="553"/>
      <c r="E197" s="553"/>
      <c r="F197" s="556"/>
      <c r="G197" s="543" t="s">
        <v>942</v>
      </c>
      <c r="H197" s="543" t="s">
        <v>943</v>
      </c>
      <c r="I197" s="270" t="s">
        <v>1528</v>
      </c>
      <c r="J197" s="270"/>
      <c r="K197" s="205">
        <v>9.9000000000000005E-2</v>
      </c>
      <c r="L197" s="543"/>
      <c r="M197" s="519"/>
      <c r="N197" s="548"/>
      <c r="O197" s="548"/>
      <c r="P197" s="271"/>
      <c r="Q197" s="271"/>
      <c r="R197" s="519"/>
      <c r="S197" s="548"/>
      <c r="T197" s="241"/>
    </row>
    <row r="198" spans="1:20" s="301" customFormat="1" ht="15" customHeight="1" x14ac:dyDescent="0.25">
      <c r="A198" s="567"/>
      <c r="B198" s="564"/>
      <c r="C198" s="553"/>
      <c r="D198" s="553"/>
      <c r="E198" s="553"/>
      <c r="F198" s="556"/>
      <c r="G198" s="1161" t="s">
        <v>1324</v>
      </c>
      <c r="H198" s="1161"/>
      <c r="I198" s="1161"/>
      <c r="J198" s="1161"/>
      <c r="K198" s="1161"/>
      <c r="L198" s="1161"/>
      <c r="M198" s="1161"/>
      <c r="N198" s="548"/>
      <c r="O198" s="548"/>
      <c r="P198" s="271"/>
      <c r="Q198" s="271"/>
      <c r="R198" s="519"/>
      <c r="S198" s="548"/>
      <c r="T198" s="241"/>
    </row>
    <row r="199" spans="1:20" s="301" customFormat="1" ht="15" customHeight="1" x14ac:dyDescent="0.25">
      <c r="A199" s="567"/>
      <c r="B199" s="564"/>
      <c r="C199" s="553"/>
      <c r="D199" s="553"/>
      <c r="E199" s="553"/>
      <c r="F199" s="556"/>
      <c r="G199" s="543" t="s">
        <v>1592</v>
      </c>
      <c r="H199" s="543" t="s">
        <v>1593</v>
      </c>
      <c r="I199" s="270" t="s">
        <v>1594</v>
      </c>
      <c r="J199" s="270"/>
      <c r="K199" s="205">
        <v>0.04</v>
      </c>
      <c r="L199" s="543"/>
      <c r="M199" s="519"/>
      <c r="N199" s="548"/>
      <c r="O199" s="548"/>
      <c r="P199" s="271"/>
      <c r="Q199" s="271"/>
      <c r="R199" s="519"/>
      <c r="S199" s="548"/>
      <c r="T199" s="241"/>
    </row>
    <row r="200" spans="1:20" s="301" customFormat="1" ht="15" customHeight="1" x14ac:dyDescent="0.25">
      <c r="A200" s="567"/>
      <c r="B200" s="564"/>
      <c r="C200" s="553"/>
      <c r="D200" s="553"/>
      <c r="E200" s="553"/>
      <c r="F200" s="556"/>
      <c r="G200" s="1161" t="s">
        <v>14933</v>
      </c>
      <c r="H200" s="1161"/>
      <c r="I200" s="1161"/>
      <c r="J200" s="1161"/>
      <c r="K200" s="1161"/>
      <c r="L200" s="1161"/>
      <c r="M200" s="1161"/>
      <c r="N200" s="548"/>
      <c r="O200" s="548"/>
      <c r="P200" s="271"/>
      <c r="Q200" s="271"/>
      <c r="R200" s="519"/>
      <c r="S200" s="548"/>
      <c r="T200" s="241"/>
    </row>
    <row r="201" spans="1:20" s="301" customFormat="1" ht="15" customHeight="1" x14ac:dyDescent="0.25">
      <c r="A201" s="567"/>
      <c r="B201" s="564"/>
      <c r="C201" s="553"/>
      <c r="D201" s="553"/>
      <c r="E201" s="553"/>
      <c r="F201" s="556"/>
      <c r="G201" s="548" t="s">
        <v>2161</v>
      </c>
      <c r="H201" s="548" t="s">
        <v>14895</v>
      </c>
      <c r="I201" s="548" t="s">
        <v>14939</v>
      </c>
      <c r="J201" s="548"/>
      <c r="K201" s="519">
        <f>0.035*0.9</f>
        <v>3.1500000000000007E-2</v>
      </c>
      <c r="L201" s="548"/>
      <c r="M201" s="519"/>
      <c r="N201" s="548"/>
      <c r="O201" s="548"/>
      <c r="P201" s="271"/>
      <c r="Q201" s="271"/>
      <c r="R201" s="519"/>
      <c r="S201" s="548"/>
      <c r="T201" s="241"/>
    </row>
    <row r="202" spans="1:20" s="301" customFormat="1" ht="15" customHeight="1" x14ac:dyDescent="0.25">
      <c r="A202" s="567"/>
      <c r="B202" s="564"/>
      <c r="C202" s="553"/>
      <c r="D202" s="553"/>
      <c r="E202" s="553"/>
      <c r="F202" s="556"/>
      <c r="G202" s="1161" t="s">
        <v>18842</v>
      </c>
      <c r="H202" s="1161"/>
      <c r="I202" s="1161"/>
      <c r="J202" s="1161"/>
      <c r="K202" s="1161"/>
      <c r="L202" s="1161"/>
      <c r="M202" s="1161"/>
      <c r="N202" s="269"/>
      <c r="O202" s="269"/>
      <c r="P202" s="274"/>
      <c r="Q202" s="274"/>
      <c r="R202" s="594"/>
      <c r="S202" s="269"/>
      <c r="T202" s="259"/>
    </row>
    <row r="203" spans="1:20" s="301" customFormat="1" ht="15" customHeight="1" x14ac:dyDescent="0.25">
      <c r="A203" s="567"/>
      <c r="B203" s="564"/>
      <c r="C203" s="553"/>
      <c r="D203" s="553"/>
      <c r="E203" s="553"/>
      <c r="F203" s="556"/>
      <c r="G203" s="1157" t="s">
        <v>2262</v>
      </c>
      <c r="H203" s="1157"/>
      <c r="I203" s="1157"/>
      <c r="J203" s="994">
        <f>0.221*0.9*0.6</f>
        <v>0.11933999999999999</v>
      </c>
      <c r="K203" s="995"/>
      <c r="L203" s="548"/>
      <c r="M203" s="519"/>
      <c r="N203" s="269"/>
      <c r="O203" s="269"/>
      <c r="P203" s="274"/>
      <c r="Q203" s="274"/>
      <c r="R203" s="594"/>
      <c r="S203" s="269"/>
      <c r="T203" s="259"/>
    </row>
    <row r="204" spans="1:20" ht="15" customHeight="1" thickBot="1" x14ac:dyDescent="0.3">
      <c r="A204" s="242"/>
      <c r="B204" s="243"/>
      <c r="C204" s="244"/>
      <c r="D204" s="244"/>
      <c r="E204" s="244"/>
      <c r="F204" s="245"/>
      <c r="G204" s="1032" t="s">
        <v>1199</v>
      </c>
      <c r="H204" s="1032"/>
      <c r="I204" s="1032"/>
      <c r="J204" s="542"/>
      <c r="K204" s="247">
        <f>SUM(J201:K203)</f>
        <v>0.15084</v>
      </c>
      <c r="L204" s="542">
        <v>0.92</v>
      </c>
      <c r="M204" s="247">
        <f>K204/L204</f>
        <v>0.16395652173913042</v>
      </c>
      <c r="N204" s="1032" t="s">
        <v>1199</v>
      </c>
      <c r="O204" s="1032"/>
      <c r="P204" s="1032"/>
      <c r="Q204" s="542"/>
      <c r="R204" s="247">
        <f>SUM(R195:R199)</f>
        <v>0.1875</v>
      </c>
      <c r="S204" s="542">
        <v>0.92</v>
      </c>
      <c r="T204" s="249">
        <f>R204/S204</f>
        <v>0.20380434782608695</v>
      </c>
    </row>
    <row r="205" spans="1:20" ht="15" customHeight="1" x14ac:dyDescent="0.25">
      <c r="A205" s="1092" t="str">
        <f>Итоговая!C272</f>
        <v>ПС  110/35/10 кВ Чертолино</v>
      </c>
      <c r="B205" s="1072">
        <f>Итоговая!D272</f>
        <v>5.6</v>
      </c>
      <c r="C205" s="1067" t="str">
        <f>Итоговая!E272</f>
        <v>+</v>
      </c>
      <c r="D205" s="1067">
        <f>Итоговая!F272</f>
        <v>6.3</v>
      </c>
      <c r="E205" s="552"/>
      <c r="F205" s="555"/>
      <c r="G205" s="1162" t="s">
        <v>1286</v>
      </c>
      <c r="H205" s="1162"/>
      <c r="I205" s="1162"/>
      <c r="J205" s="1162"/>
      <c r="K205" s="1162"/>
      <c r="L205" s="1162"/>
      <c r="M205" s="1162"/>
      <c r="N205" s="1073"/>
      <c r="O205" s="1073"/>
      <c r="P205" s="1073"/>
      <c r="Q205" s="1073"/>
      <c r="R205" s="1073"/>
      <c r="S205" s="1073"/>
      <c r="T205" s="1074"/>
    </row>
    <row r="206" spans="1:20" ht="15" customHeight="1" x14ac:dyDescent="0.25">
      <c r="A206" s="1093"/>
      <c r="B206" s="1023"/>
      <c r="C206" s="1024"/>
      <c r="D206" s="1024"/>
      <c r="E206" s="553"/>
      <c r="F206" s="556"/>
      <c r="G206" s="543" t="s">
        <v>1357</v>
      </c>
      <c r="H206" s="543" t="s">
        <v>1358</v>
      </c>
      <c r="I206" s="543" t="s">
        <v>1315</v>
      </c>
      <c r="J206" s="543"/>
      <c r="K206" s="205">
        <v>0.01</v>
      </c>
      <c r="L206" s="543"/>
      <c r="M206" s="519"/>
      <c r="N206" s="548"/>
      <c r="O206" s="548"/>
      <c r="P206" s="548"/>
      <c r="Q206" s="548"/>
      <c r="R206" s="519"/>
      <c r="S206" s="548"/>
      <c r="T206" s="241"/>
    </row>
    <row r="207" spans="1:20" ht="15" customHeight="1" x14ac:dyDescent="0.25">
      <c r="A207" s="567"/>
      <c r="B207" s="564"/>
      <c r="C207" s="553"/>
      <c r="D207" s="553"/>
      <c r="E207" s="553"/>
      <c r="F207" s="556"/>
      <c r="G207" s="1161" t="s">
        <v>1324</v>
      </c>
      <c r="H207" s="1161"/>
      <c r="I207" s="1161"/>
      <c r="J207" s="1161"/>
      <c r="K207" s="1161"/>
      <c r="L207" s="1161"/>
      <c r="M207" s="1161"/>
      <c r="N207" s="1053"/>
      <c r="O207" s="1053"/>
      <c r="P207" s="1053"/>
      <c r="Q207" s="1053"/>
      <c r="R207" s="1053"/>
      <c r="S207" s="1053"/>
      <c r="T207" s="1075"/>
    </row>
    <row r="208" spans="1:20" ht="15" customHeight="1" x14ac:dyDescent="0.25">
      <c r="A208" s="567"/>
      <c r="B208" s="564"/>
      <c r="C208" s="553"/>
      <c r="D208" s="553"/>
      <c r="E208" s="553"/>
      <c r="F208" s="556"/>
      <c r="G208" s="344" t="s">
        <v>940</v>
      </c>
      <c r="H208" s="344" t="s">
        <v>941</v>
      </c>
      <c r="I208" s="543" t="s">
        <v>1455</v>
      </c>
      <c r="J208" s="543"/>
      <c r="K208" s="205">
        <v>0.09</v>
      </c>
      <c r="L208" s="543"/>
      <c r="M208" s="519"/>
      <c r="N208" s="580"/>
      <c r="O208" s="580"/>
      <c r="P208" s="548"/>
      <c r="Q208" s="548"/>
      <c r="R208" s="519"/>
      <c r="S208" s="548"/>
      <c r="T208" s="241"/>
    </row>
    <row r="209" spans="1:20" ht="15" customHeight="1" x14ac:dyDescent="0.25">
      <c r="A209" s="567"/>
      <c r="B209" s="564"/>
      <c r="C209" s="553"/>
      <c r="D209" s="553"/>
      <c r="E209" s="553"/>
      <c r="F209" s="556"/>
      <c r="G209" s="1161" t="s">
        <v>14978</v>
      </c>
      <c r="H209" s="1161"/>
      <c r="I209" s="1161"/>
      <c r="J209" s="1161"/>
      <c r="K209" s="1161"/>
      <c r="L209" s="1161"/>
      <c r="M209" s="1161"/>
      <c r="N209" s="580"/>
      <c r="O209" s="580"/>
      <c r="P209" s="548"/>
      <c r="Q209" s="548"/>
      <c r="R209" s="519"/>
      <c r="S209" s="548"/>
      <c r="T209" s="241"/>
    </row>
    <row r="210" spans="1:20" ht="15" customHeight="1" x14ac:dyDescent="0.25">
      <c r="A210" s="567"/>
      <c r="B210" s="564"/>
      <c r="C210" s="553"/>
      <c r="D210" s="553"/>
      <c r="E210" s="553"/>
      <c r="F210" s="556"/>
      <c r="G210" s="1157" t="s">
        <v>2262</v>
      </c>
      <c r="H210" s="1157"/>
      <c r="I210" s="1157"/>
      <c r="J210" s="994">
        <f>0.149*0.9*0.6</f>
        <v>8.045999999999999E-2</v>
      </c>
      <c r="K210" s="995"/>
      <c r="L210" s="548"/>
      <c r="M210" s="519"/>
      <c r="N210" s="580"/>
      <c r="O210" s="580"/>
      <c r="P210" s="548"/>
      <c r="Q210" s="548"/>
      <c r="R210" s="519"/>
      <c r="S210" s="548"/>
      <c r="T210" s="241"/>
    </row>
    <row r="211" spans="1:20" ht="15" customHeight="1" x14ac:dyDescent="0.25">
      <c r="A211" s="567"/>
      <c r="B211" s="564"/>
      <c r="C211" s="553"/>
      <c r="D211" s="553"/>
      <c r="E211" s="553"/>
      <c r="F211" s="556"/>
      <c r="G211" s="1161" t="s">
        <v>18842</v>
      </c>
      <c r="H211" s="1161"/>
      <c r="I211" s="1161"/>
      <c r="J211" s="1161"/>
      <c r="K211" s="1161"/>
      <c r="L211" s="1161"/>
      <c r="M211" s="1161"/>
      <c r="N211" s="345"/>
      <c r="O211" s="345"/>
      <c r="P211" s="269"/>
      <c r="Q211" s="269"/>
      <c r="R211" s="594"/>
      <c r="S211" s="269"/>
      <c r="T211" s="259"/>
    </row>
    <row r="212" spans="1:20" ht="15" customHeight="1" x14ac:dyDescent="0.25">
      <c r="A212" s="567"/>
      <c r="B212" s="564"/>
      <c r="C212" s="553"/>
      <c r="D212" s="553"/>
      <c r="E212" s="553"/>
      <c r="F212" s="556"/>
      <c r="G212" s="1157" t="s">
        <v>2262</v>
      </c>
      <c r="H212" s="1157"/>
      <c r="I212" s="1157"/>
      <c r="J212" s="994">
        <f>0.187*0.9*0.6</f>
        <v>0.10098</v>
      </c>
      <c r="K212" s="995"/>
      <c r="L212" s="548"/>
      <c r="M212" s="519"/>
      <c r="N212" s="345"/>
      <c r="O212" s="345"/>
      <c r="P212" s="269"/>
      <c r="Q212" s="269"/>
      <c r="R212" s="594"/>
      <c r="S212" s="269"/>
      <c r="T212" s="259"/>
    </row>
    <row r="213" spans="1:20" ht="15" customHeight="1" thickBot="1" x14ac:dyDescent="0.3">
      <c r="A213" s="242"/>
      <c r="B213" s="243"/>
      <c r="C213" s="244"/>
      <c r="D213" s="244"/>
      <c r="E213" s="244"/>
      <c r="F213" s="245"/>
      <c r="G213" s="1032" t="s">
        <v>1199</v>
      </c>
      <c r="H213" s="1032"/>
      <c r="I213" s="1032"/>
      <c r="J213" s="542"/>
      <c r="K213" s="247">
        <f>SUM(J210:K212)</f>
        <v>0.18143999999999999</v>
      </c>
      <c r="L213" s="542">
        <v>0.92</v>
      </c>
      <c r="M213" s="247">
        <f>K213/L213</f>
        <v>0.19721739130434782</v>
      </c>
      <c r="N213" s="1032" t="s">
        <v>1199</v>
      </c>
      <c r="O213" s="1032"/>
      <c r="P213" s="1032"/>
      <c r="Q213" s="542"/>
      <c r="R213" s="247">
        <f>SUM(R206:R208)</f>
        <v>0</v>
      </c>
      <c r="S213" s="542">
        <v>0.92</v>
      </c>
      <c r="T213" s="249">
        <f>R213/S213</f>
        <v>0</v>
      </c>
    </row>
    <row r="214" spans="1:20" ht="15" customHeight="1" x14ac:dyDescent="0.25">
      <c r="A214" s="566" t="str">
        <f>Итоговая!C275</f>
        <v xml:space="preserve">ПС 110/35/10 кВ Оленино </v>
      </c>
      <c r="B214" s="563">
        <f>Итоговая!D275</f>
        <v>16</v>
      </c>
      <c r="C214" s="552" t="str">
        <f>Итоговая!E275</f>
        <v>+</v>
      </c>
      <c r="D214" s="552">
        <f>Итоговая!F275</f>
        <v>10</v>
      </c>
      <c r="E214" s="552"/>
      <c r="F214" s="555"/>
      <c r="G214" s="1162" t="s">
        <v>1645</v>
      </c>
      <c r="H214" s="1162"/>
      <c r="I214" s="1162"/>
      <c r="J214" s="1162"/>
      <c r="K214" s="1162"/>
      <c r="L214" s="1162"/>
      <c r="M214" s="1162"/>
      <c r="N214" s="215"/>
      <c r="O214" s="215"/>
      <c r="P214" s="215"/>
      <c r="Q214" s="215"/>
      <c r="R214" s="216"/>
      <c r="S214" s="215"/>
      <c r="T214" s="217"/>
    </row>
    <row r="215" spans="1:20" ht="15" customHeight="1" x14ac:dyDescent="0.25">
      <c r="A215" s="567"/>
      <c r="B215" s="564"/>
      <c r="C215" s="553"/>
      <c r="D215" s="553"/>
      <c r="E215" s="553"/>
      <c r="F215" s="556"/>
      <c r="G215" s="543" t="s">
        <v>1679</v>
      </c>
      <c r="H215" s="543" t="s">
        <v>1702</v>
      </c>
      <c r="I215" s="543" t="s">
        <v>1807</v>
      </c>
      <c r="J215" s="543"/>
      <c r="K215" s="205">
        <v>2.3E-2</v>
      </c>
      <c r="L215" s="543"/>
      <c r="M215" s="519"/>
      <c r="N215" s="543"/>
      <c r="O215" s="543"/>
      <c r="P215" s="543"/>
      <c r="Q215" s="543"/>
      <c r="R215" s="205"/>
      <c r="S215" s="543"/>
      <c r="T215" s="241"/>
    </row>
    <row r="216" spans="1:20" ht="15" customHeight="1" x14ac:dyDescent="0.25">
      <c r="A216" s="567"/>
      <c r="B216" s="564"/>
      <c r="C216" s="553"/>
      <c r="D216" s="553"/>
      <c r="E216" s="553"/>
      <c r="F216" s="556"/>
      <c r="G216" s="543" t="s">
        <v>1909</v>
      </c>
      <c r="H216" s="543" t="s">
        <v>1917</v>
      </c>
      <c r="I216" s="543" t="s">
        <v>1941</v>
      </c>
      <c r="J216" s="543"/>
      <c r="K216" s="205">
        <v>1.9E-2</v>
      </c>
      <c r="L216" s="543"/>
      <c r="M216" s="519"/>
      <c r="N216" s="543"/>
      <c r="O216" s="543"/>
      <c r="P216" s="543"/>
      <c r="Q216" s="543"/>
      <c r="R216" s="205"/>
      <c r="S216" s="543"/>
      <c r="T216" s="241"/>
    </row>
    <row r="217" spans="1:20" ht="15" customHeight="1" x14ac:dyDescent="0.25">
      <c r="A217" s="567"/>
      <c r="B217" s="564"/>
      <c r="C217" s="553"/>
      <c r="D217" s="553"/>
      <c r="E217" s="553"/>
      <c r="F217" s="556"/>
      <c r="G217" s="1161" t="s">
        <v>2011</v>
      </c>
      <c r="H217" s="1161"/>
      <c r="I217" s="1161"/>
      <c r="J217" s="1161"/>
      <c r="K217" s="1161"/>
      <c r="L217" s="1161"/>
      <c r="M217" s="1161"/>
      <c r="N217" s="543"/>
      <c r="O217" s="543"/>
      <c r="P217" s="543"/>
      <c r="Q217" s="543"/>
      <c r="R217" s="205"/>
      <c r="S217" s="543"/>
      <c r="T217" s="241"/>
    </row>
    <row r="218" spans="1:20" ht="15" customHeight="1" x14ac:dyDescent="0.25">
      <c r="A218" s="567"/>
      <c r="B218" s="564"/>
      <c r="C218" s="553"/>
      <c r="D218" s="553"/>
      <c r="E218" s="553"/>
      <c r="F218" s="556"/>
      <c r="G218" s="543" t="s">
        <v>2137</v>
      </c>
      <c r="H218" s="543" t="s">
        <v>2138</v>
      </c>
      <c r="I218" s="543" t="s">
        <v>2176</v>
      </c>
      <c r="J218" s="543"/>
      <c r="K218" s="205">
        <f>0.05*0.9</f>
        <v>4.5000000000000005E-2</v>
      </c>
      <c r="L218" s="543"/>
      <c r="M218" s="519"/>
      <c r="N218" s="543"/>
      <c r="O218" s="543"/>
      <c r="P218" s="543"/>
      <c r="Q218" s="543"/>
      <c r="R218" s="205"/>
      <c r="S218" s="543"/>
      <c r="T218" s="241"/>
    </row>
    <row r="219" spans="1:20" ht="15" customHeight="1" x14ac:dyDescent="0.25">
      <c r="A219" s="567"/>
      <c r="B219" s="564"/>
      <c r="C219" s="553"/>
      <c r="D219" s="553"/>
      <c r="E219" s="553"/>
      <c r="F219" s="556"/>
      <c r="G219" s="1161" t="s">
        <v>2290</v>
      </c>
      <c r="H219" s="1161"/>
      <c r="I219" s="1161"/>
      <c r="J219" s="1161"/>
      <c r="K219" s="1161"/>
      <c r="L219" s="1161"/>
      <c r="M219" s="1161"/>
      <c r="N219" s="543"/>
      <c r="O219" s="543"/>
      <c r="P219" s="543"/>
      <c r="Q219" s="543"/>
      <c r="R219" s="205"/>
      <c r="S219" s="543"/>
      <c r="T219" s="241"/>
    </row>
    <row r="220" spans="1:20" ht="15" customHeight="1" x14ac:dyDescent="0.25">
      <c r="A220" s="567"/>
      <c r="B220" s="564"/>
      <c r="C220" s="553"/>
      <c r="D220" s="553"/>
      <c r="E220" s="553"/>
      <c r="F220" s="556"/>
      <c r="G220" s="543" t="s">
        <v>1935</v>
      </c>
      <c r="H220" s="543" t="s">
        <v>14727</v>
      </c>
      <c r="I220" s="543" t="s">
        <v>14850</v>
      </c>
      <c r="J220" s="543"/>
      <c r="K220" s="205">
        <f>0.017</f>
        <v>1.7000000000000001E-2</v>
      </c>
      <c r="L220" s="543"/>
      <c r="M220" s="519"/>
      <c r="N220" s="543"/>
      <c r="O220" s="543"/>
      <c r="P220" s="543"/>
      <c r="Q220" s="543"/>
      <c r="R220" s="205"/>
      <c r="S220" s="543"/>
      <c r="T220" s="241"/>
    </row>
    <row r="221" spans="1:20" ht="15" customHeight="1" x14ac:dyDescent="0.25">
      <c r="A221" s="567"/>
      <c r="B221" s="564"/>
      <c r="C221" s="553"/>
      <c r="D221" s="553"/>
      <c r="E221" s="553"/>
      <c r="F221" s="556"/>
      <c r="G221" s="543" t="s">
        <v>14814</v>
      </c>
      <c r="H221" s="543" t="s">
        <v>14815</v>
      </c>
      <c r="I221" s="543" t="s">
        <v>14868</v>
      </c>
      <c r="J221" s="543"/>
      <c r="K221" s="205">
        <f>(0.024-0.015)*0.75</f>
        <v>6.7500000000000008E-3</v>
      </c>
      <c r="L221" s="543"/>
      <c r="M221" s="519"/>
      <c r="N221" s="543"/>
      <c r="O221" s="543"/>
      <c r="P221" s="543"/>
      <c r="Q221" s="543"/>
      <c r="R221" s="205"/>
      <c r="S221" s="543"/>
      <c r="T221" s="241"/>
    </row>
    <row r="222" spans="1:20" ht="15" customHeight="1" x14ac:dyDescent="0.25">
      <c r="A222" s="567"/>
      <c r="B222" s="564"/>
      <c r="C222" s="553"/>
      <c r="D222" s="553"/>
      <c r="E222" s="553"/>
      <c r="F222" s="556"/>
      <c r="G222" s="543" t="s">
        <v>14914</v>
      </c>
      <c r="H222" s="543" t="s">
        <v>14917</v>
      </c>
      <c r="I222" s="543" t="s">
        <v>14963</v>
      </c>
      <c r="J222" s="543"/>
      <c r="K222" s="205">
        <f>0.03*0.75</f>
        <v>2.2499999999999999E-2</v>
      </c>
      <c r="L222" s="543"/>
      <c r="M222" s="519"/>
      <c r="N222" s="543"/>
      <c r="O222" s="543"/>
      <c r="P222" s="543"/>
      <c r="Q222" s="543"/>
      <c r="R222" s="205"/>
      <c r="S222" s="543"/>
      <c r="T222" s="241"/>
    </row>
    <row r="223" spans="1:20" ht="15" customHeight="1" x14ac:dyDescent="0.25">
      <c r="A223" s="567"/>
      <c r="B223" s="564"/>
      <c r="C223" s="553"/>
      <c r="D223" s="553"/>
      <c r="E223" s="553"/>
      <c r="F223" s="556"/>
      <c r="G223" s="1161" t="s">
        <v>14933</v>
      </c>
      <c r="H223" s="1161"/>
      <c r="I223" s="1161"/>
      <c r="J223" s="1161"/>
      <c r="K223" s="1161"/>
      <c r="L223" s="1161"/>
      <c r="M223" s="1161"/>
      <c r="N223" s="543"/>
      <c r="O223" s="543"/>
      <c r="P223" s="543"/>
      <c r="Q223" s="543"/>
      <c r="R223" s="205"/>
      <c r="S223" s="543"/>
      <c r="T223" s="241"/>
    </row>
    <row r="224" spans="1:20" ht="15" customHeight="1" x14ac:dyDescent="0.25">
      <c r="A224" s="567"/>
      <c r="B224" s="564"/>
      <c r="C224" s="553"/>
      <c r="D224" s="553"/>
      <c r="E224" s="553"/>
      <c r="F224" s="556"/>
      <c r="G224" s="543" t="s">
        <v>17317</v>
      </c>
      <c r="H224" s="543" t="s">
        <v>17318</v>
      </c>
      <c r="I224" s="543" t="s">
        <v>17319</v>
      </c>
      <c r="J224" s="543"/>
      <c r="K224" s="205">
        <f>(0.245-0.005)*0.9</f>
        <v>0.216</v>
      </c>
      <c r="L224" s="543"/>
      <c r="M224" s="519"/>
      <c r="N224" s="543"/>
      <c r="O224" s="543"/>
      <c r="P224" s="543"/>
      <c r="Q224" s="543"/>
      <c r="R224" s="205"/>
      <c r="S224" s="543"/>
      <c r="T224" s="241"/>
    </row>
    <row r="225" spans="1:20" ht="15" customHeight="1" x14ac:dyDescent="0.25">
      <c r="A225" s="567"/>
      <c r="B225" s="564"/>
      <c r="C225" s="553"/>
      <c r="D225" s="553"/>
      <c r="E225" s="553"/>
      <c r="F225" s="556"/>
      <c r="G225" s="1161" t="s">
        <v>14978</v>
      </c>
      <c r="H225" s="1161"/>
      <c r="I225" s="1161"/>
      <c r="J225" s="1161"/>
      <c r="K225" s="1161"/>
      <c r="L225" s="1161"/>
      <c r="M225" s="1161"/>
      <c r="N225" s="557"/>
      <c r="O225" s="557"/>
      <c r="P225" s="557"/>
      <c r="Q225" s="557"/>
      <c r="R225" s="230"/>
      <c r="S225" s="557"/>
      <c r="T225" s="259"/>
    </row>
    <row r="226" spans="1:20" ht="15" customHeight="1" x14ac:dyDescent="0.25">
      <c r="A226" s="567"/>
      <c r="B226" s="564"/>
      <c r="C226" s="553"/>
      <c r="D226" s="553"/>
      <c r="E226" s="553"/>
      <c r="F226" s="556"/>
      <c r="G226" s="1157" t="s">
        <v>2262</v>
      </c>
      <c r="H226" s="1157"/>
      <c r="I226" s="1157"/>
      <c r="J226" s="994">
        <f>0.045*0.9</f>
        <v>4.0500000000000001E-2</v>
      </c>
      <c r="K226" s="995"/>
      <c r="L226" s="548"/>
      <c r="M226" s="519"/>
      <c r="N226" s="557"/>
      <c r="O226" s="557"/>
      <c r="P226" s="557"/>
      <c r="Q226" s="557"/>
      <c r="R226" s="230"/>
      <c r="S226" s="557"/>
      <c r="T226" s="259"/>
    </row>
    <row r="227" spans="1:20" ht="15" customHeight="1" x14ac:dyDescent="0.25">
      <c r="A227" s="567"/>
      <c r="B227" s="564"/>
      <c r="C227" s="553"/>
      <c r="D227" s="553"/>
      <c r="E227" s="553"/>
      <c r="F227" s="556"/>
      <c r="G227" s="1161" t="s">
        <v>18842</v>
      </c>
      <c r="H227" s="1161"/>
      <c r="I227" s="1161"/>
      <c r="J227" s="1161"/>
      <c r="K227" s="1161"/>
      <c r="L227" s="1161"/>
      <c r="M227" s="1161"/>
      <c r="N227" s="557"/>
      <c r="O227" s="557"/>
      <c r="P227" s="557"/>
      <c r="Q227" s="557"/>
      <c r="R227" s="230"/>
      <c r="S227" s="557"/>
      <c r="T227" s="259"/>
    </row>
    <row r="228" spans="1:20" ht="15" customHeight="1" x14ac:dyDescent="0.25">
      <c r="A228" s="567"/>
      <c r="B228" s="564"/>
      <c r="C228" s="553"/>
      <c r="D228" s="553"/>
      <c r="E228" s="553"/>
      <c r="F228" s="556"/>
      <c r="G228" s="269" t="s">
        <v>19003</v>
      </c>
      <c r="H228" s="269" t="s">
        <v>19004</v>
      </c>
      <c r="I228" s="269">
        <v>41123465</v>
      </c>
      <c r="J228" s="594">
        <f>0.3*0.75</f>
        <v>0.22499999999999998</v>
      </c>
      <c r="K228" s="594"/>
      <c r="L228" s="269"/>
      <c r="M228" s="594"/>
      <c r="N228" s="557"/>
      <c r="O228" s="557"/>
      <c r="P228" s="557"/>
      <c r="Q228" s="557"/>
      <c r="R228" s="230"/>
      <c r="S228" s="557"/>
      <c r="T228" s="259"/>
    </row>
    <row r="229" spans="1:20" ht="15" customHeight="1" x14ac:dyDescent="0.25">
      <c r="A229" s="730"/>
      <c r="B229" s="720"/>
      <c r="C229" s="721"/>
      <c r="D229" s="721"/>
      <c r="E229" s="721"/>
      <c r="F229" s="722"/>
      <c r="G229" s="1157" t="s">
        <v>2262</v>
      </c>
      <c r="H229" s="1157"/>
      <c r="I229" s="1157"/>
      <c r="J229" s="994">
        <f>0.075*0.9*0.6</f>
        <v>4.0500000000000001E-2</v>
      </c>
      <c r="K229" s="995"/>
      <c r="L229" s="728"/>
      <c r="M229" s="718"/>
      <c r="N229" s="716"/>
      <c r="O229" s="716"/>
      <c r="P229" s="716"/>
      <c r="Q229" s="716"/>
      <c r="R229" s="717"/>
      <c r="S229" s="716"/>
      <c r="T229" s="259"/>
    </row>
    <row r="230" spans="1:20" ht="15" customHeight="1" thickBot="1" x14ac:dyDescent="0.3">
      <c r="A230" s="242"/>
      <c r="B230" s="243"/>
      <c r="C230" s="244"/>
      <c r="D230" s="244"/>
      <c r="E230" s="244"/>
      <c r="F230" s="245"/>
      <c r="G230" s="1032" t="s">
        <v>1199</v>
      </c>
      <c r="H230" s="1032"/>
      <c r="I230" s="1032"/>
      <c r="J230" s="542"/>
      <c r="K230" s="247">
        <f>SUM(J224:K228)</f>
        <v>0.48149999999999998</v>
      </c>
      <c r="L230" s="542">
        <v>0.92</v>
      </c>
      <c r="M230" s="247">
        <f>K230/L230</f>
        <v>0.52336956521739131</v>
      </c>
      <c r="N230" s="1032" t="s">
        <v>1199</v>
      </c>
      <c r="O230" s="1032"/>
      <c r="P230" s="1032"/>
      <c r="Q230" s="542"/>
      <c r="R230" s="247">
        <f>SUM(R214:R214)</f>
        <v>0</v>
      </c>
      <c r="S230" s="542">
        <v>0.92</v>
      </c>
      <c r="T230" s="249">
        <f>R230/S230</f>
        <v>0</v>
      </c>
    </row>
    <row r="231" spans="1:20" ht="15" customHeight="1" x14ac:dyDescent="0.25">
      <c r="A231" s="1092" t="str">
        <f>Итоговая!C278</f>
        <v xml:space="preserve">ПС 110/35/10 кВ Старица </v>
      </c>
      <c r="B231" s="1072">
        <f>Итоговая!D278</f>
        <v>16</v>
      </c>
      <c r="C231" s="1067" t="str">
        <f>Итоговая!E278</f>
        <v>+</v>
      </c>
      <c r="D231" s="1067">
        <f>Итоговая!F278</f>
        <v>16</v>
      </c>
      <c r="E231" s="552"/>
      <c r="F231" s="555"/>
      <c r="G231" s="1162" t="s">
        <v>1288</v>
      </c>
      <c r="H231" s="1162"/>
      <c r="I231" s="1162"/>
      <c r="J231" s="1162"/>
      <c r="K231" s="1162"/>
      <c r="L231" s="1162"/>
      <c r="M231" s="1162"/>
      <c r="N231" s="1073"/>
      <c r="O231" s="1073"/>
      <c r="P231" s="1073"/>
      <c r="Q231" s="1073"/>
      <c r="R231" s="1073"/>
      <c r="S231" s="1073"/>
      <c r="T231" s="1074"/>
    </row>
    <row r="232" spans="1:20" ht="15" customHeight="1" x14ac:dyDescent="0.25">
      <c r="A232" s="1093"/>
      <c r="B232" s="1023"/>
      <c r="C232" s="1024"/>
      <c r="D232" s="1024"/>
      <c r="E232" s="553"/>
      <c r="F232" s="556"/>
      <c r="G232" s="543" t="s">
        <v>1220</v>
      </c>
      <c r="H232" s="543" t="s">
        <v>558</v>
      </c>
      <c r="I232" s="543" t="s">
        <v>559</v>
      </c>
      <c r="J232" s="543"/>
      <c r="K232" s="205">
        <v>0.18099999999999999</v>
      </c>
      <c r="L232" s="543"/>
      <c r="M232" s="519"/>
      <c r="N232" s="548"/>
      <c r="O232" s="548"/>
      <c r="P232" s="548"/>
      <c r="Q232" s="548"/>
      <c r="R232" s="519"/>
      <c r="S232" s="548"/>
      <c r="T232" s="241"/>
    </row>
    <row r="233" spans="1:20" ht="15" customHeight="1" x14ac:dyDescent="0.25">
      <c r="A233" s="567"/>
      <c r="B233" s="564"/>
      <c r="C233" s="553"/>
      <c r="D233" s="553"/>
      <c r="E233" s="553"/>
      <c r="F233" s="556"/>
      <c r="G233" s="543" t="s">
        <v>1220</v>
      </c>
      <c r="H233" s="543" t="s">
        <v>560</v>
      </c>
      <c r="I233" s="543" t="s">
        <v>561</v>
      </c>
      <c r="J233" s="543"/>
      <c r="K233" s="205">
        <v>0.77200000000000002</v>
      </c>
      <c r="L233" s="543"/>
      <c r="M233" s="519"/>
      <c r="N233" s="548"/>
      <c r="O233" s="548"/>
      <c r="P233" s="548"/>
      <c r="Q233" s="548"/>
      <c r="R233" s="519"/>
      <c r="S233" s="548"/>
      <c r="T233" s="241"/>
    </row>
    <row r="234" spans="1:20" ht="15" customHeight="1" x14ac:dyDescent="0.25">
      <c r="A234" s="567"/>
      <c r="B234" s="564"/>
      <c r="C234" s="553"/>
      <c r="D234" s="553"/>
      <c r="E234" s="553"/>
      <c r="F234" s="556"/>
      <c r="G234" s="1161" t="s">
        <v>1286</v>
      </c>
      <c r="H234" s="1161"/>
      <c r="I234" s="1161"/>
      <c r="J234" s="1161"/>
      <c r="K234" s="1161"/>
      <c r="L234" s="1161"/>
      <c r="M234" s="1161"/>
      <c r="N234" s="1053"/>
      <c r="O234" s="1053"/>
      <c r="P234" s="1053"/>
      <c r="Q234" s="1053"/>
      <c r="R234" s="1053"/>
      <c r="S234" s="1053"/>
      <c r="T234" s="1075"/>
    </row>
    <row r="235" spans="1:20" ht="15" customHeight="1" x14ac:dyDescent="0.25">
      <c r="A235" s="567"/>
      <c r="B235" s="564"/>
      <c r="C235" s="553"/>
      <c r="D235" s="553"/>
      <c r="E235" s="553"/>
      <c r="F235" s="556"/>
      <c r="G235" s="548" t="s">
        <v>1539</v>
      </c>
      <c r="H235" s="548" t="s">
        <v>1540</v>
      </c>
      <c r="I235" s="548" t="s">
        <v>1541</v>
      </c>
      <c r="J235" s="548"/>
      <c r="K235" s="519">
        <v>0.1</v>
      </c>
      <c r="L235" s="548"/>
      <c r="M235" s="519"/>
      <c r="N235" s="548"/>
      <c r="O235" s="548"/>
      <c r="P235" s="548"/>
      <c r="Q235" s="548"/>
      <c r="R235" s="519"/>
      <c r="S235" s="548"/>
      <c r="T235" s="241"/>
    </row>
    <row r="236" spans="1:20" ht="15" customHeight="1" x14ac:dyDescent="0.25">
      <c r="A236" s="567"/>
      <c r="B236" s="564"/>
      <c r="C236" s="553"/>
      <c r="D236" s="553"/>
      <c r="E236" s="553"/>
      <c r="F236" s="556"/>
      <c r="G236" s="543" t="s">
        <v>562</v>
      </c>
      <c r="H236" s="543" t="s">
        <v>563</v>
      </c>
      <c r="I236" s="543" t="s">
        <v>564</v>
      </c>
      <c r="J236" s="543"/>
      <c r="K236" s="205">
        <v>0.05</v>
      </c>
      <c r="L236" s="543"/>
      <c r="M236" s="519"/>
      <c r="N236" s="548"/>
      <c r="O236" s="548"/>
      <c r="P236" s="548"/>
      <c r="Q236" s="548"/>
      <c r="R236" s="519"/>
      <c r="S236" s="548"/>
      <c r="T236" s="241"/>
    </row>
    <row r="237" spans="1:20" ht="15" customHeight="1" x14ac:dyDescent="0.25">
      <c r="A237" s="567"/>
      <c r="B237" s="564"/>
      <c r="C237" s="553"/>
      <c r="D237" s="553"/>
      <c r="E237" s="553"/>
      <c r="F237" s="556"/>
      <c r="G237" s="1161" t="s">
        <v>1324</v>
      </c>
      <c r="H237" s="1161"/>
      <c r="I237" s="1161"/>
      <c r="J237" s="1161"/>
      <c r="K237" s="1161"/>
      <c r="L237" s="1161"/>
      <c r="M237" s="1161"/>
      <c r="N237" s="1053"/>
      <c r="O237" s="1053"/>
      <c r="P237" s="1053"/>
      <c r="Q237" s="1053"/>
      <c r="R237" s="1053"/>
      <c r="S237" s="1053"/>
      <c r="T237" s="1075"/>
    </row>
    <row r="238" spans="1:20" ht="15" customHeight="1" x14ac:dyDescent="0.25">
      <c r="A238" s="567"/>
      <c r="B238" s="564"/>
      <c r="C238" s="553"/>
      <c r="D238" s="553"/>
      <c r="E238" s="553"/>
      <c r="F238" s="556"/>
      <c r="G238" s="543" t="s">
        <v>565</v>
      </c>
      <c r="H238" s="543" t="s">
        <v>55</v>
      </c>
      <c r="I238" s="543" t="s">
        <v>1517</v>
      </c>
      <c r="J238" s="543"/>
      <c r="K238" s="205">
        <v>0.2</v>
      </c>
      <c r="L238" s="543"/>
      <c r="M238" s="519"/>
      <c r="N238" s="548"/>
      <c r="O238" s="548"/>
      <c r="P238" s="548"/>
      <c r="Q238" s="548"/>
      <c r="R238" s="519"/>
      <c r="S238" s="548"/>
      <c r="T238" s="241"/>
    </row>
    <row r="239" spans="1:20" ht="15" customHeight="1" x14ac:dyDescent="0.25">
      <c r="A239" s="567"/>
      <c r="B239" s="564"/>
      <c r="C239" s="553"/>
      <c r="D239" s="553"/>
      <c r="E239" s="553"/>
      <c r="F239" s="556"/>
      <c r="G239" s="548" t="s">
        <v>12</v>
      </c>
      <c r="H239" s="543" t="s">
        <v>13</v>
      </c>
      <c r="I239" s="543" t="s">
        <v>1505</v>
      </c>
      <c r="J239" s="543"/>
      <c r="K239" s="205">
        <v>0.05</v>
      </c>
      <c r="L239" s="543"/>
      <c r="M239" s="519"/>
      <c r="N239" s="548"/>
      <c r="O239" s="548"/>
      <c r="P239" s="548"/>
      <c r="Q239" s="548"/>
      <c r="R239" s="519"/>
      <c r="S239" s="548"/>
      <c r="T239" s="241"/>
    </row>
    <row r="240" spans="1:20" ht="15" customHeight="1" x14ac:dyDescent="0.25">
      <c r="A240" s="567"/>
      <c r="B240" s="564"/>
      <c r="C240" s="553"/>
      <c r="D240" s="553"/>
      <c r="E240" s="553"/>
      <c r="F240" s="556"/>
      <c r="G240" s="543" t="s">
        <v>1430</v>
      </c>
      <c r="H240" s="543" t="s">
        <v>1431</v>
      </c>
      <c r="I240" s="543" t="s">
        <v>1623</v>
      </c>
      <c r="J240" s="543"/>
      <c r="K240" s="205">
        <v>0.03</v>
      </c>
      <c r="L240" s="543"/>
      <c r="M240" s="519"/>
      <c r="N240" s="548"/>
      <c r="O240" s="548"/>
      <c r="P240" s="548"/>
      <c r="Q240" s="548"/>
      <c r="R240" s="519"/>
      <c r="S240" s="548"/>
      <c r="T240" s="241"/>
    </row>
    <row r="241" spans="1:20" ht="15" customHeight="1" x14ac:dyDescent="0.25">
      <c r="A241" s="567"/>
      <c r="B241" s="564"/>
      <c r="C241" s="553"/>
      <c r="D241" s="553"/>
      <c r="E241" s="553"/>
      <c r="F241" s="556"/>
      <c r="G241" s="1161" t="s">
        <v>1645</v>
      </c>
      <c r="H241" s="1161"/>
      <c r="I241" s="1161"/>
      <c r="J241" s="1161"/>
      <c r="K241" s="1161"/>
      <c r="L241" s="1161"/>
      <c r="M241" s="1161"/>
      <c r="N241" s="1053"/>
      <c r="O241" s="1053"/>
      <c r="P241" s="1053"/>
      <c r="Q241" s="1053"/>
      <c r="R241" s="1053"/>
      <c r="S241" s="1053"/>
      <c r="T241" s="1075"/>
    </row>
    <row r="242" spans="1:20" ht="15" customHeight="1" x14ac:dyDescent="0.25">
      <c r="A242" s="567"/>
      <c r="B242" s="564"/>
      <c r="C242" s="553"/>
      <c r="D242" s="553"/>
      <c r="E242" s="553"/>
      <c r="F242" s="556"/>
      <c r="G242" s="543" t="s">
        <v>1430</v>
      </c>
      <c r="H242" s="543" t="s">
        <v>1643</v>
      </c>
      <c r="I242" s="543" t="s">
        <v>1644</v>
      </c>
      <c r="J242" s="543"/>
      <c r="K242" s="205">
        <v>0.25</v>
      </c>
      <c r="L242" s="543"/>
      <c r="M242" s="519"/>
      <c r="N242" s="548"/>
      <c r="O242" s="548"/>
      <c r="P242" s="548"/>
      <c r="Q242" s="548"/>
      <c r="R242" s="519"/>
      <c r="S242" s="548"/>
      <c r="T242" s="241"/>
    </row>
    <row r="243" spans="1:20" ht="15" customHeight="1" x14ac:dyDescent="0.25">
      <c r="A243" s="567"/>
      <c r="B243" s="564"/>
      <c r="C243" s="553"/>
      <c r="D243" s="553"/>
      <c r="E243" s="553"/>
      <c r="F243" s="556"/>
      <c r="G243" s="543" t="s">
        <v>1599</v>
      </c>
      <c r="H243" s="543" t="s">
        <v>1600</v>
      </c>
      <c r="I243" s="543" t="s">
        <v>1688</v>
      </c>
      <c r="J243" s="543"/>
      <c r="K243" s="205">
        <f>0.025-0.015</f>
        <v>1.0000000000000002E-2</v>
      </c>
      <c r="L243" s="543"/>
      <c r="M243" s="519"/>
      <c r="N243" s="548"/>
      <c r="O243" s="548"/>
      <c r="P243" s="548"/>
      <c r="Q243" s="548"/>
      <c r="R243" s="519"/>
      <c r="S243" s="548"/>
      <c r="T243" s="241"/>
    </row>
    <row r="244" spans="1:20" ht="15" customHeight="1" x14ac:dyDescent="0.25">
      <c r="A244" s="567"/>
      <c r="B244" s="564"/>
      <c r="C244" s="553"/>
      <c r="D244" s="553"/>
      <c r="E244" s="553"/>
      <c r="F244" s="556"/>
      <c r="G244" s="543" t="s">
        <v>1679</v>
      </c>
      <c r="H244" s="543" t="s">
        <v>1701</v>
      </c>
      <c r="I244" s="543" t="s">
        <v>1805</v>
      </c>
      <c r="J244" s="543"/>
      <c r="K244" s="205">
        <v>2.3E-2</v>
      </c>
      <c r="L244" s="543"/>
      <c r="M244" s="519"/>
      <c r="N244" s="548"/>
      <c r="O244" s="548"/>
      <c r="P244" s="548"/>
      <c r="Q244" s="548"/>
      <c r="R244" s="519"/>
      <c r="S244" s="548"/>
      <c r="T244" s="241"/>
    </row>
    <row r="245" spans="1:20" ht="15" customHeight="1" x14ac:dyDescent="0.25">
      <c r="A245" s="567"/>
      <c r="B245" s="564"/>
      <c r="C245" s="553"/>
      <c r="D245" s="553"/>
      <c r="E245" s="553"/>
      <c r="F245" s="556"/>
      <c r="G245" s="1161" t="s">
        <v>2290</v>
      </c>
      <c r="H245" s="1161"/>
      <c r="I245" s="1161"/>
      <c r="J245" s="1161"/>
      <c r="K245" s="1161"/>
      <c r="L245" s="1161"/>
      <c r="M245" s="1161"/>
      <c r="N245" s="548"/>
      <c r="O245" s="548"/>
      <c r="P245" s="548"/>
      <c r="Q245" s="548"/>
      <c r="R245" s="519"/>
      <c r="S245" s="548"/>
      <c r="T245" s="241"/>
    </row>
    <row r="246" spans="1:20" ht="15" customHeight="1" x14ac:dyDescent="0.25">
      <c r="A246" s="567"/>
      <c r="B246" s="564"/>
      <c r="C246" s="553"/>
      <c r="D246" s="553"/>
      <c r="E246" s="553"/>
      <c r="F246" s="556"/>
      <c r="G246" s="548" t="s">
        <v>2221</v>
      </c>
      <c r="H246" s="543" t="s">
        <v>2222</v>
      </c>
      <c r="I246" s="548" t="s">
        <v>2291</v>
      </c>
      <c r="J246" s="548"/>
      <c r="K246" s="519">
        <f>0.05*0.15</f>
        <v>7.4999999999999997E-3</v>
      </c>
      <c r="L246" s="548"/>
      <c r="M246" s="519"/>
      <c r="N246" s="548"/>
      <c r="O246" s="548"/>
      <c r="P246" s="548"/>
      <c r="Q246" s="548"/>
      <c r="R246" s="519"/>
      <c r="S246" s="548"/>
      <c r="T246" s="241"/>
    </row>
    <row r="247" spans="1:20" ht="15" customHeight="1" x14ac:dyDescent="0.25">
      <c r="A247" s="567"/>
      <c r="B247" s="564"/>
      <c r="C247" s="553"/>
      <c r="D247" s="553"/>
      <c r="E247" s="553"/>
      <c r="F247" s="556"/>
      <c r="G247" s="543" t="s">
        <v>2219</v>
      </c>
      <c r="H247" s="543" t="s">
        <v>2220</v>
      </c>
      <c r="I247" s="548" t="s">
        <v>2318</v>
      </c>
      <c r="J247" s="548"/>
      <c r="K247" s="519">
        <f>0.05*0.9</f>
        <v>4.5000000000000005E-2</v>
      </c>
      <c r="L247" s="548"/>
      <c r="M247" s="519"/>
      <c r="N247" s="548"/>
      <c r="O247" s="548"/>
      <c r="P247" s="548"/>
      <c r="Q247" s="548"/>
      <c r="R247" s="519"/>
      <c r="S247" s="548"/>
      <c r="T247" s="241"/>
    </row>
    <row r="248" spans="1:20" ht="15" customHeight="1" x14ac:dyDescent="0.25">
      <c r="A248" s="567"/>
      <c r="B248" s="564"/>
      <c r="C248" s="553"/>
      <c r="D248" s="553"/>
      <c r="E248" s="553"/>
      <c r="F248" s="556"/>
      <c r="G248" s="548" t="s">
        <v>13405</v>
      </c>
      <c r="H248" s="543" t="s">
        <v>13406</v>
      </c>
      <c r="I248" s="548" t="s">
        <v>14761</v>
      </c>
      <c r="J248" s="548"/>
      <c r="K248" s="519">
        <f>0.45*0.75</f>
        <v>0.33750000000000002</v>
      </c>
      <c r="L248" s="548"/>
      <c r="M248" s="519"/>
      <c r="N248" s="548"/>
      <c r="O248" s="548"/>
      <c r="P248" s="548"/>
      <c r="Q248" s="548"/>
      <c r="R248" s="519"/>
      <c r="S248" s="548"/>
      <c r="T248" s="241"/>
    </row>
    <row r="249" spans="1:20" ht="15" customHeight="1" x14ac:dyDescent="0.25">
      <c r="A249" s="567"/>
      <c r="B249" s="564"/>
      <c r="C249" s="553"/>
      <c r="D249" s="553"/>
      <c r="E249" s="553"/>
      <c r="F249" s="556"/>
      <c r="G249" s="548" t="s">
        <v>14736</v>
      </c>
      <c r="H249" s="543" t="s">
        <v>14737</v>
      </c>
      <c r="I249" s="543" t="s">
        <v>14853</v>
      </c>
      <c r="J249" s="543"/>
      <c r="K249" s="519">
        <f>0.41*0.75</f>
        <v>0.3075</v>
      </c>
      <c r="L249" s="548"/>
      <c r="M249" s="519"/>
      <c r="N249" s="548"/>
      <c r="O249" s="548"/>
      <c r="P249" s="548"/>
      <c r="Q249" s="548"/>
      <c r="R249" s="519"/>
      <c r="S249" s="548"/>
      <c r="T249" s="241"/>
    </row>
    <row r="250" spans="1:20" ht="15" customHeight="1" x14ac:dyDescent="0.25">
      <c r="A250" s="567"/>
      <c r="B250" s="564"/>
      <c r="C250" s="553"/>
      <c r="D250" s="553"/>
      <c r="E250" s="553"/>
      <c r="F250" s="556"/>
      <c r="G250" s="548" t="s">
        <v>14808</v>
      </c>
      <c r="H250" s="543" t="s">
        <v>14809</v>
      </c>
      <c r="I250" s="543" t="s">
        <v>14962</v>
      </c>
      <c r="J250" s="543"/>
      <c r="K250" s="519">
        <f>0.5*0.75</f>
        <v>0.375</v>
      </c>
      <c r="L250" s="548"/>
      <c r="M250" s="519"/>
      <c r="N250" s="548"/>
      <c r="O250" s="548"/>
      <c r="P250" s="548"/>
      <c r="Q250" s="548"/>
      <c r="R250" s="519"/>
      <c r="S250" s="548"/>
      <c r="T250" s="241"/>
    </row>
    <row r="251" spans="1:20" ht="15" customHeight="1" x14ac:dyDescent="0.25">
      <c r="A251" s="567"/>
      <c r="B251" s="564"/>
      <c r="C251" s="553"/>
      <c r="D251" s="553"/>
      <c r="E251" s="553"/>
      <c r="F251" s="556"/>
      <c r="G251" s="1161" t="s">
        <v>14933</v>
      </c>
      <c r="H251" s="1161"/>
      <c r="I251" s="1161"/>
      <c r="J251" s="1161"/>
      <c r="K251" s="1161"/>
      <c r="L251" s="1161"/>
      <c r="M251" s="1161"/>
      <c r="N251" s="548"/>
      <c r="O251" s="548"/>
      <c r="P251" s="548"/>
      <c r="Q251" s="548"/>
      <c r="R251" s="519"/>
      <c r="S251" s="548"/>
      <c r="T251" s="241"/>
    </row>
    <row r="252" spans="1:20" ht="15" customHeight="1" x14ac:dyDescent="0.25">
      <c r="A252" s="567"/>
      <c r="B252" s="564"/>
      <c r="C252" s="553"/>
      <c r="D252" s="553"/>
      <c r="E252" s="553"/>
      <c r="F252" s="556"/>
      <c r="G252" s="548" t="s">
        <v>17260</v>
      </c>
      <c r="H252" s="543" t="s">
        <v>17261</v>
      </c>
      <c r="I252" s="543" t="s">
        <v>17262</v>
      </c>
      <c r="J252" s="543"/>
      <c r="K252" s="519">
        <f>0.03*0.9</f>
        <v>2.7E-2</v>
      </c>
      <c r="L252" s="548"/>
      <c r="M252" s="519"/>
      <c r="N252" s="548"/>
      <c r="O252" s="548"/>
      <c r="P252" s="548"/>
      <c r="Q252" s="548"/>
      <c r="R252" s="519"/>
      <c r="S252" s="548"/>
      <c r="T252" s="241"/>
    </row>
    <row r="253" spans="1:20" ht="15" customHeight="1" x14ac:dyDescent="0.25">
      <c r="A253" s="567"/>
      <c r="B253" s="564"/>
      <c r="C253" s="553"/>
      <c r="D253" s="553"/>
      <c r="E253" s="553"/>
      <c r="F253" s="556"/>
      <c r="G253" s="548" t="s">
        <v>17314</v>
      </c>
      <c r="H253" s="543" t="s">
        <v>17315</v>
      </c>
      <c r="I253" s="543" t="s">
        <v>17316</v>
      </c>
      <c r="J253" s="543"/>
      <c r="K253" s="519">
        <f>(0.03)*0.15</f>
        <v>4.4999999999999997E-3</v>
      </c>
      <c r="L253" s="548"/>
      <c r="M253" s="519"/>
      <c r="N253" s="548"/>
      <c r="O253" s="548"/>
      <c r="P253" s="548"/>
      <c r="Q253" s="548"/>
      <c r="R253" s="519"/>
      <c r="S253" s="548"/>
      <c r="T253" s="241"/>
    </row>
    <row r="254" spans="1:20" ht="15" customHeight="1" x14ac:dyDescent="0.25">
      <c r="A254" s="567"/>
      <c r="B254" s="564"/>
      <c r="C254" s="553"/>
      <c r="D254" s="553"/>
      <c r="E254" s="553"/>
      <c r="F254" s="556"/>
      <c r="G254" s="1157" t="s">
        <v>2262</v>
      </c>
      <c r="H254" s="1157"/>
      <c r="I254" s="1157"/>
      <c r="J254" s="994">
        <f>0.313*0.9*0.6</f>
        <v>0.16902</v>
      </c>
      <c r="K254" s="995"/>
      <c r="L254" s="548"/>
      <c r="M254" s="519"/>
      <c r="N254" s="548"/>
      <c r="O254" s="548"/>
      <c r="P254" s="548"/>
      <c r="Q254" s="548"/>
      <c r="R254" s="519"/>
      <c r="S254" s="548"/>
      <c r="T254" s="241"/>
    </row>
    <row r="255" spans="1:20" ht="15" customHeight="1" x14ac:dyDescent="0.25">
      <c r="A255" s="567"/>
      <c r="B255" s="564"/>
      <c r="C255" s="553"/>
      <c r="D255" s="553"/>
      <c r="E255" s="553"/>
      <c r="F255" s="556"/>
      <c r="G255" s="548" t="s">
        <v>17585</v>
      </c>
      <c r="H255" s="548" t="s">
        <v>17586</v>
      </c>
      <c r="I255" s="548" t="s">
        <v>17587</v>
      </c>
      <c r="J255" s="548"/>
      <c r="K255" s="519">
        <f>0.05*0.9</f>
        <v>4.5000000000000005E-2</v>
      </c>
      <c r="L255" s="548"/>
      <c r="M255" s="519"/>
      <c r="N255" s="548"/>
      <c r="O255" s="548"/>
      <c r="P255" s="548"/>
      <c r="Q255" s="548"/>
      <c r="R255" s="519"/>
      <c r="S255" s="548"/>
      <c r="T255" s="241"/>
    </row>
    <row r="256" spans="1:20" ht="15" customHeight="1" x14ac:dyDescent="0.25">
      <c r="A256" s="567"/>
      <c r="B256" s="564"/>
      <c r="C256" s="553"/>
      <c r="D256" s="553"/>
      <c r="E256" s="553"/>
      <c r="F256" s="556"/>
      <c r="G256" s="548" t="s">
        <v>17260</v>
      </c>
      <c r="H256" s="548" t="s">
        <v>17680</v>
      </c>
      <c r="I256" s="548" t="s">
        <v>17681</v>
      </c>
      <c r="J256" s="548"/>
      <c r="K256" s="519">
        <f>0.055*0.9</f>
        <v>4.9500000000000002E-2</v>
      </c>
      <c r="L256" s="548"/>
      <c r="M256" s="519"/>
      <c r="N256" s="548"/>
      <c r="O256" s="548"/>
      <c r="P256" s="548"/>
      <c r="Q256" s="548"/>
      <c r="R256" s="519"/>
      <c r="S256" s="548"/>
      <c r="T256" s="241"/>
    </row>
    <row r="257" spans="1:20" ht="15" customHeight="1" x14ac:dyDescent="0.25">
      <c r="A257" s="567"/>
      <c r="B257" s="564"/>
      <c r="C257" s="553"/>
      <c r="D257" s="553"/>
      <c r="E257" s="553"/>
      <c r="F257" s="556"/>
      <c r="G257" s="1161" t="s">
        <v>18518</v>
      </c>
      <c r="H257" s="1161"/>
      <c r="I257" s="1161"/>
      <c r="J257" s="1161"/>
      <c r="K257" s="1161"/>
      <c r="L257" s="1161"/>
      <c r="M257" s="1161"/>
      <c r="N257" s="269"/>
      <c r="O257" s="269"/>
      <c r="P257" s="269"/>
      <c r="Q257" s="269"/>
      <c r="R257" s="594"/>
      <c r="S257" s="269"/>
      <c r="T257" s="259"/>
    </row>
    <row r="258" spans="1:20" ht="15" customHeight="1" x14ac:dyDescent="0.25">
      <c r="A258" s="567"/>
      <c r="B258" s="564"/>
      <c r="C258" s="553"/>
      <c r="D258" s="553"/>
      <c r="E258" s="553"/>
      <c r="F258" s="556"/>
      <c r="G258" s="269" t="s">
        <v>18841</v>
      </c>
      <c r="H258" s="269" t="s">
        <v>19665</v>
      </c>
      <c r="I258" s="269" t="s">
        <v>19666</v>
      </c>
      <c r="J258" s="269">
        <f>1.346*1</f>
        <v>1.3460000000000001</v>
      </c>
      <c r="K258" s="594"/>
      <c r="L258" s="269"/>
      <c r="M258" s="594"/>
      <c r="N258" s="269"/>
      <c r="O258" s="269"/>
      <c r="P258" s="269"/>
      <c r="Q258" s="269"/>
      <c r="R258" s="594"/>
      <c r="S258" s="269"/>
      <c r="T258" s="259"/>
    </row>
    <row r="259" spans="1:20" ht="15" customHeight="1" x14ac:dyDescent="0.25">
      <c r="A259" s="567"/>
      <c r="B259" s="564"/>
      <c r="C259" s="553"/>
      <c r="D259" s="553"/>
      <c r="E259" s="553"/>
      <c r="F259" s="556"/>
      <c r="G259" s="269" t="s">
        <v>19667</v>
      </c>
      <c r="H259" s="269" t="s">
        <v>19668</v>
      </c>
      <c r="I259" s="269" t="s">
        <v>19669</v>
      </c>
      <c r="J259" s="269">
        <f>0.055*0.9</f>
        <v>4.9500000000000002E-2</v>
      </c>
      <c r="K259" s="594"/>
      <c r="L259" s="269"/>
      <c r="M259" s="594"/>
      <c r="N259" s="269"/>
      <c r="O259" s="269"/>
      <c r="P259" s="269"/>
      <c r="Q259" s="269"/>
      <c r="R259" s="594"/>
      <c r="S259" s="269"/>
      <c r="T259" s="259"/>
    </row>
    <row r="260" spans="1:20" ht="15" customHeight="1" x14ac:dyDescent="0.25">
      <c r="A260" s="567"/>
      <c r="B260" s="564"/>
      <c r="C260" s="553"/>
      <c r="D260" s="553"/>
      <c r="E260" s="553"/>
      <c r="F260" s="556"/>
      <c r="G260" s="269" t="s">
        <v>19670</v>
      </c>
      <c r="H260" s="269" t="s">
        <v>19671</v>
      </c>
      <c r="I260" s="269" t="s">
        <v>19672</v>
      </c>
      <c r="J260" s="269"/>
      <c r="K260" s="594">
        <f>0.03*0.9</f>
        <v>2.7E-2</v>
      </c>
      <c r="L260" s="269"/>
      <c r="M260" s="594"/>
      <c r="N260" s="269"/>
      <c r="O260" s="269"/>
      <c r="P260" s="269"/>
      <c r="Q260" s="269"/>
      <c r="R260" s="594"/>
      <c r="S260" s="269"/>
      <c r="T260" s="259"/>
    </row>
    <row r="261" spans="1:20" ht="15" customHeight="1" x14ac:dyDescent="0.25">
      <c r="A261" s="567"/>
      <c r="B261" s="564"/>
      <c r="C261" s="553"/>
      <c r="D261" s="553"/>
      <c r="E261" s="553"/>
      <c r="F261" s="556"/>
      <c r="G261" s="1157" t="s">
        <v>2262</v>
      </c>
      <c r="H261" s="1157"/>
      <c r="I261" s="1157"/>
      <c r="J261" s="994">
        <f>0.782*0.9*0.6</f>
        <v>0.42228000000000004</v>
      </c>
      <c r="K261" s="995"/>
      <c r="L261" s="269"/>
      <c r="M261" s="594"/>
      <c r="N261" s="269"/>
      <c r="O261" s="269"/>
      <c r="P261" s="269"/>
      <c r="Q261" s="269"/>
      <c r="R261" s="594"/>
      <c r="S261" s="269"/>
      <c r="T261" s="259"/>
    </row>
    <row r="262" spans="1:20" ht="15" customHeight="1" thickBot="1" x14ac:dyDescent="0.3">
      <c r="A262" s="242"/>
      <c r="B262" s="243"/>
      <c r="C262" s="244"/>
      <c r="D262" s="244"/>
      <c r="E262" s="244"/>
      <c r="F262" s="245"/>
      <c r="G262" s="1032" t="s">
        <v>1199</v>
      </c>
      <c r="H262" s="1032"/>
      <c r="I262" s="1032"/>
      <c r="J262" s="542"/>
      <c r="K262" s="247">
        <f>SUM(J252:K261)</f>
        <v>2.1398000000000001</v>
      </c>
      <c r="L262" s="542">
        <v>0.92</v>
      </c>
      <c r="M262" s="247">
        <f>K262/L262</f>
        <v>2.3258695652173915</v>
      </c>
      <c r="N262" s="1032" t="s">
        <v>1199</v>
      </c>
      <c r="O262" s="1032"/>
      <c r="P262" s="1032"/>
      <c r="Q262" s="542"/>
      <c r="R262" s="247">
        <f>SUM(R235:R236,R238:R240,R242)</f>
        <v>0</v>
      </c>
      <c r="S262" s="542">
        <v>0.92</v>
      </c>
      <c r="T262" s="249">
        <f>R262/S262</f>
        <v>0</v>
      </c>
    </row>
    <row r="263" spans="1:20" ht="15" customHeight="1" x14ac:dyDescent="0.25">
      <c r="A263" s="1092" t="str">
        <f>Итоговая!C281</f>
        <v xml:space="preserve">ПС 110/35/10 кВ З.Поле </v>
      </c>
      <c r="B263" s="1072">
        <f>Итоговая!D281</f>
        <v>6.3</v>
      </c>
      <c r="C263" s="1067" t="str">
        <f>Итоговая!E281</f>
        <v>+</v>
      </c>
      <c r="D263" s="1067">
        <f>Итоговая!F281</f>
        <v>6.3</v>
      </c>
      <c r="E263" s="552"/>
      <c r="F263" s="555"/>
      <c r="G263" s="1173" t="s">
        <v>1324</v>
      </c>
      <c r="H263" s="1174"/>
      <c r="I263" s="1174"/>
      <c r="J263" s="1174"/>
      <c r="K263" s="1174"/>
      <c r="L263" s="1174"/>
      <c r="M263" s="1175"/>
      <c r="N263" s="1162" t="s">
        <v>1286</v>
      </c>
      <c r="O263" s="1162"/>
      <c r="P263" s="1162"/>
      <c r="Q263" s="1162"/>
      <c r="R263" s="1162"/>
      <c r="S263" s="1162"/>
      <c r="T263" s="1162"/>
    </row>
    <row r="264" spans="1:20" ht="15" customHeight="1" x14ac:dyDescent="0.25">
      <c r="A264" s="1093"/>
      <c r="B264" s="1023"/>
      <c r="C264" s="1024"/>
      <c r="D264" s="1024"/>
      <c r="E264" s="553"/>
      <c r="F264" s="556"/>
      <c r="G264" s="724" t="s">
        <v>570</v>
      </c>
      <c r="H264" s="724" t="s">
        <v>571</v>
      </c>
      <c r="I264" s="724" t="s">
        <v>1520</v>
      </c>
      <c r="J264" s="724"/>
      <c r="K264" s="205">
        <v>0.17</v>
      </c>
      <c r="L264" s="724"/>
      <c r="M264" s="519"/>
      <c r="N264" s="724" t="s">
        <v>568</v>
      </c>
      <c r="O264" s="724" t="s">
        <v>569</v>
      </c>
      <c r="P264" s="724" t="s">
        <v>19713</v>
      </c>
      <c r="Q264" s="724"/>
      <c r="R264" s="205">
        <v>0.06</v>
      </c>
      <c r="S264" s="724"/>
      <c r="T264" s="519"/>
    </row>
    <row r="265" spans="1:20" ht="15" customHeight="1" x14ac:dyDescent="0.25">
      <c r="A265" s="567"/>
      <c r="B265" s="564"/>
      <c r="C265" s="553"/>
      <c r="D265" s="553"/>
      <c r="E265" s="553"/>
      <c r="F265" s="556"/>
      <c r="G265" s="724" t="s">
        <v>1</v>
      </c>
      <c r="H265" s="724" t="s">
        <v>2</v>
      </c>
      <c r="I265" s="724" t="s">
        <v>1485</v>
      </c>
      <c r="J265" s="724"/>
      <c r="K265" s="205">
        <v>0.09</v>
      </c>
      <c r="L265" s="724"/>
      <c r="M265" s="519"/>
      <c r="N265" s="766"/>
      <c r="O265" s="767"/>
      <c r="P265" s="767"/>
      <c r="Q265" s="767"/>
      <c r="R265" s="767"/>
      <c r="S265" s="767"/>
      <c r="T265" s="768"/>
    </row>
    <row r="266" spans="1:20" ht="15" customHeight="1" x14ac:dyDescent="0.25">
      <c r="A266" s="567"/>
      <c r="B266" s="564"/>
      <c r="C266" s="553"/>
      <c r="D266" s="553"/>
      <c r="E266" s="553"/>
      <c r="F266" s="556"/>
      <c r="G266" s="724" t="s">
        <v>537</v>
      </c>
      <c r="H266" s="724" t="s">
        <v>538</v>
      </c>
      <c r="I266" s="724" t="s">
        <v>1507</v>
      </c>
      <c r="J266" s="724"/>
      <c r="K266" s="205">
        <v>0.25</v>
      </c>
      <c r="L266" s="724"/>
      <c r="M266" s="519"/>
      <c r="N266" s="548"/>
      <c r="O266" s="548"/>
      <c r="P266" s="548"/>
      <c r="Q266" s="548"/>
      <c r="R266" s="519"/>
      <c r="S266" s="548"/>
      <c r="T266" s="241"/>
    </row>
    <row r="267" spans="1:20" ht="15" customHeight="1" x14ac:dyDescent="0.25">
      <c r="A267" s="567"/>
      <c r="B267" s="564"/>
      <c r="C267" s="553"/>
      <c r="D267" s="553"/>
      <c r="E267" s="553"/>
      <c r="F267" s="556"/>
      <c r="G267" s="1158" t="s">
        <v>1645</v>
      </c>
      <c r="H267" s="1159"/>
      <c r="I267" s="1159"/>
      <c r="J267" s="1159"/>
      <c r="K267" s="1159"/>
      <c r="L267" s="1159"/>
      <c r="M267" s="1160"/>
      <c r="N267" s="548"/>
      <c r="O267" s="548"/>
      <c r="P267" s="548"/>
      <c r="Q267" s="548"/>
      <c r="R267" s="519"/>
      <c r="S267" s="548"/>
      <c r="T267" s="241"/>
    </row>
    <row r="268" spans="1:20" ht="15" customHeight="1" x14ac:dyDescent="0.25">
      <c r="A268" s="567"/>
      <c r="B268" s="564"/>
      <c r="C268" s="553"/>
      <c r="D268" s="553"/>
      <c r="E268" s="553"/>
      <c r="F268" s="556"/>
      <c r="G268" s="724" t="s">
        <v>1679</v>
      </c>
      <c r="H268" s="724" t="s">
        <v>1730</v>
      </c>
      <c r="I268" s="724" t="s">
        <v>1806</v>
      </c>
      <c r="J268" s="724"/>
      <c r="K268" s="205">
        <v>2.3E-2</v>
      </c>
      <c r="L268" s="724"/>
      <c r="M268" s="519"/>
      <c r="N268" s="548"/>
      <c r="O268" s="548"/>
      <c r="P268" s="278"/>
      <c r="Q268" s="278"/>
      <c r="R268" s="519"/>
      <c r="S268" s="548"/>
      <c r="T268" s="241"/>
    </row>
    <row r="269" spans="1:20" ht="15" customHeight="1" x14ac:dyDescent="0.25">
      <c r="A269" s="567"/>
      <c r="B269" s="564"/>
      <c r="C269" s="553"/>
      <c r="D269" s="553"/>
      <c r="E269" s="553"/>
      <c r="F269" s="556"/>
      <c r="G269" s="1158" t="s">
        <v>2011</v>
      </c>
      <c r="H269" s="1159"/>
      <c r="I269" s="1159"/>
      <c r="J269" s="1159"/>
      <c r="K269" s="1159"/>
      <c r="L269" s="1159"/>
      <c r="M269" s="1160"/>
      <c r="N269" s="548"/>
      <c r="O269" s="548"/>
      <c r="P269" s="278"/>
      <c r="Q269" s="278"/>
      <c r="R269" s="519"/>
      <c r="S269" s="548"/>
      <c r="T269" s="241"/>
    </row>
    <row r="270" spans="1:20" ht="15" customHeight="1" x14ac:dyDescent="0.25">
      <c r="A270" s="567"/>
      <c r="B270" s="564"/>
      <c r="C270" s="553"/>
      <c r="D270" s="553"/>
      <c r="E270" s="553"/>
      <c r="F270" s="556"/>
      <c r="G270" s="727"/>
      <c r="H270" s="727"/>
      <c r="I270" s="727"/>
      <c r="J270" s="727"/>
      <c r="K270" s="519"/>
      <c r="L270" s="727"/>
      <c r="M270" s="519"/>
      <c r="N270" s="548"/>
      <c r="O270" s="548"/>
      <c r="P270" s="278"/>
      <c r="Q270" s="278"/>
      <c r="R270" s="519"/>
      <c r="S270" s="548"/>
      <c r="T270" s="241"/>
    </row>
    <row r="271" spans="1:20" ht="15" customHeight="1" x14ac:dyDescent="0.25">
      <c r="A271" s="567"/>
      <c r="B271" s="564"/>
      <c r="C271" s="553"/>
      <c r="D271" s="553"/>
      <c r="E271" s="553"/>
      <c r="F271" s="556"/>
      <c r="G271" s="1158" t="s">
        <v>2290</v>
      </c>
      <c r="H271" s="1159"/>
      <c r="I271" s="1159"/>
      <c r="J271" s="1159"/>
      <c r="K271" s="1159"/>
      <c r="L271" s="1159"/>
      <c r="M271" s="1160"/>
      <c r="N271" s="548"/>
      <c r="O271" s="548"/>
      <c r="P271" s="278"/>
      <c r="Q271" s="278"/>
      <c r="R271" s="519"/>
      <c r="S271" s="548"/>
      <c r="T271" s="241"/>
    </row>
    <row r="272" spans="1:20" ht="15" customHeight="1" x14ac:dyDescent="0.25">
      <c r="A272" s="567"/>
      <c r="B272" s="564"/>
      <c r="C272" s="553"/>
      <c r="D272" s="553"/>
      <c r="E272" s="553"/>
      <c r="F272" s="556"/>
      <c r="G272" s="724" t="s">
        <v>14900</v>
      </c>
      <c r="H272" s="724" t="s">
        <v>14901</v>
      </c>
      <c r="I272" s="727" t="s">
        <v>14965</v>
      </c>
      <c r="J272" s="727"/>
      <c r="K272" s="519">
        <f>0.38*0.9</f>
        <v>0.34200000000000003</v>
      </c>
      <c r="L272" s="727"/>
      <c r="M272" s="519"/>
      <c r="N272" s="548"/>
      <c r="O272" s="548"/>
      <c r="P272" s="278"/>
      <c r="Q272" s="278"/>
      <c r="R272" s="519"/>
      <c r="S272" s="548"/>
      <c r="T272" s="241"/>
    </row>
    <row r="273" spans="1:20" ht="15" customHeight="1" x14ac:dyDescent="0.25">
      <c r="A273" s="567"/>
      <c r="B273" s="564"/>
      <c r="C273" s="553"/>
      <c r="D273" s="553"/>
      <c r="E273" s="553"/>
      <c r="F273" s="556"/>
      <c r="G273" s="1158" t="s">
        <v>14933</v>
      </c>
      <c r="H273" s="1159"/>
      <c r="I273" s="1159"/>
      <c r="J273" s="1159"/>
      <c r="K273" s="1159"/>
      <c r="L273" s="1159"/>
      <c r="M273" s="1160"/>
      <c r="N273" s="548"/>
      <c r="O273" s="548"/>
      <c r="P273" s="278"/>
      <c r="Q273" s="278"/>
      <c r="R273" s="519"/>
      <c r="S273" s="548"/>
      <c r="T273" s="241"/>
    </row>
    <row r="274" spans="1:20" ht="15" customHeight="1" x14ac:dyDescent="0.25">
      <c r="A274" s="567"/>
      <c r="B274" s="564"/>
      <c r="C274" s="553"/>
      <c r="D274" s="553"/>
      <c r="E274" s="553"/>
      <c r="F274" s="556"/>
      <c r="G274" s="724" t="s">
        <v>17311</v>
      </c>
      <c r="H274" s="724" t="s">
        <v>17312</v>
      </c>
      <c r="I274" s="727" t="s">
        <v>17313</v>
      </c>
      <c r="J274" s="727"/>
      <c r="K274" s="519">
        <f>(0.02-0.01)*0.9</f>
        <v>9.0000000000000011E-3</v>
      </c>
      <c r="L274" s="727"/>
      <c r="M274" s="519"/>
      <c r="N274" s="548"/>
      <c r="O274" s="548"/>
      <c r="P274" s="278"/>
      <c r="Q274" s="278"/>
      <c r="R274" s="519"/>
      <c r="S274" s="548"/>
      <c r="T274" s="241"/>
    </row>
    <row r="275" spans="1:20" ht="15" customHeight="1" x14ac:dyDescent="0.25">
      <c r="A275" s="567"/>
      <c r="B275" s="564"/>
      <c r="C275" s="553"/>
      <c r="D275" s="553"/>
      <c r="E275" s="553"/>
      <c r="F275" s="556"/>
      <c r="G275" s="741" t="s">
        <v>2262</v>
      </c>
      <c r="H275" s="741"/>
      <c r="I275" s="741"/>
      <c r="J275" s="994">
        <f>0.463*0.9</f>
        <v>0.41670000000000001</v>
      </c>
      <c r="K275" s="995"/>
      <c r="L275" s="727"/>
      <c r="M275" s="519"/>
      <c r="N275" s="548"/>
      <c r="O275" s="548"/>
      <c r="P275" s="278"/>
      <c r="Q275" s="278"/>
      <c r="R275" s="519"/>
      <c r="S275" s="548"/>
      <c r="T275" s="241"/>
    </row>
    <row r="276" spans="1:20" ht="15" customHeight="1" x14ac:dyDescent="0.25">
      <c r="A276" s="567"/>
      <c r="B276" s="564"/>
      <c r="C276" s="553"/>
      <c r="D276" s="553"/>
      <c r="E276" s="553"/>
      <c r="F276" s="556"/>
      <c r="G276" s="727" t="s">
        <v>13409</v>
      </c>
      <c r="H276" s="727" t="s">
        <v>17593</v>
      </c>
      <c r="I276" s="727" t="s">
        <v>17594</v>
      </c>
      <c r="J276" s="727"/>
      <c r="K276" s="519">
        <f>0.025*0.9</f>
        <v>2.2500000000000003E-2</v>
      </c>
      <c r="L276" s="727"/>
      <c r="M276" s="519"/>
      <c r="N276" s="548"/>
      <c r="O276" s="548"/>
      <c r="P276" s="278"/>
      <c r="Q276" s="278"/>
      <c r="R276" s="519"/>
      <c r="S276" s="548"/>
      <c r="T276" s="241"/>
    </row>
    <row r="277" spans="1:20" ht="15" customHeight="1" x14ac:dyDescent="0.25">
      <c r="A277" s="567"/>
      <c r="B277" s="564"/>
      <c r="C277" s="553"/>
      <c r="D277" s="553"/>
      <c r="E277" s="553"/>
      <c r="F277" s="556"/>
      <c r="G277" s="727" t="s">
        <v>13409</v>
      </c>
      <c r="H277" s="727" t="s">
        <v>17595</v>
      </c>
      <c r="I277" s="727" t="s">
        <v>17594</v>
      </c>
      <c r="J277" s="727"/>
      <c r="K277" s="519">
        <f>0.025*0.9</f>
        <v>2.2500000000000003E-2</v>
      </c>
      <c r="L277" s="727"/>
      <c r="M277" s="519"/>
      <c r="N277" s="548"/>
      <c r="O277" s="548"/>
      <c r="P277" s="278"/>
      <c r="Q277" s="278"/>
      <c r="R277" s="519"/>
      <c r="S277" s="548"/>
      <c r="T277" s="241"/>
    </row>
    <row r="278" spans="1:20" ht="15" customHeight="1" x14ac:dyDescent="0.25">
      <c r="A278" s="567"/>
      <c r="B278" s="564"/>
      <c r="C278" s="553"/>
      <c r="D278" s="553"/>
      <c r="E278" s="553"/>
      <c r="F278" s="556"/>
      <c r="G278" s="727" t="s">
        <v>13409</v>
      </c>
      <c r="H278" s="727" t="s">
        <v>17596</v>
      </c>
      <c r="I278" s="727" t="s">
        <v>17597</v>
      </c>
      <c r="J278" s="727"/>
      <c r="K278" s="519">
        <f>0.025*0.9</f>
        <v>2.2500000000000003E-2</v>
      </c>
      <c r="L278" s="727"/>
      <c r="M278" s="519"/>
      <c r="N278" s="548"/>
      <c r="O278" s="548"/>
      <c r="P278" s="278"/>
      <c r="Q278" s="278"/>
      <c r="R278" s="519"/>
      <c r="S278" s="548"/>
      <c r="T278" s="241"/>
    </row>
    <row r="279" spans="1:20" ht="15" customHeight="1" x14ac:dyDescent="0.25">
      <c r="A279" s="567"/>
      <c r="B279" s="564"/>
      <c r="C279" s="553"/>
      <c r="D279" s="553"/>
      <c r="E279" s="553"/>
      <c r="F279" s="556"/>
      <c r="G279" s="1158" t="s">
        <v>18518</v>
      </c>
      <c r="H279" s="1159"/>
      <c r="I279" s="1159"/>
      <c r="J279" s="1159"/>
      <c r="K279" s="1159"/>
      <c r="L279" s="1159"/>
      <c r="M279" s="1160"/>
      <c r="N279" s="548"/>
      <c r="O279" s="548"/>
      <c r="P279" s="278"/>
      <c r="Q279" s="278"/>
      <c r="R279" s="519"/>
      <c r="S279" s="548"/>
      <c r="T279" s="241"/>
    </row>
    <row r="280" spans="1:20" ht="15" customHeight="1" x14ac:dyDescent="0.25">
      <c r="A280" s="567"/>
      <c r="B280" s="564"/>
      <c r="C280" s="553"/>
      <c r="D280" s="553"/>
      <c r="E280" s="553"/>
      <c r="F280" s="556"/>
      <c r="G280" s="728" t="s">
        <v>13409</v>
      </c>
      <c r="H280" s="728" t="s">
        <v>19651</v>
      </c>
      <c r="I280" s="728" t="s">
        <v>19652</v>
      </c>
      <c r="J280" s="728">
        <f>0.025*1</f>
        <v>2.5000000000000001E-2</v>
      </c>
      <c r="K280" s="718"/>
      <c r="L280" s="728"/>
      <c r="M280" s="718"/>
      <c r="N280" s="548"/>
      <c r="O280" s="548"/>
      <c r="P280" s="278"/>
      <c r="Q280" s="278"/>
      <c r="R280" s="519"/>
      <c r="S280" s="548"/>
      <c r="T280" s="241"/>
    </row>
    <row r="281" spans="1:20" ht="15" customHeight="1" x14ac:dyDescent="0.25">
      <c r="A281" s="567"/>
      <c r="B281" s="564"/>
      <c r="C281" s="553"/>
      <c r="D281" s="553"/>
      <c r="E281" s="553"/>
      <c r="F281" s="556"/>
      <c r="G281" s="728" t="s">
        <v>18895</v>
      </c>
      <c r="H281" s="728" t="s">
        <v>18896</v>
      </c>
      <c r="I281" s="728" t="s">
        <v>19653</v>
      </c>
      <c r="J281" s="728">
        <f>0.03*0.9</f>
        <v>2.7E-2</v>
      </c>
      <c r="K281" s="718"/>
      <c r="L281" s="728"/>
      <c r="M281" s="718"/>
      <c r="N281" s="269"/>
      <c r="O281" s="269"/>
      <c r="P281" s="304"/>
      <c r="Q281" s="304"/>
      <c r="R281" s="594"/>
      <c r="S281" s="269"/>
      <c r="T281" s="259"/>
    </row>
    <row r="282" spans="1:20" ht="15" customHeight="1" x14ac:dyDescent="0.25">
      <c r="A282" s="567"/>
      <c r="B282" s="564"/>
      <c r="C282" s="553"/>
      <c r="D282" s="553"/>
      <c r="E282" s="553"/>
      <c r="F282" s="556"/>
      <c r="G282" s="728" t="s">
        <v>19538</v>
      </c>
      <c r="H282" s="728" t="s">
        <v>19539</v>
      </c>
      <c r="I282" s="728" t="s">
        <v>19654</v>
      </c>
      <c r="J282" s="728">
        <f>0.2*0.9</f>
        <v>0.18000000000000002</v>
      </c>
      <c r="K282" s="718"/>
      <c r="L282" s="728"/>
      <c r="M282" s="718"/>
      <c r="N282" s="269"/>
      <c r="O282" s="269"/>
      <c r="P282" s="304"/>
      <c r="Q282" s="304"/>
      <c r="R282" s="594"/>
      <c r="S282" s="269"/>
      <c r="T282" s="259"/>
    </row>
    <row r="283" spans="1:20" ht="15" customHeight="1" x14ac:dyDescent="0.25">
      <c r="A283" s="567"/>
      <c r="B283" s="564"/>
      <c r="C283" s="553"/>
      <c r="D283" s="553"/>
      <c r="E283" s="553"/>
      <c r="F283" s="556"/>
      <c r="G283" s="1157" t="s">
        <v>2262</v>
      </c>
      <c r="H283" s="1157"/>
      <c r="I283" s="1157"/>
      <c r="J283" s="994">
        <f>0.717*0.9*0.6</f>
        <v>0.38717999999999997</v>
      </c>
      <c r="K283" s="995"/>
      <c r="L283" s="728"/>
      <c r="M283" s="718"/>
      <c r="N283" s="269"/>
      <c r="O283" s="269"/>
      <c r="P283" s="304"/>
      <c r="Q283" s="304"/>
      <c r="R283" s="594"/>
      <c r="S283" s="269"/>
      <c r="T283" s="259"/>
    </row>
    <row r="284" spans="1:20" ht="15" customHeight="1" x14ac:dyDescent="0.25">
      <c r="A284" s="776"/>
      <c r="B284" s="771"/>
      <c r="C284" s="772"/>
      <c r="D284" s="772"/>
      <c r="E284" s="772"/>
      <c r="F284" s="773"/>
      <c r="G284" s="1158" t="s">
        <v>19719</v>
      </c>
      <c r="H284" s="1159"/>
      <c r="I284" s="1159"/>
      <c r="J284" s="1159"/>
      <c r="K284" s="1159"/>
      <c r="L284" s="1159"/>
      <c r="M284" s="1160"/>
      <c r="N284" s="775"/>
      <c r="O284" s="775"/>
      <c r="P284" s="304"/>
      <c r="Q284" s="304"/>
      <c r="R284" s="774"/>
      <c r="S284" s="775"/>
      <c r="T284" s="259"/>
    </row>
    <row r="285" spans="1:20" ht="15" customHeight="1" x14ac:dyDescent="0.25">
      <c r="A285" s="776"/>
      <c r="B285" s="771"/>
      <c r="C285" s="772"/>
      <c r="D285" s="772"/>
      <c r="E285" s="772"/>
      <c r="F285" s="773"/>
      <c r="G285" s="770" t="s">
        <v>19758</v>
      </c>
      <c r="H285" s="770" t="s">
        <v>19759</v>
      </c>
      <c r="I285" s="770" t="s">
        <v>19760</v>
      </c>
      <c r="J285" s="519"/>
      <c r="K285" s="519">
        <f>0.15*0.9</f>
        <v>0.13500000000000001</v>
      </c>
      <c r="L285" s="775"/>
      <c r="M285" s="774"/>
      <c r="N285" s="775"/>
      <c r="O285" s="775"/>
      <c r="P285" s="304"/>
      <c r="Q285" s="304"/>
      <c r="R285" s="774"/>
      <c r="S285" s="775"/>
      <c r="T285" s="259"/>
    </row>
    <row r="286" spans="1:20" ht="15" customHeight="1" thickBot="1" x14ac:dyDescent="0.3">
      <c r="A286" s="242"/>
      <c r="B286" s="243"/>
      <c r="C286" s="244"/>
      <c r="D286" s="244"/>
      <c r="E286" s="244"/>
      <c r="F286" s="245"/>
      <c r="G286" s="1032" t="s">
        <v>1199</v>
      </c>
      <c r="H286" s="1032"/>
      <c r="I286" s="1032"/>
      <c r="J286" s="542"/>
      <c r="K286" s="247">
        <f>SUM(J274:K285)</f>
        <v>1.2473800000000002</v>
      </c>
      <c r="L286" s="542">
        <v>0.92</v>
      </c>
      <c r="M286" s="247">
        <f>K286/L286</f>
        <v>1.3558478260869566</v>
      </c>
      <c r="N286" s="1032" t="s">
        <v>1199</v>
      </c>
      <c r="O286" s="1032"/>
      <c r="P286" s="1032"/>
      <c r="Q286" s="542"/>
      <c r="R286" s="247">
        <f>SUM(R264:R268)</f>
        <v>0.06</v>
      </c>
      <c r="S286" s="542">
        <v>0.92</v>
      </c>
      <c r="T286" s="249">
        <f>R286/S286</f>
        <v>6.5217391304347824E-2</v>
      </c>
    </row>
    <row r="287" spans="1:20" ht="15" customHeight="1" thickBot="1" x14ac:dyDescent="0.3">
      <c r="A287" s="1171" t="s">
        <v>1289</v>
      </c>
      <c r="B287" s="1172"/>
      <c r="C287" s="587"/>
      <c r="D287" s="587"/>
      <c r="E287" s="587"/>
      <c r="F287" s="587"/>
      <c r="G287" s="322"/>
      <c r="H287" s="587"/>
      <c r="I287" s="587"/>
      <c r="J287" s="587"/>
      <c r="K287" s="324">
        <f>K12+K14+K19+K37+K46+K49+K51+K53+K55+K64+K81+K84+K97+K110+K145+K166+K172+K175+K186+K193+K213+K230+K262+K286</f>
        <v>12.419910000000002</v>
      </c>
      <c r="L287" s="587"/>
      <c r="M287" s="324">
        <f>M12+M14+M19+M37+M46+M49+M51+M53+M55+M64+M81+M84+M97+M110+M145+M166+M172+M175+M186+M193+M213+M230+M262+M286</f>
        <v>13.47000175315568</v>
      </c>
      <c r="N287" s="325"/>
      <c r="O287" s="326"/>
      <c r="P287" s="326"/>
      <c r="Q287" s="326"/>
      <c r="R287" s="327"/>
      <c r="S287" s="326"/>
      <c r="T287" s="328"/>
    </row>
    <row r="288" spans="1:20" x14ac:dyDescent="0.25">
      <c r="A288" s="597"/>
      <c r="B288" s="330"/>
      <c r="C288" s="330"/>
      <c r="D288" s="330"/>
      <c r="E288" s="330"/>
      <c r="F288" s="330"/>
      <c r="G288" s="330"/>
      <c r="H288" s="330"/>
      <c r="I288" s="330"/>
      <c r="J288" s="330"/>
      <c r="K288" s="331"/>
      <c r="L288" s="330"/>
      <c r="M288" s="332"/>
    </row>
    <row r="289" spans="1:13" x14ac:dyDescent="0.25">
      <c r="A289" s="597"/>
      <c r="B289" s="330"/>
      <c r="C289" s="330"/>
      <c r="D289" s="330"/>
      <c r="E289" s="330"/>
      <c r="F289" s="330"/>
      <c r="G289" s="330"/>
      <c r="H289" s="330"/>
      <c r="I289" s="330"/>
      <c r="J289" s="330"/>
      <c r="K289" s="331"/>
      <c r="L289" s="330"/>
      <c r="M289" s="332"/>
    </row>
    <row r="290" spans="1:13" x14ac:dyDescent="0.25">
      <c r="A290" s="597"/>
      <c r="B290" s="330"/>
      <c r="C290" s="330"/>
      <c r="D290" s="330"/>
      <c r="E290" s="330"/>
      <c r="F290" s="330"/>
      <c r="G290" s="330"/>
      <c r="H290" s="330"/>
      <c r="I290" s="330"/>
      <c r="J290" s="330"/>
      <c r="K290" s="331"/>
      <c r="L290" s="330"/>
      <c r="M290" s="332"/>
    </row>
    <row r="291" spans="1:13" x14ac:dyDescent="0.25">
      <c r="A291" s="597"/>
      <c r="B291" s="330"/>
      <c r="C291" s="330"/>
      <c r="D291" s="330"/>
      <c r="E291" s="330"/>
      <c r="F291" s="330"/>
      <c r="G291" s="330"/>
      <c r="H291" s="330"/>
      <c r="I291" s="330"/>
      <c r="J291" s="330"/>
      <c r="K291" s="331"/>
      <c r="L291" s="330"/>
      <c r="M291" s="332"/>
    </row>
    <row r="292" spans="1:13" x14ac:dyDescent="0.25">
      <c r="A292" s="597"/>
      <c r="B292" s="330"/>
      <c r="C292" s="330"/>
      <c r="D292" s="330"/>
      <c r="E292" s="330"/>
      <c r="F292" s="330"/>
      <c r="G292" s="330"/>
      <c r="H292" s="330"/>
      <c r="I292" s="330"/>
      <c r="J292" s="330"/>
      <c r="K292" s="331"/>
      <c r="L292" s="330"/>
      <c r="M292" s="332"/>
    </row>
    <row r="293" spans="1:13" x14ac:dyDescent="0.25">
      <c r="A293" s="597"/>
      <c r="B293" s="330"/>
      <c r="C293" s="330"/>
      <c r="D293" s="330"/>
      <c r="E293" s="330"/>
      <c r="F293" s="330"/>
      <c r="G293" s="330"/>
      <c r="H293" s="330"/>
      <c r="I293" s="330"/>
      <c r="J293" s="330"/>
      <c r="K293" s="331"/>
      <c r="L293" s="330"/>
      <c r="M293" s="332"/>
    </row>
    <row r="294" spans="1:13" x14ac:dyDescent="0.25">
      <c r="A294" s="597"/>
      <c r="B294" s="330"/>
      <c r="C294" s="330"/>
      <c r="D294" s="330"/>
      <c r="E294" s="330"/>
      <c r="F294" s="330"/>
      <c r="G294" s="330"/>
      <c r="H294" s="330"/>
      <c r="I294" s="330"/>
      <c r="J294" s="330"/>
      <c r="K294" s="331"/>
      <c r="L294" s="330"/>
      <c r="M294" s="332"/>
    </row>
    <row r="295" spans="1:13" x14ac:dyDescent="0.25">
      <c r="A295" s="597"/>
      <c r="B295" s="330"/>
      <c r="C295" s="330"/>
      <c r="D295" s="330"/>
      <c r="E295" s="330"/>
      <c r="F295" s="330"/>
      <c r="G295" s="330"/>
      <c r="H295" s="330"/>
      <c r="I295" s="330"/>
      <c r="J295" s="330"/>
      <c r="K295" s="331"/>
      <c r="L295" s="330"/>
      <c r="M295" s="332"/>
    </row>
    <row r="296" spans="1:13" x14ac:dyDescent="0.25">
      <c r="A296" s="597"/>
      <c r="B296" s="330"/>
      <c r="C296" s="330"/>
      <c r="D296" s="330"/>
      <c r="E296" s="330"/>
      <c r="F296" s="330"/>
      <c r="G296" s="330"/>
      <c r="H296" s="330"/>
      <c r="I296" s="330"/>
      <c r="J296" s="330"/>
      <c r="K296" s="331"/>
      <c r="L296" s="330"/>
      <c r="M296" s="332"/>
    </row>
    <row r="297" spans="1:13" x14ac:dyDescent="0.25">
      <c r="A297" s="597"/>
      <c r="B297" s="330"/>
      <c r="C297" s="330"/>
      <c r="D297" s="330"/>
      <c r="E297" s="330"/>
      <c r="F297" s="330"/>
      <c r="G297" s="330"/>
      <c r="H297" s="330"/>
      <c r="I297" s="330"/>
      <c r="J297" s="330"/>
      <c r="K297" s="331"/>
      <c r="L297" s="330"/>
      <c r="M297" s="332"/>
    </row>
    <row r="298" spans="1:13" x14ac:dyDescent="0.25">
      <c r="A298" s="1039"/>
      <c r="B298" s="1039"/>
      <c r="C298" s="1039"/>
      <c r="D298" s="1039"/>
      <c r="E298" s="1039"/>
      <c r="F298" s="1039"/>
      <c r="G298" s="1039"/>
      <c r="H298" s="1039"/>
      <c r="I298" s="1039"/>
      <c r="J298" s="1039"/>
      <c r="K298" s="1039"/>
      <c r="L298" s="1039"/>
      <c r="M298" s="1039"/>
    </row>
    <row r="299" spans="1:13" x14ac:dyDescent="0.25">
      <c r="A299" s="597"/>
      <c r="B299" s="330"/>
      <c r="C299" s="330"/>
      <c r="D299" s="330"/>
      <c r="E299" s="330"/>
      <c r="F299" s="330"/>
      <c r="G299" s="330"/>
      <c r="H299" s="330"/>
      <c r="I299" s="330"/>
      <c r="J299" s="330"/>
      <c r="K299" s="331"/>
      <c r="L299" s="330"/>
      <c r="M299" s="331"/>
    </row>
    <row r="300" spans="1:13" x14ac:dyDescent="0.25">
      <c r="A300" s="597"/>
      <c r="B300" s="330"/>
      <c r="C300" s="330"/>
      <c r="D300" s="330"/>
      <c r="E300" s="330"/>
      <c r="F300" s="330"/>
      <c r="G300" s="330"/>
      <c r="H300" s="330"/>
      <c r="I300" s="330"/>
      <c r="J300" s="330"/>
      <c r="K300" s="331"/>
      <c r="L300" s="330"/>
      <c r="M300" s="331"/>
    </row>
    <row r="301" spans="1:13" x14ac:dyDescent="0.25">
      <c r="A301" s="597"/>
      <c r="B301" s="330"/>
      <c r="C301" s="330"/>
      <c r="D301" s="330"/>
      <c r="E301" s="330"/>
      <c r="F301" s="330"/>
      <c r="G301" s="330"/>
      <c r="H301" s="330"/>
      <c r="I301" s="330"/>
      <c r="J301" s="330"/>
      <c r="K301" s="331"/>
      <c r="L301" s="330"/>
      <c r="M301" s="331"/>
    </row>
    <row r="302" spans="1:13" x14ac:dyDescent="0.25">
      <c r="A302" s="597"/>
      <c r="B302" s="330"/>
      <c r="C302" s="330"/>
      <c r="D302" s="330"/>
      <c r="E302" s="330"/>
      <c r="F302" s="330"/>
      <c r="G302" s="330"/>
      <c r="H302" s="330"/>
      <c r="I302" s="330"/>
      <c r="J302" s="330"/>
      <c r="K302" s="331"/>
      <c r="L302" s="330"/>
      <c r="M302" s="331"/>
    </row>
    <row r="303" spans="1:13" x14ac:dyDescent="0.25">
      <c r="A303" s="597"/>
      <c r="B303" s="330"/>
      <c r="C303" s="330"/>
      <c r="D303" s="330"/>
      <c r="E303" s="330"/>
      <c r="F303" s="330"/>
      <c r="G303" s="330"/>
      <c r="H303" s="330"/>
      <c r="I303" s="330"/>
      <c r="J303" s="330"/>
      <c r="K303" s="331"/>
      <c r="L303" s="330"/>
      <c r="M303" s="331"/>
    </row>
    <row r="304" spans="1:13" x14ac:dyDescent="0.25">
      <c r="A304" s="597"/>
      <c r="B304" s="330"/>
      <c r="C304" s="330"/>
      <c r="D304" s="330"/>
      <c r="E304" s="330"/>
      <c r="F304" s="330"/>
      <c r="G304" s="330"/>
      <c r="H304" s="330"/>
      <c r="I304" s="330"/>
      <c r="J304" s="330"/>
      <c r="K304" s="331"/>
      <c r="L304" s="330"/>
      <c r="M304" s="331"/>
    </row>
    <row r="305" spans="1:13" x14ac:dyDescent="0.25">
      <c r="A305" s="597"/>
      <c r="B305" s="330"/>
      <c r="C305" s="330"/>
      <c r="D305" s="330"/>
      <c r="E305" s="330"/>
      <c r="F305" s="330"/>
      <c r="G305" s="330"/>
      <c r="H305" s="330"/>
      <c r="I305" s="330"/>
      <c r="J305" s="330"/>
      <c r="K305" s="331"/>
      <c r="L305" s="330"/>
      <c r="M305" s="331"/>
    </row>
    <row r="306" spans="1:13" x14ac:dyDescent="0.25">
      <c r="A306" s="597"/>
      <c r="B306" s="330"/>
      <c r="C306" s="330"/>
      <c r="D306" s="330"/>
      <c r="E306" s="330"/>
      <c r="F306" s="330"/>
      <c r="G306" s="330"/>
      <c r="H306" s="330"/>
      <c r="I306" s="330"/>
      <c r="J306" s="330"/>
      <c r="K306" s="331"/>
      <c r="L306" s="330"/>
      <c r="M306" s="331"/>
    </row>
    <row r="307" spans="1:13" x14ac:dyDescent="0.25">
      <c r="A307" s="597"/>
      <c r="B307" s="330"/>
      <c r="C307" s="330"/>
      <c r="D307" s="330"/>
      <c r="E307" s="330"/>
      <c r="F307" s="330"/>
      <c r="G307" s="330"/>
      <c r="H307" s="330"/>
      <c r="I307" s="330"/>
      <c r="J307" s="330"/>
      <c r="K307" s="331"/>
      <c r="L307" s="330"/>
      <c r="M307" s="331"/>
    </row>
    <row r="308" spans="1:13" x14ac:dyDescent="0.25">
      <c r="A308" s="597"/>
      <c r="B308" s="330"/>
      <c r="C308" s="330"/>
      <c r="D308" s="330"/>
      <c r="E308" s="330"/>
      <c r="F308" s="330"/>
      <c r="G308" s="330"/>
      <c r="H308" s="330"/>
      <c r="I308" s="330"/>
      <c r="J308" s="330"/>
      <c r="K308" s="331"/>
      <c r="L308" s="330"/>
      <c r="M308" s="331"/>
    </row>
    <row r="309" spans="1:13" x14ac:dyDescent="0.25">
      <c r="A309" s="597"/>
      <c r="B309" s="330"/>
      <c r="C309" s="330"/>
      <c r="D309" s="330"/>
      <c r="E309" s="330"/>
      <c r="F309" s="330"/>
      <c r="G309" s="330"/>
      <c r="H309" s="330"/>
      <c r="I309" s="330"/>
      <c r="J309" s="330"/>
      <c r="K309" s="331"/>
      <c r="L309" s="330"/>
      <c r="M309" s="331"/>
    </row>
    <row r="310" spans="1:13" x14ac:dyDescent="0.25">
      <c r="A310" s="597"/>
      <c r="B310" s="330"/>
      <c r="C310" s="330"/>
      <c r="D310" s="330"/>
      <c r="E310" s="330"/>
      <c r="F310" s="330"/>
      <c r="G310" s="330"/>
      <c r="H310" s="330"/>
      <c r="I310" s="330"/>
      <c r="J310" s="330"/>
      <c r="K310" s="331"/>
      <c r="L310" s="330"/>
      <c r="M310" s="331"/>
    </row>
    <row r="311" spans="1:13" x14ac:dyDescent="0.25">
      <c r="A311" s="597"/>
      <c r="B311" s="330"/>
      <c r="C311" s="330"/>
      <c r="D311" s="330"/>
      <c r="E311" s="330"/>
      <c r="F311" s="330"/>
      <c r="G311" s="330"/>
      <c r="H311" s="330"/>
      <c r="I311" s="330"/>
      <c r="J311" s="330"/>
      <c r="K311" s="331"/>
      <c r="L311" s="330"/>
      <c r="M311" s="331"/>
    </row>
    <row r="312" spans="1:13" x14ac:dyDescent="0.25">
      <c r="A312" s="597"/>
      <c r="B312" s="330"/>
      <c r="C312" s="330"/>
      <c r="D312" s="330"/>
      <c r="E312" s="330"/>
      <c r="F312" s="330"/>
      <c r="G312" s="330"/>
      <c r="H312" s="330"/>
      <c r="I312" s="330"/>
      <c r="J312" s="330"/>
      <c r="K312" s="331"/>
      <c r="L312" s="330"/>
      <c r="M312" s="331"/>
    </row>
    <row r="313" spans="1:13" x14ac:dyDescent="0.25">
      <c r="A313" s="597"/>
      <c r="B313" s="330"/>
      <c r="C313" s="330"/>
      <c r="D313" s="330"/>
      <c r="E313" s="330"/>
      <c r="F313" s="330"/>
      <c r="G313" s="330"/>
      <c r="H313" s="330"/>
      <c r="I313" s="330"/>
      <c r="J313" s="330"/>
      <c r="K313" s="331"/>
      <c r="L313" s="330"/>
      <c r="M313" s="331"/>
    </row>
    <row r="314" spans="1:13" x14ac:dyDescent="0.25">
      <c r="A314" s="597"/>
      <c r="B314" s="330"/>
      <c r="C314" s="330"/>
      <c r="D314" s="330"/>
      <c r="E314" s="330"/>
      <c r="F314" s="330"/>
      <c r="G314" s="330"/>
      <c r="H314" s="330"/>
      <c r="I314" s="330"/>
      <c r="J314" s="330"/>
      <c r="K314" s="331"/>
      <c r="L314" s="330"/>
      <c r="M314" s="331"/>
    </row>
    <row r="315" spans="1:13" x14ac:dyDescent="0.25">
      <c r="A315" s="597"/>
      <c r="B315" s="330"/>
      <c r="C315" s="330"/>
      <c r="D315" s="330"/>
      <c r="E315" s="330"/>
      <c r="F315" s="330"/>
      <c r="G315" s="330"/>
      <c r="H315" s="330"/>
      <c r="I315" s="330"/>
      <c r="J315" s="330"/>
      <c r="K315" s="331"/>
      <c r="L315" s="330"/>
      <c r="M315" s="331"/>
    </row>
    <row r="316" spans="1:13" x14ac:dyDescent="0.25">
      <c r="A316" s="597"/>
      <c r="B316" s="330"/>
      <c r="C316" s="330"/>
      <c r="D316" s="330"/>
      <c r="E316" s="330"/>
      <c r="F316" s="330"/>
      <c r="G316" s="330"/>
      <c r="H316" s="330"/>
      <c r="I316" s="330"/>
      <c r="J316" s="330"/>
      <c r="K316" s="331"/>
      <c r="L316" s="330"/>
      <c r="M316" s="331"/>
    </row>
    <row r="317" spans="1:13" x14ac:dyDescent="0.25">
      <c r="A317" s="597"/>
      <c r="B317" s="330"/>
      <c r="C317" s="330"/>
      <c r="D317" s="330"/>
      <c r="E317" s="330"/>
      <c r="F317" s="330"/>
      <c r="G317" s="330"/>
      <c r="H317" s="330"/>
      <c r="I317" s="330"/>
      <c r="J317" s="330"/>
      <c r="K317" s="331"/>
      <c r="L317" s="330"/>
      <c r="M317" s="331"/>
    </row>
    <row r="318" spans="1:13" x14ac:dyDescent="0.25">
      <c r="A318" s="597"/>
      <c r="B318" s="330"/>
      <c r="C318" s="330"/>
      <c r="D318" s="330"/>
      <c r="E318" s="330"/>
      <c r="F318" s="330"/>
      <c r="G318" s="330"/>
      <c r="H318" s="330"/>
      <c r="I318" s="330"/>
      <c r="J318" s="330"/>
      <c r="K318" s="331"/>
      <c r="L318" s="330"/>
      <c r="M318" s="331"/>
    </row>
    <row r="319" spans="1:13" x14ac:dyDescent="0.25">
      <c r="A319" s="597"/>
      <c r="B319" s="330"/>
      <c r="C319" s="330"/>
      <c r="D319" s="330"/>
      <c r="E319" s="330"/>
      <c r="F319" s="330"/>
      <c r="G319" s="330"/>
      <c r="H319" s="330"/>
      <c r="I319" s="330"/>
      <c r="J319" s="330"/>
      <c r="K319" s="331"/>
      <c r="L319" s="330"/>
      <c r="M319" s="331"/>
    </row>
    <row r="320" spans="1:13" x14ac:dyDescent="0.25">
      <c r="A320" s="597"/>
      <c r="B320" s="330"/>
      <c r="C320" s="330"/>
      <c r="D320" s="330"/>
      <c r="E320" s="330"/>
      <c r="F320" s="330"/>
      <c r="G320" s="330"/>
      <c r="H320" s="330"/>
      <c r="I320" s="330"/>
      <c r="J320" s="330"/>
      <c r="K320" s="331"/>
      <c r="L320" s="330"/>
      <c r="M320" s="331"/>
    </row>
    <row r="321" spans="1:13" x14ac:dyDescent="0.25">
      <c r="A321" s="597"/>
      <c r="B321" s="330"/>
      <c r="C321" s="330"/>
      <c r="D321" s="330"/>
      <c r="E321" s="330"/>
      <c r="F321" s="330"/>
      <c r="G321" s="330"/>
      <c r="H321" s="330"/>
      <c r="I321" s="330"/>
      <c r="J321" s="330"/>
      <c r="K321" s="331"/>
      <c r="L321" s="330"/>
      <c r="M321" s="331"/>
    </row>
    <row r="322" spans="1:13" x14ac:dyDescent="0.25">
      <c r="A322" s="597"/>
      <c r="B322" s="330"/>
      <c r="C322" s="330"/>
      <c r="D322" s="330"/>
      <c r="E322" s="330"/>
      <c r="F322" s="330"/>
      <c r="G322" s="330"/>
      <c r="H322" s="330"/>
      <c r="I322" s="330"/>
      <c r="J322" s="330"/>
      <c r="K322" s="331"/>
      <c r="L322" s="330"/>
      <c r="M322" s="331"/>
    </row>
    <row r="323" spans="1:13" x14ac:dyDescent="0.25">
      <c r="A323" s="597"/>
      <c r="B323" s="330"/>
      <c r="C323" s="330"/>
      <c r="D323" s="330"/>
      <c r="E323" s="330"/>
      <c r="F323" s="330"/>
      <c r="G323" s="330"/>
      <c r="H323" s="330"/>
      <c r="I323" s="330"/>
      <c r="J323" s="330"/>
      <c r="K323" s="331"/>
      <c r="L323" s="330"/>
      <c r="M323" s="331"/>
    </row>
    <row r="324" spans="1:13" x14ac:dyDescent="0.25">
      <c r="A324" s="597"/>
      <c r="B324" s="330"/>
      <c r="C324" s="330"/>
      <c r="D324" s="330"/>
      <c r="E324" s="330"/>
      <c r="F324" s="330"/>
      <c r="G324" s="330"/>
      <c r="H324" s="330"/>
      <c r="I324" s="330"/>
      <c r="J324" s="330"/>
      <c r="K324" s="331"/>
      <c r="L324" s="330"/>
      <c r="M324" s="331"/>
    </row>
    <row r="325" spans="1:13" x14ac:dyDescent="0.25">
      <c r="A325" s="597"/>
      <c r="B325" s="330"/>
      <c r="C325" s="330"/>
      <c r="D325" s="330"/>
      <c r="E325" s="330"/>
      <c r="F325" s="330"/>
      <c r="G325" s="330"/>
      <c r="H325" s="330"/>
      <c r="I325" s="330"/>
      <c r="J325" s="330"/>
      <c r="K325" s="331"/>
      <c r="L325" s="330"/>
      <c r="M325" s="331"/>
    </row>
    <row r="326" spans="1:13" x14ac:dyDescent="0.25">
      <c r="A326" s="597"/>
      <c r="B326" s="330"/>
      <c r="C326" s="330"/>
      <c r="D326" s="330"/>
      <c r="E326" s="330"/>
      <c r="F326" s="330"/>
      <c r="G326" s="330"/>
      <c r="H326" s="330"/>
      <c r="I326" s="330"/>
      <c r="J326" s="330"/>
      <c r="K326" s="331"/>
      <c r="L326" s="330"/>
      <c r="M326" s="331"/>
    </row>
    <row r="327" spans="1:13" x14ac:dyDescent="0.25">
      <c r="A327" s="1170"/>
      <c r="B327" s="1170"/>
      <c r="C327" s="1170"/>
      <c r="D327" s="1170"/>
      <c r="E327" s="1170"/>
      <c r="F327" s="1170"/>
      <c r="G327" s="1170"/>
      <c r="H327" s="1170"/>
      <c r="I327" s="1170"/>
      <c r="J327" s="1170"/>
      <c r="K327" s="1170"/>
      <c r="L327" s="1170"/>
      <c r="M327" s="1170"/>
    </row>
    <row r="328" spans="1:13" x14ac:dyDescent="0.25">
      <c r="A328" s="1039"/>
      <c r="B328" s="1039"/>
      <c r="C328" s="1039"/>
      <c r="D328" s="1039"/>
      <c r="E328" s="1039"/>
      <c r="F328" s="1039"/>
      <c r="G328" s="1039"/>
      <c r="H328" s="1039"/>
      <c r="I328" s="1039"/>
      <c r="J328" s="1039"/>
      <c r="K328" s="1039"/>
      <c r="L328" s="1039"/>
      <c r="M328" s="1039"/>
    </row>
    <row r="329" spans="1:13" x14ac:dyDescent="0.25">
      <c r="A329" s="597"/>
      <c r="B329" s="330"/>
      <c r="C329" s="330"/>
      <c r="D329" s="330"/>
      <c r="E329" s="330"/>
      <c r="F329" s="330"/>
      <c r="G329" s="330"/>
      <c r="H329" s="330"/>
      <c r="I329" s="330"/>
      <c r="J329" s="330"/>
      <c r="K329" s="331"/>
      <c r="L329" s="330"/>
      <c r="M329" s="332"/>
    </row>
    <row r="330" spans="1:13" x14ac:dyDescent="0.25">
      <c r="A330" s="597"/>
      <c r="B330" s="330"/>
      <c r="C330" s="330"/>
      <c r="D330" s="330"/>
      <c r="E330" s="330"/>
      <c r="F330" s="330"/>
      <c r="G330" s="330"/>
      <c r="H330" s="330"/>
      <c r="I330" s="330"/>
      <c r="J330" s="330"/>
      <c r="K330" s="331"/>
      <c r="L330" s="330"/>
      <c r="M330" s="332"/>
    </row>
    <row r="331" spans="1:13" x14ac:dyDescent="0.25">
      <c r="A331" s="597"/>
      <c r="B331" s="330"/>
      <c r="C331" s="330"/>
      <c r="D331" s="330"/>
      <c r="E331" s="330"/>
      <c r="F331" s="330"/>
      <c r="G331" s="330"/>
      <c r="H331" s="330"/>
      <c r="I331" s="330"/>
      <c r="J331" s="330"/>
      <c r="K331" s="331"/>
      <c r="L331" s="330"/>
      <c r="M331" s="332"/>
    </row>
    <row r="332" spans="1:13" x14ac:dyDescent="0.25">
      <c r="A332" s="597"/>
      <c r="B332" s="330"/>
      <c r="C332" s="330"/>
      <c r="D332" s="330"/>
      <c r="E332" s="330"/>
      <c r="F332" s="330"/>
      <c r="G332" s="330"/>
      <c r="H332" s="330"/>
      <c r="I332" s="330"/>
      <c r="J332" s="330"/>
      <c r="K332" s="331"/>
      <c r="L332" s="330"/>
      <c r="M332" s="332"/>
    </row>
    <row r="333" spans="1:13" x14ac:dyDescent="0.25">
      <c r="A333" s="597"/>
      <c r="B333" s="330"/>
      <c r="C333" s="330"/>
      <c r="D333" s="330"/>
      <c r="E333" s="330"/>
      <c r="F333" s="330"/>
      <c r="G333" s="330"/>
      <c r="H333" s="330"/>
      <c r="I333" s="330"/>
      <c r="J333" s="330"/>
      <c r="K333" s="331"/>
      <c r="L333" s="330"/>
      <c r="M333" s="332"/>
    </row>
    <row r="334" spans="1:13" x14ac:dyDescent="0.25">
      <c r="A334" s="597"/>
      <c r="B334" s="330"/>
      <c r="C334" s="330"/>
      <c r="D334" s="330"/>
      <c r="E334" s="330"/>
      <c r="F334" s="330"/>
      <c r="G334" s="330"/>
      <c r="H334" s="330"/>
      <c r="I334" s="330"/>
      <c r="J334" s="330"/>
      <c r="K334" s="331"/>
      <c r="L334" s="330"/>
      <c r="M334" s="332"/>
    </row>
    <row r="335" spans="1:13" x14ac:dyDescent="0.25">
      <c r="A335" s="597"/>
      <c r="B335" s="330"/>
      <c r="C335" s="330"/>
      <c r="D335" s="330"/>
      <c r="E335" s="330"/>
      <c r="F335" s="330"/>
      <c r="G335" s="330"/>
      <c r="H335" s="330"/>
      <c r="I335" s="330"/>
      <c r="J335" s="330"/>
      <c r="K335" s="331"/>
      <c r="L335" s="330"/>
      <c r="M335" s="332"/>
    </row>
    <row r="336" spans="1:13" x14ac:dyDescent="0.25">
      <c r="A336" s="597"/>
      <c r="B336" s="330"/>
      <c r="C336" s="330"/>
      <c r="D336" s="330"/>
      <c r="E336" s="330"/>
      <c r="F336" s="330"/>
      <c r="G336" s="330"/>
      <c r="H336" s="330"/>
      <c r="I336" s="330"/>
      <c r="J336" s="330"/>
      <c r="K336" s="331"/>
      <c r="L336" s="330"/>
      <c r="M336" s="332"/>
    </row>
    <row r="337" spans="1:13" x14ac:dyDescent="0.25">
      <c r="A337" s="597"/>
      <c r="B337" s="330"/>
      <c r="C337" s="330"/>
      <c r="D337" s="330"/>
      <c r="E337" s="330"/>
      <c r="F337" s="330"/>
      <c r="G337" s="330"/>
      <c r="H337" s="330"/>
      <c r="I337" s="330"/>
      <c r="J337" s="330"/>
      <c r="K337" s="331"/>
      <c r="L337" s="330"/>
      <c r="M337" s="332"/>
    </row>
    <row r="338" spans="1:13" x14ac:dyDescent="0.25">
      <c r="A338" s="597"/>
      <c r="B338" s="330"/>
      <c r="C338" s="330"/>
      <c r="D338" s="330"/>
      <c r="E338" s="330"/>
      <c r="F338" s="330"/>
      <c r="G338" s="330"/>
      <c r="H338" s="330"/>
      <c r="I338" s="330"/>
      <c r="J338" s="330"/>
      <c r="K338" s="331"/>
      <c r="L338" s="330"/>
      <c r="M338" s="332"/>
    </row>
    <row r="339" spans="1:13" x14ac:dyDescent="0.25">
      <c r="A339" s="597"/>
      <c r="B339" s="330"/>
      <c r="C339" s="330"/>
      <c r="D339" s="330"/>
      <c r="E339" s="330"/>
      <c r="F339" s="330"/>
      <c r="G339" s="330"/>
      <c r="H339" s="330"/>
      <c r="I339" s="330"/>
      <c r="J339" s="330"/>
      <c r="K339" s="331"/>
      <c r="L339" s="330"/>
      <c r="M339" s="332"/>
    </row>
    <row r="340" spans="1:13" x14ac:dyDescent="0.25">
      <c r="A340" s="1039"/>
      <c r="B340" s="1039"/>
      <c r="C340" s="1039"/>
      <c r="D340" s="1039"/>
      <c r="E340" s="1039"/>
      <c r="F340" s="1039"/>
      <c r="G340" s="1039"/>
      <c r="H340" s="1039"/>
      <c r="I340" s="1039"/>
      <c r="J340" s="1039"/>
      <c r="K340" s="1039"/>
      <c r="L340" s="1039"/>
      <c r="M340" s="1039"/>
    </row>
    <row r="341" spans="1:13" x14ac:dyDescent="0.25">
      <c r="A341" s="597"/>
      <c r="B341" s="330"/>
      <c r="C341" s="330"/>
      <c r="D341" s="330"/>
      <c r="E341" s="330"/>
      <c r="F341" s="330"/>
      <c r="G341" s="330"/>
      <c r="H341" s="330"/>
      <c r="I341" s="330"/>
      <c r="J341" s="330"/>
      <c r="K341" s="331"/>
      <c r="L341" s="330"/>
      <c r="M341" s="331"/>
    </row>
    <row r="342" spans="1:13" x14ac:dyDescent="0.25">
      <c r="A342" s="597"/>
      <c r="B342" s="330"/>
      <c r="C342" s="330"/>
      <c r="D342" s="330"/>
      <c r="E342" s="330"/>
      <c r="F342" s="330"/>
      <c r="G342" s="330"/>
      <c r="H342" s="330"/>
      <c r="I342" s="330"/>
      <c r="J342" s="330"/>
      <c r="K342" s="331"/>
      <c r="L342" s="330"/>
      <c r="M342" s="331"/>
    </row>
    <row r="343" spans="1:13" x14ac:dyDescent="0.25">
      <c r="A343" s="597"/>
      <c r="B343" s="330"/>
      <c r="C343" s="330"/>
      <c r="D343" s="330"/>
      <c r="E343" s="330"/>
      <c r="F343" s="330"/>
      <c r="G343" s="330"/>
      <c r="H343" s="330"/>
      <c r="I343" s="330"/>
      <c r="J343" s="330"/>
      <c r="K343" s="331"/>
      <c r="L343" s="330"/>
      <c r="M343" s="331"/>
    </row>
    <row r="344" spans="1:13" x14ac:dyDescent="0.25">
      <c r="A344" s="597"/>
      <c r="B344" s="330"/>
      <c r="C344" s="330"/>
      <c r="D344" s="330"/>
      <c r="E344" s="330"/>
      <c r="F344" s="330"/>
      <c r="G344" s="330"/>
      <c r="H344" s="330"/>
      <c r="I344" s="330"/>
      <c r="J344" s="330"/>
      <c r="K344" s="331"/>
      <c r="L344" s="330"/>
      <c r="M344" s="331"/>
    </row>
    <row r="345" spans="1:13" x14ac:dyDescent="0.25">
      <c r="A345" s="597"/>
      <c r="B345" s="330"/>
      <c r="C345" s="330"/>
      <c r="D345" s="330"/>
      <c r="E345" s="330"/>
      <c r="F345" s="330"/>
      <c r="G345" s="330"/>
      <c r="H345" s="330"/>
      <c r="I345" s="330"/>
      <c r="J345" s="330"/>
      <c r="K345" s="331"/>
      <c r="L345" s="330"/>
      <c r="M345" s="331"/>
    </row>
    <row r="346" spans="1:13" x14ac:dyDescent="0.25">
      <c r="A346" s="597"/>
      <c r="B346" s="330"/>
      <c r="C346" s="330"/>
      <c r="D346" s="330"/>
      <c r="E346" s="330"/>
      <c r="F346" s="330"/>
      <c r="G346" s="330"/>
      <c r="H346" s="330"/>
      <c r="I346" s="330"/>
      <c r="J346" s="330"/>
      <c r="K346" s="331"/>
      <c r="L346" s="330"/>
      <c r="M346" s="331"/>
    </row>
    <row r="347" spans="1:13" x14ac:dyDescent="0.25">
      <c r="A347" s="597"/>
      <c r="B347" s="330"/>
      <c r="C347" s="330"/>
      <c r="D347" s="330"/>
      <c r="E347" s="330"/>
      <c r="F347" s="330"/>
      <c r="G347" s="330"/>
      <c r="H347" s="330"/>
      <c r="I347" s="330"/>
      <c r="J347" s="330"/>
      <c r="K347" s="331"/>
      <c r="L347" s="330"/>
      <c r="M347" s="331"/>
    </row>
    <row r="348" spans="1:13" x14ac:dyDescent="0.25">
      <c r="A348" s="597"/>
      <c r="B348" s="330"/>
      <c r="C348" s="330"/>
      <c r="D348" s="330"/>
      <c r="E348" s="330"/>
      <c r="F348" s="330"/>
      <c r="G348" s="330"/>
      <c r="H348" s="330"/>
      <c r="I348" s="330"/>
      <c r="J348" s="330"/>
      <c r="K348" s="331"/>
      <c r="L348" s="330"/>
      <c r="M348" s="331"/>
    </row>
    <row r="349" spans="1:13" x14ac:dyDescent="0.25">
      <c r="A349" s="597"/>
      <c r="B349" s="330"/>
      <c r="C349" s="330"/>
      <c r="D349" s="330"/>
      <c r="E349" s="330"/>
      <c r="F349" s="330"/>
      <c r="G349" s="330"/>
      <c r="H349" s="330"/>
      <c r="I349" s="330"/>
      <c r="J349" s="330"/>
      <c r="K349" s="331"/>
      <c r="L349" s="330"/>
      <c r="M349" s="331"/>
    </row>
    <row r="350" spans="1:13" x14ac:dyDescent="0.25">
      <c r="A350" s="597"/>
      <c r="B350" s="330"/>
      <c r="C350" s="330"/>
      <c r="D350" s="330"/>
      <c r="E350" s="330"/>
      <c r="F350" s="330"/>
      <c r="G350" s="330"/>
      <c r="H350" s="330"/>
      <c r="I350" s="330"/>
      <c r="J350" s="330"/>
      <c r="K350" s="331"/>
      <c r="L350" s="330"/>
      <c r="M350" s="331"/>
    </row>
    <row r="351" spans="1:13" x14ac:dyDescent="0.25">
      <c r="A351" s="597"/>
      <c r="B351" s="330"/>
      <c r="C351" s="330"/>
      <c r="D351" s="330"/>
      <c r="E351" s="330"/>
      <c r="F351" s="330"/>
      <c r="G351" s="330"/>
      <c r="H351" s="330"/>
      <c r="I351" s="330"/>
      <c r="J351" s="330"/>
      <c r="K351" s="331"/>
      <c r="L351" s="330"/>
      <c r="M351" s="331"/>
    </row>
    <row r="352" spans="1:13" x14ac:dyDescent="0.25">
      <c r="A352" s="597"/>
      <c r="B352" s="330"/>
      <c r="C352" s="330"/>
      <c r="D352" s="330"/>
      <c r="E352" s="330"/>
      <c r="F352" s="330"/>
      <c r="G352" s="330"/>
      <c r="H352" s="330"/>
      <c r="I352" s="330"/>
      <c r="J352" s="330"/>
      <c r="K352" s="331"/>
      <c r="L352" s="330"/>
      <c r="M352" s="331"/>
    </row>
    <row r="353" spans="1:13" x14ac:dyDescent="0.25">
      <c r="A353" s="1170"/>
      <c r="B353" s="1170"/>
      <c r="C353" s="1170"/>
      <c r="D353" s="1170"/>
      <c r="E353" s="1170"/>
      <c r="F353" s="1170"/>
      <c r="G353" s="1170"/>
      <c r="H353" s="1170"/>
      <c r="I353" s="1170"/>
      <c r="J353" s="1170"/>
      <c r="K353" s="1170"/>
      <c r="L353" s="1170"/>
      <c r="M353" s="1170"/>
    </row>
    <row r="354" spans="1:13" x14ac:dyDescent="0.25">
      <c r="A354" s="1039"/>
      <c r="B354" s="1039"/>
      <c r="C354" s="1039"/>
      <c r="D354" s="1039"/>
      <c r="E354" s="1039"/>
      <c r="F354" s="1039"/>
      <c r="G354" s="1039"/>
      <c r="H354" s="1039"/>
      <c r="I354" s="1039"/>
      <c r="J354" s="1039"/>
      <c r="K354" s="1039"/>
      <c r="L354" s="1039"/>
      <c r="M354" s="1039"/>
    </row>
    <row r="355" spans="1:13" x14ac:dyDescent="0.25">
      <c r="A355" s="597"/>
      <c r="B355" s="330"/>
      <c r="C355" s="330"/>
      <c r="D355" s="330"/>
      <c r="E355" s="330"/>
      <c r="F355" s="330"/>
      <c r="G355" s="330"/>
      <c r="H355" s="330"/>
      <c r="I355" s="330"/>
      <c r="J355" s="330"/>
      <c r="K355" s="331"/>
      <c r="L355" s="330"/>
      <c r="M355" s="332"/>
    </row>
    <row r="356" spans="1:13" x14ac:dyDescent="0.25">
      <c r="A356" s="597"/>
      <c r="B356" s="330"/>
      <c r="C356" s="330"/>
      <c r="D356" s="330"/>
      <c r="E356" s="330"/>
      <c r="F356" s="330"/>
      <c r="G356" s="330"/>
      <c r="H356" s="330"/>
      <c r="I356" s="330"/>
      <c r="J356" s="330"/>
      <c r="K356" s="331"/>
      <c r="L356" s="330"/>
      <c r="M356" s="332"/>
    </row>
    <row r="357" spans="1:13" x14ac:dyDescent="0.25">
      <c r="A357" s="597"/>
      <c r="B357" s="330"/>
      <c r="C357" s="330"/>
      <c r="D357" s="330"/>
      <c r="E357" s="330"/>
      <c r="F357" s="330"/>
      <c r="G357" s="330"/>
      <c r="H357" s="330"/>
      <c r="I357" s="330"/>
      <c r="J357" s="330"/>
      <c r="K357" s="331"/>
      <c r="L357" s="330"/>
      <c r="M357" s="332"/>
    </row>
    <row r="358" spans="1:13" x14ac:dyDescent="0.25">
      <c r="A358" s="597"/>
      <c r="B358" s="330"/>
      <c r="C358" s="330"/>
      <c r="D358" s="330"/>
      <c r="E358" s="330"/>
      <c r="F358" s="330"/>
      <c r="G358" s="330"/>
      <c r="H358" s="330"/>
      <c r="I358" s="330"/>
      <c r="J358" s="330"/>
      <c r="K358" s="331"/>
      <c r="L358" s="330"/>
      <c r="M358" s="332"/>
    </row>
    <row r="359" spans="1:13" x14ac:dyDescent="0.25">
      <c r="A359" s="597"/>
      <c r="B359" s="330"/>
      <c r="C359" s="330"/>
      <c r="D359" s="330"/>
      <c r="E359" s="330"/>
      <c r="F359" s="330"/>
      <c r="G359" s="330"/>
      <c r="H359" s="330"/>
      <c r="I359" s="330"/>
      <c r="J359" s="330"/>
      <c r="K359" s="331"/>
      <c r="L359" s="330"/>
      <c r="M359" s="332"/>
    </row>
    <row r="360" spans="1:13" x14ac:dyDescent="0.25">
      <c r="A360" s="597"/>
      <c r="B360" s="330"/>
      <c r="C360" s="330"/>
      <c r="D360" s="330"/>
      <c r="E360" s="330"/>
      <c r="F360" s="330"/>
      <c r="G360" s="330"/>
      <c r="H360" s="330"/>
      <c r="I360" s="330"/>
      <c r="J360" s="330"/>
      <c r="K360" s="331"/>
      <c r="L360" s="330"/>
      <c r="M360" s="332"/>
    </row>
    <row r="361" spans="1:13" x14ac:dyDescent="0.25">
      <c r="A361" s="597"/>
      <c r="B361" s="330"/>
      <c r="C361" s="330"/>
      <c r="D361" s="330"/>
      <c r="E361" s="330"/>
      <c r="F361" s="330"/>
      <c r="G361" s="330"/>
      <c r="H361" s="330"/>
      <c r="I361" s="330"/>
      <c r="J361" s="330"/>
      <c r="K361" s="331"/>
      <c r="L361" s="330"/>
      <c r="M361" s="332"/>
    </row>
    <row r="362" spans="1:13" x14ac:dyDescent="0.25">
      <c r="A362" s="597"/>
      <c r="B362" s="330"/>
      <c r="C362" s="330"/>
      <c r="D362" s="330"/>
      <c r="E362" s="330"/>
      <c r="F362" s="330"/>
      <c r="G362" s="330"/>
      <c r="H362" s="330"/>
      <c r="I362" s="330"/>
      <c r="J362" s="330"/>
      <c r="K362" s="331"/>
      <c r="L362" s="330"/>
      <c r="M362" s="332"/>
    </row>
    <row r="363" spans="1:13" x14ac:dyDescent="0.25">
      <c r="A363" s="597"/>
      <c r="B363" s="330"/>
      <c r="C363" s="330"/>
      <c r="D363" s="330"/>
      <c r="E363" s="330"/>
      <c r="F363" s="330"/>
      <c r="G363" s="330"/>
      <c r="H363" s="330"/>
      <c r="I363" s="330"/>
      <c r="J363" s="330"/>
      <c r="K363" s="331"/>
      <c r="L363" s="330"/>
      <c r="M363" s="332"/>
    </row>
    <row r="364" spans="1:13" x14ac:dyDescent="0.25">
      <c r="A364" s="597"/>
      <c r="B364" s="330"/>
      <c r="C364" s="330"/>
      <c r="D364" s="330"/>
      <c r="E364" s="330"/>
      <c r="F364" s="330"/>
      <c r="G364" s="330"/>
      <c r="H364" s="330"/>
      <c r="I364" s="330"/>
      <c r="J364" s="330"/>
      <c r="K364" s="331"/>
      <c r="L364" s="330"/>
      <c r="M364" s="332"/>
    </row>
    <row r="365" spans="1:13" x14ac:dyDescent="0.25">
      <c r="A365" s="597"/>
      <c r="B365" s="330"/>
      <c r="C365" s="330"/>
      <c r="D365" s="330"/>
      <c r="E365" s="330"/>
      <c r="F365" s="330"/>
      <c r="G365" s="330"/>
      <c r="H365" s="330"/>
      <c r="I365" s="330"/>
      <c r="J365" s="330"/>
      <c r="K365" s="331"/>
      <c r="L365" s="330"/>
      <c r="M365" s="332"/>
    </row>
    <row r="366" spans="1:13" x14ac:dyDescent="0.25">
      <c r="A366" s="597"/>
      <c r="B366" s="330"/>
      <c r="C366" s="330"/>
      <c r="D366" s="330"/>
      <c r="E366" s="330"/>
      <c r="F366" s="330"/>
      <c r="G366" s="330"/>
      <c r="H366" s="330"/>
      <c r="I366" s="330"/>
      <c r="J366" s="330"/>
      <c r="K366" s="331"/>
      <c r="L366" s="330"/>
      <c r="M366" s="332"/>
    </row>
    <row r="367" spans="1:13" x14ac:dyDescent="0.25">
      <c r="A367" s="1039"/>
      <c r="B367" s="1039"/>
      <c r="C367" s="1039"/>
      <c r="D367" s="1039"/>
      <c r="E367" s="1039"/>
      <c r="F367" s="1039"/>
      <c r="G367" s="1039"/>
      <c r="H367" s="1039"/>
      <c r="I367" s="1039"/>
      <c r="J367" s="1039"/>
      <c r="K367" s="1039"/>
      <c r="L367" s="1039"/>
      <c r="M367" s="1039"/>
    </row>
    <row r="368" spans="1:13" x14ac:dyDescent="0.25">
      <c r="A368" s="597"/>
      <c r="B368" s="330"/>
      <c r="C368" s="330"/>
      <c r="D368" s="330"/>
      <c r="E368" s="330"/>
      <c r="F368" s="330"/>
      <c r="G368" s="330"/>
      <c r="H368" s="330"/>
      <c r="I368" s="330"/>
      <c r="J368" s="330"/>
      <c r="K368" s="331"/>
      <c r="L368" s="330"/>
      <c r="M368" s="331"/>
    </row>
    <row r="369" spans="1:13" x14ac:dyDescent="0.25">
      <c r="A369" s="597"/>
      <c r="B369" s="330"/>
      <c r="C369" s="330"/>
      <c r="D369" s="330"/>
      <c r="E369" s="330"/>
      <c r="F369" s="330"/>
      <c r="G369" s="330"/>
      <c r="H369" s="330"/>
      <c r="I369" s="330"/>
      <c r="J369" s="330"/>
      <c r="K369" s="331"/>
      <c r="L369" s="330"/>
      <c r="M369" s="331"/>
    </row>
    <row r="370" spans="1:13" x14ac:dyDescent="0.25">
      <c r="A370" s="597"/>
      <c r="B370" s="330"/>
      <c r="C370" s="330"/>
      <c r="D370" s="330"/>
      <c r="E370" s="330"/>
      <c r="F370" s="330"/>
      <c r="G370" s="330"/>
      <c r="H370" s="330"/>
      <c r="I370" s="330"/>
      <c r="J370" s="330"/>
      <c r="K370" s="331"/>
      <c r="L370" s="330"/>
      <c r="M370" s="331"/>
    </row>
    <row r="371" spans="1:13" x14ac:dyDescent="0.25">
      <c r="A371" s="597"/>
      <c r="B371" s="330"/>
      <c r="C371" s="330"/>
      <c r="D371" s="330"/>
      <c r="E371" s="330"/>
      <c r="F371" s="330"/>
      <c r="G371" s="330"/>
      <c r="H371" s="330"/>
      <c r="I371" s="330"/>
      <c r="J371" s="330"/>
      <c r="K371" s="331"/>
      <c r="L371" s="330"/>
      <c r="M371" s="331"/>
    </row>
    <row r="372" spans="1:13" x14ac:dyDescent="0.25">
      <c r="A372" s="597"/>
      <c r="B372" s="330"/>
      <c r="C372" s="330"/>
      <c r="D372" s="330"/>
      <c r="E372" s="330"/>
      <c r="F372" s="330"/>
      <c r="G372" s="330"/>
      <c r="H372" s="330"/>
      <c r="I372" s="330"/>
      <c r="J372" s="330"/>
      <c r="K372" s="331"/>
      <c r="L372" s="330"/>
      <c r="M372" s="331"/>
    </row>
    <row r="373" spans="1:13" x14ac:dyDescent="0.25">
      <c r="A373" s="597"/>
      <c r="B373" s="330"/>
      <c r="C373" s="330"/>
      <c r="D373" s="330"/>
      <c r="E373" s="330"/>
      <c r="F373" s="330"/>
      <c r="G373" s="330"/>
      <c r="H373" s="330"/>
      <c r="I373" s="330"/>
      <c r="J373" s="330"/>
      <c r="K373" s="331"/>
      <c r="L373" s="330"/>
      <c r="M373" s="331"/>
    </row>
    <row r="374" spans="1:13" x14ac:dyDescent="0.25">
      <c r="A374" s="1170"/>
      <c r="B374" s="1170"/>
      <c r="C374" s="1170"/>
      <c r="D374" s="1170"/>
      <c r="E374" s="1170"/>
      <c r="F374" s="1170"/>
      <c r="G374" s="1170"/>
      <c r="H374" s="1170"/>
      <c r="I374" s="1170"/>
      <c r="J374" s="1170"/>
      <c r="K374" s="1170"/>
      <c r="L374" s="1170"/>
      <c r="M374" s="1170"/>
    </row>
    <row r="375" spans="1:13" x14ac:dyDescent="0.25">
      <c r="A375" s="1039"/>
      <c r="B375" s="1039"/>
      <c r="C375" s="1039"/>
      <c r="D375" s="1039"/>
      <c r="E375" s="1039"/>
      <c r="F375" s="1039"/>
      <c r="G375" s="1039"/>
      <c r="H375" s="1039"/>
      <c r="I375" s="1039"/>
      <c r="J375" s="1039"/>
      <c r="K375" s="1039"/>
      <c r="L375" s="1039"/>
      <c r="M375" s="1039"/>
    </row>
    <row r="376" spans="1:13" x14ac:dyDescent="0.25">
      <c r="A376" s="597"/>
      <c r="B376" s="330"/>
      <c r="C376" s="330"/>
      <c r="D376" s="330"/>
      <c r="E376" s="330"/>
      <c r="F376" s="330"/>
      <c r="G376" s="330"/>
      <c r="H376" s="330"/>
      <c r="I376" s="330"/>
      <c r="J376" s="330"/>
      <c r="K376" s="331"/>
      <c r="L376" s="330"/>
      <c r="M376" s="332"/>
    </row>
    <row r="377" spans="1:13" x14ac:dyDescent="0.25">
      <c r="A377" s="597"/>
      <c r="B377" s="330"/>
      <c r="C377" s="330"/>
      <c r="D377" s="330"/>
      <c r="E377" s="330"/>
      <c r="F377" s="330"/>
      <c r="G377" s="330"/>
      <c r="H377" s="330"/>
      <c r="I377" s="330"/>
      <c r="J377" s="330"/>
      <c r="K377" s="331"/>
      <c r="L377" s="330"/>
      <c r="M377" s="332"/>
    </row>
    <row r="378" spans="1:13" x14ac:dyDescent="0.25">
      <c r="A378" s="597"/>
      <c r="B378" s="330"/>
      <c r="C378" s="330"/>
      <c r="D378" s="330"/>
      <c r="E378" s="330"/>
      <c r="F378" s="330"/>
      <c r="G378" s="330"/>
      <c r="H378" s="330"/>
      <c r="I378" s="330"/>
      <c r="J378" s="330"/>
      <c r="K378" s="331"/>
      <c r="L378" s="330"/>
      <c r="M378" s="332"/>
    </row>
    <row r="379" spans="1:13" x14ac:dyDescent="0.25">
      <c r="A379" s="597"/>
      <c r="B379" s="330"/>
      <c r="C379" s="330"/>
      <c r="D379" s="330"/>
      <c r="E379" s="330"/>
      <c r="F379" s="330"/>
      <c r="G379" s="330"/>
      <c r="H379" s="330"/>
      <c r="I379" s="330"/>
      <c r="J379" s="330"/>
      <c r="K379" s="331"/>
      <c r="L379" s="330"/>
      <c r="M379" s="332"/>
    </row>
    <row r="380" spans="1:13" x14ac:dyDescent="0.25">
      <c r="A380" s="597"/>
      <c r="B380" s="330"/>
      <c r="C380" s="330"/>
      <c r="D380" s="330"/>
      <c r="E380" s="330"/>
      <c r="F380" s="330"/>
      <c r="G380" s="330"/>
      <c r="H380" s="330"/>
      <c r="I380" s="330"/>
      <c r="J380" s="330"/>
      <c r="K380" s="331"/>
      <c r="L380" s="330"/>
      <c r="M380" s="332"/>
    </row>
    <row r="381" spans="1:13" x14ac:dyDescent="0.25">
      <c r="A381" s="597"/>
      <c r="B381" s="330"/>
      <c r="C381" s="330"/>
      <c r="D381" s="330"/>
      <c r="E381" s="330"/>
      <c r="F381" s="330"/>
      <c r="G381" s="330"/>
      <c r="H381" s="330"/>
      <c r="I381" s="330"/>
      <c r="J381" s="330"/>
      <c r="K381" s="331"/>
      <c r="L381" s="330"/>
      <c r="M381" s="331"/>
    </row>
    <row r="382" spans="1:13" x14ac:dyDescent="0.25">
      <c r="A382" s="597"/>
      <c r="B382" s="330"/>
      <c r="C382" s="330"/>
      <c r="D382" s="330"/>
      <c r="E382" s="330"/>
      <c r="F382" s="330"/>
      <c r="G382" s="330"/>
      <c r="H382" s="330"/>
      <c r="I382" s="330"/>
      <c r="J382" s="330"/>
      <c r="K382" s="331"/>
      <c r="L382" s="330"/>
      <c r="M382" s="331"/>
    </row>
    <row r="383" spans="1:13" x14ac:dyDescent="0.25">
      <c r="A383" s="597"/>
      <c r="B383" s="330"/>
      <c r="C383" s="330"/>
      <c r="D383" s="330"/>
      <c r="E383" s="330"/>
      <c r="F383" s="330"/>
      <c r="G383" s="330"/>
      <c r="H383" s="330"/>
      <c r="I383" s="330"/>
      <c r="J383" s="330"/>
      <c r="K383" s="331"/>
      <c r="L383" s="330"/>
      <c r="M383" s="331"/>
    </row>
    <row r="384" spans="1:13" x14ac:dyDescent="0.25">
      <c r="A384" s="1039"/>
      <c r="B384" s="1039"/>
      <c r="C384" s="1039"/>
      <c r="D384" s="1039"/>
      <c r="E384" s="1039"/>
      <c r="F384" s="1039"/>
      <c r="G384" s="1039"/>
      <c r="H384" s="1039"/>
      <c r="I384" s="1039"/>
      <c r="J384" s="1039"/>
      <c r="K384" s="1039"/>
      <c r="L384" s="1039"/>
      <c r="M384" s="1039"/>
    </row>
    <row r="385" spans="1:13" x14ac:dyDescent="0.25">
      <c r="A385" s="597"/>
      <c r="B385" s="330"/>
      <c r="C385" s="330"/>
      <c r="D385" s="330"/>
      <c r="E385" s="330"/>
      <c r="F385" s="330"/>
      <c r="G385" s="330"/>
      <c r="H385" s="330"/>
      <c r="I385" s="330"/>
      <c r="J385" s="330"/>
      <c r="K385" s="331"/>
      <c r="L385" s="330"/>
      <c r="M385" s="331"/>
    </row>
    <row r="386" spans="1:13" x14ac:dyDescent="0.25">
      <c r="A386" s="597"/>
      <c r="B386" s="330"/>
      <c r="C386" s="330"/>
      <c r="D386" s="330"/>
      <c r="E386" s="330"/>
      <c r="F386" s="330"/>
      <c r="G386" s="330"/>
      <c r="H386" s="330"/>
      <c r="I386" s="330"/>
      <c r="J386" s="330"/>
      <c r="K386" s="331"/>
      <c r="L386" s="330"/>
      <c r="M386" s="331"/>
    </row>
    <row r="387" spans="1:13" x14ac:dyDescent="0.25">
      <c r="A387" s="597"/>
      <c r="B387" s="330"/>
      <c r="C387" s="330"/>
      <c r="D387" s="330"/>
      <c r="E387" s="330"/>
      <c r="F387" s="330"/>
      <c r="G387" s="330"/>
      <c r="H387" s="330"/>
      <c r="I387" s="330"/>
      <c r="J387" s="330"/>
      <c r="K387" s="331"/>
      <c r="L387" s="330"/>
      <c r="M387" s="331"/>
    </row>
    <row r="388" spans="1:13" x14ac:dyDescent="0.25">
      <c r="A388" s="597"/>
      <c r="B388" s="330"/>
      <c r="C388" s="330"/>
      <c r="D388" s="330"/>
      <c r="E388" s="330"/>
      <c r="F388" s="330"/>
      <c r="G388" s="330"/>
      <c r="H388" s="330"/>
      <c r="I388" s="330"/>
      <c r="J388" s="330"/>
      <c r="K388" s="331"/>
      <c r="L388" s="330"/>
      <c r="M388" s="331"/>
    </row>
    <row r="389" spans="1:13" x14ac:dyDescent="0.25">
      <c r="A389" s="597"/>
      <c r="B389" s="330"/>
      <c r="C389" s="330"/>
      <c r="D389" s="330"/>
      <c r="E389" s="330"/>
      <c r="F389" s="330"/>
      <c r="G389" s="330"/>
      <c r="H389" s="330"/>
      <c r="I389" s="330"/>
      <c r="J389" s="330"/>
      <c r="K389" s="331"/>
      <c r="L389" s="330"/>
      <c r="M389" s="331"/>
    </row>
    <row r="390" spans="1:13" x14ac:dyDescent="0.25">
      <c r="A390" s="597"/>
      <c r="B390" s="330"/>
      <c r="C390" s="330"/>
      <c r="D390" s="330"/>
      <c r="E390" s="330"/>
      <c r="F390" s="330"/>
      <c r="G390" s="330"/>
      <c r="H390" s="330"/>
      <c r="I390" s="330"/>
      <c r="J390" s="330"/>
      <c r="K390" s="331"/>
      <c r="L390" s="330"/>
      <c r="M390" s="331"/>
    </row>
    <row r="391" spans="1:13" x14ac:dyDescent="0.25">
      <c r="A391" s="597"/>
      <c r="B391" s="330"/>
      <c r="C391" s="330"/>
      <c r="D391" s="330"/>
      <c r="E391" s="330"/>
      <c r="F391" s="330"/>
      <c r="G391" s="330"/>
      <c r="H391" s="330"/>
      <c r="I391" s="330"/>
      <c r="J391" s="330"/>
      <c r="K391" s="331"/>
      <c r="L391" s="330"/>
      <c r="M391" s="331"/>
    </row>
    <row r="392" spans="1:13" x14ac:dyDescent="0.25">
      <c r="A392" s="597"/>
      <c r="B392" s="330"/>
      <c r="C392" s="330"/>
      <c r="D392" s="330"/>
      <c r="E392" s="330"/>
      <c r="F392" s="330"/>
      <c r="G392" s="330"/>
      <c r="H392" s="330"/>
      <c r="I392" s="330"/>
      <c r="J392" s="330"/>
      <c r="K392" s="331"/>
      <c r="L392" s="330"/>
      <c r="M392" s="331"/>
    </row>
    <row r="393" spans="1:13" x14ac:dyDescent="0.25">
      <c r="A393" s="597"/>
      <c r="B393" s="330"/>
      <c r="C393" s="330"/>
      <c r="D393" s="330"/>
      <c r="E393" s="330"/>
      <c r="F393" s="330"/>
      <c r="G393" s="330"/>
      <c r="H393" s="330"/>
      <c r="I393" s="330"/>
      <c r="J393" s="330"/>
      <c r="K393" s="331"/>
      <c r="L393" s="330"/>
      <c r="M393" s="331"/>
    </row>
    <row r="394" spans="1:13" x14ac:dyDescent="0.25">
      <c r="A394" s="597"/>
      <c r="B394" s="330"/>
      <c r="C394" s="330"/>
      <c r="D394" s="330"/>
      <c r="E394" s="330"/>
      <c r="F394" s="330"/>
      <c r="G394" s="330"/>
      <c r="H394" s="330"/>
      <c r="I394" s="330"/>
      <c r="J394" s="330"/>
      <c r="K394" s="331"/>
      <c r="L394" s="330"/>
      <c r="M394" s="331"/>
    </row>
    <row r="395" spans="1:13" x14ac:dyDescent="0.25">
      <c r="M395" s="336"/>
    </row>
    <row r="396" spans="1:13" x14ac:dyDescent="0.25">
      <c r="M396" s="336"/>
    </row>
    <row r="397" spans="1:13" x14ac:dyDescent="0.25">
      <c r="M397" s="336"/>
    </row>
    <row r="398" spans="1:13" x14ac:dyDescent="0.25">
      <c r="M398" s="336"/>
    </row>
    <row r="399" spans="1:13" x14ac:dyDescent="0.25">
      <c r="M399" s="336"/>
    </row>
    <row r="400" spans="1:13" x14ac:dyDescent="0.25">
      <c r="M400" s="336"/>
    </row>
    <row r="401" spans="13:13" x14ac:dyDescent="0.25">
      <c r="M401" s="336"/>
    </row>
    <row r="402" spans="13:13" x14ac:dyDescent="0.25">
      <c r="M402" s="336"/>
    </row>
    <row r="403" spans="13:13" x14ac:dyDescent="0.25">
      <c r="M403" s="336"/>
    </row>
    <row r="404" spans="13:13" x14ac:dyDescent="0.25">
      <c r="M404" s="336"/>
    </row>
    <row r="405" spans="13:13" x14ac:dyDescent="0.25">
      <c r="M405" s="336"/>
    </row>
    <row r="406" spans="13:13" x14ac:dyDescent="0.25">
      <c r="M406" s="336"/>
    </row>
  </sheetData>
  <mergeCells count="309">
    <mergeCell ref="G284:M284"/>
    <mergeCell ref="G143:M143"/>
    <mergeCell ref="A20:A21"/>
    <mergeCell ref="B20:B21"/>
    <mergeCell ref="A38:A39"/>
    <mergeCell ref="B38:B39"/>
    <mergeCell ref="A56:A57"/>
    <mergeCell ref="G129:M129"/>
    <mergeCell ref="G146:M146"/>
    <mergeCell ref="G181:I181"/>
    <mergeCell ref="G155:M155"/>
    <mergeCell ref="A146:A147"/>
    <mergeCell ref="G166:I166"/>
    <mergeCell ref="B111:B112"/>
    <mergeCell ref="B146:B147"/>
    <mergeCell ref="B85:B86"/>
    <mergeCell ref="G131:I131"/>
    <mergeCell ref="G173:M173"/>
    <mergeCell ref="G174:I174"/>
    <mergeCell ref="G48:I48"/>
    <mergeCell ref="G171:I171"/>
    <mergeCell ref="J180:K180"/>
    <mergeCell ref="A85:A86"/>
    <mergeCell ref="G165:I165"/>
    <mergeCell ref="G62:M62"/>
    <mergeCell ref="G63:I63"/>
    <mergeCell ref="C231:C232"/>
    <mergeCell ref="D231:D232"/>
    <mergeCell ref="E187:E188"/>
    <mergeCell ref="G191:M191"/>
    <mergeCell ref="G189:M189"/>
    <mergeCell ref="G194:M194"/>
    <mergeCell ref="C194:C195"/>
    <mergeCell ref="D194:D195"/>
    <mergeCell ref="G225:M225"/>
    <mergeCell ref="G202:M202"/>
    <mergeCell ref="G203:I203"/>
    <mergeCell ref="G196:M196"/>
    <mergeCell ref="G223:M223"/>
    <mergeCell ref="G230:I230"/>
    <mergeCell ref="G219:M219"/>
    <mergeCell ref="G64:I64"/>
    <mergeCell ref="G89:M89"/>
    <mergeCell ref="G68:M68"/>
    <mergeCell ref="G81:I81"/>
    <mergeCell ref="G70:M70"/>
    <mergeCell ref="G91:M91"/>
    <mergeCell ref="G72:I72"/>
    <mergeCell ref="B182:B183"/>
    <mergeCell ref="A194:A195"/>
    <mergeCell ref="B194:B195"/>
    <mergeCell ref="G136:M136"/>
    <mergeCell ref="G142:I142"/>
    <mergeCell ref="G109:I109"/>
    <mergeCell ref="J174:K174"/>
    <mergeCell ref="J171:K171"/>
    <mergeCell ref="J131:K131"/>
    <mergeCell ref="G119:M119"/>
    <mergeCell ref="G111:M111"/>
    <mergeCell ref="G110:I110"/>
    <mergeCell ref="G23:M23"/>
    <mergeCell ref="G17:M17"/>
    <mergeCell ref="G18:I18"/>
    <mergeCell ref="B187:B188"/>
    <mergeCell ref="G226:I226"/>
    <mergeCell ref="A98:A99"/>
    <mergeCell ref="B98:B99"/>
    <mergeCell ref="A111:A112"/>
    <mergeCell ref="G124:M124"/>
    <mergeCell ref="C182:C183"/>
    <mergeCell ref="D182:D183"/>
    <mergeCell ref="C146:C147"/>
    <mergeCell ref="D146:D147"/>
    <mergeCell ref="G121:M121"/>
    <mergeCell ref="G148:M148"/>
    <mergeCell ref="G126:M126"/>
    <mergeCell ref="G176:M176"/>
    <mergeCell ref="D98:D99"/>
    <mergeCell ref="G175:I175"/>
    <mergeCell ref="G151:M151"/>
    <mergeCell ref="G158:M158"/>
    <mergeCell ref="G159:I159"/>
    <mergeCell ref="G179:M179"/>
    <mergeCell ref="A182:A183"/>
    <mergeCell ref="A298:M298"/>
    <mergeCell ref="A353:M353"/>
    <mergeCell ref="A375:M375"/>
    <mergeCell ref="A187:A188"/>
    <mergeCell ref="G187:M187"/>
    <mergeCell ref="D205:D206"/>
    <mergeCell ref="G186:I186"/>
    <mergeCell ref="A2:A6"/>
    <mergeCell ref="G2:M2"/>
    <mergeCell ref="G3:M4"/>
    <mergeCell ref="G38:M38"/>
    <mergeCell ref="G8:M8"/>
    <mergeCell ref="G25:M25"/>
    <mergeCell ref="G20:M20"/>
    <mergeCell ref="G46:I46"/>
    <mergeCell ref="G32:M32"/>
    <mergeCell ref="G33:I33"/>
    <mergeCell ref="G30:M30"/>
    <mergeCell ref="A15:A16"/>
    <mergeCell ref="B15:B16"/>
    <mergeCell ref="G40:M40"/>
    <mergeCell ref="G42:M42"/>
    <mergeCell ref="G43:I43"/>
    <mergeCell ref="G37:I37"/>
    <mergeCell ref="J261:K261"/>
    <mergeCell ref="J254:K254"/>
    <mergeCell ref="G245:M245"/>
    <mergeCell ref="G35:M35"/>
    <mergeCell ref="G36:I36"/>
    <mergeCell ref="G44:M44"/>
    <mergeCell ref="G45:I45"/>
    <mergeCell ref="A384:M384"/>
    <mergeCell ref="G262:I262"/>
    <mergeCell ref="A327:M327"/>
    <mergeCell ref="A287:B287"/>
    <mergeCell ref="G241:M241"/>
    <mergeCell ref="C263:C264"/>
    <mergeCell ref="G263:M263"/>
    <mergeCell ref="G231:M231"/>
    <mergeCell ref="A367:M367"/>
    <mergeCell ref="G237:M237"/>
    <mergeCell ref="A263:A264"/>
    <mergeCell ref="B263:B264"/>
    <mergeCell ref="G286:I286"/>
    <mergeCell ref="A340:M340"/>
    <mergeCell ref="A328:M328"/>
    <mergeCell ref="G271:M271"/>
    <mergeCell ref="G269:M269"/>
    <mergeCell ref="G53:I53"/>
    <mergeCell ref="G49:I49"/>
    <mergeCell ref="G98:M98"/>
    <mergeCell ref="A374:M374"/>
    <mergeCell ref="G273:M273"/>
    <mergeCell ref="A354:M354"/>
    <mergeCell ref="A231:A232"/>
    <mergeCell ref="D263:D264"/>
    <mergeCell ref="G214:M214"/>
    <mergeCell ref="G207:M207"/>
    <mergeCell ref="G204:I204"/>
    <mergeCell ref="G213:I213"/>
    <mergeCell ref="A205:A206"/>
    <mergeCell ref="B205:B206"/>
    <mergeCell ref="G205:M205"/>
    <mergeCell ref="C205:C206"/>
    <mergeCell ref="G209:M209"/>
    <mergeCell ref="G210:I210"/>
    <mergeCell ref="G251:M251"/>
    <mergeCell ref="G254:I254"/>
    <mergeCell ref="G257:M257"/>
    <mergeCell ref="G227:M227"/>
    <mergeCell ref="G211:M211"/>
    <mergeCell ref="G212:I212"/>
    <mergeCell ref="N46:P46"/>
    <mergeCell ref="N20:T20"/>
    <mergeCell ref="N22:T22"/>
    <mergeCell ref="B231:B232"/>
    <mergeCell ref="N2:T2"/>
    <mergeCell ref="N3:T4"/>
    <mergeCell ref="N12:P12"/>
    <mergeCell ref="N14:P14"/>
    <mergeCell ref="N15:T15"/>
    <mergeCell ref="N19:P19"/>
    <mergeCell ref="C111:C112"/>
    <mergeCell ref="D111:D112"/>
    <mergeCell ref="G116:M116"/>
    <mergeCell ref="G51:I51"/>
    <mergeCell ref="G19:I19"/>
    <mergeCell ref="G15:M15"/>
    <mergeCell ref="G27:M27"/>
    <mergeCell ref="B2:F6"/>
    <mergeCell ref="G12:I12"/>
    <mergeCell ref="G14:I14"/>
    <mergeCell ref="G55:I55"/>
    <mergeCell ref="G67:I67"/>
    <mergeCell ref="B56:B57"/>
    <mergeCell ref="N49:P49"/>
    <mergeCell ref="G85:M85"/>
    <mergeCell ref="G97:I97"/>
    <mergeCell ref="G94:I94"/>
    <mergeCell ref="G84:I84"/>
    <mergeCell ref="G95:M95"/>
    <mergeCell ref="G96:I96"/>
    <mergeCell ref="G75:M75"/>
    <mergeCell ref="G77:I77"/>
    <mergeCell ref="G107:M107"/>
    <mergeCell ref="G82:M82"/>
    <mergeCell ref="G83:I83"/>
    <mergeCell ref="G78:M78"/>
    <mergeCell ref="A1:T1"/>
    <mergeCell ref="N241:T241"/>
    <mergeCell ref="N262:P262"/>
    <mergeCell ref="N263:T263"/>
    <mergeCell ref="B7:F7"/>
    <mergeCell ref="C85:C86"/>
    <mergeCell ref="D85:D86"/>
    <mergeCell ref="C98:C99"/>
    <mergeCell ref="G198:M198"/>
    <mergeCell ref="N231:T231"/>
    <mergeCell ref="N184:T184"/>
    <mergeCell ref="G234:M234"/>
    <mergeCell ref="N175:P175"/>
    <mergeCell ref="N181:P181"/>
    <mergeCell ref="N182:T182"/>
    <mergeCell ref="N234:T234"/>
    <mergeCell ref="N186:P186"/>
    <mergeCell ref="N187:T187"/>
    <mergeCell ref="G217:M217"/>
    <mergeCell ref="N111:T111"/>
    <mergeCell ref="N116:T116"/>
    <mergeCell ref="D187:D188"/>
    <mergeCell ref="C187:C188"/>
    <mergeCell ref="G47:M47"/>
    <mergeCell ref="N286:P286"/>
    <mergeCell ref="G87:M87"/>
    <mergeCell ref="N207:T207"/>
    <mergeCell ref="N213:P213"/>
    <mergeCell ref="N230:P230"/>
    <mergeCell ref="N204:P204"/>
    <mergeCell ref="N205:T205"/>
    <mergeCell ref="G101:M101"/>
    <mergeCell ref="N237:T237"/>
    <mergeCell ref="N189:T189"/>
    <mergeCell ref="N193:P193"/>
    <mergeCell ref="N194:T194"/>
    <mergeCell ref="N196:T196"/>
    <mergeCell ref="N148:T148"/>
    <mergeCell ref="N166:P166"/>
    <mergeCell ref="N172:P172"/>
    <mergeCell ref="G172:I172"/>
    <mergeCell ref="N146:T146"/>
    <mergeCell ref="N145:P145"/>
    <mergeCell ref="G145:I145"/>
    <mergeCell ref="N119:T119"/>
    <mergeCell ref="N167:T167"/>
    <mergeCell ref="G261:I261"/>
    <mergeCell ref="G180:I180"/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N67:P67"/>
    <mergeCell ref="N81:P81"/>
    <mergeCell ref="N84:P84"/>
    <mergeCell ref="N85:T85"/>
    <mergeCell ref="N97:P97"/>
    <mergeCell ref="N98:T98"/>
    <mergeCell ref="N51:P51"/>
    <mergeCell ref="N53:P53"/>
    <mergeCell ref="N55:P55"/>
    <mergeCell ref="N56:T56"/>
    <mergeCell ref="N64:P64"/>
    <mergeCell ref="N37:P37"/>
    <mergeCell ref="N38:T38"/>
    <mergeCell ref="G193:I193"/>
    <mergeCell ref="G10:M10"/>
    <mergeCell ref="G11:I11"/>
    <mergeCell ref="J11:K11"/>
    <mergeCell ref="G65:M65"/>
    <mergeCell ref="G66:I66"/>
    <mergeCell ref="J63:K63"/>
    <mergeCell ref="J66:K66"/>
    <mergeCell ref="J48:K48"/>
    <mergeCell ref="J109:K109"/>
    <mergeCell ref="J96:K96"/>
    <mergeCell ref="J94:K94"/>
    <mergeCell ref="J83:K83"/>
    <mergeCell ref="J77:K77"/>
    <mergeCell ref="J36:K36"/>
    <mergeCell ref="J33:K33"/>
    <mergeCell ref="J72:K72"/>
    <mergeCell ref="J43:K43"/>
    <mergeCell ref="J45:K45"/>
    <mergeCell ref="J18:K18"/>
    <mergeCell ref="G56:M56"/>
    <mergeCell ref="G59:M59"/>
    <mergeCell ref="G283:I283"/>
    <mergeCell ref="G267:M267"/>
    <mergeCell ref="G279:M279"/>
    <mergeCell ref="J275:K275"/>
    <mergeCell ref="J283:K283"/>
    <mergeCell ref="N87:T87"/>
    <mergeCell ref="N68:T68"/>
    <mergeCell ref="G229:I229"/>
    <mergeCell ref="J229:K229"/>
    <mergeCell ref="J226:K226"/>
    <mergeCell ref="J212:K212"/>
    <mergeCell ref="J210:K210"/>
    <mergeCell ref="J203:K203"/>
    <mergeCell ref="J159:K159"/>
    <mergeCell ref="J165:K165"/>
    <mergeCell ref="J142:K142"/>
    <mergeCell ref="G167:M167"/>
    <mergeCell ref="G154:I154"/>
    <mergeCell ref="G184:M184"/>
    <mergeCell ref="G162:M162"/>
    <mergeCell ref="G169:M169"/>
    <mergeCell ref="G182:M182"/>
    <mergeCell ref="G200:M200"/>
    <mergeCell ref="N110:P110"/>
  </mergeCells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T621"/>
  <sheetViews>
    <sheetView zoomScale="70" zoomScaleNormal="70" workbookViewId="0">
      <pane ySplit="7" topLeftCell="A80" activePane="bottomLeft" state="frozen"/>
      <selection pane="bottomLeft" activeCell="G105" sqref="G105:M105"/>
    </sheetView>
  </sheetViews>
  <sheetFormatPr defaultRowHeight="15.75" x14ac:dyDescent="0.25"/>
  <cols>
    <col min="1" max="1" width="30.7109375" style="335" customWidth="1"/>
    <col min="2" max="6" width="5.7109375" style="301" customWidth="1"/>
    <col min="7" max="9" width="20.7109375" style="301" customWidth="1"/>
    <col min="10" max="10" width="13.7109375" style="301" customWidth="1"/>
    <col min="11" max="11" width="10.7109375" style="336" customWidth="1"/>
    <col min="12" max="12" width="10.7109375" style="301" customWidth="1"/>
    <col min="13" max="13" width="10.7109375" style="337" customWidth="1"/>
    <col min="14" max="14" width="20.7109375" style="315" customWidth="1"/>
    <col min="15" max="16" width="20.7109375" style="204" customWidth="1"/>
    <col min="17" max="17" width="11.85546875" style="204" customWidth="1"/>
    <col min="18" max="18" width="10.7109375" style="334" customWidth="1"/>
    <col min="19" max="19" width="10.7109375" style="204" customWidth="1"/>
    <col min="20" max="20" width="10.7109375" style="334" customWidth="1"/>
    <col min="21" max="16384" width="9.140625" style="204"/>
  </cols>
  <sheetData>
    <row r="1" spans="1:20" ht="15.75" customHeight="1" x14ac:dyDescent="0.25">
      <c r="A1" s="1049" t="s">
        <v>1434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</row>
    <row r="2" spans="1:20" ht="15" customHeight="1" x14ac:dyDescent="0.25">
      <c r="A2" s="1176" t="s">
        <v>244</v>
      </c>
      <c r="B2" s="1138" t="s">
        <v>1136</v>
      </c>
      <c r="C2" s="1139"/>
      <c r="D2" s="1139"/>
      <c r="E2" s="1139"/>
      <c r="F2" s="1140"/>
      <c r="G2" s="1146" t="s">
        <v>1187</v>
      </c>
      <c r="H2" s="1147"/>
      <c r="I2" s="1147"/>
      <c r="J2" s="1147"/>
      <c r="K2" s="1147"/>
      <c r="L2" s="1147"/>
      <c r="M2" s="1041"/>
      <c r="N2" s="1033" t="s">
        <v>1668</v>
      </c>
      <c r="O2" s="1033"/>
      <c r="P2" s="1033"/>
      <c r="Q2" s="1033"/>
      <c r="R2" s="1033"/>
      <c r="S2" s="1033"/>
      <c r="T2" s="1033"/>
    </row>
    <row r="3" spans="1:20" ht="15" customHeight="1" x14ac:dyDescent="0.25">
      <c r="A3" s="1177"/>
      <c r="B3" s="1141"/>
      <c r="C3" s="1039"/>
      <c r="D3" s="1039"/>
      <c r="E3" s="1039"/>
      <c r="F3" s="1142"/>
      <c r="G3" s="1034" t="s">
        <v>1188</v>
      </c>
      <c r="H3" s="1033"/>
      <c r="I3" s="1033"/>
      <c r="J3" s="1033"/>
      <c r="K3" s="1033"/>
      <c r="L3" s="1033"/>
      <c r="M3" s="1033"/>
      <c r="N3" s="1034" t="s">
        <v>1669</v>
      </c>
      <c r="O3" s="1033"/>
      <c r="P3" s="1033"/>
      <c r="Q3" s="1033"/>
      <c r="R3" s="1033"/>
      <c r="S3" s="1033"/>
      <c r="T3" s="1033"/>
    </row>
    <row r="4" spans="1:20" x14ac:dyDescent="0.25">
      <c r="A4" s="1177"/>
      <c r="B4" s="1141"/>
      <c r="C4" s="1039"/>
      <c r="D4" s="1039"/>
      <c r="E4" s="1039"/>
      <c r="F4" s="1142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</row>
    <row r="5" spans="1:20" ht="15.75" customHeight="1" x14ac:dyDescent="0.25">
      <c r="A5" s="1177"/>
      <c r="B5" s="1141"/>
      <c r="C5" s="1039"/>
      <c r="D5" s="1039"/>
      <c r="E5" s="1039"/>
      <c r="F5" s="1142"/>
      <c r="G5" s="1007" t="s">
        <v>1189</v>
      </c>
      <c r="H5" s="1007" t="s">
        <v>1195</v>
      </c>
      <c r="I5" s="1007" t="s">
        <v>1191</v>
      </c>
      <c r="J5" s="543" t="s">
        <v>19510</v>
      </c>
      <c r="K5" s="543" t="s">
        <v>19511</v>
      </c>
      <c r="L5" s="1007" t="s">
        <v>1193</v>
      </c>
      <c r="M5" s="1011" t="s">
        <v>1194</v>
      </c>
      <c r="N5" s="1007" t="s">
        <v>1189</v>
      </c>
      <c r="O5" s="1007" t="s">
        <v>1195</v>
      </c>
      <c r="P5" s="1007" t="s">
        <v>1191</v>
      </c>
      <c r="Q5" s="543" t="s">
        <v>19510</v>
      </c>
      <c r="R5" s="543" t="s">
        <v>19511</v>
      </c>
      <c r="S5" s="1007" t="s">
        <v>1193</v>
      </c>
      <c r="T5" s="1011" t="s">
        <v>1194</v>
      </c>
    </row>
    <row r="6" spans="1:20" x14ac:dyDescent="0.25">
      <c r="A6" s="1178"/>
      <c r="B6" s="1143"/>
      <c r="C6" s="1144"/>
      <c r="D6" s="1144"/>
      <c r="E6" s="1144"/>
      <c r="F6" s="1145"/>
      <c r="G6" s="1008"/>
      <c r="H6" s="1008"/>
      <c r="I6" s="1008"/>
      <c r="J6" s="205" t="s">
        <v>1192</v>
      </c>
      <c r="K6" s="205" t="s">
        <v>1192</v>
      </c>
      <c r="L6" s="1008"/>
      <c r="M6" s="1012"/>
      <c r="N6" s="1008"/>
      <c r="O6" s="1008"/>
      <c r="P6" s="1008"/>
      <c r="Q6" s="205" t="s">
        <v>1192</v>
      </c>
      <c r="R6" s="205" t="s">
        <v>1192</v>
      </c>
      <c r="S6" s="1008"/>
      <c r="T6" s="1012"/>
    </row>
    <row r="7" spans="1:20" ht="16.5" thickBot="1" x14ac:dyDescent="0.3">
      <c r="A7" s="207">
        <v>1</v>
      </c>
      <c r="B7" s="1013">
        <v>2</v>
      </c>
      <c r="C7" s="1014"/>
      <c r="D7" s="1014"/>
      <c r="E7" s="1014"/>
      <c r="F7" s="1015"/>
      <c r="G7" s="208">
        <v>3</v>
      </c>
      <c r="H7" s="208">
        <v>4</v>
      </c>
      <c r="I7" s="208">
        <v>5</v>
      </c>
      <c r="J7" s="208">
        <v>6</v>
      </c>
      <c r="K7" s="208">
        <v>7</v>
      </c>
      <c r="L7" s="208">
        <v>8</v>
      </c>
      <c r="M7" s="210">
        <v>9</v>
      </c>
      <c r="N7" s="208">
        <v>10</v>
      </c>
      <c r="O7" s="208">
        <v>11</v>
      </c>
      <c r="P7" s="208">
        <v>12</v>
      </c>
      <c r="Q7" s="208">
        <v>13</v>
      </c>
      <c r="R7" s="208">
        <v>14</v>
      </c>
      <c r="S7" s="208">
        <v>15</v>
      </c>
      <c r="T7" s="210">
        <v>16</v>
      </c>
    </row>
    <row r="8" spans="1:20" ht="15" customHeight="1" x14ac:dyDescent="0.25">
      <c r="A8" s="566" t="str">
        <f>Итоговая!C207</f>
        <v>ПС 110/10 кВ Бибирево</v>
      </c>
      <c r="B8" s="563">
        <f>Итоговая!D207</f>
        <v>2.5</v>
      </c>
      <c r="C8" s="552"/>
      <c r="D8" s="552"/>
      <c r="E8" s="552"/>
      <c r="F8" s="552"/>
      <c r="G8" s="1179" t="s">
        <v>18842</v>
      </c>
      <c r="H8" s="1180"/>
      <c r="I8" s="1180"/>
      <c r="J8" s="1180"/>
      <c r="K8" s="1180"/>
      <c r="L8" s="1180"/>
      <c r="M8" s="1180"/>
      <c r="N8" s="215"/>
      <c r="O8" s="215"/>
      <c r="P8" s="215"/>
      <c r="Q8" s="215"/>
      <c r="R8" s="216"/>
      <c r="S8" s="215"/>
      <c r="T8" s="217"/>
    </row>
    <row r="9" spans="1:20" ht="15" customHeight="1" x14ac:dyDescent="0.25">
      <c r="A9" s="730"/>
      <c r="B9" s="720"/>
      <c r="C9" s="721"/>
      <c r="D9" s="721"/>
      <c r="E9" s="721"/>
      <c r="F9" s="721"/>
      <c r="G9" s="1157" t="s">
        <v>2263</v>
      </c>
      <c r="H9" s="1157"/>
      <c r="I9" s="1157"/>
      <c r="J9" s="994">
        <f>0.036*0.9*0.6</f>
        <v>1.9439999999999999E-2</v>
      </c>
      <c r="K9" s="995"/>
      <c r="L9" s="419"/>
      <c r="M9" s="351"/>
      <c r="N9" s="223"/>
      <c r="O9" s="223"/>
      <c r="P9" s="223"/>
      <c r="Q9" s="223"/>
      <c r="R9" s="224"/>
      <c r="S9" s="223"/>
      <c r="T9" s="225"/>
    </row>
    <row r="10" spans="1:20" ht="15" customHeight="1" thickBot="1" x14ac:dyDescent="0.3">
      <c r="A10" s="242"/>
      <c r="B10" s="243"/>
      <c r="C10" s="244"/>
      <c r="D10" s="244"/>
      <c r="E10" s="244"/>
      <c r="F10" s="244"/>
      <c r="G10" s="1032" t="s">
        <v>1199</v>
      </c>
      <c r="H10" s="1032"/>
      <c r="I10" s="1032"/>
      <c r="J10" s="542"/>
      <c r="K10" s="247">
        <f>SUM(J9)</f>
        <v>1.9439999999999999E-2</v>
      </c>
      <c r="L10" s="542">
        <v>0.92</v>
      </c>
      <c r="M10" s="247">
        <f>K10/L10</f>
        <v>2.1130434782608693E-2</v>
      </c>
      <c r="N10" s="1032" t="s">
        <v>1199</v>
      </c>
      <c r="O10" s="1032"/>
      <c r="P10" s="1032"/>
      <c r="Q10" s="542"/>
      <c r="R10" s="247">
        <f>SUM(R8:R8)</f>
        <v>0</v>
      </c>
      <c r="S10" s="542">
        <v>0.92</v>
      </c>
      <c r="T10" s="249">
        <f>R10/S10</f>
        <v>0</v>
      </c>
    </row>
    <row r="11" spans="1:20" ht="15" customHeight="1" x14ac:dyDescent="0.25">
      <c r="A11" s="566" t="str">
        <f>Итоговая!C208</f>
        <v>ПС 35/10 кВ Бор</v>
      </c>
      <c r="B11" s="563">
        <f>Итоговая!D208</f>
        <v>1.6</v>
      </c>
      <c r="C11" s="552"/>
      <c r="D11" s="552"/>
      <c r="E11" s="552"/>
      <c r="F11" s="552"/>
      <c r="G11" s="1179" t="s">
        <v>18842</v>
      </c>
      <c r="H11" s="1180"/>
      <c r="I11" s="1180"/>
      <c r="J11" s="1180"/>
      <c r="K11" s="1180"/>
      <c r="L11" s="1180"/>
      <c r="M11" s="1180"/>
      <c r="N11" s="588"/>
      <c r="O11" s="588"/>
      <c r="P11" s="215"/>
      <c r="Q11" s="215"/>
      <c r="R11" s="216"/>
      <c r="S11" s="215"/>
      <c r="T11" s="217"/>
    </row>
    <row r="12" spans="1:20" ht="15" customHeight="1" x14ac:dyDescent="0.25">
      <c r="A12" s="567"/>
      <c r="B12" s="564"/>
      <c r="C12" s="553"/>
      <c r="D12" s="553"/>
      <c r="E12" s="553"/>
      <c r="F12" s="553"/>
      <c r="G12" s="1157" t="s">
        <v>2263</v>
      </c>
      <c r="H12" s="1157"/>
      <c r="I12" s="1157"/>
      <c r="J12" s="994">
        <f>0.01*0.9</f>
        <v>9.0000000000000011E-3</v>
      </c>
      <c r="K12" s="995"/>
      <c r="L12" s="419"/>
      <c r="M12" s="351"/>
      <c r="N12" s="420"/>
      <c r="O12" s="420"/>
      <c r="P12" s="223"/>
      <c r="Q12" s="223"/>
      <c r="R12" s="224"/>
      <c r="S12" s="223"/>
      <c r="T12" s="225"/>
    </row>
    <row r="13" spans="1:20" ht="15" customHeight="1" thickBot="1" x14ac:dyDescent="0.3">
      <c r="A13" s="242"/>
      <c r="B13" s="243"/>
      <c r="C13" s="244"/>
      <c r="D13" s="244"/>
      <c r="E13" s="244"/>
      <c r="F13" s="244"/>
      <c r="G13" s="1032" t="s">
        <v>1199</v>
      </c>
      <c r="H13" s="1032"/>
      <c r="I13" s="1032"/>
      <c r="J13" s="542"/>
      <c r="K13" s="247">
        <f>SUM(J12)</f>
        <v>9.0000000000000011E-3</v>
      </c>
      <c r="L13" s="542">
        <v>0.92</v>
      </c>
      <c r="M13" s="247">
        <f>K13/L13</f>
        <v>9.7826086956521747E-3</v>
      </c>
      <c r="N13" s="1032" t="s">
        <v>1199</v>
      </c>
      <c r="O13" s="1032"/>
      <c r="P13" s="1032"/>
      <c r="Q13" s="542"/>
      <c r="R13" s="247">
        <f>SUM(R11:R11)</f>
        <v>0</v>
      </c>
      <c r="S13" s="542">
        <v>0.92</v>
      </c>
      <c r="T13" s="249">
        <f>R13/S13</f>
        <v>0</v>
      </c>
    </row>
    <row r="14" spans="1:20" ht="15" customHeight="1" x14ac:dyDescent="0.25">
      <c r="A14" s="566" t="str">
        <f>Итоговая!C209</f>
        <v>ПС 110/10 кВ Воробьи</v>
      </c>
      <c r="B14" s="563">
        <f>Итоговая!D209</f>
        <v>2.5</v>
      </c>
      <c r="C14" s="552"/>
      <c r="D14" s="552"/>
      <c r="E14" s="552"/>
      <c r="F14" s="552"/>
      <c r="G14" s="588"/>
      <c r="H14" s="588"/>
      <c r="I14" s="215"/>
      <c r="J14" s="215"/>
      <c r="K14" s="216"/>
      <c r="L14" s="215"/>
      <c r="M14" s="264"/>
      <c r="N14" s="588"/>
      <c r="O14" s="588"/>
      <c r="P14" s="215"/>
      <c r="Q14" s="215"/>
      <c r="R14" s="216"/>
      <c r="S14" s="215"/>
      <c r="T14" s="217"/>
    </row>
    <row r="15" spans="1:20" ht="15" customHeight="1" thickBot="1" x14ac:dyDescent="0.3">
      <c r="A15" s="242"/>
      <c r="B15" s="243"/>
      <c r="C15" s="244"/>
      <c r="D15" s="244"/>
      <c r="E15" s="244"/>
      <c r="F15" s="244"/>
      <c r="G15" s="1032" t="s">
        <v>1199</v>
      </c>
      <c r="H15" s="1032"/>
      <c r="I15" s="1032"/>
      <c r="J15" s="542"/>
      <c r="K15" s="247">
        <f>SUM(K14:K14)</f>
        <v>0</v>
      </c>
      <c r="L15" s="542">
        <v>0.92</v>
      </c>
      <c r="M15" s="247">
        <f>K15/L15</f>
        <v>0</v>
      </c>
      <c r="N15" s="1032" t="s">
        <v>1199</v>
      </c>
      <c r="O15" s="1032"/>
      <c r="P15" s="1032"/>
      <c r="Q15" s="542"/>
      <c r="R15" s="247">
        <f>SUM(R14:R14)</f>
        <v>0</v>
      </c>
      <c r="S15" s="542">
        <v>0.92</v>
      </c>
      <c r="T15" s="249">
        <f>R15/S15</f>
        <v>0</v>
      </c>
    </row>
    <row r="16" spans="1:20" ht="15" customHeight="1" x14ac:dyDescent="0.25">
      <c r="A16" s="566" t="str">
        <f>Итоговая!C210</f>
        <v>ПС 35/10 кВ Гекса</v>
      </c>
      <c r="B16" s="563">
        <f>Итоговая!D210</f>
        <v>6.3</v>
      </c>
      <c r="C16" s="552"/>
      <c r="D16" s="552"/>
      <c r="E16" s="552"/>
      <c r="F16" s="552"/>
      <c r="G16" s="1179" t="s">
        <v>1325</v>
      </c>
      <c r="H16" s="1180"/>
      <c r="I16" s="1180"/>
      <c r="J16" s="1180"/>
      <c r="K16" s="1180"/>
      <c r="L16" s="1180"/>
      <c r="M16" s="1180"/>
      <c r="N16" s="421"/>
      <c r="O16" s="421"/>
      <c r="P16" s="421"/>
      <c r="Q16" s="421"/>
      <c r="R16" s="422"/>
      <c r="S16" s="421"/>
      <c r="T16" s="423"/>
    </row>
    <row r="17" spans="1:20" ht="15" customHeight="1" x14ac:dyDescent="0.25">
      <c r="A17" s="567"/>
      <c r="B17" s="564"/>
      <c r="C17" s="553"/>
      <c r="D17" s="553"/>
      <c r="E17" s="553"/>
      <c r="F17" s="553"/>
      <c r="G17" s="424" t="s">
        <v>520</v>
      </c>
      <c r="H17" s="424" t="s">
        <v>18836</v>
      </c>
      <c r="I17" s="424" t="s">
        <v>18837</v>
      </c>
      <c r="J17" s="424"/>
      <c r="K17" s="224">
        <f>3*0.85</f>
        <v>2.5499999999999998</v>
      </c>
      <c r="L17" s="424"/>
      <c r="M17" s="425"/>
      <c r="N17" s="424"/>
      <c r="O17" s="424"/>
      <c r="P17" s="424"/>
      <c r="Q17" s="424"/>
      <c r="R17" s="425"/>
      <c r="S17" s="424"/>
      <c r="T17" s="426"/>
    </row>
    <row r="18" spans="1:20" ht="15" customHeight="1" thickBot="1" x14ac:dyDescent="0.3">
      <c r="A18" s="242"/>
      <c r="B18" s="243"/>
      <c r="C18" s="244"/>
      <c r="D18" s="244"/>
      <c r="E18" s="244"/>
      <c r="F18" s="244"/>
      <c r="G18" s="1032" t="s">
        <v>1199</v>
      </c>
      <c r="H18" s="1032"/>
      <c r="I18" s="1032"/>
      <c r="J18" s="542"/>
      <c r="K18" s="247">
        <f>SUM(0)</f>
        <v>0</v>
      </c>
      <c r="L18" s="542">
        <v>0.92</v>
      </c>
      <c r="M18" s="247">
        <f>K18/L18</f>
        <v>0</v>
      </c>
      <c r="N18" s="1032" t="s">
        <v>1199</v>
      </c>
      <c r="O18" s="1032"/>
      <c r="P18" s="1032"/>
      <c r="Q18" s="542"/>
      <c r="R18" s="247">
        <f>SUM(R16:R16)</f>
        <v>0</v>
      </c>
      <c r="S18" s="542">
        <v>0.92</v>
      </c>
      <c r="T18" s="249">
        <f>R18/S18</f>
        <v>0</v>
      </c>
    </row>
    <row r="19" spans="1:20" ht="15" customHeight="1" x14ac:dyDescent="0.25">
      <c r="A19" s="566" t="str">
        <f>Итоговая!C211</f>
        <v>ПС 35/10 кВ Глазомичи</v>
      </c>
      <c r="B19" s="563">
        <f>Итоговая!D211</f>
        <v>2.5</v>
      </c>
      <c r="C19" s="552"/>
      <c r="D19" s="552"/>
      <c r="E19" s="552"/>
      <c r="F19" s="552"/>
      <c r="G19" s="215"/>
      <c r="H19" s="215"/>
      <c r="I19" s="215"/>
      <c r="J19" s="215"/>
      <c r="K19" s="216"/>
      <c r="L19" s="215"/>
      <c r="M19" s="264"/>
      <c r="N19" s="215"/>
      <c r="O19" s="215"/>
      <c r="P19" s="215"/>
      <c r="Q19" s="215"/>
      <c r="R19" s="216"/>
      <c r="S19" s="215"/>
      <c r="T19" s="217"/>
    </row>
    <row r="20" spans="1:20" ht="15" customHeight="1" thickBot="1" x14ac:dyDescent="0.3">
      <c r="A20" s="242"/>
      <c r="B20" s="243"/>
      <c r="C20" s="244"/>
      <c r="D20" s="244"/>
      <c r="E20" s="244"/>
      <c r="F20" s="244"/>
      <c r="G20" s="1032" t="s">
        <v>1199</v>
      </c>
      <c r="H20" s="1032"/>
      <c r="I20" s="1032"/>
      <c r="J20" s="542"/>
      <c r="K20" s="247">
        <f>SUM(K19:K19)</f>
        <v>0</v>
      </c>
      <c r="L20" s="542">
        <v>0.92</v>
      </c>
      <c r="M20" s="247">
        <f>K20/L20</f>
        <v>0</v>
      </c>
      <c r="N20" s="1032" t="s">
        <v>1199</v>
      </c>
      <c r="O20" s="1032"/>
      <c r="P20" s="1032"/>
      <c r="Q20" s="542"/>
      <c r="R20" s="247">
        <f>SUM(R19:R19)</f>
        <v>0</v>
      </c>
      <c r="S20" s="542">
        <v>0.92</v>
      </c>
      <c r="T20" s="249">
        <f>R20/S20</f>
        <v>0</v>
      </c>
    </row>
    <row r="21" spans="1:20" ht="15" customHeight="1" x14ac:dyDescent="0.25">
      <c r="A21" s="1092" t="str">
        <f>Итоговая!C212</f>
        <v>ПС 35/10 кВ Жарки</v>
      </c>
      <c r="B21" s="1072">
        <f>Итоговая!D212</f>
        <v>2.5</v>
      </c>
      <c r="C21" s="552"/>
      <c r="D21" s="552"/>
      <c r="E21" s="552"/>
      <c r="F21" s="552"/>
      <c r="G21" s="991" t="s">
        <v>1548</v>
      </c>
      <c r="H21" s="1183"/>
      <c r="I21" s="1183"/>
      <c r="J21" s="1183"/>
      <c r="K21" s="1183"/>
      <c r="L21" s="1183"/>
      <c r="M21" s="1183"/>
      <c r="N21" s="1181"/>
      <c r="O21" s="1181"/>
      <c r="P21" s="1181"/>
      <c r="Q21" s="1181"/>
      <c r="R21" s="1181"/>
      <c r="S21" s="1181"/>
      <c r="T21" s="1182"/>
    </row>
    <row r="22" spans="1:20" ht="15" customHeight="1" x14ac:dyDescent="0.25">
      <c r="A22" s="1093"/>
      <c r="B22" s="1023"/>
      <c r="C22" s="553"/>
      <c r="D22" s="553"/>
      <c r="E22" s="553"/>
      <c r="F22" s="553"/>
      <c r="G22" s="543" t="s">
        <v>1220</v>
      </c>
      <c r="H22" s="543" t="s">
        <v>1339</v>
      </c>
      <c r="I22" s="543" t="s">
        <v>1340</v>
      </c>
      <c r="J22" s="543"/>
      <c r="K22" s="205">
        <v>5.1999999999999998E-2</v>
      </c>
      <c r="L22" s="543"/>
      <c r="M22" s="519"/>
      <c r="N22" s="548"/>
      <c r="O22" s="548"/>
      <c r="P22" s="548"/>
      <c r="Q22" s="548"/>
      <c r="R22" s="519"/>
      <c r="S22" s="548"/>
      <c r="T22" s="241"/>
    </row>
    <row r="23" spans="1:20" ht="15" customHeight="1" x14ac:dyDescent="0.25">
      <c r="A23" s="567"/>
      <c r="B23" s="564"/>
      <c r="C23" s="553"/>
      <c r="D23" s="553"/>
      <c r="E23" s="553"/>
      <c r="F23" s="553"/>
      <c r="G23" s="1179" t="s">
        <v>2010</v>
      </c>
      <c r="H23" s="1180"/>
      <c r="I23" s="1180"/>
      <c r="J23" s="1180"/>
      <c r="K23" s="1180"/>
      <c r="L23" s="1180"/>
      <c r="M23" s="1180"/>
      <c r="N23" s="548"/>
      <c r="O23" s="548"/>
      <c r="P23" s="548"/>
      <c r="Q23" s="548"/>
      <c r="R23" s="519"/>
      <c r="S23" s="548"/>
      <c r="T23" s="241"/>
    </row>
    <row r="24" spans="1:20" ht="15" customHeight="1" x14ac:dyDescent="0.25">
      <c r="A24" s="567"/>
      <c r="B24" s="564"/>
      <c r="C24" s="553"/>
      <c r="D24" s="553"/>
      <c r="E24" s="553"/>
      <c r="F24" s="553"/>
      <c r="G24" s="543" t="s">
        <v>2071</v>
      </c>
      <c r="H24" s="543" t="s">
        <v>2072</v>
      </c>
      <c r="I24" s="543" t="s">
        <v>2090</v>
      </c>
      <c r="J24" s="543"/>
      <c r="K24" s="205">
        <f>0.03*0.9</f>
        <v>2.7E-2</v>
      </c>
      <c r="L24" s="543"/>
      <c r="M24" s="519"/>
      <c r="N24" s="548"/>
      <c r="O24" s="548"/>
      <c r="P24" s="548"/>
      <c r="Q24" s="548"/>
      <c r="R24" s="519"/>
      <c r="S24" s="548"/>
      <c r="T24" s="241"/>
    </row>
    <row r="25" spans="1:20" ht="15" customHeight="1" x14ac:dyDescent="0.25">
      <c r="A25" s="567"/>
      <c r="B25" s="564"/>
      <c r="C25" s="553"/>
      <c r="D25" s="553"/>
      <c r="E25" s="553"/>
      <c r="F25" s="553"/>
      <c r="G25" s="1179" t="s">
        <v>14978</v>
      </c>
      <c r="H25" s="1180"/>
      <c r="I25" s="1180"/>
      <c r="J25" s="1180"/>
      <c r="K25" s="1180"/>
      <c r="L25" s="1180"/>
      <c r="M25" s="1180"/>
      <c r="N25" s="548"/>
      <c r="O25" s="548"/>
      <c r="P25" s="548"/>
      <c r="Q25" s="548"/>
      <c r="R25" s="519"/>
      <c r="S25" s="548"/>
      <c r="T25" s="241"/>
    </row>
    <row r="26" spans="1:20" ht="15" customHeight="1" x14ac:dyDescent="0.25">
      <c r="A26" s="567"/>
      <c r="B26" s="564"/>
      <c r="C26" s="553"/>
      <c r="D26" s="553"/>
      <c r="E26" s="553"/>
      <c r="F26" s="553"/>
      <c r="G26" s="543" t="s">
        <v>17499</v>
      </c>
      <c r="H26" s="543" t="s">
        <v>17500</v>
      </c>
      <c r="I26" s="543" t="s">
        <v>17501</v>
      </c>
      <c r="J26" s="543"/>
      <c r="K26" s="205">
        <f>0.1*0.75</f>
        <v>7.5000000000000011E-2</v>
      </c>
      <c r="L26" s="543"/>
      <c r="M26" s="519"/>
      <c r="N26" s="548"/>
      <c r="O26" s="548"/>
      <c r="P26" s="548"/>
      <c r="Q26" s="548"/>
      <c r="R26" s="519"/>
      <c r="S26" s="548"/>
      <c r="T26" s="241"/>
    </row>
    <row r="27" spans="1:20" ht="15" customHeight="1" x14ac:dyDescent="0.25">
      <c r="A27" s="567"/>
      <c r="B27" s="564"/>
      <c r="C27" s="553"/>
      <c r="D27" s="553"/>
      <c r="E27" s="553"/>
      <c r="F27" s="553"/>
      <c r="G27" s="1179" t="s">
        <v>18842</v>
      </c>
      <c r="H27" s="1180"/>
      <c r="I27" s="1180"/>
      <c r="J27" s="1180"/>
      <c r="K27" s="1180"/>
      <c r="L27" s="1180"/>
      <c r="M27" s="1180"/>
      <c r="N27" s="269"/>
      <c r="O27" s="269"/>
      <c r="P27" s="269"/>
      <c r="Q27" s="269"/>
      <c r="R27" s="594"/>
      <c r="S27" s="269"/>
      <c r="T27" s="259"/>
    </row>
    <row r="28" spans="1:20" ht="15" customHeight="1" x14ac:dyDescent="0.25">
      <c r="A28" s="567"/>
      <c r="B28" s="564"/>
      <c r="C28" s="553"/>
      <c r="D28" s="553"/>
      <c r="E28" s="553"/>
      <c r="F28" s="553"/>
      <c r="G28" s="1157" t="s">
        <v>2263</v>
      </c>
      <c r="H28" s="1157"/>
      <c r="I28" s="1157"/>
      <c r="J28" s="994">
        <f>0.045*0.9*0.6</f>
        <v>2.4299999999999999E-2</v>
      </c>
      <c r="K28" s="995"/>
      <c r="L28" s="419"/>
      <c r="M28" s="351"/>
      <c r="N28" s="269"/>
      <c r="O28" s="269"/>
      <c r="P28" s="269"/>
      <c r="Q28" s="269"/>
      <c r="R28" s="594"/>
      <c r="S28" s="269"/>
      <c r="T28" s="259"/>
    </row>
    <row r="29" spans="1:20" ht="15" customHeight="1" thickBot="1" x14ac:dyDescent="0.3">
      <c r="A29" s="242"/>
      <c r="B29" s="243"/>
      <c r="C29" s="244"/>
      <c r="D29" s="244"/>
      <c r="E29" s="244"/>
      <c r="F29" s="244"/>
      <c r="G29" s="1032" t="s">
        <v>1199</v>
      </c>
      <c r="H29" s="1032"/>
      <c r="I29" s="1032"/>
      <c r="J29" s="542"/>
      <c r="K29" s="247">
        <f>SUM(J26:K28)</f>
        <v>9.9300000000000013E-2</v>
      </c>
      <c r="L29" s="542">
        <v>0.92</v>
      </c>
      <c r="M29" s="247">
        <f>K29/L29</f>
        <v>0.10793478260869566</v>
      </c>
      <c r="N29" s="1032" t="s">
        <v>1199</v>
      </c>
      <c r="O29" s="1032"/>
      <c r="P29" s="1032"/>
      <c r="Q29" s="542"/>
      <c r="R29" s="247">
        <f>SUM(R22:R22)</f>
        <v>0</v>
      </c>
      <c r="S29" s="542">
        <v>0.92</v>
      </c>
      <c r="T29" s="249">
        <f>R29/S29</f>
        <v>0</v>
      </c>
    </row>
    <row r="30" spans="1:20" ht="15" customHeight="1" x14ac:dyDescent="0.25">
      <c r="A30" s="1092" t="str">
        <f>Итоговая!C213</f>
        <v>ПС 35/10 кВ Земцы</v>
      </c>
      <c r="B30" s="1072">
        <f>Итоговая!D213</f>
        <v>2.5</v>
      </c>
      <c r="C30" s="552"/>
      <c r="D30" s="552"/>
      <c r="E30" s="552"/>
      <c r="F30" s="552"/>
      <c r="G30" s="991"/>
      <c r="H30" s="1183"/>
      <c r="I30" s="1183"/>
      <c r="J30" s="1183"/>
      <c r="K30" s="1183"/>
      <c r="L30" s="1183"/>
      <c r="M30" s="1183"/>
      <c r="N30" s="1179" t="s">
        <v>18842</v>
      </c>
      <c r="O30" s="1180"/>
      <c r="P30" s="1180"/>
      <c r="Q30" s="1180"/>
      <c r="R30" s="1180"/>
      <c r="S30" s="1180"/>
      <c r="T30" s="1180"/>
    </row>
    <row r="31" spans="1:20" ht="15" customHeight="1" x14ac:dyDescent="0.25">
      <c r="A31" s="1093"/>
      <c r="B31" s="1023"/>
      <c r="C31" s="553"/>
      <c r="D31" s="553"/>
      <c r="E31" s="553"/>
      <c r="F31" s="553"/>
      <c r="G31" s="543"/>
      <c r="H31" s="543"/>
      <c r="I31" s="270"/>
      <c r="J31" s="270"/>
      <c r="K31" s="205"/>
      <c r="L31" s="543"/>
      <c r="M31" s="519"/>
      <c r="N31" s="543" t="s">
        <v>936</v>
      </c>
      <c r="O31" s="543" t="s">
        <v>937</v>
      </c>
      <c r="P31" s="270" t="s">
        <v>1445</v>
      </c>
      <c r="Q31" s="270"/>
      <c r="R31" s="205">
        <v>9.9000000000000005E-2</v>
      </c>
      <c r="S31" s="543"/>
      <c r="T31" s="519"/>
    </row>
    <row r="32" spans="1:20" ht="15" customHeight="1" x14ac:dyDescent="0.25">
      <c r="A32" s="567"/>
      <c r="B32" s="564"/>
      <c r="C32" s="553"/>
      <c r="D32" s="553"/>
      <c r="E32" s="553"/>
      <c r="F32" s="553"/>
      <c r="G32" s="1179" t="s">
        <v>18842</v>
      </c>
      <c r="H32" s="1180"/>
      <c r="I32" s="1180"/>
      <c r="J32" s="1180"/>
      <c r="K32" s="1180"/>
      <c r="L32" s="1180"/>
      <c r="M32" s="1180"/>
      <c r="N32" s="269"/>
      <c r="O32" s="269"/>
      <c r="P32" s="274"/>
      <c r="Q32" s="274"/>
      <c r="R32" s="594"/>
      <c r="S32" s="269"/>
      <c r="T32" s="259"/>
    </row>
    <row r="33" spans="1:20" ht="15" customHeight="1" x14ac:dyDescent="0.25">
      <c r="A33" s="567"/>
      <c r="B33" s="564"/>
      <c r="C33" s="553"/>
      <c r="D33" s="553"/>
      <c r="E33" s="553"/>
      <c r="F33" s="553"/>
      <c r="G33" s="1157" t="s">
        <v>2263</v>
      </c>
      <c r="H33" s="1157"/>
      <c r="I33" s="1157"/>
      <c r="J33" s="994">
        <f>0.005*0.9</f>
        <v>4.5000000000000005E-3</v>
      </c>
      <c r="K33" s="995"/>
      <c r="L33" s="419"/>
      <c r="M33" s="351"/>
      <c r="N33" s="269"/>
      <c r="O33" s="269"/>
      <c r="P33" s="274"/>
      <c r="Q33" s="274"/>
      <c r="R33" s="594"/>
      <c r="S33" s="269"/>
      <c r="T33" s="259"/>
    </row>
    <row r="34" spans="1:20" ht="15" customHeight="1" thickBot="1" x14ac:dyDescent="0.3">
      <c r="A34" s="242"/>
      <c r="B34" s="243"/>
      <c r="C34" s="244"/>
      <c r="D34" s="244"/>
      <c r="E34" s="244"/>
      <c r="F34" s="244"/>
      <c r="G34" s="1032" t="s">
        <v>1199</v>
      </c>
      <c r="H34" s="1032"/>
      <c r="I34" s="1032"/>
      <c r="J34" s="542"/>
      <c r="K34" s="247">
        <f>SUM(J33)</f>
        <v>4.5000000000000005E-3</v>
      </c>
      <c r="L34" s="542">
        <v>0.92</v>
      </c>
      <c r="M34" s="247">
        <f>K34/L34</f>
        <v>4.8913043478260873E-3</v>
      </c>
      <c r="N34" s="1032" t="s">
        <v>1199</v>
      </c>
      <c r="O34" s="1032"/>
      <c r="P34" s="1032"/>
      <c r="Q34" s="542"/>
      <c r="R34" s="247">
        <f>SUM(R31:R31)</f>
        <v>9.9000000000000005E-2</v>
      </c>
      <c r="S34" s="542">
        <v>0.92</v>
      </c>
      <c r="T34" s="249">
        <f>R34/S34</f>
        <v>0.10760869565217392</v>
      </c>
    </row>
    <row r="35" spans="1:20" ht="15" customHeight="1" x14ac:dyDescent="0.25">
      <c r="A35" s="566" t="str">
        <f>Итоговая!C214</f>
        <v>ПС 35/10 кВ Ковалево</v>
      </c>
      <c r="B35" s="563">
        <f>Итоговая!D214</f>
        <v>2.5</v>
      </c>
      <c r="C35" s="552"/>
      <c r="D35" s="552"/>
      <c r="E35" s="552"/>
      <c r="F35" s="552"/>
      <c r="G35" s="1179" t="s">
        <v>18842</v>
      </c>
      <c r="H35" s="1180"/>
      <c r="I35" s="1180"/>
      <c r="J35" s="1180"/>
      <c r="K35" s="1180"/>
      <c r="L35" s="1180"/>
      <c r="M35" s="1180"/>
      <c r="N35" s="427"/>
      <c r="O35" s="427"/>
      <c r="P35" s="427"/>
      <c r="Q35" s="427"/>
      <c r="R35" s="216"/>
      <c r="S35" s="215"/>
      <c r="T35" s="217"/>
    </row>
    <row r="36" spans="1:20" ht="15" customHeight="1" x14ac:dyDescent="0.25">
      <c r="A36" s="730"/>
      <c r="B36" s="720"/>
      <c r="C36" s="721"/>
      <c r="D36" s="721"/>
      <c r="E36" s="721"/>
      <c r="F36" s="721"/>
      <c r="G36" s="1157" t="s">
        <v>2263</v>
      </c>
      <c r="H36" s="1157"/>
      <c r="I36" s="1157"/>
      <c r="J36" s="994">
        <f>0.035*0.9*0.6</f>
        <v>1.8900000000000004E-2</v>
      </c>
      <c r="K36" s="995"/>
      <c r="L36" s="419"/>
      <c r="M36" s="351"/>
      <c r="N36" s="742"/>
      <c r="O36" s="742"/>
      <c r="P36" s="742"/>
      <c r="Q36" s="742"/>
      <c r="R36" s="224"/>
      <c r="S36" s="223"/>
      <c r="T36" s="225"/>
    </row>
    <row r="37" spans="1:20" ht="15" customHeight="1" thickBot="1" x14ac:dyDescent="0.3">
      <c r="A37" s="242"/>
      <c r="B37" s="243"/>
      <c r="C37" s="244"/>
      <c r="D37" s="244"/>
      <c r="E37" s="244"/>
      <c r="F37" s="244"/>
      <c r="G37" s="1032" t="s">
        <v>1199</v>
      </c>
      <c r="H37" s="1032"/>
      <c r="I37" s="1032"/>
      <c r="J37" s="542"/>
      <c r="K37" s="247">
        <f>SUM(J36)</f>
        <v>1.8900000000000004E-2</v>
      </c>
      <c r="L37" s="542">
        <v>0.92</v>
      </c>
      <c r="M37" s="247">
        <f>K37/L37</f>
        <v>2.0543478260869569E-2</v>
      </c>
      <c r="N37" s="1032" t="s">
        <v>1199</v>
      </c>
      <c r="O37" s="1032"/>
      <c r="P37" s="1032"/>
      <c r="Q37" s="542"/>
      <c r="R37" s="247">
        <f>SUM(R35:R35)</f>
        <v>0</v>
      </c>
      <c r="S37" s="542">
        <v>0.92</v>
      </c>
      <c r="T37" s="249">
        <f>R37/S37</f>
        <v>0</v>
      </c>
    </row>
    <row r="38" spans="1:20" ht="15" customHeight="1" x14ac:dyDescent="0.25">
      <c r="A38" s="566" t="str">
        <f>Итоговая!C215</f>
        <v>ПС 35/10 кВ Коротыши</v>
      </c>
      <c r="B38" s="563">
        <f>Итоговая!D215</f>
        <v>1.6</v>
      </c>
      <c r="C38" s="552"/>
      <c r="D38" s="552"/>
      <c r="E38" s="552"/>
      <c r="F38" s="552"/>
      <c r="G38" s="215"/>
      <c r="H38" s="215"/>
      <c r="I38" s="215"/>
      <c r="J38" s="215"/>
      <c r="K38" s="216"/>
      <c r="L38" s="215"/>
      <c r="M38" s="264"/>
      <c r="N38" s="215"/>
      <c r="O38" s="215"/>
      <c r="P38" s="215"/>
      <c r="Q38" s="215"/>
      <c r="R38" s="216"/>
      <c r="S38" s="215"/>
      <c r="T38" s="217"/>
    </row>
    <row r="39" spans="1:20" ht="15" customHeight="1" thickBot="1" x14ac:dyDescent="0.3">
      <c r="A39" s="242"/>
      <c r="B39" s="243"/>
      <c r="C39" s="244"/>
      <c r="D39" s="244"/>
      <c r="E39" s="244"/>
      <c r="F39" s="244"/>
      <c r="G39" s="1032" t="s">
        <v>1199</v>
      </c>
      <c r="H39" s="1032"/>
      <c r="I39" s="1032"/>
      <c r="J39" s="542"/>
      <c r="K39" s="247">
        <f>SUM(K38:K38)</f>
        <v>0</v>
      </c>
      <c r="L39" s="542">
        <v>0.92</v>
      </c>
      <c r="M39" s="247">
        <f>K39/L39</f>
        <v>0</v>
      </c>
      <c r="N39" s="1032" t="s">
        <v>1199</v>
      </c>
      <c r="O39" s="1032"/>
      <c r="P39" s="1032"/>
      <c r="Q39" s="542"/>
      <c r="R39" s="247">
        <f>SUM(R38:R38)</f>
        <v>0</v>
      </c>
      <c r="S39" s="542">
        <v>0.92</v>
      </c>
      <c r="T39" s="249">
        <f>R39/S39</f>
        <v>0</v>
      </c>
    </row>
    <row r="40" spans="1:20" ht="15" customHeight="1" x14ac:dyDescent="0.25">
      <c r="A40" s="1092" t="str">
        <f>Итоговая!C216</f>
        <v>ПС 110/10 кВ Монино</v>
      </c>
      <c r="B40" s="1072">
        <f>Итоговая!D216</f>
        <v>6.3</v>
      </c>
      <c r="C40" s="552"/>
      <c r="D40" s="552"/>
      <c r="E40" s="552"/>
      <c r="F40" s="552"/>
      <c r="G40" s="991" t="s">
        <v>1548</v>
      </c>
      <c r="H40" s="1183"/>
      <c r="I40" s="1183"/>
      <c r="J40" s="1183"/>
      <c r="K40" s="1183"/>
      <c r="L40" s="1183"/>
      <c r="M40" s="1183"/>
      <c r="N40" s="991" t="s">
        <v>14978</v>
      </c>
      <c r="O40" s="1183"/>
      <c r="P40" s="1183"/>
      <c r="Q40" s="1183"/>
      <c r="R40" s="1183"/>
      <c r="S40" s="1183"/>
      <c r="T40" s="1184"/>
    </row>
    <row r="41" spans="1:20" ht="15" customHeight="1" x14ac:dyDescent="0.25">
      <c r="A41" s="1093"/>
      <c r="B41" s="1023"/>
      <c r="C41" s="553"/>
      <c r="D41" s="553"/>
      <c r="E41" s="553"/>
      <c r="F41" s="553"/>
      <c r="G41" s="543" t="s">
        <v>874</v>
      </c>
      <c r="H41" s="543" t="s">
        <v>875</v>
      </c>
      <c r="I41" s="543" t="s">
        <v>876</v>
      </c>
      <c r="J41" s="543"/>
      <c r="K41" s="205">
        <v>3.2000000000000001E-2</v>
      </c>
      <c r="L41" s="543"/>
      <c r="M41" s="519"/>
      <c r="N41" s="543" t="s">
        <v>877</v>
      </c>
      <c r="O41" s="543" t="s">
        <v>878</v>
      </c>
      <c r="P41" s="543" t="s">
        <v>17439</v>
      </c>
      <c r="Q41" s="543"/>
      <c r="R41" s="205">
        <v>0.1</v>
      </c>
      <c r="S41" s="548"/>
      <c r="T41" s="241"/>
    </row>
    <row r="42" spans="1:20" ht="15" customHeight="1" x14ac:dyDescent="0.25">
      <c r="A42" s="567"/>
      <c r="B42" s="564"/>
      <c r="C42" s="553"/>
      <c r="D42" s="553"/>
      <c r="E42" s="553"/>
      <c r="F42" s="553"/>
      <c r="G42" s="1179" t="s">
        <v>18842</v>
      </c>
      <c r="H42" s="1180"/>
      <c r="I42" s="1180"/>
      <c r="J42" s="1180"/>
      <c r="K42" s="1180"/>
      <c r="L42" s="1180"/>
      <c r="M42" s="1180"/>
      <c r="N42" s="548"/>
      <c r="O42" s="548"/>
      <c r="P42" s="548"/>
      <c r="Q42" s="548"/>
      <c r="R42" s="519"/>
      <c r="S42" s="548"/>
      <c r="T42" s="241"/>
    </row>
    <row r="43" spans="1:20" ht="15" customHeight="1" x14ac:dyDescent="0.25">
      <c r="A43" s="730"/>
      <c r="B43" s="720"/>
      <c r="C43" s="721"/>
      <c r="D43" s="721"/>
      <c r="E43" s="721"/>
      <c r="F43" s="721"/>
      <c r="G43" s="1157" t="s">
        <v>2263</v>
      </c>
      <c r="H43" s="1157"/>
      <c r="I43" s="1157"/>
      <c r="J43" s="994">
        <f>0.024*0.9*0.6</f>
        <v>1.2960000000000001E-2</v>
      </c>
      <c r="K43" s="995"/>
      <c r="L43" s="419"/>
      <c r="M43" s="351"/>
      <c r="N43" s="728"/>
      <c r="O43" s="728"/>
      <c r="P43" s="728"/>
      <c r="Q43" s="728"/>
      <c r="R43" s="718"/>
      <c r="S43" s="728"/>
      <c r="T43" s="259"/>
    </row>
    <row r="44" spans="1:20" ht="15" customHeight="1" thickBot="1" x14ac:dyDescent="0.3">
      <c r="A44" s="242"/>
      <c r="B44" s="243"/>
      <c r="C44" s="244"/>
      <c r="D44" s="244"/>
      <c r="E44" s="244"/>
      <c r="F44" s="244"/>
      <c r="G44" s="1032" t="s">
        <v>1199</v>
      </c>
      <c r="H44" s="1032"/>
      <c r="I44" s="1032"/>
      <c r="J44" s="542"/>
      <c r="K44" s="247">
        <f>SUM(J43)</f>
        <v>1.2960000000000001E-2</v>
      </c>
      <c r="L44" s="542">
        <v>0.92</v>
      </c>
      <c r="M44" s="247">
        <f>K44/L44</f>
        <v>1.4086956521739131E-2</v>
      </c>
      <c r="N44" s="1032" t="s">
        <v>1199</v>
      </c>
      <c r="O44" s="1032"/>
      <c r="P44" s="1032"/>
      <c r="Q44" s="542"/>
      <c r="R44" s="247">
        <f>SUM(R41:R42)</f>
        <v>0.1</v>
      </c>
      <c r="S44" s="542">
        <v>0.92</v>
      </c>
      <c r="T44" s="249">
        <f>R44/S44</f>
        <v>0.10869565217391304</v>
      </c>
    </row>
    <row r="45" spans="1:20" ht="15" customHeight="1" x14ac:dyDescent="0.25">
      <c r="A45" s="566" t="str">
        <f>Итоговая!C217</f>
        <v>ПС 35/10 кВ Озерец</v>
      </c>
      <c r="B45" s="563">
        <f>Итоговая!D217</f>
        <v>1</v>
      </c>
      <c r="C45" s="552"/>
      <c r="D45" s="552"/>
      <c r="E45" s="552"/>
      <c r="F45" s="552"/>
      <c r="G45" s="1179" t="s">
        <v>18842</v>
      </c>
      <c r="H45" s="1180"/>
      <c r="I45" s="1180"/>
      <c r="J45" s="1180"/>
      <c r="K45" s="1180"/>
      <c r="L45" s="1180"/>
      <c r="M45" s="1180"/>
      <c r="N45" s="215"/>
      <c r="O45" s="215"/>
      <c r="P45" s="215"/>
      <c r="Q45" s="215"/>
      <c r="R45" s="216"/>
      <c r="S45" s="215"/>
      <c r="T45" s="217"/>
    </row>
    <row r="46" spans="1:20" ht="15" customHeight="1" x14ac:dyDescent="0.25">
      <c r="A46" s="567"/>
      <c r="B46" s="564"/>
      <c r="C46" s="553"/>
      <c r="D46" s="553"/>
      <c r="E46" s="553"/>
      <c r="F46" s="553"/>
      <c r="G46" s="1157" t="s">
        <v>2263</v>
      </c>
      <c r="H46" s="1157"/>
      <c r="I46" s="1157"/>
      <c r="J46" s="994">
        <f>0.007*0.9</f>
        <v>6.3E-3</v>
      </c>
      <c r="K46" s="995"/>
      <c r="L46" s="419"/>
      <c r="M46" s="351"/>
      <c r="N46" s="223"/>
      <c r="O46" s="223"/>
      <c r="P46" s="223"/>
      <c r="Q46" s="223"/>
      <c r="R46" s="224"/>
      <c r="S46" s="223"/>
      <c r="T46" s="225"/>
    </row>
    <row r="47" spans="1:20" ht="15" customHeight="1" thickBot="1" x14ac:dyDescent="0.3">
      <c r="A47" s="242"/>
      <c r="B47" s="243"/>
      <c r="C47" s="244"/>
      <c r="D47" s="244"/>
      <c r="E47" s="244"/>
      <c r="F47" s="244"/>
      <c r="G47" s="1032" t="s">
        <v>1199</v>
      </c>
      <c r="H47" s="1032"/>
      <c r="I47" s="1032"/>
      <c r="J47" s="542"/>
      <c r="K47" s="247">
        <f>SUM(J46)</f>
        <v>6.3E-3</v>
      </c>
      <c r="L47" s="542">
        <v>0.92</v>
      </c>
      <c r="M47" s="247">
        <f>K47/L47</f>
        <v>6.8478260869565214E-3</v>
      </c>
      <c r="N47" s="1032" t="s">
        <v>1199</v>
      </c>
      <c r="O47" s="1032"/>
      <c r="P47" s="1032"/>
      <c r="Q47" s="542"/>
      <c r="R47" s="247">
        <f>SUM(R45:R45)</f>
        <v>0</v>
      </c>
      <c r="S47" s="542">
        <v>0.92</v>
      </c>
      <c r="T47" s="249">
        <f>R47/S47</f>
        <v>0</v>
      </c>
    </row>
    <row r="48" spans="1:20" ht="15" customHeight="1" x14ac:dyDescent="0.25">
      <c r="A48" s="566" t="str">
        <f>Итоговая!C218</f>
        <v>ПС 35/10 кВ Пожня</v>
      </c>
      <c r="B48" s="563">
        <f>Итоговая!D218</f>
        <v>1.6</v>
      </c>
      <c r="C48" s="552"/>
      <c r="D48" s="552"/>
      <c r="E48" s="552"/>
      <c r="F48" s="552"/>
      <c r="G48" s="1179" t="s">
        <v>18842</v>
      </c>
      <c r="H48" s="1180"/>
      <c r="I48" s="1180"/>
      <c r="J48" s="1180"/>
      <c r="K48" s="1180"/>
      <c r="L48" s="1180"/>
      <c r="M48" s="1180"/>
      <c r="N48" s="558"/>
      <c r="O48" s="427"/>
      <c r="P48" s="427"/>
      <c r="Q48" s="427"/>
      <c r="R48" s="216"/>
      <c r="S48" s="215"/>
      <c r="T48" s="217"/>
    </row>
    <row r="49" spans="1:20" ht="15" customHeight="1" x14ac:dyDescent="0.25">
      <c r="A49" s="567"/>
      <c r="B49" s="564"/>
      <c r="C49" s="553"/>
      <c r="D49" s="553"/>
      <c r="E49" s="553"/>
      <c r="F49" s="553"/>
      <c r="G49" s="1157" t="s">
        <v>2263</v>
      </c>
      <c r="H49" s="1157"/>
      <c r="I49" s="1157"/>
      <c r="J49" s="994">
        <f>0.045*0.9</f>
        <v>4.0500000000000001E-2</v>
      </c>
      <c r="K49" s="995"/>
      <c r="L49" s="419"/>
      <c r="M49" s="351"/>
      <c r="N49" s="276"/>
      <c r="O49" s="601"/>
      <c r="P49" s="601"/>
      <c r="Q49" s="601"/>
      <c r="R49" s="224"/>
      <c r="S49" s="223"/>
      <c r="T49" s="225"/>
    </row>
    <row r="50" spans="1:20" ht="15" customHeight="1" thickBot="1" x14ac:dyDescent="0.3">
      <c r="A50" s="242"/>
      <c r="B50" s="243"/>
      <c r="C50" s="244"/>
      <c r="D50" s="244"/>
      <c r="E50" s="244"/>
      <c r="F50" s="244"/>
      <c r="G50" s="1032" t="s">
        <v>1199</v>
      </c>
      <c r="H50" s="1032"/>
      <c r="I50" s="1032"/>
      <c r="J50" s="542"/>
      <c r="K50" s="247">
        <f>SUM(J49)</f>
        <v>4.0500000000000001E-2</v>
      </c>
      <c r="L50" s="542">
        <v>0.92</v>
      </c>
      <c r="M50" s="247">
        <f>K50/L50</f>
        <v>4.4021739130434785E-2</v>
      </c>
      <c r="N50" s="1032" t="s">
        <v>1199</v>
      </c>
      <c r="O50" s="1032"/>
      <c r="P50" s="1032"/>
      <c r="Q50" s="542"/>
      <c r="R50" s="247">
        <f>SUM(R48:R48)</f>
        <v>0</v>
      </c>
      <c r="S50" s="542">
        <v>0.92</v>
      </c>
      <c r="T50" s="249">
        <f>R50/S50</f>
        <v>0</v>
      </c>
    </row>
    <row r="51" spans="1:20" ht="15" customHeight="1" x14ac:dyDescent="0.25">
      <c r="A51" s="566" t="str">
        <f>Итоговая!C219</f>
        <v>ПС 35/10 кВ Половцово</v>
      </c>
      <c r="B51" s="563">
        <f>Итоговая!D219</f>
        <v>1.6</v>
      </c>
      <c r="C51" s="552"/>
      <c r="D51" s="552"/>
      <c r="E51" s="552"/>
      <c r="F51" s="552"/>
      <c r="G51" s="1179" t="s">
        <v>18842</v>
      </c>
      <c r="H51" s="1180"/>
      <c r="I51" s="1180"/>
      <c r="J51" s="1180"/>
      <c r="K51" s="1180"/>
      <c r="L51" s="1180"/>
      <c r="M51" s="1180"/>
      <c r="N51" s="558"/>
      <c r="O51" s="588"/>
      <c r="P51" s="427"/>
      <c r="Q51" s="427"/>
      <c r="R51" s="216"/>
      <c r="S51" s="215"/>
      <c r="T51" s="217"/>
    </row>
    <row r="52" spans="1:20" ht="15" customHeight="1" x14ac:dyDescent="0.25">
      <c r="A52" s="567"/>
      <c r="B52" s="564"/>
      <c r="C52" s="553"/>
      <c r="D52" s="553"/>
      <c r="E52" s="553"/>
      <c r="F52" s="553"/>
      <c r="G52" s="1157" t="s">
        <v>2263</v>
      </c>
      <c r="H52" s="1157"/>
      <c r="I52" s="1157"/>
      <c r="J52" s="994">
        <f>0.097*0.9*0.6</f>
        <v>5.2380000000000003E-2</v>
      </c>
      <c r="K52" s="995"/>
      <c r="L52" s="419"/>
      <c r="M52" s="351"/>
      <c r="N52" s="276"/>
      <c r="O52" s="420"/>
      <c r="P52" s="601"/>
      <c r="Q52" s="601"/>
      <c r="R52" s="224"/>
      <c r="S52" s="223"/>
      <c r="T52" s="225"/>
    </row>
    <row r="53" spans="1:20" ht="15" customHeight="1" thickBot="1" x14ac:dyDescent="0.3">
      <c r="A53" s="242"/>
      <c r="B53" s="243"/>
      <c r="C53" s="244"/>
      <c r="D53" s="244"/>
      <c r="E53" s="244"/>
      <c r="F53" s="244"/>
      <c r="G53" s="1032" t="s">
        <v>1199</v>
      </c>
      <c r="H53" s="1032"/>
      <c r="I53" s="1032"/>
      <c r="J53" s="542"/>
      <c r="K53" s="247">
        <f>SUM(J52)</f>
        <v>5.2380000000000003E-2</v>
      </c>
      <c r="L53" s="542">
        <v>0.92</v>
      </c>
      <c r="M53" s="247">
        <f>K53/L53</f>
        <v>5.6934782608695653E-2</v>
      </c>
      <c r="N53" s="1032" t="s">
        <v>1199</v>
      </c>
      <c r="O53" s="1032"/>
      <c r="P53" s="1032"/>
      <c r="Q53" s="542"/>
      <c r="R53" s="247">
        <f>SUM(R51:R51)</f>
        <v>0</v>
      </c>
      <c r="S53" s="542">
        <v>0.92</v>
      </c>
      <c r="T53" s="249">
        <f>R53/S53</f>
        <v>0</v>
      </c>
    </row>
    <row r="54" spans="1:20" ht="15" customHeight="1" x14ac:dyDescent="0.25">
      <c r="A54" s="566" t="str">
        <f>Итоговая!C220</f>
        <v>ПС 110/10 кВ Понизовье</v>
      </c>
      <c r="B54" s="563">
        <f>Итоговая!D220</f>
        <v>2.5</v>
      </c>
      <c r="C54" s="552"/>
      <c r="D54" s="552"/>
      <c r="E54" s="552"/>
      <c r="F54" s="552"/>
      <c r="G54" s="427"/>
      <c r="H54" s="427"/>
      <c r="I54" s="215"/>
      <c r="J54" s="215"/>
      <c r="K54" s="216"/>
      <c r="L54" s="215"/>
      <c r="M54" s="264"/>
      <c r="N54" s="427"/>
      <c r="O54" s="427"/>
      <c r="P54" s="215"/>
      <c r="Q54" s="215"/>
      <c r="R54" s="216"/>
      <c r="S54" s="215"/>
      <c r="T54" s="217"/>
    </row>
    <row r="55" spans="1:20" ht="15" customHeight="1" thickBot="1" x14ac:dyDescent="0.3">
      <c r="A55" s="242"/>
      <c r="B55" s="243"/>
      <c r="C55" s="244"/>
      <c r="D55" s="244"/>
      <c r="E55" s="244"/>
      <c r="F55" s="244"/>
      <c r="G55" s="1188" t="s">
        <v>1199</v>
      </c>
      <c r="H55" s="1188"/>
      <c r="I55" s="1188"/>
      <c r="J55" s="592"/>
      <c r="K55" s="247">
        <f>SUM(K54:K54)</f>
        <v>0</v>
      </c>
      <c r="L55" s="542">
        <v>0.92</v>
      </c>
      <c r="M55" s="247">
        <f>K55/L55</f>
        <v>0</v>
      </c>
      <c r="N55" s="1032" t="s">
        <v>1199</v>
      </c>
      <c r="O55" s="1032"/>
      <c r="P55" s="1032"/>
      <c r="Q55" s="542"/>
      <c r="R55" s="247">
        <f>SUM(R54:R54)</f>
        <v>0</v>
      </c>
      <c r="S55" s="542">
        <v>0.92</v>
      </c>
      <c r="T55" s="249">
        <f>R55/S55</f>
        <v>0</v>
      </c>
    </row>
    <row r="56" spans="1:20" ht="15" customHeight="1" x14ac:dyDescent="0.25">
      <c r="A56" s="1092" t="str">
        <f>Итоговая!C221</f>
        <v>ПС 35/10 кВ Синьково</v>
      </c>
      <c r="B56" s="1072">
        <f>Итоговая!D221</f>
        <v>1</v>
      </c>
      <c r="C56" s="552"/>
      <c r="D56" s="552"/>
      <c r="E56" s="552"/>
      <c r="F56" s="552"/>
      <c r="G56" s="991" t="s">
        <v>1325</v>
      </c>
      <c r="H56" s="1183"/>
      <c r="I56" s="1183"/>
      <c r="J56" s="1183"/>
      <c r="K56" s="1183"/>
      <c r="L56" s="1183"/>
      <c r="M56" s="1183"/>
      <c r="N56" s="1181"/>
      <c r="O56" s="1181"/>
      <c r="P56" s="1181"/>
      <c r="Q56" s="1181"/>
      <c r="R56" s="1181"/>
      <c r="S56" s="1181"/>
      <c r="T56" s="1182"/>
    </row>
    <row r="57" spans="1:20" ht="15" customHeight="1" x14ac:dyDescent="0.25">
      <c r="A57" s="1093"/>
      <c r="B57" s="1023"/>
      <c r="C57" s="553"/>
      <c r="D57" s="553"/>
      <c r="E57" s="553"/>
      <c r="F57" s="553"/>
      <c r="G57" s="543" t="s">
        <v>1303</v>
      </c>
      <c r="H57" s="543" t="s">
        <v>1304</v>
      </c>
      <c r="I57" s="543" t="s">
        <v>1460</v>
      </c>
      <c r="J57" s="543"/>
      <c r="K57" s="286">
        <v>0.08</v>
      </c>
      <c r="L57" s="543"/>
      <c r="M57" s="519"/>
      <c r="N57" s="548"/>
      <c r="O57" s="548"/>
      <c r="P57" s="548"/>
      <c r="Q57" s="548"/>
      <c r="R57" s="302"/>
      <c r="S57" s="548"/>
      <c r="T57" s="241"/>
    </row>
    <row r="58" spans="1:20" ht="15" customHeight="1" x14ac:dyDescent="0.25">
      <c r="A58" s="567"/>
      <c r="B58" s="564"/>
      <c r="C58" s="553"/>
      <c r="D58" s="553"/>
      <c r="E58" s="553"/>
      <c r="F58" s="553"/>
      <c r="G58" s="1179" t="s">
        <v>2010</v>
      </c>
      <c r="H58" s="1180"/>
      <c r="I58" s="1180"/>
      <c r="J58" s="1180"/>
      <c r="K58" s="1180"/>
      <c r="L58" s="1180"/>
      <c r="M58" s="1180"/>
      <c r="N58" s="548"/>
      <c r="O58" s="548"/>
      <c r="P58" s="548"/>
      <c r="Q58" s="548"/>
      <c r="R58" s="302"/>
      <c r="S58" s="548"/>
      <c r="T58" s="241"/>
    </row>
    <row r="59" spans="1:20" ht="15" customHeight="1" x14ac:dyDescent="0.25">
      <c r="A59" s="567"/>
      <c r="B59" s="564"/>
      <c r="C59" s="553"/>
      <c r="D59" s="553"/>
      <c r="E59" s="553"/>
      <c r="F59" s="553"/>
      <c r="G59" s="543" t="s">
        <v>2049</v>
      </c>
      <c r="H59" s="543" t="s">
        <v>2050</v>
      </c>
      <c r="I59" s="543" t="s">
        <v>2051</v>
      </c>
      <c r="J59" s="543"/>
      <c r="K59" s="286">
        <f>0.06*0.9</f>
        <v>5.3999999999999999E-2</v>
      </c>
      <c r="L59" s="543"/>
      <c r="M59" s="519"/>
      <c r="N59" s="548"/>
      <c r="O59" s="548"/>
      <c r="P59" s="548"/>
      <c r="Q59" s="548"/>
      <c r="R59" s="302"/>
      <c r="S59" s="548"/>
      <c r="T59" s="241"/>
    </row>
    <row r="60" spans="1:20" ht="15" customHeight="1" x14ac:dyDescent="0.25">
      <c r="A60" s="567"/>
      <c r="B60" s="564"/>
      <c r="C60" s="553"/>
      <c r="D60" s="553"/>
      <c r="E60" s="553"/>
      <c r="F60" s="553"/>
      <c r="G60" s="1179" t="s">
        <v>18842</v>
      </c>
      <c r="H60" s="1180"/>
      <c r="I60" s="1180"/>
      <c r="J60" s="1180"/>
      <c r="K60" s="1180"/>
      <c r="L60" s="1180"/>
      <c r="M60" s="1180"/>
      <c r="N60" s="269"/>
      <c r="O60" s="269"/>
      <c r="P60" s="269"/>
      <c r="Q60" s="269"/>
      <c r="R60" s="307"/>
      <c r="S60" s="269"/>
      <c r="T60" s="259"/>
    </row>
    <row r="61" spans="1:20" ht="15" customHeight="1" x14ac:dyDescent="0.25">
      <c r="A61" s="567"/>
      <c r="B61" s="564"/>
      <c r="C61" s="553"/>
      <c r="D61" s="553"/>
      <c r="E61" s="553"/>
      <c r="F61" s="553"/>
      <c r="G61" s="1157" t="s">
        <v>2263</v>
      </c>
      <c r="H61" s="1157"/>
      <c r="I61" s="1157"/>
      <c r="J61" s="994">
        <f>0.052*0.9*0.6</f>
        <v>2.8080000000000001E-2</v>
      </c>
      <c r="K61" s="995"/>
      <c r="L61" s="419"/>
      <c r="M61" s="351"/>
      <c r="N61" s="269"/>
      <c r="O61" s="269"/>
      <c r="P61" s="269"/>
      <c r="Q61" s="269"/>
      <c r="R61" s="307"/>
      <c r="S61" s="269"/>
      <c r="T61" s="259"/>
    </row>
    <row r="62" spans="1:20" ht="15" customHeight="1" thickBot="1" x14ac:dyDescent="0.3">
      <c r="A62" s="242"/>
      <c r="B62" s="243"/>
      <c r="C62" s="244"/>
      <c r="D62" s="244"/>
      <c r="E62" s="244"/>
      <c r="F62" s="244"/>
      <c r="G62" s="1032" t="s">
        <v>1199</v>
      </c>
      <c r="H62" s="1032"/>
      <c r="I62" s="1032"/>
      <c r="J62" s="542"/>
      <c r="K62" s="247">
        <f>SUM(J61)</f>
        <v>2.8080000000000001E-2</v>
      </c>
      <c r="L62" s="542">
        <v>0.92</v>
      </c>
      <c r="M62" s="247">
        <f>K62/L62</f>
        <v>3.0521739130434784E-2</v>
      </c>
      <c r="N62" s="1032" t="s">
        <v>1199</v>
      </c>
      <c r="O62" s="1032"/>
      <c r="P62" s="1032"/>
      <c r="Q62" s="542"/>
      <c r="R62" s="247">
        <f>SUM(R57:R57)</f>
        <v>0</v>
      </c>
      <c r="S62" s="542">
        <v>0.92</v>
      </c>
      <c r="T62" s="249">
        <f>R62/S62</f>
        <v>0</v>
      </c>
    </row>
    <row r="63" spans="1:20" ht="15" customHeight="1" x14ac:dyDescent="0.25">
      <c r="A63" s="566" t="str">
        <f>Итоговая!C222</f>
        <v>ПС 35/10 кВ Улин</v>
      </c>
      <c r="B63" s="563">
        <f>Итоговая!D222</f>
        <v>1.6</v>
      </c>
      <c r="C63" s="552"/>
      <c r="D63" s="552"/>
      <c r="E63" s="552"/>
      <c r="F63" s="552"/>
      <c r="G63" s="1179" t="s">
        <v>18842</v>
      </c>
      <c r="H63" s="1180"/>
      <c r="I63" s="1180"/>
      <c r="J63" s="1180"/>
      <c r="K63" s="1180"/>
      <c r="L63" s="1180"/>
      <c r="M63" s="1180"/>
      <c r="N63" s="215"/>
      <c r="O63" s="215"/>
      <c r="P63" s="215"/>
      <c r="Q63" s="215"/>
      <c r="R63" s="216"/>
      <c r="S63" s="215"/>
      <c r="T63" s="217"/>
    </row>
    <row r="64" spans="1:20" ht="15" customHeight="1" x14ac:dyDescent="0.25">
      <c r="A64" s="567"/>
      <c r="B64" s="564"/>
      <c r="C64" s="553"/>
      <c r="D64" s="553"/>
      <c r="E64" s="553"/>
      <c r="F64" s="553"/>
      <c r="G64" s="1157" t="s">
        <v>2263</v>
      </c>
      <c r="H64" s="1157"/>
      <c r="I64" s="1157"/>
      <c r="J64" s="994">
        <f>0.02*0.9</f>
        <v>1.8000000000000002E-2</v>
      </c>
      <c r="K64" s="995"/>
      <c r="L64" s="419"/>
      <c r="M64" s="351"/>
      <c r="N64" s="223"/>
      <c r="O64" s="223"/>
      <c r="P64" s="223"/>
      <c r="Q64" s="223"/>
      <c r="R64" s="224"/>
      <c r="S64" s="223"/>
      <c r="T64" s="225"/>
    </row>
    <row r="65" spans="1:20" ht="15" customHeight="1" thickBot="1" x14ac:dyDescent="0.3">
      <c r="A65" s="242"/>
      <c r="B65" s="243"/>
      <c r="C65" s="244"/>
      <c r="D65" s="244"/>
      <c r="E65" s="244"/>
      <c r="F65" s="244"/>
      <c r="G65" s="1032" t="s">
        <v>1199</v>
      </c>
      <c r="H65" s="1032"/>
      <c r="I65" s="1032"/>
      <c r="J65" s="542"/>
      <c r="K65" s="247">
        <f>SUM(J64)</f>
        <v>1.8000000000000002E-2</v>
      </c>
      <c r="L65" s="542">
        <v>0.92</v>
      </c>
      <c r="M65" s="247">
        <f>K65/L65</f>
        <v>1.9565217391304349E-2</v>
      </c>
      <c r="N65" s="1032" t="s">
        <v>1199</v>
      </c>
      <c r="O65" s="1032"/>
      <c r="P65" s="1032"/>
      <c r="Q65" s="542"/>
      <c r="R65" s="247">
        <f>SUM(R63:R63)</f>
        <v>0</v>
      </c>
      <c r="S65" s="542">
        <v>0.92</v>
      </c>
      <c r="T65" s="249">
        <f>R65/S65</f>
        <v>0</v>
      </c>
    </row>
    <row r="66" spans="1:20" ht="15" customHeight="1" x14ac:dyDescent="0.25">
      <c r="A66" s="566" t="str">
        <f>Итоговая!C223</f>
        <v>ПС 35/10 кВ Кавельщино</v>
      </c>
      <c r="B66" s="563">
        <f>Итоговая!D223</f>
        <v>2.5</v>
      </c>
      <c r="C66" s="552"/>
      <c r="D66" s="552"/>
      <c r="E66" s="552"/>
      <c r="F66" s="552"/>
      <c r="G66" s="1179" t="s">
        <v>18842</v>
      </c>
      <c r="H66" s="1180"/>
      <c r="I66" s="1180"/>
      <c r="J66" s="1180"/>
      <c r="K66" s="1180"/>
      <c r="L66" s="1180"/>
      <c r="M66" s="1180"/>
      <c r="N66" s="427"/>
      <c r="O66" s="427"/>
      <c r="P66" s="215"/>
      <c r="Q66" s="215"/>
      <c r="R66" s="216"/>
      <c r="S66" s="215"/>
      <c r="T66" s="217"/>
    </row>
    <row r="67" spans="1:20" ht="15" customHeight="1" x14ac:dyDescent="0.25">
      <c r="A67" s="567"/>
      <c r="B67" s="564"/>
      <c r="C67" s="553"/>
      <c r="D67" s="553"/>
      <c r="E67" s="553"/>
      <c r="F67" s="553"/>
      <c r="G67" s="1157" t="s">
        <v>2263</v>
      </c>
      <c r="H67" s="1157"/>
      <c r="I67" s="1157"/>
      <c r="J67" s="994">
        <f>0.015*0.9</f>
        <v>1.35E-2</v>
      </c>
      <c r="K67" s="995"/>
      <c r="L67" s="419"/>
      <c r="M67" s="351"/>
      <c r="N67" s="601"/>
      <c r="O67" s="601"/>
      <c r="P67" s="223"/>
      <c r="Q67" s="223"/>
      <c r="R67" s="224"/>
      <c r="S67" s="223"/>
      <c r="T67" s="225"/>
    </row>
    <row r="68" spans="1:20" ht="15" customHeight="1" thickBot="1" x14ac:dyDescent="0.3">
      <c r="A68" s="242"/>
      <c r="B68" s="243"/>
      <c r="C68" s="244"/>
      <c r="D68" s="244"/>
      <c r="E68" s="244"/>
      <c r="F68" s="244"/>
      <c r="G68" s="1032" t="s">
        <v>1199</v>
      </c>
      <c r="H68" s="1032"/>
      <c r="I68" s="1032"/>
      <c r="J68" s="542"/>
      <c r="K68" s="247">
        <f>SUM(J67)</f>
        <v>1.35E-2</v>
      </c>
      <c r="L68" s="542">
        <v>0.92</v>
      </c>
      <c r="M68" s="247">
        <f>K68/L68</f>
        <v>1.4673913043478259E-2</v>
      </c>
      <c r="N68" s="1032" t="s">
        <v>1199</v>
      </c>
      <c r="O68" s="1032"/>
      <c r="P68" s="1032"/>
      <c r="Q68" s="542"/>
      <c r="R68" s="247">
        <f>SUM(R66:R66)</f>
        <v>0</v>
      </c>
      <c r="S68" s="542">
        <v>0.92</v>
      </c>
      <c r="T68" s="249">
        <f>R68/S68</f>
        <v>0</v>
      </c>
    </row>
    <row r="69" spans="1:20" ht="15" customHeight="1" x14ac:dyDescent="0.25">
      <c r="A69" s="1092" t="str">
        <f>Итоговая!C224</f>
        <v>ПС 35/10 кВ Бологово</v>
      </c>
      <c r="B69" s="1072">
        <f>Итоговая!D224</f>
        <v>1.6</v>
      </c>
      <c r="C69" s="1067" t="str">
        <f>Итоговая!E224</f>
        <v>+</v>
      </c>
      <c r="D69" s="1067">
        <f>Итоговая!F224</f>
        <v>2.5</v>
      </c>
      <c r="E69" s="1067"/>
      <c r="F69" s="1067"/>
      <c r="G69" s="991" t="s">
        <v>1548</v>
      </c>
      <c r="H69" s="1183"/>
      <c r="I69" s="1183"/>
      <c r="J69" s="1183"/>
      <c r="K69" s="1183"/>
      <c r="L69" s="1183"/>
      <c r="M69" s="1183"/>
      <c r="N69" s="1181"/>
      <c r="O69" s="1181"/>
      <c r="P69" s="1181"/>
      <c r="Q69" s="1181"/>
      <c r="R69" s="1181"/>
      <c r="S69" s="1181"/>
      <c r="T69" s="1182"/>
    </row>
    <row r="70" spans="1:20" ht="15" customHeight="1" x14ac:dyDescent="0.25">
      <c r="A70" s="1093"/>
      <c r="B70" s="1023"/>
      <c r="C70" s="1024"/>
      <c r="D70" s="1024"/>
      <c r="E70" s="1024"/>
      <c r="F70" s="1024"/>
      <c r="G70" s="543" t="s">
        <v>890</v>
      </c>
      <c r="H70" s="543" t="s">
        <v>891</v>
      </c>
      <c r="I70" s="543" t="s">
        <v>892</v>
      </c>
      <c r="J70" s="543"/>
      <c r="K70" s="205">
        <v>9.9000000000000005E-2</v>
      </c>
      <c r="L70" s="543"/>
      <c r="M70" s="519"/>
      <c r="N70" s="548"/>
      <c r="O70" s="548"/>
      <c r="P70" s="548"/>
      <c r="Q70" s="548"/>
      <c r="R70" s="519"/>
      <c r="S70" s="548"/>
      <c r="T70" s="241"/>
    </row>
    <row r="71" spans="1:20" ht="15" customHeight="1" x14ac:dyDescent="0.25">
      <c r="A71" s="567"/>
      <c r="B71" s="564"/>
      <c r="C71" s="553"/>
      <c r="D71" s="553"/>
      <c r="E71" s="553"/>
      <c r="F71" s="553"/>
      <c r="G71" s="543" t="s">
        <v>505</v>
      </c>
      <c r="H71" s="543" t="s">
        <v>506</v>
      </c>
      <c r="I71" s="543" t="s">
        <v>507</v>
      </c>
      <c r="J71" s="543"/>
      <c r="K71" s="205">
        <v>9.5000000000000001E-2</v>
      </c>
      <c r="L71" s="543"/>
      <c r="M71" s="519"/>
      <c r="N71" s="548"/>
      <c r="O71" s="548"/>
      <c r="P71" s="548"/>
      <c r="Q71" s="548"/>
      <c r="R71" s="519"/>
      <c r="S71" s="548"/>
      <c r="T71" s="241"/>
    </row>
    <row r="72" spans="1:20" ht="15" customHeight="1" x14ac:dyDescent="0.25">
      <c r="A72" s="567"/>
      <c r="B72" s="564"/>
      <c r="C72" s="553"/>
      <c r="D72" s="553"/>
      <c r="E72" s="553"/>
      <c r="F72" s="553"/>
      <c r="G72" s="1179" t="s">
        <v>18842</v>
      </c>
      <c r="H72" s="1180"/>
      <c r="I72" s="1180"/>
      <c r="J72" s="1180"/>
      <c r="K72" s="1180"/>
      <c r="L72" s="1180"/>
      <c r="M72" s="1180"/>
      <c r="N72" s="269"/>
      <c r="O72" s="269"/>
      <c r="P72" s="269"/>
      <c r="Q72" s="269"/>
      <c r="R72" s="594"/>
      <c r="S72" s="269"/>
      <c r="T72" s="259"/>
    </row>
    <row r="73" spans="1:20" ht="15" customHeight="1" x14ac:dyDescent="0.25">
      <c r="A73" s="567"/>
      <c r="B73" s="564"/>
      <c r="C73" s="553"/>
      <c r="D73" s="553"/>
      <c r="E73" s="553"/>
      <c r="F73" s="553"/>
      <c r="G73" s="1157" t="s">
        <v>2263</v>
      </c>
      <c r="H73" s="1157"/>
      <c r="I73" s="1157"/>
      <c r="J73" s="994">
        <f>0.088*0.9*0.6</f>
        <v>4.7519999999999993E-2</v>
      </c>
      <c r="K73" s="995"/>
      <c r="L73" s="419"/>
      <c r="M73" s="351"/>
      <c r="N73" s="269"/>
      <c r="O73" s="269"/>
      <c r="P73" s="269"/>
      <c r="Q73" s="269"/>
      <c r="R73" s="594"/>
      <c r="S73" s="269"/>
      <c r="T73" s="259"/>
    </row>
    <row r="74" spans="1:20" ht="15" customHeight="1" thickBot="1" x14ac:dyDescent="0.3">
      <c r="A74" s="242"/>
      <c r="B74" s="243"/>
      <c r="C74" s="244"/>
      <c r="D74" s="244"/>
      <c r="E74" s="244"/>
      <c r="F74" s="244"/>
      <c r="G74" s="1032" t="s">
        <v>1199</v>
      </c>
      <c r="H74" s="1032"/>
      <c r="I74" s="1032"/>
      <c r="J74" s="542"/>
      <c r="K74" s="247">
        <f>SUM(J73)</f>
        <v>4.7519999999999993E-2</v>
      </c>
      <c r="L74" s="542">
        <v>0.92</v>
      </c>
      <c r="M74" s="247">
        <f>K74/L74</f>
        <v>5.165217391304347E-2</v>
      </c>
      <c r="N74" s="1032" t="s">
        <v>1199</v>
      </c>
      <c r="O74" s="1032"/>
      <c r="P74" s="1032"/>
      <c r="Q74" s="542"/>
      <c r="R74" s="247">
        <f>SUM(0)</f>
        <v>0</v>
      </c>
      <c r="S74" s="542">
        <v>0.92</v>
      </c>
      <c r="T74" s="249">
        <f>R74/S74</f>
        <v>0</v>
      </c>
    </row>
    <row r="75" spans="1:20" ht="15" customHeight="1" x14ac:dyDescent="0.25">
      <c r="A75" s="566" t="str">
        <f>Итоговая!C225</f>
        <v>ПС 35/10 кВ Верховье</v>
      </c>
      <c r="B75" s="563">
        <f>Итоговая!D225</f>
        <v>1</v>
      </c>
      <c r="C75" s="552" t="str">
        <f>Итоговая!E225</f>
        <v>+</v>
      </c>
      <c r="D75" s="552">
        <f>Итоговая!F225</f>
        <v>2.5</v>
      </c>
      <c r="E75" s="552"/>
      <c r="F75" s="552"/>
      <c r="G75" s="1179" t="s">
        <v>18842</v>
      </c>
      <c r="H75" s="1180"/>
      <c r="I75" s="1180"/>
      <c r="J75" s="1180"/>
      <c r="K75" s="1180"/>
      <c r="L75" s="1180"/>
      <c r="M75" s="1180"/>
      <c r="N75" s="215"/>
      <c r="O75" s="215"/>
      <c r="P75" s="215"/>
      <c r="Q75" s="215"/>
      <c r="R75" s="216"/>
      <c r="S75" s="215"/>
      <c r="T75" s="217"/>
    </row>
    <row r="76" spans="1:20" ht="15" customHeight="1" x14ac:dyDescent="0.25">
      <c r="A76" s="567"/>
      <c r="B76" s="564"/>
      <c r="C76" s="553"/>
      <c r="D76" s="553"/>
      <c r="E76" s="553"/>
      <c r="F76" s="553"/>
      <c r="G76" s="1157" t="s">
        <v>2263</v>
      </c>
      <c r="H76" s="1157"/>
      <c r="I76" s="1157"/>
      <c r="J76" s="994">
        <f>0.012*0.9</f>
        <v>1.0800000000000001E-2</v>
      </c>
      <c r="K76" s="995"/>
      <c r="L76" s="419"/>
      <c r="M76" s="351"/>
      <c r="N76" s="223"/>
      <c r="O76" s="223"/>
      <c r="P76" s="223"/>
      <c r="Q76" s="223"/>
      <c r="R76" s="224"/>
      <c r="S76" s="223"/>
      <c r="T76" s="225"/>
    </row>
    <row r="77" spans="1:20" ht="15" customHeight="1" thickBot="1" x14ac:dyDescent="0.3">
      <c r="A77" s="242"/>
      <c r="B77" s="243"/>
      <c r="C77" s="244"/>
      <c r="D77" s="244"/>
      <c r="E77" s="244"/>
      <c r="F77" s="244"/>
      <c r="G77" s="1032" t="s">
        <v>1199</v>
      </c>
      <c r="H77" s="1032"/>
      <c r="I77" s="1032"/>
      <c r="J77" s="542"/>
      <c r="K77" s="247">
        <f>SUM(J76)</f>
        <v>1.0800000000000001E-2</v>
      </c>
      <c r="L77" s="542">
        <v>0.92</v>
      </c>
      <c r="M77" s="247">
        <f>K77/L77</f>
        <v>1.173913043478261E-2</v>
      </c>
      <c r="N77" s="1032" t="s">
        <v>1199</v>
      </c>
      <c r="O77" s="1032"/>
      <c r="P77" s="1032"/>
      <c r="Q77" s="542"/>
      <c r="R77" s="247">
        <f>SUM(R75:R75)</f>
        <v>0</v>
      </c>
      <c r="S77" s="542">
        <v>0.92</v>
      </c>
      <c r="T77" s="249">
        <f>R77/S77</f>
        <v>0</v>
      </c>
    </row>
    <row r="78" spans="1:20" ht="15" customHeight="1" x14ac:dyDescent="0.25">
      <c r="A78" s="566" t="str">
        <f>Итоговая!C226</f>
        <v>ПС 35/10 кВ Воскресенское</v>
      </c>
      <c r="B78" s="563">
        <f>Итоговая!D226</f>
        <v>1.6</v>
      </c>
      <c r="C78" s="552" t="str">
        <f>Итоговая!E226</f>
        <v>+</v>
      </c>
      <c r="D78" s="552">
        <f>Итоговая!F226</f>
        <v>1.6</v>
      </c>
      <c r="E78" s="552"/>
      <c r="F78" s="552"/>
      <c r="G78" s="1179" t="s">
        <v>18842</v>
      </c>
      <c r="H78" s="1180"/>
      <c r="I78" s="1180"/>
      <c r="J78" s="1180"/>
      <c r="K78" s="1180"/>
      <c r="L78" s="1180"/>
      <c r="M78" s="1180"/>
      <c r="N78" s="588"/>
      <c r="O78" s="588"/>
      <c r="P78" s="215"/>
      <c r="Q78" s="215"/>
      <c r="R78" s="216"/>
      <c r="S78" s="215"/>
      <c r="T78" s="217"/>
    </row>
    <row r="79" spans="1:20" ht="15" customHeight="1" x14ac:dyDescent="0.25">
      <c r="A79" s="567"/>
      <c r="B79" s="564"/>
      <c r="C79" s="553"/>
      <c r="D79" s="553"/>
      <c r="E79" s="553"/>
      <c r="F79" s="553"/>
      <c r="G79" s="1157" t="s">
        <v>2263</v>
      </c>
      <c r="H79" s="1157"/>
      <c r="I79" s="1157"/>
      <c r="J79" s="994">
        <f>0.043*0.9*0.6</f>
        <v>2.3219999999999998E-2</v>
      </c>
      <c r="K79" s="995"/>
      <c r="L79" s="419"/>
      <c r="M79" s="351"/>
      <c r="N79" s="420"/>
      <c r="O79" s="420"/>
      <c r="P79" s="223"/>
      <c r="Q79" s="223"/>
      <c r="R79" s="224"/>
      <c r="S79" s="223"/>
      <c r="T79" s="225"/>
    </row>
    <row r="80" spans="1:20" ht="15" customHeight="1" thickBot="1" x14ac:dyDescent="0.3">
      <c r="A80" s="242"/>
      <c r="B80" s="243"/>
      <c r="C80" s="244"/>
      <c r="D80" s="244"/>
      <c r="E80" s="244"/>
      <c r="F80" s="244"/>
      <c r="G80" s="1032" t="s">
        <v>1199</v>
      </c>
      <c r="H80" s="1032"/>
      <c r="I80" s="1032"/>
      <c r="J80" s="542"/>
      <c r="K80" s="247">
        <f>SUM(J79)</f>
        <v>2.3219999999999998E-2</v>
      </c>
      <c r="L80" s="542">
        <v>0.92</v>
      </c>
      <c r="M80" s="247">
        <f>K80/L80</f>
        <v>2.5239130434782604E-2</v>
      </c>
      <c r="N80" s="1032" t="s">
        <v>1199</v>
      </c>
      <c r="O80" s="1032"/>
      <c r="P80" s="1032"/>
      <c r="Q80" s="542"/>
      <c r="R80" s="247">
        <f>SUM(R78:R78)</f>
        <v>0</v>
      </c>
      <c r="S80" s="542">
        <v>0.92</v>
      </c>
      <c r="T80" s="249">
        <f>R80/S80</f>
        <v>0</v>
      </c>
    </row>
    <row r="81" spans="1:20" ht="15" customHeight="1" x14ac:dyDescent="0.25">
      <c r="A81" s="566" t="str">
        <f>Итоговая!C227</f>
        <v>ПС 35/10 кВ Дашково</v>
      </c>
      <c r="B81" s="563">
        <f>Итоговая!D227</f>
        <v>4</v>
      </c>
      <c r="C81" s="552" t="str">
        <f>Итоговая!E227</f>
        <v>+</v>
      </c>
      <c r="D81" s="552">
        <f>Итоговая!F227</f>
        <v>4</v>
      </c>
      <c r="E81" s="552"/>
      <c r="F81" s="552"/>
      <c r="G81" s="215"/>
      <c r="H81" s="215"/>
      <c r="I81" s="215"/>
      <c r="J81" s="215"/>
      <c r="K81" s="216"/>
      <c r="L81" s="215"/>
      <c r="M81" s="264"/>
      <c r="N81" s="215"/>
      <c r="O81" s="215"/>
      <c r="P81" s="215"/>
      <c r="Q81" s="215"/>
      <c r="R81" s="216"/>
      <c r="S81" s="215"/>
      <c r="T81" s="217"/>
    </row>
    <row r="82" spans="1:20" ht="15" customHeight="1" thickBot="1" x14ac:dyDescent="0.3">
      <c r="A82" s="242"/>
      <c r="B82" s="243"/>
      <c r="C82" s="244"/>
      <c r="D82" s="244"/>
      <c r="E82" s="244"/>
      <c r="F82" s="244"/>
      <c r="G82" s="1032" t="s">
        <v>1199</v>
      </c>
      <c r="H82" s="1032"/>
      <c r="I82" s="1032"/>
      <c r="J82" s="542"/>
      <c r="K82" s="247">
        <f>SUM(K81:K81)</f>
        <v>0</v>
      </c>
      <c r="L82" s="542">
        <v>0.92</v>
      </c>
      <c r="M82" s="247">
        <f>K82/L82</f>
        <v>0</v>
      </c>
      <c r="N82" s="1032" t="s">
        <v>1199</v>
      </c>
      <c r="O82" s="1032"/>
      <c r="P82" s="1032"/>
      <c r="Q82" s="542"/>
      <c r="R82" s="247">
        <f>SUM(R81:R81)</f>
        <v>0</v>
      </c>
      <c r="S82" s="542">
        <v>0.92</v>
      </c>
      <c r="T82" s="249">
        <f>R82/S82</f>
        <v>0</v>
      </c>
    </row>
    <row r="83" spans="1:20" ht="15" customHeight="1" x14ac:dyDescent="0.25">
      <c r="A83" s="566" t="s">
        <v>1812</v>
      </c>
      <c r="B83" s="563">
        <v>25</v>
      </c>
      <c r="C83" s="552" t="s">
        <v>522</v>
      </c>
      <c r="D83" s="552">
        <v>25</v>
      </c>
      <c r="E83" s="552"/>
      <c r="F83" s="552"/>
      <c r="G83" s="215"/>
      <c r="H83" s="215"/>
      <c r="I83" s="215"/>
      <c r="J83" s="215"/>
      <c r="K83" s="216"/>
      <c r="L83" s="215"/>
      <c r="M83" s="264"/>
      <c r="N83" s="215"/>
      <c r="O83" s="215"/>
      <c r="P83" s="215"/>
      <c r="Q83" s="215"/>
      <c r="R83" s="216"/>
      <c r="S83" s="215"/>
      <c r="T83" s="217"/>
    </row>
    <row r="84" spans="1:20" ht="15" customHeight="1" thickBot="1" x14ac:dyDescent="0.3">
      <c r="A84" s="242"/>
      <c r="B84" s="243"/>
      <c r="C84" s="244"/>
      <c r="D84" s="244"/>
      <c r="E84" s="244"/>
      <c r="F84" s="244"/>
      <c r="G84" s="1032" t="s">
        <v>1199</v>
      </c>
      <c r="H84" s="1032"/>
      <c r="I84" s="1032"/>
      <c r="J84" s="542"/>
      <c r="K84" s="247">
        <f>SUM(K83)</f>
        <v>0</v>
      </c>
      <c r="L84" s="542">
        <v>0.92</v>
      </c>
      <c r="M84" s="247">
        <f>K84/L84</f>
        <v>0</v>
      </c>
      <c r="N84" s="1032" t="s">
        <v>1199</v>
      </c>
      <c r="O84" s="1032"/>
      <c r="P84" s="1032"/>
      <c r="Q84" s="542"/>
      <c r="R84" s="247">
        <f>SUM(R83:R83)</f>
        <v>0</v>
      </c>
      <c r="S84" s="542">
        <v>0.92</v>
      </c>
      <c r="T84" s="249">
        <f>R84/S84</f>
        <v>0</v>
      </c>
    </row>
    <row r="85" spans="1:20" ht="15" customHeight="1" x14ac:dyDescent="0.25">
      <c r="A85" s="567" t="str">
        <f>Итоговая!C229</f>
        <v>ПС 35/10 кВ Ильино</v>
      </c>
      <c r="B85" s="564">
        <f>Итоговая!D229</f>
        <v>1.6</v>
      </c>
      <c r="C85" s="553" t="str">
        <f>Итоговая!E229</f>
        <v>+</v>
      </c>
      <c r="D85" s="553">
        <f>Итоговая!F229</f>
        <v>2.5</v>
      </c>
      <c r="E85" s="553"/>
      <c r="F85" s="553"/>
      <c r="G85" s="1179" t="s">
        <v>18842</v>
      </c>
      <c r="H85" s="1180"/>
      <c r="I85" s="1180"/>
      <c r="J85" s="1180"/>
      <c r="K85" s="1180"/>
      <c r="L85" s="1180"/>
      <c r="M85" s="1180"/>
      <c r="N85" s="428"/>
      <c r="O85" s="428"/>
      <c r="P85" s="428"/>
      <c r="Q85" s="428"/>
      <c r="R85" s="251"/>
      <c r="S85" s="593"/>
      <c r="T85" s="253"/>
    </row>
    <row r="86" spans="1:20" ht="15" customHeight="1" x14ac:dyDescent="0.25">
      <c r="A86" s="567"/>
      <c r="B86" s="564"/>
      <c r="C86" s="553"/>
      <c r="D86" s="553"/>
      <c r="E86" s="553"/>
      <c r="F86" s="553"/>
      <c r="G86" s="1157" t="s">
        <v>2263</v>
      </c>
      <c r="H86" s="1157"/>
      <c r="I86" s="1157"/>
      <c r="J86" s="994">
        <f>0.068*0.9*0.6</f>
        <v>3.6720000000000003E-2</v>
      </c>
      <c r="K86" s="995"/>
      <c r="L86" s="419"/>
      <c r="M86" s="351"/>
      <c r="N86" s="420"/>
      <c r="O86" s="420"/>
      <c r="P86" s="420"/>
      <c r="Q86" s="420"/>
      <c r="R86" s="224"/>
      <c r="S86" s="223"/>
      <c r="T86" s="225"/>
    </row>
    <row r="87" spans="1:20" ht="15" customHeight="1" thickBot="1" x14ac:dyDescent="0.3">
      <c r="A87" s="567"/>
      <c r="B87" s="564"/>
      <c r="C87" s="553"/>
      <c r="D87" s="553"/>
      <c r="E87" s="553"/>
      <c r="F87" s="553"/>
      <c r="G87" s="1007" t="s">
        <v>1199</v>
      </c>
      <c r="H87" s="1007"/>
      <c r="I87" s="1007"/>
      <c r="J87" s="557"/>
      <c r="K87" s="231">
        <f>SUM(J86)</f>
        <v>3.6720000000000003E-2</v>
      </c>
      <c r="L87" s="557">
        <v>0.92</v>
      </c>
      <c r="M87" s="231">
        <f>K87/L87</f>
        <v>3.9913043478260871E-2</v>
      </c>
      <c r="N87" s="1007" t="s">
        <v>1199</v>
      </c>
      <c r="O87" s="1007"/>
      <c r="P87" s="1007"/>
      <c r="Q87" s="557"/>
      <c r="R87" s="231">
        <f>SUM(R85:R85)</f>
        <v>0</v>
      </c>
      <c r="S87" s="557">
        <v>0.92</v>
      </c>
      <c r="T87" s="233">
        <f>R87/S87</f>
        <v>0</v>
      </c>
    </row>
    <row r="88" spans="1:20" ht="15" customHeight="1" x14ac:dyDescent="0.25">
      <c r="A88" s="1092" t="str">
        <f>Итоговая!C230</f>
        <v>ПС 35/10 кВ Плоскошь</v>
      </c>
      <c r="B88" s="1072">
        <f>Итоговая!D230</f>
        <v>3.2</v>
      </c>
      <c r="C88" s="1067" t="str">
        <f>Итоговая!E230</f>
        <v>+</v>
      </c>
      <c r="D88" s="1067">
        <f>Итоговая!F230</f>
        <v>4</v>
      </c>
      <c r="E88" s="1067"/>
      <c r="F88" s="1067"/>
      <c r="G88" s="991" t="s">
        <v>1325</v>
      </c>
      <c r="H88" s="1183"/>
      <c r="I88" s="1183"/>
      <c r="J88" s="1183"/>
      <c r="K88" s="1183"/>
      <c r="L88" s="1183"/>
      <c r="M88" s="1183"/>
      <c r="N88" s="1181"/>
      <c r="O88" s="1181"/>
      <c r="P88" s="1181"/>
      <c r="Q88" s="1181"/>
      <c r="R88" s="1181"/>
      <c r="S88" s="1181"/>
      <c r="T88" s="1182"/>
    </row>
    <row r="89" spans="1:20" ht="15" customHeight="1" x14ac:dyDescent="0.25">
      <c r="A89" s="1093"/>
      <c r="B89" s="1023"/>
      <c r="C89" s="1024"/>
      <c r="D89" s="1024"/>
      <c r="E89" s="1024"/>
      <c r="F89" s="1024"/>
      <c r="G89" s="543" t="s">
        <v>1318</v>
      </c>
      <c r="H89" s="543" t="s">
        <v>1319</v>
      </c>
      <c r="I89" s="543" t="s">
        <v>1488</v>
      </c>
      <c r="J89" s="543"/>
      <c r="K89" s="205">
        <v>0.17</v>
      </c>
      <c r="L89" s="543"/>
      <c r="M89" s="519"/>
      <c r="N89" s="548"/>
      <c r="O89" s="548"/>
      <c r="P89" s="548"/>
      <c r="Q89" s="548"/>
      <c r="R89" s="519"/>
      <c r="S89" s="548"/>
      <c r="T89" s="241"/>
    </row>
    <row r="90" spans="1:20" ht="15" customHeight="1" thickBot="1" x14ac:dyDescent="0.3">
      <c r="A90" s="242"/>
      <c r="B90" s="243"/>
      <c r="C90" s="244"/>
      <c r="D90" s="244"/>
      <c r="E90" s="244"/>
      <c r="F90" s="244"/>
      <c r="G90" s="1032" t="s">
        <v>1199</v>
      </c>
      <c r="H90" s="1032"/>
      <c r="I90" s="1032"/>
      <c r="J90" s="542"/>
      <c r="K90" s="247">
        <f>SUM(0)</f>
        <v>0</v>
      </c>
      <c r="L90" s="542">
        <v>0.92</v>
      </c>
      <c r="M90" s="247">
        <f>K90/L90</f>
        <v>0</v>
      </c>
      <c r="N90" s="1032" t="s">
        <v>1199</v>
      </c>
      <c r="O90" s="1032"/>
      <c r="P90" s="1032"/>
      <c r="Q90" s="542"/>
      <c r="R90" s="247">
        <f>SUM(R89)</f>
        <v>0</v>
      </c>
      <c r="S90" s="542">
        <v>0.92</v>
      </c>
      <c r="T90" s="249">
        <f>R90/S90</f>
        <v>0</v>
      </c>
    </row>
    <row r="91" spans="1:20" ht="15" customHeight="1" x14ac:dyDescent="0.25">
      <c r="A91" s="566" t="str">
        <f>Итоговая!C231</f>
        <v>ПС 35/6 кВ Половцово</v>
      </c>
      <c r="B91" s="563">
        <f>Итоговая!D231</f>
        <v>5.6</v>
      </c>
      <c r="C91" s="552" t="str">
        <f>Итоговая!E231</f>
        <v>+</v>
      </c>
      <c r="D91" s="552">
        <f>Итоговая!F231</f>
        <v>5.6</v>
      </c>
      <c r="E91" s="552"/>
      <c r="F91" s="552"/>
      <c r="G91" s="991" t="s">
        <v>14978</v>
      </c>
      <c r="H91" s="1183"/>
      <c r="I91" s="1183"/>
      <c r="J91" s="1183"/>
      <c r="K91" s="1183"/>
      <c r="L91" s="1183"/>
      <c r="M91" s="1183"/>
      <c r="N91" s="215"/>
      <c r="O91" s="215"/>
      <c r="P91" s="215"/>
      <c r="Q91" s="215"/>
      <c r="R91" s="216"/>
      <c r="S91" s="215"/>
      <c r="T91" s="217"/>
    </row>
    <row r="92" spans="1:20" ht="15" customHeight="1" x14ac:dyDescent="0.25">
      <c r="A92" s="567"/>
      <c r="B92" s="564"/>
      <c r="C92" s="553"/>
      <c r="D92" s="553"/>
      <c r="E92" s="553"/>
      <c r="F92" s="553"/>
      <c r="G92" s="543" t="s">
        <v>17327</v>
      </c>
      <c r="H92" s="543" t="s">
        <v>17328</v>
      </c>
      <c r="I92" s="543" t="s">
        <v>17329</v>
      </c>
      <c r="J92" s="543"/>
      <c r="K92" s="205">
        <f>0.155*0.75</f>
        <v>0.11624999999999999</v>
      </c>
      <c r="L92" s="543"/>
      <c r="M92" s="519"/>
      <c r="N92" s="543"/>
      <c r="O92" s="543"/>
      <c r="P92" s="543"/>
      <c r="Q92" s="543"/>
      <c r="R92" s="205"/>
      <c r="S92" s="543"/>
      <c r="T92" s="241"/>
    </row>
    <row r="93" spans="1:20" ht="15" customHeight="1" x14ac:dyDescent="0.25">
      <c r="A93" s="567"/>
      <c r="B93" s="564"/>
      <c r="C93" s="553"/>
      <c r="D93" s="553"/>
      <c r="E93" s="553"/>
      <c r="F93" s="553"/>
      <c r="G93" s="543" t="s">
        <v>17426</v>
      </c>
      <c r="H93" s="543" t="s">
        <v>17427</v>
      </c>
      <c r="I93" s="543" t="s">
        <v>17428</v>
      </c>
      <c r="J93" s="543"/>
      <c r="K93" s="205">
        <f>0.1*0.9</f>
        <v>9.0000000000000011E-2</v>
      </c>
      <c r="L93" s="543"/>
      <c r="M93" s="519"/>
      <c r="N93" s="543"/>
      <c r="O93" s="543"/>
      <c r="P93" s="543"/>
      <c r="Q93" s="543"/>
      <c r="R93" s="205"/>
      <c r="S93" s="543"/>
      <c r="T93" s="241"/>
    </row>
    <row r="94" spans="1:20" ht="15" customHeight="1" thickBot="1" x14ac:dyDescent="0.3">
      <c r="A94" s="242"/>
      <c r="B94" s="243"/>
      <c r="C94" s="244"/>
      <c r="D94" s="244"/>
      <c r="E94" s="244"/>
      <c r="F94" s="244"/>
      <c r="G94" s="1032" t="s">
        <v>1199</v>
      </c>
      <c r="H94" s="1032"/>
      <c r="I94" s="1032"/>
      <c r="J94" s="542"/>
      <c r="K94" s="247">
        <f>SUM(K91:K93)</f>
        <v>0.20624999999999999</v>
      </c>
      <c r="L94" s="542">
        <v>0.92</v>
      </c>
      <c r="M94" s="247">
        <f>K94/L94</f>
        <v>0.22418478260869562</v>
      </c>
      <c r="N94" s="1032" t="s">
        <v>1199</v>
      </c>
      <c r="O94" s="1032"/>
      <c r="P94" s="1032"/>
      <c r="Q94" s="542"/>
      <c r="R94" s="247">
        <f>SUM(R91:R92)</f>
        <v>0</v>
      </c>
      <c r="S94" s="542">
        <v>0.92</v>
      </c>
      <c r="T94" s="249">
        <f>R94/S94</f>
        <v>0</v>
      </c>
    </row>
    <row r="95" spans="1:20" ht="15" customHeight="1" x14ac:dyDescent="0.25">
      <c r="A95" s="566" t="str">
        <f>Итоговая!C232</f>
        <v>ПС 35/10 кВ Ст. Торопа</v>
      </c>
      <c r="B95" s="563">
        <f>Итоговая!D232</f>
        <v>4</v>
      </c>
      <c r="C95" s="552" t="str">
        <f>Итоговая!E232</f>
        <v>+</v>
      </c>
      <c r="D95" s="552">
        <f>Итоговая!F232</f>
        <v>4</v>
      </c>
      <c r="E95" s="552"/>
      <c r="F95" s="552"/>
      <c r="G95" s="991" t="s">
        <v>2266</v>
      </c>
      <c r="H95" s="1183"/>
      <c r="I95" s="1183"/>
      <c r="J95" s="1183"/>
      <c r="K95" s="1183"/>
      <c r="L95" s="1183"/>
      <c r="M95" s="1183"/>
      <c r="N95" s="427"/>
      <c r="O95" s="427"/>
      <c r="P95" s="429"/>
      <c r="Q95" s="429"/>
      <c r="R95" s="216"/>
      <c r="S95" s="215"/>
      <c r="T95" s="217"/>
    </row>
    <row r="96" spans="1:20" ht="15" customHeight="1" x14ac:dyDescent="0.25">
      <c r="A96" s="567"/>
      <c r="B96" s="564"/>
      <c r="C96" s="553"/>
      <c r="D96" s="553"/>
      <c r="E96" s="553"/>
      <c r="F96" s="553"/>
      <c r="G96" s="548" t="s">
        <v>517</v>
      </c>
      <c r="H96" s="548" t="s">
        <v>14784</v>
      </c>
      <c r="I96" s="430" t="s">
        <v>14957</v>
      </c>
      <c r="J96" s="430"/>
      <c r="K96" s="205">
        <f>(1-0.15)*0.75</f>
        <v>0.63749999999999996</v>
      </c>
      <c r="L96" s="543"/>
      <c r="M96" s="519"/>
      <c r="N96" s="596"/>
      <c r="O96" s="596"/>
      <c r="P96" s="430"/>
      <c r="Q96" s="430"/>
      <c r="R96" s="205"/>
      <c r="S96" s="543"/>
      <c r="T96" s="241"/>
    </row>
    <row r="97" spans="1:20" ht="15" customHeight="1" x14ac:dyDescent="0.25">
      <c r="A97" s="567"/>
      <c r="B97" s="564"/>
      <c r="C97" s="553"/>
      <c r="D97" s="553"/>
      <c r="E97" s="553"/>
      <c r="F97" s="553"/>
      <c r="G97" s="548" t="s">
        <v>17580</v>
      </c>
      <c r="H97" s="548" t="s">
        <v>17581</v>
      </c>
      <c r="I97" s="430" t="s">
        <v>17582</v>
      </c>
      <c r="J97" s="430"/>
      <c r="K97" s="205">
        <f>2.3*0.75</f>
        <v>1.7249999999999999</v>
      </c>
      <c r="L97" s="543"/>
      <c r="M97" s="519"/>
      <c r="N97" s="596"/>
      <c r="O97" s="596"/>
      <c r="P97" s="430"/>
      <c r="Q97" s="430"/>
      <c r="R97" s="205"/>
      <c r="S97" s="543"/>
      <c r="T97" s="241"/>
    </row>
    <row r="98" spans="1:20" ht="15" customHeight="1" x14ac:dyDescent="0.25">
      <c r="A98" s="567"/>
      <c r="B98" s="564"/>
      <c r="C98" s="553"/>
      <c r="D98" s="553"/>
      <c r="E98" s="553"/>
      <c r="F98" s="553"/>
      <c r="G98" s="1179" t="s">
        <v>14978</v>
      </c>
      <c r="H98" s="1180"/>
      <c r="I98" s="1180"/>
      <c r="J98" s="1180"/>
      <c r="K98" s="1180"/>
      <c r="L98" s="1180"/>
      <c r="M98" s="1180"/>
      <c r="N98" s="596"/>
      <c r="O98" s="596"/>
      <c r="P98" s="430"/>
      <c r="Q98" s="430"/>
      <c r="R98" s="205"/>
      <c r="S98" s="543"/>
      <c r="T98" s="241"/>
    </row>
    <row r="99" spans="1:20" ht="15" customHeight="1" x14ac:dyDescent="0.25">
      <c r="A99" s="567"/>
      <c r="B99" s="564"/>
      <c r="C99" s="553"/>
      <c r="D99" s="553"/>
      <c r="E99" s="553"/>
      <c r="F99" s="553"/>
      <c r="G99" s="548" t="s">
        <v>17652</v>
      </c>
      <c r="H99" s="548" t="s">
        <v>17653</v>
      </c>
      <c r="I99" s="430" t="s">
        <v>17654</v>
      </c>
      <c r="J99" s="430"/>
      <c r="K99" s="205">
        <f>0.098*0.9</f>
        <v>8.8200000000000001E-2</v>
      </c>
      <c r="L99" s="543"/>
      <c r="M99" s="519"/>
      <c r="N99" s="596"/>
      <c r="O99" s="596"/>
      <c r="P99" s="430"/>
      <c r="Q99" s="430"/>
      <c r="R99" s="205"/>
      <c r="S99" s="543"/>
      <c r="T99" s="241"/>
    </row>
    <row r="100" spans="1:20" ht="15" customHeight="1" x14ac:dyDescent="0.25">
      <c r="A100" s="567"/>
      <c r="B100" s="564"/>
      <c r="C100" s="553"/>
      <c r="D100" s="553"/>
      <c r="E100" s="553"/>
      <c r="F100" s="553"/>
      <c r="G100" s="1179" t="s">
        <v>18842</v>
      </c>
      <c r="H100" s="1180"/>
      <c r="I100" s="1180"/>
      <c r="J100" s="1180"/>
      <c r="K100" s="1180"/>
      <c r="L100" s="1180"/>
      <c r="M100" s="1180"/>
      <c r="N100" s="600"/>
      <c r="O100" s="600"/>
      <c r="P100" s="431"/>
      <c r="Q100" s="431"/>
      <c r="R100" s="230"/>
      <c r="S100" s="557"/>
      <c r="T100" s="259"/>
    </row>
    <row r="101" spans="1:20" ht="15" customHeight="1" x14ac:dyDescent="0.25">
      <c r="A101" s="567"/>
      <c r="B101" s="564"/>
      <c r="C101" s="553"/>
      <c r="D101" s="553"/>
      <c r="E101" s="553"/>
      <c r="F101" s="553"/>
      <c r="G101" s="1157" t="s">
        <v>2263</v>
      </c>
      <c r="H101" s="1157"/>
      <c r="I101" s="1157"/>
      <c r="J101" s="994">
        <f>0.141*0.9*0.6</f>
        <v>7.6139999999999985E-2</v>
      </c>
      <c r="K101" s="995"/>
      <c r="L101" s="419"/>
      <c r="M101" s="351"/>
      <c r="N101" s="600"/>
      <c r="O101" s="600"/>
      <c r="P101" s="431"/>
      <c r="Q101" s="431"/>
      <c r="R101" s="230"/>
      <c r="S101" s="557"/>
      <c r="T101" s="259"/>
    </row>
    <row r="102" spans="1:20" ht="15" customHeight="1" x14ac:dyDescent="0.25">
      <c r="A102" s="795"/>
      <c r="B102" s="790"/>
      <c r="C102" s="791"/>
      <c r="D102" s="791"/>
      <c r="E102" s="791"/>
      <c r="F102" s="791"/>
      <c r="G102" s="1179" t="s">
        <v>19748</v>
      </c>
      <c r="H102" s="1180"/>
      <c r="I102" s="1180"/>
      <c r="J102" s="1180"/>
      <c r="K102" s="1180"/>
      <c r="L102" s="1180"/>
      <c r="M102" s="1180"/>
      <c r="N102" s="801"/>
      <c r="O102" s="801"/>
      <c r="P102" s="431"/>
      <c r="Q102" s="431"/>
      <c r="R102" s="788"/>
      <c r="S102" s="787"/>
      <c r="T102" s="259"/>
    </row>
    <row r="103" spans="1:20" ht="15" customHeight="1" x14ac:dyDescent="0.25">
      <c r="A103" s="795"/>
      <c r="B103" s="790"/>
      <c r="C103" s="791"/>
      <c r="D103" s="791"/>
      <c r="E103" s="791"/>
      <c r="F103" s="791"/>
      <c r="G103" s="793" t="s">
        <v>19792</v>
      </c>
      <c r="H103" s="793" t="s">
        <v>19793</v>
      </c>
      <c r="I103" s="793" t="s">
        <v>19794</v>
      </c>
      <c r="J103" s="519"/>
      <c r="K103" s="519">
        <f>0.025*0.85</f>
        <v>2.1250000000000002E-2</v>
      </c>
      <c r="L103" s="419"/>
      <c r="M103" s="351"/>
      <c r="N103" s="801"/>
      <c r="O103" s="801"/>
      <c r="P103" s="431"/>
      <c r="Q103" s="431"/>
      <c r="R103" s="788"/>
      <c r="S103" s="787"/>
      <c r="T103" s="259"/>
    </row>
    <row r="104" spans="1:20" ht="15" customHeight="1" thickBot="1" x14ac:dyDescent="0.3">
      <c r="A104" s="242"/>
      <c r="B104" s="243"/>
      <c r="C104" s="244"/>
      <c r="D104" s="244"/>
      <c r="E104" s="244"/>
      <c r="F104" s="244"/>
      <c r="G104" s="1032" t="s">
        <v>1199</v>
      </c>
      <c r="H104" s="1032"/>
      <c r="I104" s="1032"/>
      <c r="J104" s="542"/>
      <c r="K104" s="247">
        <f>SUM(J99:K103)</f>
        <v>0.18558999999999998</v>
      </c>
      <c r="L104" s="542">
        <v>0.92</v>
      </c>
      <c r="M104" s="247">
        <f>K104/L104</f>
        <v>0.20172826086956519</v>
      </c>
      <c r="N104" s="1032" t="s">
        <v>1199</v>
      </c>
      <c r="O104" s="1032"/>
      <c r="P104" s="1032"/>
      <c r="Q104" s="542"/>
      <c r="R104" s="247">
        <f>SUM(R95:R95)</f>
        <v>0</v>
      </c>
      <c r="S104" s="542">
        <v>0.92</v>
      </c>
      <c r="T104" s="249">
        <f>R104/S104</f>
        <v>0</v>
      </c>
    </row>
    <row r="105" spans="1:20" ht="15" customHeight="1" x14ac:dyDescent="0.25">
      <c r="A105" s="566" t="str">
        <f>Итоговая!C233</f>
        <v>ПС 110/35/10 кВ Андреаполь</v>
      </c>
      <c r="B105" s="563">
        <f>Итоговая!D233</f>
        <v>10</v>
      </c>
      <c r="C105" s="552" t="str">
        <f>Итоговая!E233</f>
        <v>+</v>
      </c>
      <c r="D105" s="552">
        <f>Итоговая!F233</f>
        <v>10</v>
      </c>
      <c r="E105" s="552"/>
      <c r="F105" s="552"/>
      <c r="G105" s="991" t="s">
        <v>1548</v>
      </c>
      <c r="H105" s="1183"/>
      <c r="I105" s="1183"/>
      <c r="J105" s="1183"/>
      <c r="K105" s="1183"/>
      <c r="L105" s="1183"/>
      <c r="M105" s="1183"/>
      <c r="N105" s="991" t="s">
        <v>14978</v>
      </c>
      <c r="O105" s="1183"/>
      <c r="P105" s="1183"/>
      <c r="Q105" s="1183"/>
      <c r="R105" s="1183"/>
      <c r="S105" s="1183"/>
      <c r="T105" s="1184"/>
    </row>
    <row r="106" spans="1:20" ht="15" customHeight="1" x14ac:dyDescent="0.25">
      <c r="A106" s="567"/>
      <c r="B106" s="564"/>
      <c r="C106" s="553"/>
      <c r="D106" s="553"/>
      <c r="E106" s="553"/>
      <c r="F106" s="553"/>
      <c r="G106" s="432" t="s">
        <v>885</v>
      </c>
      <c r="H106" s="432" t="s">
        <v>886</v>
      </c>
      <c r="I106" s="546" t="s">
        <v>887</v>
      </c>
      <c r="J106" s="546"/>
      <c r="K106" s="262">
        <v>0.1</v>
      </c>
      <c r="L106" s="546"/>
      <c r="M106" s="262"/>
      <c r="N106" s="546" t="s">
        <v>883</v>
      </c>
      <c r="O106" s="546" t="s">
        <v>884</v>
      </c>
      <c r="P106" s="546" t="s">
        <v>17438</v>
      </c>
      <c r="Q106" s="546"/>
      <c r="R106" s="262">
        <v>0.74099999999999999</v>
      </c>
      <c r="S106" s="590"/>
      <c r="T106" s="303"/>
    </row>
    <row r="107" spans="1:20" ht="15" customHeight="1" x14ac:dyDescent="0.25">
      <c r="A107" s="567"/>
      <c r="B107" s="564"/>
      <c r="C107" s="553"/>
      <c r="D107" s="553"/>
      <c r="E107" s="553"/>
      <c r="F107" s="553"/>
      <c r="G107" s="1179" t="s">
        <v>1549</v>
      </c>
      <c r="H107" s="1180"/>
      <c r="I107" s="1180"/>
      <c r="J107" s="1180"/>
      <c r="K107" s="1180"/>
      <c r="L107" s="1180"/>
      <c r="M107" s="1180"/>
      <c r="N107" s="1185"/>
      <c r="O107" s="1185"/>
      <c r="P107" s="1185"/>
      <c r="Q107" s="1185"/>
      <c r="R107" s="1185"/>
      <c r="S107" s="1185"/>
      <c r="T107" s="1186"/>
    </row>
    <row r="108" spans="1:20" ht="15" customHeight="1" x14ac:dyDescent="0.25">
      <c r="A108" s="567"/>
      <c r="B108" s="564"/>
      <c r="C108" s="553"/>
      <c r="D108" s="553"/>
      <c r="E108" s="553"/>
      <c r="F108" s="553"/>
      <c r="G108" s="546" t="s">
        <v>880</v>
      </c>
      <c r="H108" s="546" t="s">
        <v>881</v>
      </c>
      <c r="I108" s="546" t="s">
        <v>882</v>
      </c>
      <c r="J108" s="546"/>
      <c r="K108" s="262">
        <v>3</v>
      </c>
      <c r="L108" s="546"/>
      <c r="M108" s="262"/>
      <c r="N108" s="548"/>
      <c r="O108" s="548"/>
      <c r="P108" s="548"/>
      <c r="Q108" s="548"/>
      <c r="R108" s="519"/>
      <c r="S108" s="548"/>
      <c r="T108" s="241"/>
    </row>
    <row r="109" spans="1:20" ht="15" customHeight="1" x14ac:dyDescent="0.25">
      <c r="A109" s="567"/>
      <c r="B109" s="564"/>
      <c r="C109" s="553"/>
      <c r="D109" s="553"/>
      <c r="E109" s="553"/>
      <c r="F109" s="553"/>
      <c r="G109" s="1179" t="s">
        <v>1550</v>
      </c>
      <c r="H109" s="1180"/>
      <c r="I109" s="1180"/>
      <c r="J109" s="1180"/>
      <c r="K109" s="1180"/>
      <c r="L109" s="1180"/>
      <c r="M109" s="1180"/>
      <c r="N109" s="1185"/>
      <c r="O109" s="1185"/>
      <c r="P109" s="1185"/>
      <c r="Q109" s="1185"/>
      <c r="R109" s="1185"/>
      <c r="S109" s="1185"/>
      <c r="T109" s="1186"/>
    </row>
    <row r="110" spans="1:20" ht="15" customHeight="1" x14ac:dyDescent="0.25">
      <c r="A110" s="567"/>
      <c r="B110" s="564"/>
      <c r="C110" s="553"/>
      <c r="D110" s="553"/>
      <c r="E110" s="553"/>
      <c r="F110" s="553"/>
      <c r="G110" s="546" t="s">
        <v>888</v>
      </c>
      <c r="H110" s="546" t="s">
        <v>888</v>
      </c>
      <c r="I110" s="546" t="s">
        <v>889</v>
      </c>
      <c r="J110" s="546"/>
      <c r="K110" s="262">
        <v>0.03</v>
      </c>
      <c r="L110" s="546"/>
      <c r="M110" s="262"/>
      <c r="N110" s="548"/>
      <c r="O110" s="548"/>
      <c r="P110" s="548"/>
      <c r="Q110" s="548"/>
      <c r="R110" s="519"/>
      <c r="S110" s="548"/>
      <c r="T110" s="241"/>
    </row>
    <row r="111" spans="1:20" ht="15" customHeight="1" x14ac:dyDescent="0.25">
      <c r="A111" s="567"/>
      <c r="B111" s="564"/>
      <c r="C111" s="553"/>
      <c r="D111" s="553"/>
      <c r="E111" s="553"/>
      <c r="F111" s="553"/>
      <c r="G111" s="1179" t="s">
        <v>18842</v>
      </c>
      <c r="H111" s="1180"/>
      <c r="I111" s="1180"/>
      <c r="J111" s="1180"/>
      <c r="K111" s="1180"/>
      <c r="L111" s="1180"/>
      <c r="M111" s="1180"/>
      <c r="N111" s="269"/>
      <c r="O111" s="269"/>
      <c r="P111" s="269"/>
      <c r="Q111" s="269"/>
      <c r="R111" s="594"/>
      <c r="S111" s="269"/>
      <c r="T111" s="259"/>
    </row>
    <row r="112" spans="1:20" ht="15" customHeight="1" x14ac:dyDescent="0.25">
      <c r="A112" s="567"/>
      <c r="B112" s="564"/>
      <c r="C112" s="553"/>
      <c r="D112" s="553"/>
      <c r="E112" s="553"/>
      <c r="F112" s="553"/>
      <c r="G112" s="1157" t="s">
        <v>2263</v>
      </c>
      <c r="H112" s="1157"/>
      <c r="I112" s="1157"/>
      <c r="J112" s="994">
        <f>0.104*0.9*0.6</f>
        <v>5.6160000000000002E-2</v>
      </c>
      <c r="K112" s="995"/>
      <c r="L112" s="419"/>
      <c r="M112" s="351"/>
      <c r="N112" s="269"/>
      <c r="O112" s="269"/>
      <c r="P112" s="269"/>
      <c r="Q112" s="269"/>
      <c r="R112" s="594"/>
      <c r="S112" s="269"/>
      <c r="T112" s="259"/>
    </row>
    <row r="113" spans="1:20" ht="15" customHeight="1" thickBot="1" x14ac:dyDescent="0.3">
      <c r="A113" s="242"/>
      <c r="B113" s="243"/>
      <c r="C113" s="244"/>
      <c r="D113" s="244"/>
      <c r="E113" s="244"/>
      <c r="F113" s="244"/>
      <c r="G113" s="1032" t="s">
        <v>1199</v>
      </c>
      <c r="H113" s="1032"/>
      <c r="I113" s="1032"/>
      <c r="J113" s="542"/>
      <c r="K113" s="247">
        <f>SUM(J112)</f>
        <v>5.6160000000000002E-2</v>
      </c>
      <c r="L113" s="542">
        <v>0.92</v>
      </c>
      <c r="M113" s="247">
        <f>K113/L113</f>
        <v>6.1043478260869567E-2</v>
      </c>
      <c r="N113" s="1032" t="s">
        <v>1199</v>
      </c>
      <c r="O113" s="1032"/>
      <c r="P113" s="1032"/>
      <c r="Q113" s="542"/>
      <c r="R113" s="247">
        <f>SUM(R106:R110)</f>
        <v>0.74099999999999999</v>
      </c>
      <c r="S113" s="542">
        <v>0.92</v>
      </c>
      <c r="T113" s="249">
        <f>R113/S113</f>
        <v>0.80543478260869561</v>
      </c>
    </row>
    <row r="114" spans="1:20" ht="15" customHeight="1" x14ac:dyDescent="0.25">
      <c r="A114" s="1092" t="str">
        <f>Итоговая!C236</f>
        <v>ПС 110/35/10 кВ Белый</v>
      </c>
      <c r="B114" s="1072">
        <f>Итоговая!D236</f>
        <v>16</v>
      </c>
      <c r="C114" s="1067" t="str">
        <f>Итоговая!E236</f>
        <v>+</v>
      </c>
      <c r="D114" s="1067">
        <f>Итоговая!F236</f>
        <v>10</v>
      </c>
      <c r="E114" s="1067"/>
      <c r="F114" s="1067"/>
      <c r="G114" s="991" t="s">
        <v>1548</v>
      </c>
      <c r="H114" s="1183"/>
      <c r="I114" s="1183"/>
      <c r="J114" s="1183"/>
      <c r="K114" s="1183"/>
      <c r="L114" s="1183"/>
      <c r="M114" s="1183"/>
      <c r="N114" s="1181"/>
      <c r="O114" s="1181"/>
      <c r="P114" s="1181"/>
      <c r="Q114" s="1181"/>
      <c r="R114" s="1181"/>
      <c r="S114" s="1181"/>
      <c r="T114" s="1182"/>
    </row>
    <row r="115" spans="1:20" ht="15" customHeight="1" x14ac:dyDescent="0.25">
      <c r="A115" s="1093"/>
      <c r="B115" s="1023"/>
      <c r="C115" s="1024"/>
      <c r="D115" s="1024"/>
      <c r="E115" s="1024"/>
      <c r="F115" s="1024"/>
      <c r="G115" s="546" t="s">
        <v>508</v>
      </c>
      <c r="H115" s="546" t="s">
        <v>509</v>
      </c>
      <c r="I115" s="546" t="s">
        <v>510</v>
      </c>
      <c r="J115" s="546"/>
      <c r="K115" s="262">
        <v>2.5000000000000001E-2</v>
      </c>
      <c r="L115" s="546"/>
      <c r="M115" s="262"/>
      <c r="N115" s="548"/>
      <c r="O115" s="548"/>
      <c r="P115" s="548"/>
      <c r="Q115" s="548"/>
      <c r="R115" s="519"/>
      <c r="S115" s="548"/>
      <c r="T115" s="241"/>
    </row>
    <row r="116" spans="1:20" ht="15" customHeight="1" x14ac:dyDescent="0.25">
      <c r="A116" s="567"/>
      <c r="B116" s="564"/>
      <c r="C116" s="553"/>
      <c r="D116" s="553"/>
      <c r="E116" s="553"/>
      <c r="F116" s="553"/>
      <c r="G116" s="1179" t="s">
        <v>1325</v>
      </c>
      <c r="H116" s="1180"/>
      <c r="I116" s="1180"/>
      <c r="J116" s="1180"/>
      <c r="K116" s="1180"/>
      <c r="L116" s="1180"/>
      <c r="M116" s="1180"/>
      <c r="N116" s="1185"/>
      <c r="O116" s="1185"/>
      <c r="P116" s="1185"/>
      <c r="Q116" s="1185"/>
      <c r="R116" s="1185"/>
      <c r="S116" s="1185"/>
      <c r="T116" s="1186"/>
    </row>
    <row r="117" spans="1:20" ht="15" customHeight="1" x14ac:dyDescent="0.25">
      <c r="A117" s="567"/>
      <c r="B117" s="564"/>
      <c r="C117" s="553"/>
      <c r="D117" s="553"/>
      <c r="E117" s="553"/>
      <c r="F117" s="553"/>
      <c r="G117" s="546" t="s">
        <v>974</v>
      </c>
      <c r="H117" s="546" t="s">
        <v>935</v>
      </c>
      <c r="I117" s="546" t="s">
        <v>1446</v>
      </c>
      <c r="J117" s="546"/>
      <c r="K117" s="262">
        <f>0.0995-0.005</f>
        <v>9.4500000000000001E-2</v>
      </c>
      <c r="L117" s="546"/>
      <c r="M117" s="262"/>
      <c r="N117" s="548"/>
      <c r="O117" s="548"/>
      <c r="P117" s="548"/>
      <c r="Q117" s="548"/>
      <c r="R117" s="519"/>
      <c r="S117" s="548"/>
      <c r="T117" s="241"/>
    </row>
    <row r="118" spans="1:20" ht="15" customHeight="1" x14ac:dyDescent="0.25">
      <c r="A118" s="567"/>
      <c r="B118" s="564"/>
      <c r="C118" s="553"/>
      <c r="D118" s="553"/>
      <c r="E118" s="553"/>
      <c r="F118" s="553"/>
      <c r="G118" s="1179" t="s">
        <v>1740</v>
      </c>
      <c r="H118" s="1180"/>
      <c r="I118" s="1180"/>
      <c r="J118" s="1180"/>
      <c r="K118" s="1180"/>
      <c r="L118" s="1180"/>
      <c r="M118" s="1180"/>
      <c r="N118" s="548"/>
      <c r="O118" s="548"/>
      <c r="P118" s="548"/>
      <c r="Q118" s="548"/>
      <c r="R118" s="519"/>
      <c r="S118" s="548"/>
      <c r="T118" s="241"/>
    </row>
    <row r="119" spans="1:20" ht="15" customHeight="1" x14ac:dyDescent="0.25">
      <c r="A119" s="567"/>
      <c r="B119" s="564"/>
      <c r="C119" s="553"/>
      <c r="D119" s="553"/>
      <c r="E119" s="553"/>
      <c r="F119" s="553"/>
      <c r="G119" s="543" t="s">
        <v>1932</v>
      </c>
      <c r="H119" s="543" t="s">
        <v>1933</v>
      </c>
      <c r="I119" s="546" t="s">
        <v>1999</v>
      </c>
      <c r="J119" s="546"/>
      <c r="K119" s="205">
        <f>0.025-0.008</f>
        <v>1.7000000000000001E-2</v>
      </c>
      <c r="L119" s="546"/>
      <c r="M119" s="262"/>
      <c r="N119" s="548"/>
      <c r="O119" s="548"/>
      <c r="P119" s="548"/>
      <c r="Q119" s="548"/>
      <c r="R119" s="519"/>
      <c r="S119" s="548"/>
      <c r="T119" s="241"/>
    </row>
    <row r="120" spans="1:20" ht="15" customHeight="1" x14ac:dyDescent="0.25">
      <c r="A120" s="567"/>
      <c r="B120" s="564"/>
      <c r="C120" s="553"/>
      <c r="D120" s="553"/>
      <c r="E120" s="553"/>
      <c r="F120" s="553"/>
      <c r="G120" s="1179" t="s">
        <v>2010</v>
      </c>
      <c r="H120" s="1180"/>
      <c r="I120" s="1180"/>
      <c r="J120" s="1180"/>
      <c r="K120" s="1180"/>
      <c r="L120" s="1180"/>
      <c r="M120" s="1180"/>
      <c r="N120" s="548"/>
      <c r="O120" s="548"/>
      <c r="P120" s="548"/>
      <c r="Q120" s="548"/>
      <c r="R120" s="519"/>
      <c r="S120" s="548"/>
      <c r="T120" s="241"/>
    </row>
    <row r="121" spans="1:20" ht="15" customHeight="1" x14ac:dyDescent="0.25">
      <c r="A121" s="567"/>
      <c r="B121" s="564"/>
      <c r="C121" s="553"/>
      <c r="D121" s="553"/>
      <c r="E121" s="553"/>
      <c r="F121" s="553"/>
      <c r="G121" s="543" t="s">
        <v>1679</v>
      </c>
      <c r="H121" s="543" t="s">
        <v>1713</v>
      </c>
      <c r="I121" s="546" t="s">
        <v>2056</v>
      </c>
      <c r="J121" s="546"/>
      <c r="K121" s="205">
        <f>(0.032-0.01234)</f>
        <v>1.966E-2</v>
      </c>
      <c r="L121" s="546"/>
      <c r="M121" s="262"/>
      <c r="N121" s="548"/>
      <c r="O121" s="548"/>
      <c r="P121" s="548"/>
      <c r="Q121" s="548"/>
      <c r="R121" s="519"/>
      <c r="S121" s="548"/>
      <c r="T121" s="241"/>
    </row>
    <row r="122" spans="1:20" ht="15" customHeight="1" x14ac:dyDescent="0.25">
      <c r="A122" s="567"/>
      <c r="B122" s="564"/>
      <c r="C122" s="553"/>
      <c r="D122" s="553"/>
      <c r="E122" s="553"/>
      <c r="F122" s="553"/>
      <c r="G122" s="1179" t="s">
        <v>2266</v>
      </c>
      <c r="H122" s="1180"/>
      <c r="I122" s="1180"/>
      <c r="J122" s="1180"/>
      <c r="K122" s="1180"/>
      <c r="L122" s="1180"/>
      <c r="M122" s="1180"/>
      <c r="N122" s="548"/>
      <c r="O122" s="548"/>
      <c r="P122" s="548"/>
      <c r="Q122" s="548"/>
      <c r="R122" s="519"/>
      <c r="S122" s="548"/>
      <c r="T122" s="241"/>
    </row>
    <row r="123" spans="1:20" ht="15" customHeight="1" x14ac:dyDescent="0.25">
      <c r="A123" s="567"/>
      <c r="B123" s="564"/>
      <c r="C123" s="553"/>
      <c r="D123" s="553"/>
      <c r="E123" s="553"/>
      <c r="F123" s="553"/>
      <c r="G123" s="543" t="s">
        <v>14787</v>
      </c>
      <c r="H123" s="543" t="s">
        <v>14788</v>
      </c>
      <c r="I123" s="548" t="s">
        <v>14884</v>
      </c>
      <c r="J123" s="548"/>
      <c r="K123" s="519">
        <f>0.025*0.75</f>
        <v>1.8750000000000003E-2</v>
      </c>
      <c r="L123" s="548"/>
      <c r="M123" s="519"/>
      <c r="N123" s="548"/>
      <c r="O123" s="548"/>
      <c r="P123" s="548"/>
      <c r="Q123" s="548"/>
      <c r="R123" s="519"/>
      <c r="S123" s="548"/>
      <c r="T123" s="241"/>
    </row>
    <row r="124" spans="1:20" ht="15" customHeight="1" x14ac:dyDescent="0.25">
      <c r="A124" s="567"/>
      <c r="B124" s="564"/>
      <c r="C124" s="553"/>
      <c r="D124" s="553"/>
      <c r="E124" s="553"/>
      <c r="F124" s="553"/>
      <c r="G124" s="543" t="s">
        <v>17613</v>
      </c>
      <c r="H124" s="543" t="s">
        <v>17614</v>
      </c>
      <c r="I124" s="548" t="s">
        <v>17615</v>
      </c>
      <c r="J124" s="548"/>
      <c r="K124" s="519">
        <f>0.015*0.75</f>
        <v>1.125E-2</v>
      </c>
      <c r="L124" s="548"/>
      <c r="M124" s="519"/>
      <c r="N124" s="548"/>
      <c r="O124" s="548"/>
      <c r="P124" s="548"/>
      <c r="Q124" s="548"/>
      <c r="R124" s="519"/>
      <c r="S124" s="548"/>
      <c r="T124" s="241"/>
    </row>
    <row r="125" spans="1:20" ht="15" customHeight="1" x14ac:dyDescent="0.25">
      <c r="A125" s="567"/>
      <c r="B125" s="564"/>
      <c r="C125" s="553"/>
      <c r="D125" s="553"/>
      <c r="E125" s="553"/>
      <c r="F125" s="553"/>
      <c r="G125" s="1179" t="s">
        <v>18842</v>
      </c>
      <c r="H125" s="1180"/>
      <c r="I125" s="1180"/>
      <c r="J125" s="1180"/>
      <c r="K125" s="1180"/>
      <c r="L125" s="1180"/>
      <c r="M125" s="1180"/>
      <c r="N125" s="269"/>
      <c r="O125" s="269"/>
      <c r="P125" s="269"/>
      <c r="Q125" s="269"/>
      <c r="R125" s="594"/>
      <c r="S125" s="269"/>
      <c r="T125" s="259"/>
    </row>
    <row r="126" spans="1:20" ht="15" customHeight="1" x14ac:dyDescent="0.25">
      <c r="A126" s="567"/>
      <c r="B126" s="564"/>
      <c r="C126" s="553"/>
      <c r="D126" s="553"/>
      <c r="E126" s="553"/>
      <c r="F126" s="553"/>
      <c r="G126" s="1157" t="s">
        <v>2263</v>
      </c>
      <c r="H126" s="1157"/>
      <c r="I126" s="1157"/>
      <c r="J126" s="994">
        <f>0.202*0.9*0.6</f>
        <v>0.10908000000000001</v>
      </c>
      <c r="K126" s="995"/>
      <c r="L126" s="419"/>
      <c r="M126" s="351"/>
      <c r="N126" s="269"/>
      <c r="O126" s="269"/>
      <c r="P126" s="269"/>
      <c r="Q126" s="269"/>
      <c r="R126" s="594"/>
      <c r="S126" s="269"/>
      <c r="T126" s="259"/>
    </row>
    <row r="127" spans="1:20" ht="15" customHeight="1" thickBot="1" x14ac:dyDescent="0.3">
      <c r="A127" s="242"/>
      <c r="B127" s="243"/>
      <c r="C127" s="244"/>
      <c r="D127" s="244"/>
      <c r="E127" s="244"/>
      <c r="F127" s="244"/>
      <c r="G127" s="1032" t="s">
        <v>1199</v>
      </c>
      <c r="H127" s="1032"/>
      <c r="I127" s="1032"/>
      <c r="J127" s="542"/>
      <c r="K127" s="247">
        <f>SUM(J126)</f>
        <v>0.10908000000000001</v>
      </c>
      <c r="L127" s="542">
        <v>0.92</v>
      </c>
      <c r="M127" s="247">
        <f>K127/L127</f>
        <v>0.11856521739130435</v>
      </c>
      <c r="N127" s="1032" t="s">
        <v>1199</v>
      </c>
      <c r="O127" s="1032"/>
      <c r="P127" s="1032"/>
      <c r="Q127" s="542"/>
      <c r="R127" s="247">
        <f>SUM(R117:R117)</f>
        <v>0</v>
      </c>
      <c r="S127" s="542">
        <v>0.92</v>
      </c>
      <c r="T127" s="249">
        <f>R127/S127</f>
        <v>0</v>
      </c>
    </row>
    <row r="128" spans="1:20" ht="15" customHeight="1" x14ac:dyDescent="0.25">
      <c r="A128" s="1092" t="str">
        <f>Итоговая!C239</f>
        <v>ПС 110/35/10 кВ Западная Двина</v>
      </c>
      <c r="B128" s="1072">
        <f>Итоговая!D239</f>
        <v>10</v>
      </c>
      <c r="C128" s="1067" t="str">
        <f>Итоговая!E239</f>
        <v>+</v>
      </c>
      <c r="D128" s="1067">
        <f>Итоговая!F239</f>
        <v>10</v>
      </c>
      <c r="E128" s="1067"/>
      <c r="F128" s="1067"/>
      <c r="G128" s="991" t="s">
        <v>1549</v>
      </c>
      <c r="H128" s="1183"/>
      <c r="I128" s="1183"/>
      <c r="J128" s="1183"/>
      <c r="K128" s="1183"/>
      <c r="L128" s="1183"/>
      <c r="M128" s="1183"/>
      <c r="N128" s="1179" t="s">
        <v>1740</v>
      </c>
      <c r="O128" s="1180"/>
      <c r="P128" s="1180"/>
      <c r="Q128" s="1180"/>
      <c r="R128" s="1180"/>
      <c r="S128" s="1180"/>
      <c r="T128" s="1180"/>
    </row>
    <row r="129" spans="1:20" ht="15" customHeight="1" x14ac:dyDescent="0.25">
      <c r="A129" s="1093"/>
      <c r="B129" s="1023"/>
      <c r="C129" s="1024"/>
      <c r="D129" s="1024"/>
      <c r="E129" s="1024"/>
      <c r="F129" s="1024"/>
      <c r="G129" s="546" t="s">
        <v>511</v>
      </c>
      <c r="H129" s="546" t="s">
        <v>512</v>
      </c>
      <c r="I129" s="546" t="s">
        <v>513</v>
      </c>
      <c r="J129" s="546"/>
      <c r="K129" s="262">
        <v>7.4999999999999997E-2</v>
      </c>
      <c r="L129" s="546"/>
      <c r="M129" s="262"/>
      <c r="N129" s="724" t="s">
        <v>1797</v>
      </c>
      <c r="O129" s="724" t="s">
        <v>1798</v>
      </c>
      <c r="P129" s="724" t="s">
        <v>1821</v>
      </c>
      <c r="Q129" s="724"/>
      <c r="R129" s="262">
        <v>0.03</v>
      </c>
      <c r="S129" s="724"/>
      <c r="T129" s="519"/>
    </row>
    <row r="130" spans="1:20" ht="15" customHeight="1" x14ac:dyDescent="0.25">
      <c r="A130" s="567"/>
      <c r="B130" s="564"/>
      <c r="C130" s="553"/>
      <c r="D130" s="553"/>
      <c r="E130" s="553"/>
      <c r="F130" s="553"/>
      <c r="G130" s="1179" t="s">
        <v>1550</v>
      </c>
      <c r="H130" s="1180"/>
      <c r="I130" s="1180"/>
      <c r="J130" s="1180"/>
      <c r="K130" s="1180"/>
      <c r="L130" s="1180"/>
      <c r="M130" s="1180"/>
      <c r="N130" s="548"/>
      <c r="O130" s="548"/>
      <c r="P130" s="548"/>
      <c r="Q130" s="548"/>
      <c r="R130" s="519"/>
      <c r="S130" s="548"/>
      <c r="T130" s="241"/>
    </row>
    <row r="131" spans="1:20" ht="15" customHeight="1" x14ac:dyDescent="0.25">
      <c r="A131" s="567"/>
      <c r="B131" s="564"/>
      <c r="C131" s="553"/>
      <c r="D131" s="553"/>
      <c r="E131" s="553"/>
      <c r="F131" s="553"/>
      <c r="G131" s="546" t="s">
        <v>514</v>
      </c>
      <c r="H131" s="546" t="s">
        <v>515</v>
      </c>
      <c r="I131" s="433" t="s">
        <v>1527</v>
      </c>
      <c r="J131" s="433"/>
      <c r="K131" s="262">
        <v>9.9000000000000005E-2</v>
      </c>
      <c r="L131" s="546"/>
      <c r="M131" s="262"/>
      <c r="N131" s="548"/>
      <c r="O131" s="548"/>
      <c r="P131" s="271"/>
      <c r="Q131" s="271"/>
      <c r="R131" s="519"/>
      <c r="S131" s="548"/>
      <c r="T131" s="241"/>
    </row>
    <row r="132" spans="1:20" ht="15" customHeight="1" x14ac:dyDescent="0.25">
      <c r="A132" s="567"/>
      <c r="B132" s="564"/>
      <c r="C132" s="553"/>
      <c r="D132" s="553"/>
      <c r="E132" s="553"/>
      <c r="F132" s="553"/>
      <c r="G132" s="1179" t="s">
        <v>14978</v>
      </c>
      <c r="H132" s="1180"/>
      <c r="I132" s="1180"/>
      <c r="J132" s="1180"/>
      <c r="K132" s="1180"/>
      <c r="L132" s="1180"/>
      <c r="M132" s="1180"/>
      <c r="N132" s="548"/>
      <c r="O132" s="548"/>
      <c r="P132" s="548"/>
      <c r="Q132" s="548"/>
      <c r="R132" s="519"/>
      <c r="S132" s="548"/>
      <c r="T132" s="241"/>
    </row>
    <row r="133" spans="1:20" ht="15" customHeight="1" x14ac:dyDescent="0.25">
      <c r="A133" s="567"/>
      <c r="B133" s="564"/>
      <c r="C133" s="553"/>
      <c r="D133" s="553"/>
      <c r="E133" s="553"/>
      <c r="F133" s="553"/>
      <c r="G133" s="543" t="s">
        <v>17619</v>
      </c>
      <c r="H133" s="543" t="s">
        <v>17620</v>
      </c>
      <c r="I133" s="543" t="s">
        <v>17621</v>
      </c>
      <c r="J133" s="543"/>
      <c r="K133" s="205">
        <f>0.435*0.9</f>
        <v>0.39150000000000001</v>
      </c>
      <c r="L133" s="543"/>
      <c r="M133" s="519"/>
      <c r="N133" s="548"/>
      <c r="O133" s="548"/>
      <c r="P133" s="548"/>
      <c r="Q133" s="548"/>
      <c r="R133" s="519"/>
      <c r="S133" s="548"/>
      <c r="T133" s="241"/>
    </row>
    <row r="134" spans="1:20" ht="15" customHeight="1" x14ac:dyDescent="0.25">
      <c r="A134" s="567"/>
      <c r="B134" s="564"/>
      <c r="C134" s="553"/>
      <c r="D134" s="553"/>
      <c r="E134" s="553"/>
      <c r="F134" s="553"/>
      <c r="G134" s="1179" t="s">
        <v>18842</v>
      </c>
      <c r="H134" s="1180"/>
      <c r="I134" s="1180"/>
      <c r="J134" s="1180"/>
      <c r="K134" s="1180"/>
      <c r="L134" s="1180"/>
      <c r="M134" s="1180"/>
      <c r="N134" s="269"/>
      <c r="O134" s="269"/>
      <c r="P134" s="269"/>
      <c r="Q134" s="269"/>
      <c r="R134" s="594"/>
      <c r="S134" s="269"/>
      <c r="T134" s="259"/>
    </row>
    <row r="135" spans="1:20" ht="15" customHeight="1" x14ac:dyDescent="0.25">
      <c r="A135" s="567"/>
      <c r="B135" s="564"/>
      <c r="C135" s="553"/>
      <c r="D135" s="553"/>
      <c r="E135" s="553"/>
      <c r="F135" s="553"/>
      <c r="G135" s="1157" t="s">
        <v>2263</v>
      </c>
      <c r="H135" s="1157"/>
      <c r="I135" s="1157"/>
      <c r="J135" s="994">
        <f>0.15*0.9*0.6</f>
        <v>8.1000000000000003E-2</v>
      </c>
      <c r="K135" s="995"/>
      <c r="L135" s="419"/>
      <c r="M135" s="351"/>
      <c r="N135" s="269"/>
      <c r="O135" s="269"/>
      <c r="P135" s="269"/>
      <c r="Q135" s="269"/>
      <c r="R135" s="594"/>
      <c r="S135" s="269"/>
      <c r="T135" s="259"/>
    </row>
    <row r="136" spans="1:20" ht="15" customHeight="1" thickBot="1" x14ac:dyDescent="0.3">
      <c r="A136" s="242"/>
      <c r="B136" s="243"/>
      <c r="C136" s="244"/>
      <c r="D136" s="244"/>
      <c r="E136" s="244"/>
      <c r="F136" s="244"/>
      <c r="G136" s="1032" t="s">
        <v>1199</v>
      </c>
      <c r="H136" s="1032"/>
      <c r="I136" s="1032"/>
      <c r="J136" s="542"/>
      <c r="K136" s="247">
        <f>SUM(J133:K135)</f>
        <v>0.47250000000000003</v>
      </c>
      <c r="L136" s="542">
        <v>0.92</v>
      </c>
      <c r="M136" s="247">
        <f>K136/L136</f>
        <v>0.51358695652173914</v>
      </c>
      <c r="N136" s="1032" t="s">
        <v>1199</v>
      </c>
      <c r="O136" s="1032"/>
      <c r="P136" s="1032"/>
      <c r="Q136" s="542"/>
      <c r="R136" s="247">
        <f>SUM(R129:R132)</f>
        <v>0.03</v>
      </c>
      <c r="S136" s="542">
        <v>0.92</v>
      </c>
      <c r="T136" s="249">
        <f>R136/S136</f>
        <v>3.2608695652173912E-2</v>
      </c>
    </row>
    <row r="137" spans="1:20" ht="15" customHeight="1" x14ac:dyDescent="0.25">
      <c r="A137" s="1092" t="str">
        <f>Итоговая!C242</f>
        <v>ПС 110/35/10 кВ Торопец</v>
      </c>
      <c r="B137" s="1072">
        <f>Итоговая!D242</f>
        <v>25</v>
      </c>
      <c r="C137" s="1067" t="str">
        <f>Итоговая!E242</f>
        <v>+</v>
      </c>
      <c r="D137" s="1067">
        <f>Итоговая!F242</f>
        <v>25</v>
      </c>
      <c r="E137" s="1067"/>
      <c r="F137" s="1067"/>
      <c r="G137" s="991" t="s">
        <v>1548</v>
      </c>
      <c r="H137" s="1183"/>
      <c r="I137" s="1183"/>
      <c r="J137" s="1183"/>
      <c r="K137" s="1183"/>
      <c r="L137" s="1183"/>
      <c r="M137" s="1183"/>
      <c r="N137" s="991" t="s">
        <v>1548</v>
      </c>
      <c r="O137" s="1183"/>
      <c r="P137" s="1183"/>
      <c r="Q137" s="1183"/>
      <c r="R137" s="1183"/>
      <c r="S137" s="1183"/>
      <c r="T137" s="1184"/>
    </row>
    <row r="138" spans="1:20" ht="15" customHeight="1" x14ac:dyDescent="0.25">
      <c r="A138" s="1093"/>
      <c r="B138" s="1023"/>
      <c r="C138" s="1024"/>
      <c r="D138" s="1024"/>
      <c r="E138" s="1024"/>
      <c r="F138" s="1024"/>
      <c r="G138" s="546" t="s">
        <v>518</v>
      </c>
      <c r="H138" s="546" t="s">
        <v>519</v>
      </c>
      <c r="I138" s="546" t="s">
        <v>879</v>
      </c>
      <c r="J138" s="546"/>
      <c r="K138" s="262">
        <v>0.06</v>
      </c>
      <c r="L138" s="546"/>
      <c r="M138" s="262"/>
      <c r="N138" s="543" t="s">
        <v>2303</v>
      </c>
      <c r="O138" s="543" t="s">
        <v>18532</v>
      </c>
      <c r="P138" s="281" t="s">
        <v>18533</v>
      </c>
      <c r="Q138" s="281"/>
      <c r="R138" s="434">
        <f>0.045-0.015</f>
        <v>0.03</v>
      </c>
      <c r="S138" s="548"/>
      <c r="T138" s="241"/>
    </row>
    <row r="139" spans="1:20" ht="15" customHeight="1" x14ac:dyDescent="0.25">
      <c r="A139" s="567"/>
      <c r="B139" s="564"/>
      <c r="C139" s="553"/>
      <c r="D139" s="553"/>
      <c r="E139" s="553"/>
      <c r="F139" s="553"/>
      <c r="G139" s="546" t="s">
        <v>520</v>
      </c>
      <c r="H139" s="546" t="s">
        <v>521</v>
      </c>
      <c r="I139" s="546" t="s">
        <v>1335</v>
      </c>
      <c r="J139" s="546"/>
      <c r="K139" s="262">
        <v>1.5</v>
      </c>
      <c r="L139" s="546"/>
      <c r="M139" s="262"/>
      <c r="N139" s="283"/>
      <c r="O139" s="283"/>
      <c r="P139" s="283"/>
      <c r="Q139" s="283"/>
      <c r="R139" s="283"/>
      <c r="S139" s="283"/>
      <c r="T139" s="284"/>
    </row>
    <row r="140" spans="1:20" ht="15" customHeight="1" x14ac:dyDescent="0.25">
      <c r="A140" s="567"/>
      <c r="B140" s="564"/>
      <c r="C140" s="553"/>
      <c r="D140" s="553"/>
      <c r="E140" s="553"/>
      <c r="F140" s="553"/>
      <c r="G140" s="546" t="s">
        <v>1336</v>
      </c>
      <c r="H140" s="546" t="s">
        <v>1337</v>
      </c>
      <c r="I140" s="546" t="s">
        <v>1338</v>
      </c>
      <c r="J140" s="546"/>
      <c r="K140" s="262">
        <v>0.65</v>
      </c>
      <c r="L140" s="546"/>
      <c r="M140" s="262"/>
      <c r="N140" s="283"/>
      <c r="O140" s="283"/>
      <c r="P140" s="283"/>
      <c r="Q140" s="283"/>
      <c r="R140" s="283"/>
      <c r="S140" s="283"/>
      <c r="T140" s="284"/>
    </row>
    <row r="141" spans="1:20" ht="15" customHeight="1" x14ac:dyDescent="0.25">
      <c r="A141" s="567"/>
      <c r="B141" s="564"/>
      <c r="C141" s="553"/>
      <c r="D141" s="553"/>
      <c r="E141" s="553"/>
      <c r="F141" s="553"/>
      <c r="G141" s="1179" t="s">
        <v>1325</v>
      </c>
      <c r="H141" s="1180"/>
      <c r="I141" s="1180"/>
      <c r="J141" s="1180"/>
      <c r="K141" s="1180"/>
      <c r="L141" s="1180"/>
      <c r="M141" s="1180"/>
      <c r="N141" s="283"/>
      <c r="O141" s="283"/>
      <c r="P141" s="283"/>
      <c r="Q141" s="283"/>
      <c r="R141" s="283"/>
      <c r="S141" s="283"/>
      <c r="T141" s="284"/>
    </row>
    <row r="142" spans="1:20" ht="15" customHeight="1" x14ac:dyDescent="0.25">
      <c r="A142" s="567"/>
      <c r="B142" s="564"/>
      <c r="C142" s="553"/>
      <c r="D142" s="553"/>
      <c r="E142" s="553"/>
      <c r="F142" s="553"/>
      <c r="G142" s="546" t="s">
        <v>1320</v>
      </c>
      <c r="H142" s="546" t="s">
        <v>1321</v>
      </c>
      <c r="I142" s="546" t="s">
        <v>1489</v>
      </c>
      <c r="J142" s="546"/>
      <c r="K142" s="262">
        <v>3</v>
      </c>
      <c r="L142" s="546"/>
      <c r="M142" s="262"/>
      <c r="N142" s="283"/>
      <c r="O142" s="283"/>
      <c r="P142" s="283"/>
      <c r="Q142" s="283"/>
      <c r="R142" s="283"/>
      <c r="S142" s="283"/>
      <c r="T142" s="284"/>
    </row>
    <row r="143" spans="1:20" ht="15" customHeight="1" x14ac:dyDescent="0.25">
      <c r="A143" s="567"/>
      <c r="B143" s="564"/>
      <c r="C143" s="553"/>
      <c r="D143" s="553"/>
      <c r="E143" s="553"/>
      <c r="F143" s="553"/>
      <c r="G143" s="1179" t="s">
        <v>1740</v>
      </c>
      <c r="H143" s="1180"/>
      <c r="I143" s="1180"/>
      <c r="J143" s="1180"/>
      <c r="K143" s="1180"/>
      <c r="L143" s="1180"/>
      <c r="M143" s="1180"/>
      <c r="N143" s="283"/>
      <c r="O143" s="283"/>
      <c r="P143" s="283"/>
      <c r="Q143" s="283"/>
      <c r="R143" s="283"/>
      <c r="S143" s="283"/>
      <c r="T143" s="284"/>
    </row>
    <row r="144" spans="1:20" ht="15" customHeight="1" x14ac:dyDescent="0.25">
      <c r="A144" s="567"/>
      <c r="B144" s="564"/>
      <c r="C144" s="553"/>
      <c r="D144" s="553"/>
      <c r="E144" s="553"/>
      <c r="F144" s="553"/>
      <c r="G144" s="543" t="s">
        <v>1695</v>
      </c>
      <c r="H144" s="543" t="s">
        <v>1696</v>
      </c>
      <c r="I144" s="546" t="s">
        <v>1781</v>
      </c>
      <c r="J144" s="546"/>
      <c r="K144" s="262">
        <v>0.02</v>
      </c>
      <c r="L144" s="546"/>
      <c r="M144" s="262"/>
      <c r="N144" s="283"/>
      <c r="O144" s="283"/>
      <c r="P144" s="283"/>
      <c r="Q144" s="283"/>
      <c r="R144" s="283"/>
      <c r="S144" s="283"/>
      <c r="T144" s="284"/>
    </row>
    <row r="145" spans="1:20" ht="15" customHeight="1" x14ac:dyDescent="0.25">
      <c r="A145" s="567"/>
      <c r="B145" s="564"/>
      <c r="C145" s="553"/>
      <c r="D145" s="553"/>
      <c r="E145" s="553"/>
      <c r="F145" s="553"/>
      <c r="G145" s="1179" t="s">
        <v>2010</v>
      </c>
      <c r="H145" s="1180"/>
      <c r="I145" s="1180"/>
      <c r="J145" s="1180"/>
      <c r="K145" s="1180"/>
      <c r="L145" s="1180"/>
      <c r="M145" s="1180"/>
      <c r="N145" s="283"/>
      <c r="O145" s="283"/>
      <c r="P145" s="283"/>
      <c r="Q145" s="283"/>
      <c r="R145" s="283"/>
      <c r="S145" s="283"/>
      <c r="T145" s="284"/>
    </row>
    <row r="146" spans="1:20" ht="15" customHeight="1" x14ac:dyDescent="0.25">
      <c r="A146" s="567"/>
      <c r="B146" s="564"/>
      <c r="C146" s="553"/>
      <c r="D146" s="553"/>
      <c r="E146" s="553"/>
      <c r="F146" s="553"/>
      <c r="G146" s="543" t="s">
        <v>2241</v>
      </c>
      <c r="H146" s="543" t="s">
        <v>2242</v>
      </c>
      <c r="I146" s="590" t="s">
        <v>2274</v>
      </c>
      <c r="J146" s="590"/>
      <c r="K146" s="302">
        <f>0.02*0.9</f>
        <v>1.8000000000000002E-2</v>
      </c>
      <c r="L146" s="590"/>
      <c r="M146" s="302"/>
      <c r="N146" s="548"/>
      <c r="O146" s="548"/>
      <c r="P146" s="548"/>
      <c r="Q146" s="548"/>
      <c r="R146" s="519"/>
      <c r="S146" s="548"/>
      <c r="T146" s="241"/>
    </row>
    <row r="147" spans="1:20" ht="15" customHeight="1" x14ac:dyDescent="0.25">
      <c r="A147" s="567"/>
      <c r="B147" s="564"/>
      <c r="C147" s="553"/>
      <c r="D147" s="553"/>
      <c r="E147" s="553"/>
      <c r="F147" s="553"/>
      <c r="G147" s="543" t="s">
        <v>2241</v>
      </c>
      <c r="H147" s="543" t="s">
        <v>2243</v>
      </c>
      <c r="I147" s="590" t="s">
        <v>2275</v>
      </c>
      <c r="J147" s="590"/>
      <c r="K147" s="302">
        <f>0.01*0.9</f>
        <v>9.0000000000000011E-3</v>
      </c>
      <c r="L147" s="590"/>
      <c r="M147" s="302"/>
      <c r="N147" s="548"/>
      <c r="O147" s="548"/>
      <c r="P147" s="548"/>
      <c r="Q147" s="548"/>
      <c r="R147" s="519"/>
      <c r="S147" s="548"/>
      <c r="T147" s="241"/>
    </row>
    <row r="148" spans="1:20" ht="15" customHeight="1" x14ac:dyDescent="0.25">
      <c r="A148" s="567"/>
      <c r="B148" s="564"/>
      <c r="C148" s="553"/>
      <c r="D148" s="553"/>
      <c r="E148" s="553"/>
      <c r="F148" s="553"/>
      <c r="G148" s="1179" t="s">
        <v>14978</v>
      </c>
      <c r="H148" s="1180"/>
      <c r="I148" s="1180"/>
      <c r="J148" s="1180"/>
      <c r="K148" s="1180"/>
      <c r="L148" s="1180"/>
      <c r="M148" s="1180"/>
      <c r="N148" s="548"/>
      <c r="O148" s="548"/>
      <c r="P148" s="548"/>
      <c r="Q148" s="548"/>
      <c r="R148" s="519"/>
      <c r="S148" s="548"/>
      <c r="T148" s="241"/>
    </row>
    <row r="149" spans="1:20" ht="15" customHeight="1" x14ac:dyDescent="0.25">
      <c r="A149" s="567"/>
      <c r="B149" s="564"/>
      <c r="C149" s="553"/>
      <c r="D149" s="553"/>
      <c r="E149" s="553"/>
      <c r="F149" s="553"/>
      <c r="G149" s="548" t="s">
        <v>14894</v>
      </c>
      <c r="H149" s="548" t="s">
        <v>17248</v>
      </c>
      <c r="I149" s="548" t="s">
        <v>17249</v>
      </c>
      <c r="J149" s="548"/>
      <c r="K149" s="519">
        <f>3.2*0.15</f>
        <v>0.48</v>
      </c>
      <c r="L149" s="548"/>
      <c r="M149" s="519"/>
      <c r="N149" s="548"/>
      <c r="O149" s="548"/>
      <c r="P149" s="548"/>
      <c r="Q149" s="548"/>
      <c r="R149" s="519"/>
      <c r="S149" s="548"/>
      <c r="T149" s="241"/>
    </row>
    <row r="150" spans="1:20" ht="15" customHeight="1" x14ac:dyDescent="0.25">
      <c r="A150" s="567"/>
      <c r="B150" s="564"/>
      <c r="C150" s="553"/>
      <c r="D150" s="553"/>
      <c r="E150" s="553"/>
      <c r="F150" s="553"/>
      <c r="G150" s="548" t="s">
        <v>17661</v>
      </c>
      <c r="H150" s="548" t="s">
        <v>17662</v>
      </c>
      <c r="I150" s="548" t="s">
        <v>17663</v>
      </c>
      <c r="J150" s="548"/>
      <c r="K150" s="519">
        <f>0.015*0.9</f>
        <v>1.35E-2</v>
      </c>
      <c r="L150" s="548"/>
      <c r="M150" s="519"/>
      <c r="N150" s="548"/>
      <c r="O150" s="548"/>
      <c r="P150" s="548"/>
      <c r="Q150" s="548"/>
      <c r="R150" s="519"/>
      <c r="S150" s="548"/>
      <c r="T150" s="241"/>
    </row>
    <row r="151" spans="1:20" ht="15" customHeight="1" x14ac:dyDescent="0.25">
      <c r="A151" s="567"/>
      <c r="B151" s="564"/>
      <c r="C151" s="553"/>
      <c r="D151" s="553"/>
      <c r="E151" s="553"/>
      <c r="F151" s="553"/>
      <c r="G151" s="1157" t="s">
        <v>2263</v>
      </c>
      <c r="H151" s="1157"/>
      <c r="I151" s="1157"/>
      <c r="J151" s="994">
        <f>0.137*0.9*0.6</f>
        <v>7.3980000000000004E-2</v>
      </c>
      <c r="K151" s="995"/>
      <c r="L151" s="548"/>
      <c r="M151" s="519"/>
      <c r="N151" s="548"/>
      <c r="O151" s="548"/>
      <c r="P151" s="548"/>
      <c r="Q151" s="548"/>
      <c r="R151" s="519"/>
      <c r="S151" s="548"/>
      <c r="T151" s="241"/>
    </row>
    <row r="152" spans="1:20" ht="15" customHeight="1" x14ac:dyDescent="0.25">
      <c r="A152" s="567"/>
      <c r="B152" s="564"/>
      <c r="C152" s="553"/>
      <c r="D152" s="553"/>
      <c r="E152" s="553"/>
      <c r="F152" s="553"/>
      <c r="G152" s="1179" t="s">
        <v>18842</v>
      </c>
      <c r="H152" s="1180"/>
      <c r="I152" s="1180"/>
      <c r="J152" s="1180"/>
      <c r="K152" s="1180"/>
      <c r="L152" s="1180"/>
      <c r="M152" s="1180"/>
      <c r="N152" s="269"/>
      <c r="O152" s="269"/>
      <c r="P152" s="269"/>
      <c r="Q152" s="269"/>
      <c r="R152" s="594"/>
      <c r="S152" s="269"/>
      <c r="T152" s="259"/>
    </row>
    <row r="153" spans="1:20" ht="15" customHeight="1" x14ac:dyDescent="0.25">
      <c r="A153" s="567"/>
      <c r="B153" s="564"/>
      <c r="C153" s="553"/>
      <c r="D153" s="553"/>
      <c r="E153" s="553"/>
      <c r="F153" s="553"/>
      <c r="G153" s="590" t="s">
        <v>19266</v>
      </c>
      <c r="H153" s="590" t="s">
        <v>19267</v>
      </c>
      <c r="I153" s="590" t="s">
        <v>19268</v>
      </c>
      <c r="J153" s="590"/>
      <c r="K153" s="590">
        <f>0.085*0.75</f>
        <v>6.3750000000000001E-2</v>
      </c>
      <c r="L153" s="290"/>
      <c r="M153" s="290"/>
      <c r="N153" s="269"/>
      <c r="O153" s="269"/>
      <c r="P153" s="269"/>
      <c r="Q153" s="269"/>
      <c r="R153" s="594"/>
      <c r="S153" s="269"/>
      <c r="T153" s="259"/>
    </row>
    <row r="154" spans="1:20" ht="15" customHeight="1" x14ac:dyDescent="0.25">
      <c r="A154" s="567"/>
      <c r="B154" s="564"/>
      <c r="C154" s="553"/>
      <c r="D154" s="553"/>
      <c r="E154" s="553"/>
      <c r="F154" s="553"/>
      <c r="G154" s="1157" t="s">
        <v>2263</v>
      </c>
      <c r="H154" s="1157"/>
      <c r="I154" s="1157"/>
      <c r="J154" s="994">
        <f>0.258*0.9*0.6</f>
        <v>0.13932</v>
      </c>
      <c r="K154" s="995"/>
      <c r="L154" s="419"/>
      <c r="M154" s="351"/>
      <c r="N154" s="269"/>
      <c r="O154" s="269"/>
      <c r="P154" s="269"/>
      <c r="Q154" s="269"/>
      <c r="R154" s="594"/>
      <c r="S154" s="269"/>
      <c r="T154" s="259"/>
    </row>
    <row r="155" spans="1:20" ht="15" customHeight="1" thickBot="1" x14ac:dyDescent="0.3">
      <c r="A155" s="242"/>
      <c r="B155" s="243"/>
      <c r="C155" s="244"/>
      <c r="D155" s="244"/>
      <c r="E155" s="244"/>
      <c r="F155" s="244"/>
      <c r="G155" s="1032" t="s">
        <v>1199</v>
      </c>
      <c r="H155" s="1032"/>
      <c r="I155" s="1032"/>
      <c r="J155" s="542"/>
      <c r="K155" s="247">
        <f>SUM(J149:K154)</f>
        <v>0.77054999999999996</v>
      </c>
      <c r="L155" s="542">
        <v>0.92</v>
      </c>
      <c r="M155" s="247">
        <f>K155/L155</f>
        <v>0.83755434782608684</v>
      </c>
      <c r="N155" s="1032" t="s">
        <v>1199</v>
      </c>
      <c r="O155" s="1032"/>
      <c r="P155" s="1032"/>
      <c r="Q155" s="542"/>
      <c r="R155" s="247">
        <f>SUM(R138:R150)</f>
        <v>0.03</v>
      </c>
      <c r="S155" s="542">
        <v>0.92</v>
      </c>
      <c r="T155" s="249">
        <f>R155/S155</f>
        <v>3.2608695652173912E-2</v>
      </c>
    </row>
    <row r="156" spans="1:20" ht="15" customHeight="1" thickBot="1" x14ac:dyDescent="0.3">
      <c r="A156" s="1171" t="s">
        <v>1289</v>
      </c>
      <c r="B156" s="1172"/>
      <c r="C156" s="587"/>
      <c r="D156" s="587"/>
      <c r="E156" s="587"/>
      <c r="F156" s="587"/>
      <c r="G156" s="322"/>
      <c r="H156" s="587"/>
      <c r="I156" s="587"/>
      <c r="J156" s="587"/>
      <c r="K156" s="324">
        <f>K10+K18+K13+K15+K20+K29+K34++K37+K39+K44+K47+K50+K53+K55+K62+K65+K68+K74+K77+K80+K82+K87+K90+K94+K104+K113+K127+K136+K155</f>
        <v>2.24125</v>
      </c>
      <c r="L156" s="587"/>
      <c r="M156" s="324">
        <f>M10+M13+M15+M20+M29+M34++M37+M39+M44+M47+M50+M53+M55+M62+M65+M68+M74+M77+M80+M82+M87+M90+M94+M104+M113+M127+M136+M155</f>
        <v>2.4361413043478262</v>
      </c>
      <c r="N156" s="325"/>
      <c r="O156" s="326"/>
      <c r="P156" s="326"/>
      <c r="Q156" s="326"/>
      <c r="R156" s="327"/>
      <c r="S156" s="326"/>
      <c r="T156" s="328"/>
    </row>
    <row r="157" spans="1:20" ht="15" customHeight="1" x14ac:dyDescent="0.25">
      <c r="A157" s="597"/>
      <c r="B157" s="330"/>
      <c r="C157" s="330"/>
      <c r="D157" s="330"/>
      <c r="E157" s="330"/>
      <c r="F157" s="330"/>
      <c r="G157" s="330"/>
      <c r="H157" s="330"/>
      <c r="I157" s="330"/>
      <c r="J157" s="330"/>
      <c r="K157" s="331"/>
      <c r="L157" s="330"/>
      <c r="M157" s="332"/>
      <c r="N157" s="599"/>
    </row>
    <row r="158" spans="1:20" ht="15" customHeight="1" x14ac:dyDescent="0.25">
      <c r="A158" s="597"/>
      <c r="B158" s="330"/>
      <c r="C158" s="330"/>
      <c r="D158" s="330"/>
      <c r="E158" s="330"/>
      <c r="F158" s="330"/>
      <c r="G158" s="330"/>
      <c r="H158" s="330"/>
      <c r="I158" s="330"/>
      <c r="J158" s="330"/>
      <c r="K158" s="331"/>
      <c r="L158" s="330"/>
      <c r="M158" s="332"/>
      <c r="N158" s="599"/>
    </row>
    <row r="159" spans="1:20" x14ac:dyDescent="0.25">
      <c r="A159" s="597"/>
      <c r="B159" s="330"/>
      <c r="C159" s="330"/>
      <c r="D159" s="330"/>
      <c r="E159" s="330"/>
      <c r="F159" s="330"/>
      <c r="G159" s="330"/>
      <c r="H159" s="330"/>
      <c r="I159" s="330"/>
      <c r="J159" s="330"/>
      <c r="K159" s="331"/>
      <c r="L159" s="330"/>
      <c r="M159" s="332"/>
      <c r="N159" s="599"/>
    </row>
    <row r="160" spans="1:20" x14ac:dyDescent="0.25">
      <c r="A160" s="597"/>
      <c r="B160" s="330"/>
      <c r="C160" s="330"/>
      <c r="D160" s="330"/>
      <c r="E160" s="330"/>
      <c r="F160" s="330"/>
      <c r="G160" s="330"/>
      <c r="H160" s="330"/>
      <c r="I160" s="330"/>
      <c r="J160" s="330"/>
      <c r="K160" s="331"/>
      <c r="L160" s="330"/>
      <c r="M160" s="332"/>
      <c r="N160" s="599"/>
    </row>
    <row r="161" spans="1:14" x14ac:dyDescent="0.25">
      <c r="A161" s="597"/>
      <c r="B161" s="330"/>
      <c r="C161" s="330"/>
      <c r="D161" s="330"/>
      <c r="E161" s="330"/>
      <c r="F161" s="330"/>
      <c r="G161" s="330"/>
      <c r="H161" s="330"/>
      <c r="I161" s="330"/>
      <c r="J161" s="330"/>
      <c r="K161" s="331"/>
      <c r="L161" s="330"/>
      <c r="M161" s="332"/>
      <c r="N161" s="599"/>
    </row>
    <row r="162" spans="1:14" x14ac:dyDescent="0.25">
      <c r="A162" s="597"/>
      <c r="B162" s="330"/>
      <c r="C162" s="330"/>
      <c r="D162" s="330"/>
      <c r="E162" s="330"/>
      <c r="F162" s="330"/>
      <c r="G162" s="330"/>
      <c r="H162" s="330"/>
      <c r="I162" s="330"/>
      <c r="J162" s="330"/>
      <c r="K162" s="331"/>
      <c r="L162" s="330"/>
      <c r="M162" s="332"/>
      <c r="N162" s="599"/>
    </row>
    <row r="163" spans="1:14" x14ac:dyDescent="0.25">
      <c r="A163" s="597"/>
      <c r="B163" s="330"/>
      <c r="C163" s="330"/>
      <c r="D163" s="330"/>
      <c r="E163" s="330"/>
      <c r="F163" s="330"/>
      <c r="G163" s="330"/>
      <c r="H163" s="330"/>
      <c r="I163" s="330"/>
      <c r="J163" s="330"/>
      <c r="K163" s="331"/>
      <c r="L163" s="330"/>
      <c r="M163" s="332"/>
      <c r="N163" s="599"/>
    </row>
    <row r="164" spans="1:14" x14ac:dyDescent="0.25">
      <c r="A164" s="597"/>
      <c r="B164" s="330"/>
      <c r="C164" s="330"/>
      <c r="D164" s="330"/>
      <c r="E164" s="330"/>
      <c r="F164" s="330"/>
      <c r="G164" s="330"/>
      <c r="H164" s="330"/>
      <c r="I164" s="330"/>
      <c r="J164" s="330"/>
      <c r="K164" s="331"/>
      <c r="L164" s="330"/>
      <c r="M164" s="332"/>
      <c r="N164" s="599"/>
    </row>
    <row r="165" spans="1:14" x14ac:dyDescent="0.25">
      <c r="A165" s="597"/>
      <c r="B165" s="330"/>
      <c r="C165" s="330"/>
      <c r="D165" s="330"/>
      <c r="E165" s="330"/>
      <c r="F165" s="330"/>
      <c r="G165" s="330"/>
      <c r="H165" s="330"/>
      <c r="I165" s="330"/>
      <c r="J165" s="330"/>
      <c r="K165" s="331"/>
      <c r="L165" s="330"/>
      <c r="M165" s="332"/>
      <c r="N165" s="599"/>
    </row>
    <row r="166" spans="1:14" x14ac:dyDescent="0.25">
      <c r="A166" s="597"/>
      <c r="B166" s="330"/>
      <c r="C166" s="330"/>
      <c r="D166" s="330"/>
      <c r="E166" s="330"/>
      <c r="F166" s="330"/>
      <c r="G166" s="330"/>
      <c r="H166" s="330"/>
      <c r="I166" s="330"/>
      <c r="J166" s="330"/>
      <c r="K166" s="331"/>
      <c r="L166" s="330"/>
      <c r="M166" s="332"/>
      <c r="N166" s="599"/>
    </row>
    <row r="167" spans="1:14" x14ac:dyDescent="0.25">
      <c r="A167" s="597"/>
      <c r="B167" s="330"/>
      <c r="C167" s="330"/>
      <c r="D167" s="330"/>
      <c r="E167" s="330"/>
      <c r="F167" s="330"/>
      <c r="G167" s="330"/>
      <c r="H167" s="330"/>
      <c r="I167" s="330"/>
      <c r="J167" s="330"/>
      <c r="K167" s="331"/>
      <c r="L167" s="330"/>
      <c r="M167" s="332"/>
      <c r="N167" s="599"/>
    </row>
    <row r="168" spans="1:14" x14ac:dyDescent="0.25">
      <c r="A168" s="597"/>
      <c r="B168" s="330"/>
      <c r="C168" s="330"/>
      <c r="D168" s="330"/>
      <c r="E168" s="330"/>
      <c r="F168" s="330"/>
      <c r="G168" s="330"/>
      <c r="H168" s="330"/>
      <c r="I168" s="330"/>
      <c r="J168" s="330"/>
      <c r="K168" s="331"/>
      <c r="L168" s="330"/>
      <c r="M168" s="331"/>
      <c r="N168" s="599"/>
    </row>
    <row r="169" spans="1:14" x14ac:dyDescent="0.25">
      <c r="A169" s="597"/>
      <c r="B169" s="330"/>
      <c r="C169" s="330"/>
      <c r="D169" s="330"/>
      <c r="E169" s="330"/>
      <c r="F169" s="330"/>
      <c r="G169" s="330"/>
      <c r="H169" s="330"/>
      <c r="I169" s="330"/>
      <c r="J169" s="330"/>
      <c r="K169" s="331"/>
      <c r="L169" s="330"/>
      <c r="M169" s="331"/>
      <c r="N169" s="599"/>
    </row>
    <row r="170" spans="1:14" x14ac:dyDescent="0.25">
      <c r="A170" s="597"/>
      <c r="B170" s="330"/>
      <c r="C170" s="330"/>
      <c r="D170" s="330"/>
      <c r="E170" s="330"/>
      <c r="F170" s="330"/>
      <c r="G170" s="330"/>
      <c r="H170" s="330"/>
      <c r="I170" s="330"/>
      <c r="J170" s="330"/>
      <c r="K170" s="331"/>
      <c r="L170" s="330"/>
      <c r="M170" s="331"/>
      <c r="N170" s="599"/>
    </row>
    <row r="171" spans="1:14" x14ac:dyDescent="0.25">
      <c r="A171" s="597"/>
      <c r="B171" s="330"/>
      <c r="C171" s="330"/>
      <c r="D171" s="330"/>
      <c r="E171" s="330"/>
      <c r="F171" s="330"/>
      <c r="G171" s="330"/>
      <c r="H171" s="330"/>
      <c r="I171" s="330"/>
      <c r="J171" s="330"/>
      <c r="K171" s="331"/>
      <c r="L171" s="330"/>
      <c r="M171" s="331"/>
      <c r="N171" s="599"/>
    </row>
    <row r="172" spans="1:14" x14ac:dyDescent="0.25">
      <c r="A172" s="597"/>
      <c r="B172" s="330"/>
      <c r="C172" s="330"/>
      <c r="D172" s="330"/>
      <c r="E172" s="330"/>
      <c r="F172" s="330"/>
      <c r="G172" s="330"/>
      <c r="H172" s="330"/>
      <c r="I172" s="330"/>
      <c r="J172" s="330"/>
      <c r="K172" s="331"/>
      <c r="L172" s="330"/>
      <c r="M172" s="331"/>
      <c r="N172" s="599"/>
    </row>
    <row r="173" spans="1:14" x14ac:dyDescent="0.25">
      <c r="A173" s="597"/>
      <c r="B173" s="330"/>
      <c r="C173" s="330"/>
      <c r="D173" s="330"/>
      <c r="E173" s="330"/>
      <c r="F173" s="330"/>
      <c r="G173" s="330"/>
      <c r="H173" s="330"/>
      <c r="I173" s="330"/>
      <c r="J173" s="330"/>
      <c r="K173" s="331"/>
      <c r="L173" s="330"/>
      <c r="M173" s="331"/>
      <c r="N173" s="599"/>
    </row>
    <row r="174" spans="1:14" x14ac:dyDescent="0.25">
      <c r="A174" s="597"/>
      <c r="B174" s="330"/>
      <c r="C174" s="330"/>
      <c r="D174" s="330"/>
      <c r="E174" s="330"/>
      <c r="F174" s="330"/>
      <c r="G174" s="330"/>
      <c r="H174" s="330"/>
      <c r="I174" s="330"/>
      <c r="J174" s="330"/>
      <c r="K174" s="331"/>
      <c r="L174" s="330"/>
      <c r="M174" s="331"/>
      <c r="N174" s="599"/>
    </row>
    <row r="175" spans="1:14" x14ac:dyDescent="0.25">
      <c r="A175" s="597"/>
      <c r="B175" s="330"/>
      <c r="C175" s="330"/>
      <c r="D175" s="330"/>
      <c r="E175" s="330"/>
      <c r="F175" s="330"/>
      <c r="G175" s="330"/>
      <c r="H175" s="330"/>
      <c r="I175" s="330"/>
      <c r="J175" s="330"/>
      <c r="K175" s="331"/>
      <c r="L175" s="330"/>
      <c r="M175" s="331"/>
      <c r="N175" s="599"/>
    </row>
    <row r="176" spans="1:14" x14ac:dyDescent="0.25">
      <c r="A176" s="597"/>
      <c r="B176" s="330"/>
      <c r="C176" s="330"/>
      <c r="D176" s="330"/>
      <c r="E176" s="330"/>
      <c r="F176" s="330"/>
      <c r="G176" s="330"/>
      <c r="H176" s="330"/>
      <c r="I176" s="330"/>
      <c r="J176" s="330"/>
      <c r="K176" s="331"/>
      <c r="L176" s="330"/>
      <c r="M176" s="331"/>
      <c r="N176" s="599"/>
    </row>
    <row r="177" spans="1:14" x14ac:dyDescent="0.25">
      <c r="A177" s="597"/>
      <c r="B177" s="330"/>
      <c r="C177" s="330"/>
      <c r="D177" s="330"/>
      <c r="E177" s="330"/>
      <c r="F177" s="330"/>
      <c r="G177" s="330"/>
      <c r="H177" s="330"/>
      <c r="I177" s="330"/>
      <c r="J177" s="330"/>
      <c r="K177" s="331"/>
      <c r="L177" s="330"/>
      <c r="M177" s="331"/>
      <c r="N177" s="599"/>
    </row>
    <row r="178" spans="1:14" x14ac:dyDescent="0.25">
      <c r="A178" s="597"/>
      <c r="B178" s="330"/>
      <c r="C178" s="330"/>
      <c r="D178" s="330"/>
      <c r="E178" s="330"/>
      <c r="F178" s="330"/>
      <c r="G178" s="330"/>
      <c r="H178" s="330"/>
      <c r="I178" s="330"/>
      <c r="J178" s="330"/>
      <c r="K178" s="331"/>
      <c r="L178" s="330"/>
      <c r="M178" s="331"/>
      <c r="N178" s="599"/>
    </row>
    <row r="179" spans="1:14" x14ac:dyDescent="0.25">
      <c r="A179" s="597"/>
      <c r="B179" s="330"/>
      <c r="C179" s="330"/>
      <c r="D179" s="330"/>
      <c r="E179" s="330"/>
      <c r="F179" s="330"/>
      <c r="G179" s="330"/>
      <c r="H179" s="330"/>
      <c r="I179" s="330"/>
      <c r="J179" s="330"/>
      <c r="K179" s="331"/>
      <c r="L179" s="330"/>
      <c r="M179" s="331"/>
      <c r="N179" s="599"/>
    </row>
    <row r="180" spans="1:14" x14ac:dyDescent="0.25">
      <c r="A180" s="597"/>
      <c r="B180" s="330"/>
      <c r="C180" s="330"/>
      <c r="D180" s="330"/>
      <c r="E180" s="330"/>
      <c r="F180" s="330"/>
      <c r="G180" s="330"/>
      <c r="H180" s="330"/>
      <c r="I180" s="330"/>
      <c r="J180" s="330"/>
      <c r="K180" s="331"/>
      <c r="L180" s="330"/>
      <c r="M180" s="331"/>
      <c r="N180" s="599"/>
    </row>
    <row r="181" spans="1:14" x14ac:dyDescent="0.25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  <c r="K181" s="1039"/>
      <c r="L181" s="1039"/>
      <c r="M181" s="1039"/>
      <c r="N181" s="599"/>
    </row>
    <row r="182" spans="1:14" x14ac:dyDescent="0.25">
      <c r="A182" s="597"/>
      <c r="B182" s="330"/>
      <c r="C182" s="330"/>
      <c r="D182" s="330"/>
      <c r="E182" s="330"/>
      <c r="F182" s="330"/>
      <c r="G182" s="330"/>
      <c r="H182" s="330"/>
      <c r="I182" s="330"/>
      <c r="J182" s="330"/>
      <c r="K182" s="331"/>
      <c r="L182" s="330"/>
      <c r="M182" s="331"/>
      <c r="N182" s="599"/>
    </row>
    <row r="183" spans="1:14" x14ac:dyDescent="0.25">
      <c r="A183" s="597"/>
      <c r="B183" s="330"/>
      <c r="C183" s="330"/>
      <c r="D183" s="330"/>
      <c r="E183" s="330"/>
      <c r="F183" s="330"/>
      <c r="G183" s="330"/>
      <c r="H183" s="330"/>
      <c r="I183" s="330"/>
      <c r="J183" s="330"/>
      <c r="K183" s="331"/>
      <c r="L183" s="330"/>
      <c r="M183" s="331"/>
      <c r="N183" s="599"/>
    </row>
    <row r="184" spans="1:14" x14ac:dyDescent="0.25">
      <c r="A184" s="597"/>
      <c r="B184" s="330"/>
      <c r="C184" s="330"/>
      <c r="D184" s="330"/>
      <c r="E184" s="330"/>
      <c r="F184" s="330"/>
      <c r="G184" s="330"/>
      <c r="H184" s="330"/>
      <c r="I184" s="330"/>
      <c r="J184" s="330"/>
      <c r="K184" s="331"/>
      <c r="L184" s="330"/>
      <c r="M184" s="331"/>
      <c r="N184" s="599"/>
    </row>
    <row r="185" spans="1:14" x14ac:dyDescent="0.25">
      <c r="A185" s="1038"/>
      <c r="B185" s="1038"/>
      <c r="C185" s="1038"/>
      <c r="D185" s="1038"/>
      <c r="E185" s="1038"/>
      <c r="F185" s="1038"/>
      <c r="G185" s="1038"/>
      <c r="H185" s="1038"/>
      <c r="I185" s="1038"/>
      <c r="J185" s="1038"/>
      <c r="K185" s="1038"/>
      <c r="L185" s="1038"/>
      <c r="M185" s="1038"/>
      <c r="N185" s="599"/>
    </row>
    <row r="186" spans="1:14" x14ac:dyDescent="0.25">
      <c r="A186" s="1187"/>
      <c r="B186" s="1187"/>
      <c r="C186" s="1187"/>
      <c r="D186" s="1187"/>
      <c r="E186" s="1187"/>
      <c r="F186" s="1187"/>
      <c r="G186" s="1187"/>
      <c r="H186" s="1187"/>
      <c r="I186" s="1187"/>
      <c r="J186" s="1187"/>
      <c r="K186" s="1187"/>
      <c r="L186" s="1187"/>
      <c r="M186" s="1187"/>
      <c r="N186" s="599"/>
    </row>
    <row r="187" spans="1:14" x14ac:dyDescent="0.25">
      <c r="A187" s="597"/>
      <c r="B187" s="330"/>
      <c r="C187" s="330"/>
      <c r="D187" s="330"/>
      <c r="E187" s="330"/>
      <c r="F187" s="330"/>
      <c r="G187" s="330"/>
      <c r="H187" s="330"/>
      <c r="I187" s="330"/>
      <c r="J187" s="330"/>
      <c r="K187" s="331"/>
      <c r="L187" s="330"/>
      <c r="M187" s="331"/>
      <c r="N187" s="599"/>
    </row>
    <row r="188" spans="1:14" x14ac:dyDescent="0.25">
      <c r="A188" s="597"/>
      <c r="B188" s="330"/>
      <c r="C188" s="330"/>
      <c r="D188" s="330"/>
      <c r="E188" s="330"/>
      <c r="F188" s="330"/>
      <c r="G188" s="330"/>
      <c r="H188" s="330"/>
      <c r="I188" s="330"/>
      <c r="J188" s="330"/>
      <c r="K188" s="331"/>
      <c r="L188" s="330"/>
      <c r="M188" s="331"/>
      <c r="N188" s="599"/>
    </row>
    <row r="189" spans="1:14" x14ac:dyDescent="0.25">
      <c r="A189" s="597"/>
      <c r="B189" s="330"/>
      <c r="C189" s="330"/>
      <c r="D189" s="330"/>
      <c r="E189" s="330"/>
      <c r="F189" s="330"/>
      <c r="G189" s="330"/>
      <c r="H189" s="330"/>
      <c r="I189" s="330"/>
      <c r="J189" s="330"/>
      <c r="K189" s="331"/>
      <c r="L189" s="330"/>
      <c r="M189" s="331"/>
      <c r="N189" s="599"/>
    </row>
    <row r="190" spans="1:14" x14ac:dyDescent="0.25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39"/>
      <c r="K190" s="1039"/>
      <c r="L190" s="1039"/>
      <c r="M190" s="1039"/>
      <c r="N190" s="599"/>
    </row>
    <row r="191" spans="1:14" x14ac:dyDescent="0.25">
      <c r="A191" s="597"/>
      <c r="B191" s="330"/>
      <c r="C191" s="330"/>
      <c r="D191" s="330"/>
      <c r="E191" s="330"/>
      <c r="F191" s="330"/>
      <c r="G191" s="330"/>
      <c r="H191" s="330"/>
      <c r="I191" s="330"/>
      <c r="J191" s="330"/>
      <c r="K191" s="331"/>
      <c r="L191" s="330"/>
      <c r="M191" s="331"/>
      <c r="N191" s="599"/>
    </row>
    <row r="192" spans="1:14" x14ac:dyDescent="0.25">
      <c r="A192" s="597"/>
      <c r="B192" s="330"/>
      <c r="C192" s="330"/>
      <c r="D192" s="330"/>
      <c r="E192" s="330"/>
      <c r="F192" s="330"/>
      <c r="G192" s="330"/>
      <c r="H192" s="330"/>
      <c r="I192" s="330"/>
      <c r="J192" s="330"/>
      <c r="K192" s="331"/>
      <c r="L192" s="330"/>
      <c r="M192" s="331"/>
      <c r="N192" s="599"/>
    </row>
    <row r="193" spans="1:14" x14ac:dyDescent="0.25">
      <c r="A193" s="597"/>
      <c r="B193" s="330"/>
      <c r="C193" s="330"/>
      <c r="D193" s="330"/>
      <c r="E193" s="330"/>
      <c r="F193" s="330"/>
      <c r="G193" s="330"/>
      <c r="H193" s="330"/>
      <c r="I193" s="330"/>
      <c r="J193" s="330"/>
      <c r="K193" s="331"/>
      <c r="L193" s="330"/>
      <c r="M193" s="331"/>
      <c r="N193" s="599"/>
    </row>
    <row r="194" spans="1:14" x14ac:dyDescent="0.25">
      <c r="A194" s="597"/>
      <c r="B194" s="330"/>
      <c r="C194" s="330"/>
      <c r="D194" s="330"/>
      <c r="E194" s="330"/>
      <c r="F194" s="330"/>
      <c r="G194" s="330"/>
      <c r="H194" s="330"/>
      <c r="I194" s="330"/>
      <c r="J194" s="330"/>
      <c r="K194" s="331"/>
      <c r="L194" s="330"/>
      <c r="M194" s="331"/>
      <c r="N194" s="599"/>
    </row>
    <row r="195" spans="1:14" x14ac:dyDescent="0.25">
      <c r="A195" s="597"/>
      <c r="B195" s="330"/>
      <c r="C195" s="330"/>
      <c r="D195" s="330"/>
      <c r="E195" s="330"/>
      <c r="F195" s="330"/>
      <c r="G195" s="330"/>
      <c r="H195" s="330"/>
      <c r="I195" s="330"/>
      <c r="J195" s="330"/>
      <c r="K195" s="331"/>
      <c r="L195" s="330"/>
      <c r="M195" s="331"/>
      <c r="N195" s="599"/>
    </row>
    <row r="196" spans="1:14" x14ac:dyDescent="0.25">
      <c r="A196" s="597"/>
      <c r="B196" s="330"/>
      <c r="C196" s="330"/>
      <c r="D196" s="330"/>
      <c r="E196" s="330"/>
      <c r="F196" s="330"/>
      <c r="G196" s="330"/>
      <c r="H196" s="330"/>
      <c r="I196" s="330"/>
      <c r="J196" s="330"/>
      <c r="K196" s="331"/>
      <c r="L196" s="330"/>
      <c r="M196" s="331"/>
      <c r="N196" s="599"/>
    </row>
    <row r="197" spans="1:14" x14ac:dyDescent="0.25">
      <c r="A197" s="597"/>
      <c r="B197" s="330"/>
      <c r="C197" s="330"/>
      <c r="D197" s="330"/>
      <c r="E197" s="330"/>
      <c r="F197" s="330"/>
      <c r="G197" s="330"/>
      <c r="H197" s="330"/>
      <c r="I197" s="330"/>
      <c r="J197" s="330"/>
      <c r="K197" s="331"/>
      <c r="L197" s="330"/>
      <c r="M197" s="331"/>
      <c r="N197" s="599"/>
    </row>
    <row r="198" spans="1:14" x14ac:dyDescent="0.25">
      <c r="A198" s="597"/>
      <c r="B198" s="330"/>
      <c r="C198" s="330"/>
      <c r="D198" s="330"/>
      <c r="E198" s="330"/>
      <c r="F198" s="330"/>
      <c r="G198" s="330"/>
      <c r="H198" s="330"/>
      <c r="I198" s="330"/>
      <c r="J198" s="330"/>
      <c r="K198" s="331"/>
      <c r="L198" s="330"/>
      <c r="M198" s="331"/>
      <c r="N198" s="599"/>
    </row>
    <row r="199" spans="1:14" x14ac:dyDescent="0.25">
      <c r="A199" s="597"/>
      <c r="B199" s="330"/>
      <c r="C199" s="330"/>
      <c r="D199" s="330"/>
      <c r="E199" s="330"/>
      <c r="F199" s="330"/>
      <c r="G199" s="330"/>
      <c r="H199" s="330"/>
      <c r="I199" s="330"/>
      <c r="J199" s="330"/>
      <c r="K199" s="331"/>
      <c r="L199" s="330"/>
      <c r="M199" s="331"/>
      <c r="N199" s="599"/>
    </row>
    <row r="200" spans="1:14" x14ac:dyDescent="0.25">
      <c r="A200" s="597"/>
      <c r="B200" s="330"/>
      <c r="C200" s="330"/>
      <c r="D200" s="330"/>
      <c r="E200" s="330"/>
      <c r="F200" s="330"/>
      <c r="G200" s="330"/>
      <c r="H200" s="330"/>
      <c r="I200" s="330"/>
      <c r="J200" s="330"/>
      <c r="K200" s="331"/>
      <c r="L200" s="330"/>
      <c r="M200" s="331"/>
      <c r="N200" s="599"/>
    </row>
    <row r="201" spans="1:14" x14ac:dyDescent="0.25">
      <c r="A201" s="1038"/>
      <c r="B201" s="1038"/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1038"/>
      <c r="M201" s="1038"/>
      <c r="N201" s="599"/>
    </row>
    <row r="202" spans="1:14" x14ac:dyDescent="0.25">
      <c r="A202" s="1187"/>
      <c r="B202" s="1187"/>
      <c r="C202" s="1187"/>
      <c r="D202" s="1187"/>
      <c r="E202" s="1187"/>
      <c r="F202" s="1187"/>
      <c r="G202" s="1187"/>
      <c r="H202" s="1187"/>
      <c r="I202" s="1187"/>
      <c r="J202" s="1187"/>
      <c r="K202" s="1187"/>
      <c r="L202" s="1187"/>
      <c r="M202" s="1187"/>
      <c r="N202" s="599"/>
    </row>
    <row r="203" spans="1:14" x14ac:dyDescent="0.25">
      <c r="A203" s="597"/>
      <c r="B203" s="330"/>
      <c r="C203" s="330"/>
      <c r="D203" s="330"/>
      <c r="E203" s="330"/>
      <c r="F203" s="330"/>
      <c r="G203" s="330"/>
      <c r="H203" s="330"/>
      <c r="I203" s="330"/>
      <c r="J203" s="330"/>
      <c r="K203" s="331"/>
      <c r="L203" s="330"/>
      <c r="M203" s="331"/>
      <c r="N203" s="599"/>
    </row>
    <row r="204" spans="1:14" x14ac:dyDescent="0.25">
      <c r="A204" s="597"/>
      <c r="B204" s="330"/>
      <c r="C204" s="330"/>
      <c r="D204" s="330"/>
      <c r="E204" s="330"/>
      <c r="F204" s="330"/>
      <c r="G204" s="330"/>
      <c r="H204" s="330"/>
      <c r="I204" s="330"/>
      <c r="J204" s="330"/>
      <c r="K204" s="331"/>
      <c r="L204" s="330"/>
      <c r="M204" s="331"/>
      <c r="N204" s="599"/>
    </row>
    <row r="205" spans="1:14" x14ac:dyDescent="0.25">
      <c r="A205" s="597"/>
      <c r="B205" s="330"/>
      <c r="C205" s="330"/>
      <c r="D205" s="330"/>
      <c r="E205" s="330"/>
      <c r="F205" s="330"/>
      <c r="G205" s="330"/>
      <c r="H205" s="330"/>
      <c r="I205" s="330"/>
      <c r="J205" s="330"/>
      <c r="K205" s="331"/>
      <c r="L205" s="330"/>
      <c r="M205" s="331"/>
      <c r="N205" s="599"/>
    </row>
    <row r="206" spans="1:14" x14ac:dyDescent="0.25">
      <c r="A206" s="1039"/>
      <c r="B206" s="1039"/>
      <c r="C206" s="1039"/>
      <c r="D206" s="1039"/>
      <c r="E206" s="1039"/>
      <c r="F206" s="1039"/>
      <c r="G206" s="1039"/>
      <c r="H206" s="1039"/>
      <c r="I206" s="1039"/>
      <c r="J206" s="1039"/>
      <c r="K206" s="1039"/>
      <c r="L206" s="1039"/>
      <c r="M206" s="1039"/>
      <c r="N206" s="599"/>
    </row>
    <row r="207" spans="1:14" x14ac:dyDescent="0.25">
      <c r="A207" s="597"/>
      <c r="B207" s="330"/>
      <c r="C207" s="330"/>
      <c r="D207" s="330"/>
      <c r="E207" s="330"/>
      <c r="F207" s="330"/>
      <c r="G207" s="330"/>
      <c r="H207" s="330"/>
      <c r="I207" s="330"/>
      <c r="J207" s="330"/>
      <c r="K207" s="331"/>
      <c r="L207" s="330"/>
      <c r="M207" s="331"/>
      <c r="N207" s="599"/>
    </row>
    <row r="208" spans="1:14" x14ac:dyDescent="0.25">
      <c r="A208" s="597"/>
      <c r="B208" s="330"/>
      <c r="C208" s="330"/>
      <c r="D208" s="330"/>
      <c r="E208" s="330"/>
      <c r="F208" s="330"/>
      <c r="G208" s="330"/>
      <c r="H208" s="330"/>
      <c r="I208" s="330"/>
      <c r="J208" s="330"/>
      <c r="K208" s="331"/>
      <c r="L208" s="330"/>
      <c r="M208" s="331"/>
      <c r="N208" s="599"/>
    </row>
    <row r="209" spans="1:14" x14ac:dyDescent="0.25">
      <c r="A209" s="597"/>
      <c r="B209" s="330"/>
      <c r="C209" s="330"/>
      <c r="D209" s="330"/>
      <c r="E209" s="330"/>
      <c r="F209" s="330"/>
      <c r="G209" s="330"/>
      <c r="H209" s="330"/>
      <c r="I209" s="330"/>
      <c r="J209" s="330"/>
      <c r="K209" s="331"/>
      <c r="L209" s="330"/>
      <c r="M209" s="331"/>
      <c r="N209" s="599"/>
    </row>
    <row r="210" spans="1:14" x14ac:dyDescent="0.25">
      <c r="A210" s="597"/>
      <c r="B210" s="330"/>
      <c r="C210" s="330"/>
      <c r="D210" s="330"/>
      <c r="E210" s="330"/>
      <c r="F210" s="330"/>
      <c r="G210" s="330"/>
      <c r="H210" s="330"/>
      <c r="I210" s="330"/>
      <c r="J210" s="330"/>
      <c r="K210" s="331"/>
      <c r="L210" s="330"/>
      <c r="M210" s="331"/>
      <c r="N210" s="599"/>
    </row>
    <row r="211" spans="1:14" x14ac:dyDescent="0.25">
      <c r="A211" s="597"/>
      <c r="B211" s="330"/>
      <c r="C211" s="330"/>
      <c r="D211" s="330"/>
      <c r="E211" s="330"/>
      <c r="F211" s="330"/>
      <c r="G211" s="330"/>
      <c r="H211" s="330"/>
      <c r="I211" s="330"/>
      <c r="J211" s="330"/>
      <c r="K211" s="331"/>
      <c r="L211" s="330"/>
      <c r="M211" s="331"/>
      <c r="N211" s="599"/>
    </row>
    <row r="212" spans="1:14" x14ac:dyDescent="0.25">
      <c r="A212" s="597"/>
      <c r="B212" s="330"/>
      <c r="C212" s="330"/>
      <c r="D212" s="330"/>
      <c r="E212" s="330"/>
      <c r="F212" s="330"/>
      <c r="G212" s="330"/>
      <c r="H212" s="330"/>
      <c r="I212" s="330"/>
      <c r="J212" s="330"/>
      <c r="K212" s="331"/>
      <c r="L212" s="330"/>
      <c r="M212" s="331"/>
      <c r="N212" s="599"/>
    </row>
    <row r="213" spans="1:14" x14ac:dyDescent="0.25">
      <c r="A213" s="597"/>
      <c r="B213" s="330"/>
      <c r="C213" s="330"/>
      <c r="D213" s="330"/>
      <c r="E213" s="330"/>
      <c r="F213" s="330"/>
      <c r="G213" s="330"/>
      <c r="H213" s="330"/>
      <c r="I213" s="330"/>
      <c r="J213" s="330"/>
      <c r="K213" s="331"/>
      <c r="L213" s="330"/>
      <c r="M213" s="331"/>
      <c r="N213" s="599"/>
    </row>
    <row r="214" spans="1:14" x14ac:dyDescent="0.25">
      <c r="A214" s="597"/>
      <c r="B214" s="330"/>
      <c r="C214" s="330"/>
      <c r="D214" s="330"/>
      <c r="E214" s="330"/>
      <c r="F214" s="330"/>
      <c r="G214" s="330"/>
      <c r="H214" s="330"/>
      <c r="I214" s="330"/>
      <c r="J214" s="330"/>
      <c r="K214" s="331"/>
      <c r="L214" s="330"/>
      <c r="M214" s="331"/>
      <c r="N214" s="599"/>
    </row>
    <row r="215" spans="1:14" x14ac:dyDescent="0.25">
      <c r="A215" s="597"/>
      <c r="B215" s="330"/>
      <c r="C215" s="330"/>
      <c r="D215" s="330"/>
      <c r="E215" s="330"/>
      <c r="F215" s="330"/>
      <c r="G215" s="330"/>
      <c r="H215" s="330"/>
      <c r="I215" s="330"/>
      <c r="J215" s="330"/>
      <c r="K215" s="331"/>
      <c r="L215" s="330"/>
      <c r="M215" s="331"/>
      <c r="N215" s="599"/>
    </row>
    <row r="216" spans="1:14" x14ac:dyDescent="0.25">
      <c r="A216" s="597"/>
      <c r="B216" s="330"/>
      <c r="C216" s="330"/>
      <c r="D216" s="330"/>
      <c r="E216" s="330"/>
      <c r="F216" s="330"/>
      <c r="G216" s="330"/>
      <c r="H216" s="330"/>
      <c r="I216" s="330"/>
      <c r="J216" s="330"/>
      <c r="K216" s="331"/>
      <c r="L216" s="330"/>
      <c r="M216" s="331"/>
      <c r="N216" s="599"/>
    </row>
    <row r="217" spans="1:14" x14ac:dyDescent="0.25">
      <c r="A217" s="597"/>
      <c r="B217" s="330"/>
      <c r="C217" s="330"/>
      <c r="D217" s="330"/>
      <c r="E217" s="330"/>
      <c r="F217" s="330"/>
      <c r="G217" s="330"/>
      <c r="H217" s="330"/>
      <c r="I217" s="330"/>
      <c r="J217" s="330"/>
      <c r="K217" s="331"/>
      <c r="L217" s="330"/>
      <c r="M217" s="331"/>
      <c r="N217" s="599"/>
    </row>
    <row r="218" spans="1:14" x14ac:dyDescent="0.25">
      <c r="A218" s="1038"/>
      <c r="B218" s="1038"/>
      <c r="C218" s="1038"/>
      <c r="D218" s="1038"/>
      <c r="E218" s="1038"/>
      <c r="F218" s="1038"/>
      <c r="G218" s="1038"/>
      <c r="H218" s="1038"/>
      <c r="I218" s="1038"/>
      <c r="J218" s="1038"/>
      <c r="K218" s="1038"/>
      <c r="L218" s="1038"/>
      <c r="M218" s="1038"/>
      <c r="N218" s="599"/>
    </row>
    <row r="219" spans="1:14" x14ac:dyDescent="0.25">
      <c r="A219" s="1187"/>
      <c r="B219" s="1187"/>
      <c r="C219" s="1187"/>
      <c r="D219" s="1187"/>
      <c r="E219" s="1187"/>
      <c r="F219" s="1187"/>
      <c r="G219" s="1187"/>
      <c r="H219" s="1187"/>
      <c r="I219" s="1187"/>
      <c r="J219" s="1187"/>
      <c r="K219" s="1187"/>
      <c r="L219" s="1187"/>
      <c r="M219" s="1187"/>
      <c r="N219" s="599"/>
    </row>
    <row r="220" spans="1:14" x14ac:dyDescent="0.25">
      <c r="A220" s="597"/>
      <c r="B220" s="330"/>
      <c r="C220" s="330"/>
      <c r="D220" s="330"/>
      <c r="E220" s="330"/>
      <c r="F220" s="330"/>
      <c r="G220" s="330"/>
      <c r="H220" s="330"/>
      <c r="I220" s="330"/>
      <c r="J220" s="330"/>
      <c r="K220" s="331"/>
      <c r="L220" s="330"/>
      <c r="M220" s="331"/>
      <c r="N220" s="599"/>
    </row>
    <row r="221" spans="1:14" x14ac:dyDescent="0.25">
      <c r="A221" s="597"/>
      <c r="B221" s="330"/>
      <c r="C221" s="330"/>
      <c r="D221" s="330"/>
      <c r="E221" s="330"/>
      <c r="F221" s="330"/>
      <c r="G221" s="330"/>
      <c r="H221" s="330"/>
      <c r="I221" s="330"/>
      <c r="J221" s="330"/>
      <c r="K221" s="331"/>
      <c r="L221" s="330"/>
      <c r="M221" s="331"/>
      <c r="N221" s="599"/>
    </row>
    <row r="222" spans="1:14" x14ac:dyDescent="0.25">
      <c r="A222" s="597"/>
      <c r="B222" s="330"/>
      <c r="C222" s="330"/>
      <c r="D222" s="330"/>
      <c r="E222" s="330"/>
      <c r="F222" s="330"/>
      <c r="G222" s="330"/>
      <c r="H222" s="330"/>
      <c r="I222" s="330"/>
      <c r="J222" s="330"/>
      <c r="K222" s="331"/>
      <c r="L222" s="330"/>
      <c r="M222" s="331"/>
      <c r="N222" s="599"/>
    </row>
    <row r="223" spans="1:14" x14ac:dyDescent="0.25">
      <c r="A223" s="597"/>
      <c r="B223" s="330"/>
      <c r="C223" s="330"/>
      <c r="D223" s="330"/>
      <c r="E223" s="330"/>
      <c r="F223" s="330"/>
      <c r="G223" s="330"/>
      <c r="H223" s="330"/>
      <c r="I223" s="330"/>
      <c r="J223" s="330"/>
      <c r="K223" s="331"/>
      <c r="L223" s="330"/>
      <c r="M223" s="331"/>
      <c r="N223" s="599"/>
    </row>
    <row r="224" spans="1:14" x14ac:dyDescent="0.25">
      <c r="A224" s="597"/>
      <c r="B224" s="330"/>
      <c r="C224" s="330"/>
      <c r="D224" s="330"/>
      <c r="E224" s="330"/>
      <c r="F224" s="330"/>
      <c r="G224" s="330"/>
      <c r="H224" s="330"/>
      <c r="I224" s="330"/>
      <c r="J224" s="330"/>
      <c r="K224" s="331"/>
      <c r="L224" s="330"/>
      <c r="M224" s="331"/>
      <c r="N224" s="599"/>
    </row>
    <row r="225" spans="1:14" x14ac:dyDescent="0.25">
      <c r="A225" s="597"/>
      <c r="B225" s="330"/>
      <c r="C225" s="330"/>
      <c r="D225" s="330"/>
      <c r="E225" s="330"/>
      <c r="F225" s="330"/>
      <c r="G225" s="330"/>
      <c r="H225" s="330"/>
      <c r="I225" s="330"/>
      <c r="J225" s="330"/>
      <c r="K225" s="331"/>
      <c r="L225" s="330"/>
      <c r="M225" s="331"/>
      <c r="N225" s="599"/>
    </row>
    <row r="226" spans="1:14" x14ac:dyDescent="0.25">
      <c r="A226" s="597"/>
      <c r="B226" s="330"/>
      <c r="C226" s="330"/>
      <c r="D226" s="330"/>
      <c r="E226" s="330"/>
      <c r="F226" s="330"/>
      <c r="G226" s="330"/>
      <c r="H226" s="330"/>
      <c r="I226" s="330"/>
      <c r="J226" s="330"/>
      <c r="K226" s="331"/>
      <c r="L226" s="330"/>
      <c r="M226" s="331"/>
      <c r="N226" s="599"/>
    </row>
    <row r="227" spans="1:14" x14ac:dyDescent="0.25">
      <c r="A227" s="597"/>
      <c r="B227" s="330"/>
      <c r="C227" s="330"/>
      <c r="D227" s="330"/>
      <c r="E227" s="330"/>
      <c r="F227" s="330"/>
      <c r="G227" s="330"/>
      <c r="H227" s="330"/>
      <c r="I227" s="330"/>
      <c r="J227" s="330"/>
      <c r="K227" s="331"/>
      <c r="L227" s="330"/>
      <c r="M227" s="331"/>
      <c r="N227" s="599"/>
    </row>
    <row r="228" spans="1:14" x14ac:dyDescent="0.25">
      <c r="A228" s="597"/>
      <c r="B228" s="330"/>
      <c r="C228" s="330"/>
      <c r="D228" s="330"/>
      <c r="E228" s="330"/>
      <c r="F228" s="330"/>
      <c r="G228" s="330"/>
      <c r="H228" s="330"/>
      <c r="I228" s="330"/>
      <c r="J228" s="330"/>
      <c r="K228" s="331"/>
      <c r="L228" s="330"/>
      <c r="M228" s="331"/>
      <c r="N228" s="599"/>
    </row>
    <row r="229" spans="1:14" x14ac:dyDescent="0.25">
      <c r="A229" s="597"/>
      <c r="B229" s="330"/>
      <c r="C229" s="330"/>
      <c r="D229" s="330"/>
      <c r="E229" s="330"/>
      <c r="F229" s="330"/>
      <c r="G229" s="330"/>
      <c r="H229" s="330"/>
      <c r="I229" s="330"/>
      <c r="J229" s="330"/>
      <c r="K229" s="331"/>
      <c r="L229" s="330"/>
      <c r="M229" s="331"/>
      <c r="N229" s="599"/>
    </row>
    <row r="230" spans="1:14" x14ac:dyDescent="0.25">
      <c r="A230" s="597"/>
      <c r="B230" s="330"/>
      <c r="C230" s="330"/>
      <c r="D230" s="330"/>
      <c r="E230" s="330"/>
      <c r="F230" s="330"/>
      <c r="G230" s="330"/>
      <c r="H230" s="330"/>
      <c r="I230" s="330"/>
      <c r="J230" s="330"/>
      <c r="K230" s="331"/>
      <c r="L230" s="330"/>
      <c r="M230" s="331"/>
      <c r="N230" s="599"/>
    </row>
    <row r="231" spans="1:14" x14ac:dyDescent="0.25">
      <c r="A231" s="597"/>
      <c r="B231" s="330"/>
      <c r="C231" s="330"/>
      <c r="D231" s="330"/>
      <c r="E231" s="330"/>
      <c r="F231" s="330"/>
      <c r="G231" s="330"/>
      <c r="H231" s="330"/>
      <c r="I231" s="330"/>
      <c r="J231" s="330"/>
      <c r="K231" s="331"/>
      <c r="L231" s="330"/>
      <c r="M231" s="331"/>
      <c r="N231" s="599"/>
    </row>
    <row r="232" spans="1:14" x14ac:dyDescent="0.25">
      <c r="A232" s="1039"/>
      <c r="B232" s="1039"/>
      <c r="C232" s="1039"/>
      <c r="D232" s="1039"/>
      <c r="E232" s="1039"/>
      <c r="F232" s="1039"/>
      <c r="G232" s="1039"/>
      <c r="H232" s="1039"/>
      <c r="I232" s="1039"/>
      <c r="J232" s="1039"/>
      <c r="K232" s="1039"/>
      <c r="L232" s="1039"/>
      <c r="M232" s="1039"/>
      <c r="N232" s="599"/>
    </row>
    <row r="233" spans="1:14" x14ac:dyDescent="0.25">
      <c r="A233" s="597"/>
      <c r="B233" s="330"/>
      <c r="C233" s="330"/>
      <c r="D233" s="330"/>
      <c r="E233" s="330"/>
      <c r="F233" s="330"/>
      <c r="G233" s="330"/>
      <c r="H233" s="330"/>
      <c r="I233" s="330"/>
      <c r="J233" s="330"/>
      <c r="K233" s="331"/>
      <c r="L233" s="330"/>
      <c r="M233" s="331"/>
      <c r="N233" s="599"/>
    </row>
    <row r="234" spans="1:14" x14ac:dyDescent="0.25">
      <c r="A234" s="597"/>
      <c r="B234" s="330"/>
      <c r="C234" s="330"/>
      <c r="D234" s="330"/>
      <c r="E234" s="330"/>
      <c r="F234" s="330"/>
      <c r="G234" s="330"/>
      <c r="H234" s="330"/>
      <c r="I234" s="330"/>
      <c r="J234" s="330"/>
      <c r="K234" s="331"/>
      <c r="L234" s="330"/>
      <c r="M234" s="331"/>
      <c r="N234" s="599"/>
    </row>
    <row r="235" spans="1:14" x14ac:dyDescent="0.25">
      <c r="A235" s="597"/>
      <c r="B235" s="330"/>
      <c r="C235" s="330"/>
      <c r="D235" s="330"/>
      <c r="E235" s="330"/>
      <c r="F235" s="330"/>
      <c r="G235" s="330"/>
      <c r="H235" s="330"/>
      <c r="I235" s="330"/>
      <c r="J235" s="330"/>
      <c r="K235" s="331"/>
      <c r="L235" s="330"/>
      <c r="M235" s="331"/>
      <c r="N235" s="599"/>
    </row>
    <row r="236" spans="1:14" x14ac:dyDescent="0.25">
      <c r="A236" s="597"/>
      <c r="B236" s="330"/>
      <c r="C236" s="330"/>
      <c r="D236" s="330"/>
      <c r="E236" s="330"/>
      <c r="F236" s="330"/>
      <c r="G236" s="330"/>
      <c r="H236" s="330"/>
      <c r="I236" s="330"/>
      <c r="J236" s="330"/>
      <c r="K236" s="331"/>
      <c r="L236" s="330"/>
      <c r="M236" s="331"/>
      <c r="N236" s="599"/>
    </row>
    <row r="237" spans="1:14" x14ac:dyDescent="0.25">
      <c r="A237" s="597"/>
      <c r="B237" s="330"/>
      <c r="C237" s="330"/>
      <c r="D237" s="330"/>
      <c r="E237" s="330"/>
      <c r="F237" s="330"/>
      <c r="G237" s="330"/>
      <c r="H237" s="330"/>
      <c r="I237" s="330"/>
      <c r="J237" s="330"/>
      <c r="K237" s="331"/>
      <c r="L237" s="330"/>
      <c r="M237" s="331"/>
      <c r="N237" s="599"/>
    </row>
    <row r="238" spans="1:14" x14ac:dyDescent="0.25">
      <c r="A238" s="597"/>
      <c r="B238" s="330"/>
      <c r="C238" s="330"/>
      <c r="D238" s="330"/>
      <c r="E238" s="330"/>
      <c r="F238" s="330"/>
      <c r="G238" s="330"/>
      <c r="H238" s="330"/>
      <c r="I238" s="330"/>
      <c r="J238" s="330"/>
      <c r="K238" s="331"/>
      <c r="L238" s="330"/>
      <c r="M238" s="331"/>
      <c r="N238" s="599"/>
    </row>
    <row r="239" spans="1:14" x14ac:dyDescent="0.25">
      <c r="A239" s="597"/>
      <c r="B239" s="330"/>
      <c r="C239" s="330"/>
      <c r="D239" s="330"/>
      <c r="E239" s="330"/>
      <c r="F239" s="330"/>
      <c r="G239" s="330"/>
      <c r="H239" s="330"/>
      <c r="I239" s="330"/>
      <c r="J239" s="330"/>
      <c r="K239" s="331"/>
      <c r="L239" s="330"/>
      <c r="M239" s="331"/>
      <c r="N239" s="599"/>
    </row>
    <row r="240" spans="1:14" x14ac:dyDescent="0.25">
      <c r="A240" s="597"/>
      <c r="B240" s="330"/>
      <c r="C240" s="330"/>
      <c r="D240" s="330"/>
      <c r="E240" s="330"/>
      <c r="F240" s="330"/>
      <c r="G240" s="330"/>
      <c r="H240" s="330"/>
      <c r="I240" s="330"/>
      <c r="J240" s="330"/>
      <c r="K240" s="331"/>
      <c r="L240" s="330"/>
      <c r="M240" s="331"/>
      <c r="N240" s="599"/>
    </row>
    <row r="241" spans="1:14" x14ac:dyDescent="0.25">
      <c r="A241" s="597"/>
      <c r="B241" s="330"/>
      <c r="C241" s="330"/>
      <c r="D241" s="330"/>
      <c r="E241" s="330"/>
      <c r="F241" s="330"/>
      <c r="G241" s="330"/>
      <c r="H241" s="330"/>
      <c r="I241" s="330"/>
      <c r="J241" s="330"/>
      <c r="K241" s="331"/>
      <c r="L241" s="330"/>
      <c r="M241" s="331"/>
      <c r="N241" s="599"/>
    </row>
    <row r="242" spans="1:14" x14ac:dyDescent="0.25">
      <c r="A242" s="597"/>
      <c r="B242" s="330"/>
      <c r="C242" s="330"/>
      <c r="D242" s="330"/>
      <c r="E242" s="330"/>
      <c r="F242" s="330"/>
      <c r="G242" s="330"/>
      <c r="H242" s="330"/>
      <c r="I242" s="330"/>
      <c r="J242" s="330"/>
      <c r="K242" s="331"/>
      <c r="L242" s="330"/>
      <c r="M242" s="331"/>
      <c r="N242" s="599"/>
    </row>
    <row r="243" spans="1:14" x14ac:dyDescent="0.25">
      <c r="A243" s="597"/>
      <c r="B243" s="330"/>
      <c r="C243" s="330"/>
      <c r="D243" s="330"/>
      <c r="E243" s="330"/>
      <c r="F243" s="330"/>
      <c r="G243" s="330"/>
      <c r="H243" s="330"/>
      <c r="I243" s="330"/>
      <c r="J243" s="330"/>
      <c r="K243" s="331"/>
      <c r="L243" s="330"/>
      <c r="M243" s="331"/>
      <c r="N243" s="599"/>
    </row>
    <row r="244" spans="1:14" x14ac:dyDescent="0.25">
      <c r="A244" s="1038"/>
      <c r="B244" s="1038"/>
      <c r="C244" s="1038"/>
      <c r="D244" s="1038"/>
      <c r="E244" s="1038"/>
      <c r="F244" s="1038"/>
      <c r="G244" s="1038"/>
      <c r="H244" s="1038"/>
      <c r="I244" s="1038"/>
      <c r="J244" s="1038"/>
      <c r="K244" s="1038"/>
      <c r="L244" s="1038"/>
      <c r="M244" s="1038"/>
      <c r="N244" s="599"/>
    </row>
    <row r="245" spans="1:14" x14ac:dyDescent="0.25">
      <c r="A245" s="1187"/>
      <c r="B245" s="1187"/>
      <c r="C245" s="1187"/>
      <c r="D245" s="1187"/>
      <c r="E245" s="1187"/>
      <c r="F245" s="1187"/>
      <c r="G245" s="1187"/>
      <c r="H245" s="1187"/>
      <c r="I245" s="1187"/>
      <c r="J245" s="1187"/>
      <c r="K245" s="1187"/>
      <c r="L245" s="1187"/>
      <c r="M245" s="1187"/>
      <c r="N245" s="599"/>
    </row>
    <row r="246" spans="1:14" x14ac:dyDescent="0.25">
      <c r="A246" s="597"/>
      <c r="B246" s="330"/>
      <c r="C246" s="330"/>
      <c r="D246" s="330"/>
      <c r="E246" s="330"/>
      <c r="F246" s="330"/>
      <c r="G246" s="330"/>
      <c r="H246" s="330"/>
      <c r="I246" s="330"/>
      <c r="J246" s="330"/>
      <c r="K246" s="331"/>
      <c r="L246" s="330"/>
      <c r="M246" s="331"/>
      <c r="N246" s="599"/>
    </row>
    <row r="247" spans="1:14" x14ac:dyDescent="0.25">
      <c r="A247" s="597"/>
      <c r="B247" s="330"/>
      <c r="C247" s="330"/>
      <c r="D247" s="330"/>
      <c r="E247" s="330"/>
      <c r="F247" s="330"/>
      <c r="G247" s="330"/>
      <c r="H247" s="330"/>
      <c r="I247" s="330"/>
      <c r="J247" s="330"/>
      <c r="K247" s="331"/>
      <c r="L247" s="330"/>
      <c r="M247" s="331"/>
      <c r="N247" s="599"/>
    </row>
    <row r="248" spans="1:14" x14ac:dyDescent="0.25">
      <c r="A248" s="597"/>
      <c r="B248" s="330"/>
      <c r="C248" s="330"/>
      <c r="D248" s="330"/>
      <c r="E248" s="330"/>
      <c r="F248" s="330"/>
      <c r="G248" s="330"/>
      <c r="H248" s="330"/>
      <c r="I248" s="330"/>
      <c r="J248" s="330"/>
      <c r="K248" s="331"/>
      <c r="L248" s="330"/>
      <c r="M248" s="331"/>
      <c r="N248" s="599"/>
    </row>
    <row r="249" spans="1:14" x14ac:dyDescent="0.25">
      <c r="A249" s="597"/>
      <c r="B249" s="330"/>
      <c r="C249" s="330"/>
      <c r="D249" s="330"/>
      <c r="E249" s="330"/>
      <c r="F249" s="330"/>
      <c r="G249" s="330"/>
      <c r="H249" s="330"/>
      <c r="I249" s="330"/>
      <c r="J249" s="330"/>
      <c r="K249" s="331"/>
      <c r="L249" s="330"/>
      <c r="M249" s="331"/>
      <c r="N249" s="599"/>
    </row>
    <row r="250" spans="1:14" x14ac:dyDescent="0.25">
      <c r="A250" s="597"/>
      <c r="B250" s="330"/>
      <c r="C250" s="330"/>
      <c r="D250" s="330"/>
      <c r="E250" s="330"/>
      <c r="F250" s="330"/>
      <c r="G250" s="330"/>
      <c r="H250" s="330"/>
      <c r="I250" s="330"/>
      <c r="J250" s="330"/>
      <c r="K250" s="331"/>
      <c r="L250" s="330"/>
      <c r="M250" s="331"/>
      <c r="N250" s="599"/>
    </row>
    <row r="251" spans="1:14" x14ac:dyDescent="0.25">
      <c r="A251" s="597"/>
      <c r="B251" s="330"/>
      <c r="C251" s="330"/>
      <c r="D251" s="330"/>
      <c r="E251" s="330"/>
      <c r="F251" s="330"/>
      <c r="G251" s="330"/>
      <c r="H251" s="330"/>
      <c r="I251" s="330"/>
      <c r="J251" s="330"/>
      <c r="K251" s="331"/>
      <c r="L251" s="330"/>
      <c r="M251" s="331"/>
      <c r="N251" s="599"/>
    </row>
    <row r="252" spans="1:14" x14ac:dyDescent="0.25">
      <c r="A252" s="597"/>
      <c r="B252" s="330"/>
      <c r="C252" s="330"/>
      <c r="D252" s="330"/>
      <c r="E252" s="330"/>
      <c r="F252" s="330"/>
      <c r="G252" s="330"/>
      <c r="H252" s="330"/>
      <c r="I252" s="330"/>
      <c r="J252" s="330"/>
      <c r="K252" s="331"/>
      <c r="L252" s="330"/>
      <c r="M252" s="331"/>
      <c r="N252" s="599"/>
    </row>
    <row r="253" spans="1:14" x14ac:dyDescent="0.25">
      <c r="A253" s="597"/>
      <c r="B253" s="330"/>
      <c r="C253" s="330"/>
      <c r="D253" s="330"/>
      <c r="E253" s="330"/>
      <c r="F253" s="330"/>
      <c r="G253" s="330"/>
      <c r="H253" s="330"/>
      <c r="I253" s="330"/>
      <c r="J253" s="330"/>
      <c r="K253" s="331"/>
      <c r="L253" s="330"/>
      <c r="M253" s="331"/>
      <c r="N253" s="599"/>
    </row>
    <row r="254" spans="1:14" x14ac:dyDescent="0.25">
      <c r="A254" s="597"/>
      <c r="B254" s="330"/>
      <c r="C254" s="330"/>
      <c r="D254" s="330"/>
      <c r="E254" s="330"/>
      <c r="F254" s="330"/>
      <c r="G254" s="330"/>
      <c r="H254" s="330"/>
      <c r="I254" s="330"/>
      <c r="J254" s="330"/>
      <c r="K254" s="331"/>
      <c r="L254" s="330"/>
      <c r="M254" s="331"/>
      <c r="N254" s="599"/>
    </row>
    <row r="255" spans="1:14" x14ac:dyDescent="0.25">
      <c r="A255" s="597"/>
      <c r="B255" s="330"/>
      <c r="C255" s="330"/>
      <c r="D255" s="330"/>
      <c r="E255" s="330"/>
      <c r="F255" s="330"/>
      <c r="G255" s="330"/>
      <c r="H255" s="330"/>
      <c r="I255" s="330"/>
      <c r="J255" s="330"/>
      <c r="K255" s="331"/>
      <c r="L255" s="330"/>
      <c r="M255" s="331"/>
      <c r="N255" s="599"/>
    </row>
    <row r="256" spans="1:14" x14ac:dyDescent="0.25">
      <c r="A256" s="597"/>
      <c r="B256" s="330"/>
      <c r="C256" s="330"/>
      <c r="D256" s="330"/>
      <c r="E256" s="330"/>
      <c r="F256" s="330"/>
      <c r="G256" s="330"/>
      <c r="H256" s="330"/>
      <c r="I256" s="330"/>
      <c r="J256" s="330"/>
      <c r="K256" s="331"/>
      <c r="L256" s="330"/>
      <c r="M256" s="331"/>
      <c r="N256" s="599"/>
    </row>
    <row r="257" spans="1:14" x14ac:dyDescent="0.25">
      <c r="A257" s="597"/>
      <c r="B257" s="330"/>
      <c r="C257" s="330"/>
      <c r="D257" s="330"/>
      <c r="E257" s="330"/>
      <c r="F257" s="330"/>
      <c r="G257" s="330"/>
      <c r="H257" s="330"/>
      <c r="I257" s="330"/>
      <c r="J257" s="330"/>
      <c r="K257" s="331"/>
      <c r="L257" s="330"/>
      <c r="M257" s="331"/>
      <c r="N257" s="599"/>
    </row>
    <row r="258" spans="1:14" x14ac:dyDescent="0.25">
      <c r="A258" s="597"/>
      <c r="B258" s="330"/>
      <c r="C258" s="330"/>
      <c r="D258" s="330"/>
      <c r="E258" s="330"/>
      <c r="F258" s="330"/>
      <c r="G258" s="330"/>
      <c r="H258" s="330"/>
      <c r="I258" s="330"/>
      <c r="J258" s="330"/>
      <c r="K258" s="331"/>
      <c r="L258" s="330"/>
      <c r="M258" s="331"/>
      <c r="N258" s="599"/>
    </row>
    <row r="259" spans="1:14" x14ac:dyDescent="0.25">
      <c r="A259" s="597"/>
      <c r="B259" s="330"/>
      <c r="C259" s="330"/>
      <c r="D259" s="330"/>
      <c r="E259" s="330"/>
      <c r="F259" s="330"/>
      <c r="G259" s="330"/>
      <c r="H259" s="330"/>
      <c r="I259" s="330"/>
      <c r="J259" s="330"/>
      <c r="K259" s="331"/>
      <c r="L259" s="330"/>
      <c r="M259" s="331"/>
      <c r="N259" s="599"/>
    </row>
    <row r="260" spans="1:14" x14ac:dyDescent="0.25">
      <c r="A260" s="597"/>
      <c r="B260" s="330"/>
      <c r="C260" s="330"/>
      <c r="D260" s="330"/>
      <c r="E260" s="330"/>
      <c r="F260" s="330"/>
      <c r="G260" s="330"/>
      <c r="H260" s="330"/>
      <c r="I260" s="330"/>
      <c r="J260" s="330"/>
      <c r="K260" s="331"/>
      <c r="L260" s="330"/>
      <c r="M260" s="331"/>
      <c r="N260" s="599"/>
    </row>
    <row r="261" spans="1:14" x14ac:dyDescent="0.25">
      <c r="A261" s="1039"/>
      <c r="B261" s="1039"/>
      <c r="C261" s="1039"/>
      <c r="D261" s="1039"/>
      <c r="E261" s="1039"/>
      <c r="F261" s="1039"/>
      <c r="G261" s="1039"/>
      <c r="H261" s="1039"/>
      <c r="I261" s="1039"/>
      <c r="J261" s="1039"/>
      <c r="K261" s="1039"/>
      <c r="L261" s="1039"/>
      <c r="M261" s="1039"/>
      <c r="N261" s="599"/>
    </row>
    <row r="262" spans="1:14" x14ac:dyDescent="0.25">
      <c r="A262" s="597"/>
      <c r="B262" s="330"/>
      <c r="C262" s="330"/>
      <c r="D262" s="330"/>
      <c r="E262" s="330"/>
      <c r="F262" s="330"/>
      <c r="G262" s="330"/>
      <c r="H262" s="330"/>
      <c r="I262" s="330"/>
      <c r="J262" s="330"/>
      <c r="K262" s="331"/>
      <c r="L262" s="330"/>
      <c r="M262" s="331"/>
      <c r="N262" s="599"/>
    </row>
    <row r="263" spans="1:14" x14ac:dyDescent="0.25">
      <c r="A263" s="597"/>
      <c r="B263" s="330"/>
      <c r="C263" s="330"/>
      <c r="D263" s="330"/>
      <c r="E263" s="330"/>
      <c r="F263" s="330"/>
      <c r="G263" s="330"/>
      <c r="H263" s="330"/>
      <c r="I263" s="330"/>
      <c r="J263" s="330"/>
      <c r="K263" s="331"/>
      <c r="L263" s="330"/>
      <c r="M263" s="331"/>
      <c r="N263" s="599"/>
    </row>
    <row r="264" spans="1:14" x14ac:dyDescent="0.25">
      <c r="A264" s="597"/>
      <c r="B264" s="330"/>
      <c r="C264" s="330"/>
      <c r="D264" s="330"/>
      <c r="E264" s="330"/>
      <c r="F264" s="330"/>
      <c r="G264" s="330"/>
      <c r="H264" s="330"/>
      <c r="I264" s="330"/>
      <c r="J264" s="330"/>
      <c r="K264" s="331"/>
      <c r="L264" s="330"/>
      <c r="M264" s="331"/>
      <c r="N264" s="599"/>
    </row>
    <row r="265" spans="1:14" x14ac:dyDescent="0.25">
      <c r="A265" s="597"/>
      <c r="B265" s="330"/>
      <c r="C265" s="330"/>
      <c r="D265" s="330"/>
      <c r="E265" s="330"/>
      <c r="F265" s="330"/>
      <c r="G265" s="330"/>
      <c r="H265" s="330"/>
      <c r="I265" s="330"/>
      <c r="J265" s="330"/>
      <c r="K265" s="331"/>
      <c r="L265" s="330"/>
      <c r="M265" s="331"/>
      <c r="N265" s="599"/>
    </row>
    <row r="266" spans="1:14" x14ac:dyDescent="0.25">
      <c r="A266" s="597"/>
      <c r="B266" s="330"/>
      <c r="C266" s="330"/>
      <c r="D266" s="330"/>
      <c r="E266" s="330"/>
      <c r="F266" s="330"/>
      <c r="G266" s="330"/>
      <c r="H266" s="330"/>
      <c r="I266" s="330"/>
      <c r="J266" s="330"/>
      <c r="K266" s="331"/>
      <c r="L266" s="330"/>
      <c r="M266" s="331"/>
      <c r="N266" s="599"/>
    </row>
    <row r="267" spans="1:14" x14ac:dyDescent="0.25">
      <c r="A267" s="597"/>
      <c r="B267" s="330"/>
      <c r="C267" s="330"/>
      <c r="D267" s="330"/>
      <c r="E267" s="330"/>
      <c r="F267" s="330"/>
      <c r="G267" s="330"/>
      <c r="H267" s="330"/>
      <c r="I267" s="330"/>
      <c r="J267" s="330"/>
      <c r="K267" s="331"/>
      <c r="L267" s="330"/>
      <c r="M267" s="331"/>
      <c r="N267" s="599"/>
    </row>
    <row r="268" spans="1:14" x14ac:dyDescent="0.25">
      <c r="A268" s="597"/>
      <c r="B268" s="330"/>
      <c r="C268" s="330"/>
      <c r="D268" s="330"/>
      <c r="E268" s="330"/>
      <c r="F268" s="330"/>
      <c r="G268" s="330"/>
      <c r="H268" s="330"/>
      <c r="I268" s="330"/>
      <c r="J268" s="330"/>
      <c r="K268" s="331"/>
      <c r="L268" s="330"/>
      <c r="M268" s="331"/>
      <c r="N268" s="599"/>
    </row>
    <row r="269" spans="1:14" x14ac:dyDescent="0.25">
      <c r="A269" s="597"/>
      <c r="B269" s="330"/>
      <c r="C269" s="330"/>
      <c r="D269" s="330"/>
      <c r="E269" s="330"/>
      <c r="F269" s="330"/>
      <c r="G269" s="330"/>
      <c r="H269" s="330"/>
      <c r="I269" s="330"/>
      <c r="J269" s="330"/>
      <c r="K269" s="331"/>
      <c r="L269" s="330"/>
      <c r="M269" s="331"/>
      <c r="N269" s="599"/>
    </row>
    <row r="270" spans="1:14" x14ac:dyDescent="0.25">
      <c r="A270" s="597"/>
      <c r="B270" s="330"/>
      <c r="C270" s="330"/>
      <c r="D270" s="330"/>
      <c r="E270" s="330"/>
      <c r="F270" s="330"/>
      <c r="G270" s="330"/>
      <c r="H270" s="330"/>
      <c r="I270" s="330"/>
      <c r="J270" s="330"/>
      <c r="K270" s="331"/>
      <c r="L270" s="330"/>
      <c r="M270" s="331"/>
      <c r="N270" s="599"/>
    </row>
    <row r="271" spans="1:14" x14ac:dyDescent="0.25">
      <c r="A271" s="597"/>
      <c r="B271" s="330"/>
      <c r="C271" s="330"/>
      <c r="D271" s="330"/>
      <c r="E271" s="330"/>
      <c r="F271" s="330"/>
      <c r="G271" s="330"/>
      <c r="H271" s="330"/>
      <c r="I271" s="330"/>
      <c r="J271" s="330"/>
      <c r="K271" s="331"/>
      <c r="L271" s="330"/>
      <c r="M271" s="331"/>
      <c r="N271" s="599"/>
    </row>
    <row r="272" spans="1:14" x14ac:dyDescent="0.25">
      <c r="A272" s="597"/>
      <c r="B272" s="330"/>
      <c r="C272" s="330"/>
      <c r="D272" s="330"/>
      <c r="E272" s="330"/>
      <c r="F272" s="330"/>
      <c r="G272" s="330"/>
      <c r="H272" s="330"/>
      <c r="I272" s="330"/>
      <c r="J272" s="330"/>
      <c r="K272" s="331"/>
      <c r="L272" s="330"/>
      <c r="M272" s="331"/>
      <c r="N272" s="599"/>
    </row>
    <row r="273" spans="1:14" x14ac:dyDescent="0.25">
      <c r="A273" s="597"/>
      <c r="B273" s="330"/>
      <c r="C273" s="330"/>
      <c r="D273" s="330"/>
      <c r="E273" s="330"/>
      <c r="F273" s="330"/>
      <c r="G273" s="330"/>
      <c r="H273" s="330"/>
      <c r="I273" s="330"/>
      <c r="J273" s="330"/>
      <c r="K273" s="331"/>
      <c r="L273" s="330"/>
      <c r="M273" s="331"/>
      <c r="N273" s="599"/>
    </row>
    <row r="274" spans="1:14" x14ac:dyDescent="0.25">
      <c r="A274" s="597"/>
      <c r="B274" s="330"/>
      <c r="C274" s="330"/>
      <c r="D274" s="330"/>
      <c r="E274" s="330"/>
      <c r="F274" s="330"/>
      <c r="G274" s="330"/>
      <c r="H274" s="330"/>
      <c r="I274" s="330"/>
      <c r="J274" s="330"/>
      <c r="K274" s="331"/>
      <c r="L274" s="330"/>
      <c r="M274" s="331"/>
      <c r="N274" s="599"/>
    </row>
    <row r="275" spans="1:14" x14ac:dyDescent="0.25">
      <c r="A275" s="597"/>
      <c r="B275" s="330"/>
      <c r="C275" s="330"/>
      <c r="D275" s="330"/>
      <c r="E275" s="330"/>
      <c r="F275" s="330"/>
      <c r="G275" s="330"/>
      <c r="H275" s="330"/>
      <c r="I275" s="330"/>
      <c r="J275" s="330"/>
      <c r="K275" s="331"/>
      <c r="L275" s="330"/>
      <c r="M275" s="331"/>
      <c r="N275" s="599"/>
    </row>
    <row r="276" spans="1:14" x14ac:dyDescent="0.25">
      <c r="A276" s="1038"/>
      <c r="B276" s="1038"/>
      <c r="C276" s="1038"/>
      <c r="D276" s="1038"/>
      <c r="E276" s="1038"/>
      <c r="F276" s="1038"/>
      <c r="G276" s="1038"/>
      <c r="H276" s="1038"/>
      <c r="I276" s="1038"/>
      <c r="J276" s="1038"/>
      <c r="K276" s="1038"/>
      <c r="L276" s="1038"/>
      <c r="M276" s="1038"/>
      <c r="N276" s="599"/>
    </row>
    <row r="277" spans="1:14" x14ac:dyDescent="0.25">
      <c r="A277" s="1187"/>
      <c r="B277" s="1187"/>
      <c r="C277" s="1187"/>
      <c r="D277" s="1187"/>
      <c r="E277" s="1187"/>
      <c r="F277" s="1187"/>
      <c r="G277" s="1187"/>
      <c r="H277" s="1187"/>
      <c r="I277" s="1187"/>
      <c r="J277" s="1187"/>
      <c r="K277" s="1187"/>
      <c r="L277" s="1187"/>
      <c r="M277" s="1187"/>
      <c r="N277" s="599"/>
    </row>
    <row r="278" spans="1:14" x14ac:dyDescent="0.25">
      <c r="A278" s="597"/>
      <c r="B278" s="330"/>
      <c r="C278" s="330"/>
      <c r="D278" s="330"/>
      <c r="E278" s="330"/>
      <c r="F278" s="330"/>
      <c r="G278" s="330"/>
      <c r="H278" s="330"/>
      <c r="I278" s="330"/>
      <c r="J278" s="330"/>
      <c r="K278" s="331"/>
      <c r="L278" s="330"/>
      <c r="M278" s="331"/>
      <c r="N278" s="599"/>
    </row>
    <row r="279" spans="1:14" x14ac:dyDescent="0.25">
      <c r="A279" s="597"/>
      <c r="B279" s="330"/>
      <c r="C279" s="330"/>
      <c r="D279" s="330"/>
      <c r="E279" s="330"/>
      <c r="F279" s="330"/>
      <c r="G279" s="330"/>
      <c r="H279" s="330"/>
      <c r="I279" s="330"/>
      <c r="J279" s="330"/>
      <c r="K279" s="331"/>
      <c r="L279" s="330"/>
      <c r="M279" s="331"/>
      <c r="N279" s="599"/>
    </row>
    <row r="280" spans="1:14" x14ac:dyDescent="0.25">
      <c r="A280" s="597"/>
      <c r="B280" s="330"/>
      <c r="C280" s="330"/>
      <c r="D280" s="330"/>
      <c r="E280" s="330"/>
      <c r="F280" s="330"/>
      <c r="G280" s="330"/>
      <c r="H280" s="330"/>
      <c r="I280" s="330"/>
      <c r="J280" s="330"/>
      <c r="K280" s="331"/>
      <c r="L280" s="330"/>
      <c r="M280" s="331"/>
      <c r="N280" s="599"/>
    </row>
    <row r="281" spans="1:14" x14ac:dyDescent="0.25">
      <c r="A281" s="597"/>
      <c r="B281" s="330"/>
      <c r="C281" s="330"/>
      <c r="D281" s="330"/>
      <c r="E281" s="330"/>
      <c r="F281" s="330"/>
      <c r="G281" s="330"/>
      <c r="H281" s="330"/>
      <c r="I281" s="330"/>
      <c r="J281" s="330"/>
      <c r="K281" s="331"/>
      <c r="L281" s="330"/>
      <c r="M281" s="332"/>
      <c r="N281" s="599"/>
    </row>
    <row r="282" spans="1:14" x14ac:dyDescent="0.25">
      <c r="A282" s="597"/>
      <c r="B282" s="330"/>
      <c r="C282" s="330"/>
      <c r="D282" s="330"/>
      <c r="E282" s="330"/>
      <c r="F282" s="330"/>
      <c r="G282" s="330"/>
      <c r="H282" s="330"/>
      <c r="I282" s="330"/>
      <c r="J282" s="330"/>
      <c r="K282" s="331"/>
      <c r="L282" s="330"/>
      <c r="M282" s="332"/>
      <c r="N282" s="599"/>
    </row>
    <row r="283" spans="1:14" x14ac:dyDescent="0.25">
      <c r="A283" s="597"/>
      <c r="B283" s="330"/>
      <c r="C283" s="330"/>
      <c r="D283" s="330"/>
      <c r="E283" s="330"/>
      <c r="F283" s="330"/>
      <c r="G283" s="330"/>
      <c r="H283" s="330"/>
      <c r="I283" s="330"/>
      <c r="J283" s="330"/>
      <c r="K283" s="331"/>
      <c r="L283" s="330"/>
      <c r="M283" s="332"/>
      <c r="N283" s="599"/>
    </row>
    <row r="284" spans="1:14" x14ac:dyDescent="0.25">
      <c r="A284" s="597"/>
      <c r="B284" s="330"/>
      <c r="C284" s="330"/>
      <c r="D284" s="330"/>
      <c r="E284" s="330"/>
      <c r="F284" s="330"/>
      <c r="G284" s="330"/>
      <c r="H284" s="330"/>
      <c r="I284" s="330"/>
      <c r="J284" s="330"/>
      <c r="K284" s="331"/>
      <c r="L284" s="330"/>
      <c r="M284" s="332"/>
      <c r="N284" s="599"/>
    </row>
    <row r="285" spans="1:14" x14ac:dyDescent="0.25">
      <c r="A285" s="597"/>
      <c r="B285" s="330"/>
      <c r="C285" s="330"/>
      <c r="D285" s="330"/>
      <c r="E285" s="330"/>
      <c r="F285" s="330"/>
      <c r="G285" s="330"/>
      <c r="H285" s="330"/>
      <c r="I285" s="330"/>
      <c r="J285" s="330"/>
      <c r="K285" s="331"/>
      <c r="L285" s="330"/>
      <c r="M285" s="332"/>
      <c r="N285" s="599"/>
    </row>
    <row r="286" spans="1:14" x14ac:dyDescent="0.25">
      <c r="A286" s="597"/>
      <c r="B286" s="330"/>
      <c r="C286" s="330"/>
      <c r="D286" s="330"/>
      <c r="E286" s="330"/>
      <c r="F286" s="330"/>
      <c r="G286" s="330"/>
      <c r="H286" s="330"/>
      <c r="I286" s="330"/>
      <c r="J286" s="330"/>
      <c r="K286" s="331"/>
      <c r="L286" s="330"/>
      <c r="M286" s="332"/>
      <c r="N286" s="599"/>
    </row>
    <row r="287" spans="1:14" x14ac:dyDescent="0.25">
      <c r="A287" s="597"/>
      <c r="B287" s="330"/>
      <c r="C287" s="330"/>
      <c r="D287" s="330"/>
      <c r="E287" s="330"/>
      <c r="F287" s="330"/>
      <c r="G287" s="330"/>
      <c r="H287" s="330"/>
      <c r="I287" s="330"/>
      <c r="J287" s="330"/>
      <c r="K287" s="331"/>
      <c r="L287" s="330"/>
      <c r="M287" s="332"/>
      <c r="N287" s="599"/>
    </row>
    <row r="288" spans="1:14" x14ac:dyDescent="0.25">
      <c r="A288" s="597"/>
      <c r="B288" s="330"/>
      <c r="C288" s="330"/>
      <c r="D288" s="330"/>
      <c r="E288" s="330"/>
      <c r="F288" s="330"/>
      <c r="G288" s="330"/>
      <c r="H288" s="330"/>
      <c r="I288" s="330"/>
      <c r="J288" s="330"/>
      <c r="K288" s="331"/>
      <c r="L288" s="330"/>
      <c r="M288" s="332"/>
      <c r="N288" s="599"/>
    </row>
    <row r="289" spans="1:14" x14ac:dyDescent="0.25">
      <c r="A289" s="597"/>
      <c r="B289" s="330"/>
      <c r="C289" s="330"/>
      <c r="D289" s="330"/>
      <c r="E289" s="330"/>
      <c r="F289" s="330"/>
      <c r="G289" s="330"/>
      <c r="H289" s="330"/>
      <c r="I289" s="330"/>
      <c r="J289" s="330"/>
      <c r="K289" s="331"/>
      <c r="L289" s="330"/>
      <c r="M289" s="332"/>
      <c r="N289" s="599"/>
    </row>
    <row r="290" spans="1:14" x14ac:dyDescent="0.25">
      <c r="A290" s="597"/>
      <c r="B290" s="330"/>
      <c r="C290" s="330"/>
      <c r="D290" s="330"/>
      <c r="E290" s="330"/>
      <c r="F290" s="330"/>
      <c r="G290" s="330"/>
      <c r="H290" s="330"/>
      <c r="I290" s="330"/>
      <c r="J290" s="330"/>
      <c r="K290" s="331"/>
      <c r="L290" s="330"/>
      <c r="M290" s="332"/>
      <c r="N290" s="599"/>
    </row>
    <row r="291" spans="1:14" x14ac:dyDescent="0.25">
      <c r="A291" s="597"/>
      <c r="B291" s="330"/>
      <c r="C291" s="330"/>
      <c r="D291" s="330"/>
      <c r="E291" s="330"/>
      <c r="F291" s="330"/>
      <c r="G291" s="330"/>
      <c r="H291" s="330"/>
      <c r="I291" s="330"/>
      <c r="J291" s="330"/>
      <c r="K291" s="331"/>
      <c r="L291" s="330"/>
      <c r="M291" s="332"/>
      <c r="N291" s="599"/>
    </row>
    <row r="292" spans="1:14" x14ac:dyDescent="0.25">
      <c r="A292" s="597"/>
      <c r="B292" s="330"/>
      <c r="C292" s="330"/>
      <c r="D292" s="330"/>
      <c r="E292" s="330"/>
      <c r="F292" s="330"/>
      <c r="G292" s="330"/>
      <c r="H292" s="330"/>
      <c r="I292" s="330"/>
      <c r="J292" s="330"/>
      <c r="K292" s="331"/>
      <c r="L292" s="330"/>
      <c r="M292" s="332"/>
      <c r="N292" s="599"/>
    </row>
    <row r="293" spans="1:14" x14ac:dyDescent="0.25">
      <c r="A293" s="597"/>
      <c r="B293" s="330"/>
      <c r="C293" s="330"/>
      <c r="D293" s="330"/>
      <c r="E293" s="330"/>
      <c r="F293" s="330"/>
      <c r="G293" s="330"/>
      <c r="H293" s="330"/>
      <c r="I293" s="330"/>
      <c r="J293" s="330"/>
      <c r="K293" s="331"/>
      <c r="L293" s="330"/>
      <c r="M293" s="332"/>
      <c r="N293" s="599"/>
    </row>
    <row r="294" spans="1:14" x14ac:dyDescent="0.25">
      <c r="A294" s="597"/>
      <c r="B294" s="330"/>
      <c r="C294" s="330"/>
      <c r="D294" s="330"/>
      <c r="E294" s="330"/>
      <c r="F294" s="330"/>
      <c r="G294" s="330"/>
      <c r="H294" s="330"/>
      <c r="I294" s="330"/>
      <c r="J294" s="330"/>
      <c r="K294" s="331"/>
      <c r="L294" s="330"/>
      <c r="M294" s="332"/>
      <c r="N294" s="599"/>
    </row>
    <row r="295" spans="1:14" x14ac:dyDescent="0.25">
      <c r="A295" s="597"/>
      <c r="B295" s="330"/>
      <c r="C295" s="330"/>
      <c r="D295" s="330"/>
      <c r="E295" s="330"/>
      <c r="F295" s="330"/>
      <c r="G295" s="330"/>
      <c r="H295" s="330"/>
      <c r="I295" s="330"/>
      <c r="J295" s="330"/>
      <c r="K295" s="331"/>
      <c r="L295" s="330"/>
      <c r="M295" s="332"/>
      <c r="N295" s="599"/>
    </row>
    <row r="296" spans="1:14" x14ac:dyDescent="0.25">
      <c r="A296" s="597"/>
      <c r="B296" s="330"/>
      <c r="C296" s="330"/>
      <c r="D296" s="330"/>
      <c r="E296" s="330"/>
      <c r="F296" s="330"/>
      <c r="G296" s="330"/>
      <c r="H296" s="330"/>
      <c r="I296" s="330"/>
      <c r="J296" s="330"/>
      <c r="K296" s="331"/>
      <c r="L296" s="330"/>
      <c r="M296" s="332"/>
      <c r="N296" s="599"/>
    </row>
    <row r="297" spans="1:14" x14ac:dyDescent="0.25">
      <c r="A297" s="597"/>
      <c r="B297" s="330"/>
      <c r="C297" s="330"/>
      <c r="D297" s="330"/>
      <c r="E297" s="330"/>
      <c r="F297" s="330"/>
      <c r="G297" s="330"/>
      <c r="H297" s="330"/>
      <c r="I297" s="330"/>
      <c r="J297" s="330"/>
      <c r="K297" s="331"/>
      <c r="L297" s="330"/>
      <c r="M297" s="332"/>
      <c r="N297" s="599"/>
    </row>
    <row r="298" spans="1:14" x14ac:dyDescent="0.25">
      <c r="A298" s="597"/>
      <c r="B298" s="330"/>
      <c r="C298" s="330"/>
      <c r="D298" s="330"/>
      <c r="E298" s="330"/>
      <c r="F298" s="330"/>
      <c r="G298" s="330"/>
      <c r="H298" s="330"/>
      <c r="I298" s="330"/>
      <c r="J298" s="330"/>
      <c r="K298" s="331"/>
      <c r="L298" s="330"/>
      <c r="M298" s="332"/>
      <c r="N298" s="599"/>
    </row>
    <row r="299" spans="1:14" x14ac:dyDescent="0.25">
      <c r="A299" s="597"/>
      <c r="B299" s="330"/>
      <c r="C299" s="330"/>
      <c r="D299" s="330"/>
      <c r="E299" s="330"/>
      <c r="F299" s="330"/>
      <c r="G299" s="330"/>
      <c r="H299" s="330"/>
      <c r="I299" s="330"/>
      <c r="J299" s="330"/>
      <c r="K299" s="331"/>
      <c r="L299" s="330"/>
      <c r="M299" s="332"/>
      <c r="N299" s="599"/>
    </row>
    <row r="300" spans="1:14" x14ac:dyDescent="0.25">
      <c r="A300" s="597"/>
      <c r="B300" s="330"/>
      <c r="C300" s="330"/>
      <c r="D300" s="330"/>
      <c r="E300" s="330"/>
      <c r="F300" s="330"/>
      <c r="G300" s="330"/>
      <c r="H300" s="330"/>
      <c r="I300" s="330"/>
      <c r="J300" s="330"/>
      <c r="K300" s="331"/>
      <c r="L300" s="330"/>
      <c r="M300" s="332"/>
      <c r="N300" s="599"/>
    </row>
    <row r="301" spans="1:14" x14ac:dyDescent="0.25">
      <c r="A301" s="597"/>
      <c r="B301" s="330"/>
      <c r="C301" s="330"/>
      <c r="D301" s="330"/>
      <c r="E301" s="330"/>
      <c r="F301" s="330"/>
      <c r="G301" s="330"/>
      <c r="H301" s="330"/>
      <c r="I301" s="330"/>
      <c r="J301" s="330"/>
      <c r="K301" s="331"/>
      <c r="L301" s="330"/>
      <c r="M301" s="332"/>
      <c r="N301" s="599"/>
    </row>
    <row r="302" spans="1:14" x14ac:dyDescent="0.25">
      <c r="A302" s="597"/>
      <c r="B302" s="330"/>
      <c r="C302" s="330"/>
      <c r="D302" s="330"/>
      <c r="E302" s="330"/>
      <c r="F302" s="330"/>
      <c r="G302" s="330"/>
      <c r="H302" s="330"/>
      <c r="I302" s="330"/>
      <c r="J302" s="330"/>
      <c r="K302" s="331"/>
      <c r="L302" s="330"/>
      <c r="M302" s="332"/>
      <c r="N302" s="599"/>
    </row>
    <row r="303" spans="1:14" x14ac:dyDescent="0.25">
      <c r="A303" s="597"/>
      <c r="B303" s="330"/>
      <c r="C303" s="330"/>
      <c r="D303" s="330"/>
      <c r="E303" s="330"/>
      <c r="F303" s="330"/>
      <c r="G303" s="330"/>
      <c r="H303" s="330"/>
      <c r="I303" s="330"/>
      <c r="J303" s="330"/>
      <c r="K303" s="331"/>
      <c r="L303" s="330"/>
      <c r="M303" s="332"/>
      <c r="N303" s="599"/>
    </row>
    <row r="304" spans="1:14" x14ac:dyDescent="0.25">
      <c r="A304" s="597"/>
      <c r="B304" s="330"/>
      <c r="C304" s="330"/>
      <c r="D304" s="330"/>
      <c r="E304" s="330"/>
      <c r="F304" s="330"/>
      <c r="G304" s="330"/>
      <c r="H304" s="330"/>
      <c r="I304" s="330"/>
      <c r="J304" s="330"/>
      <c r="K304" s="331"/>
      <c r="L304" s="330"/>
      <c r="M304" s="332"/>
      <c r="N304" s="599"/>
    </row>
    <row r="305" spans="1:14" x14ac:dyDescent="0.25">
      <c r="A305" s="597"/>
      <c r="B305" s="330"/>
      <c r="C305" s="330"/>
      <c r="D305" s="330"/>
      <c r="E305" s="330"/>
      <c r="F305" s="330"/>
      <c r="G305" s="330"/>
      <c r="H305" s="330"/>
      <c r="I305" s="330"/>
      <c r="J305" s="330"/>
      <c r="K305" s="331"/>
      <c r="L305" s="330"/>
      <c r="M305" s="332"/>
      <c r="N305" s="599"/>
    </row>
    <row r="306" spans="1:14" x14ac:dyDescent="0.25">
      <c r="A306" s="597"/>
      <c r="B306" s="330"/>
      <c r="C306" s="330"/>
      <c r="D306" s="330"/>
      <c r="E306" s="330"/>
      <c r="F306" s="330"/>
      <c r="G306" s="330"/>
      <c r="H306" s="330"/>
      <c r="I306" s="330"/>
      <c r="J306" s="330"/>
      <c r="K306" s="331"/>
      <c r="L306" s="330"/>
      <c r="M306" s="332"/>
      <c r="N306" s="599"/>
    </row>
    <row r="307" spans="1:14" x14ac:dyDescent="0.25">
      <c r="A307" s="597"/>
      <c r="B307" s="330"/>
      <c r="C307" s="330"/>
      <c r="D307" s="330"/>
      <c r="E307" s="330"/>
      <c r="F307" s="330"/>
      <c r="G307" s="330"/>
      <c r="H307" s="330"/>
      <c r="I307" s="330"/>
      <c r="J307" s="330"/>
      <c r="K307" s="331"/>
      <c r="L307" s="330"/>
      <c r="M307" s="332"/>
      <c r="N307" s="599"/>
    </row>
    <row r="308" spans="1:14" x14ac:dyDescent="0.25">
      <c r="A308" s="597"/>
      <c r="B308" s="330"/>
      <c r="C308" s="330"/>
      <c r="D308" s="330"/>
      <c r="E308" s="330"/>
      <c r="F308" s="330"/>
      <c r="G308" s="330"/>
      <c r="H308" s="330"/>
      <c r="I308" s="330"/>
      <c r="J308" s="330"/>
      <c r="K308" s="331"/>
      <c r="L308" s="330"/>
      <c r="M308" s="332"/>
      <c r="N308" s="599"/>
    </row>
    <row r="309" spans="1:14" x14ac:dyDescent="0.25">
      <c r="A309" s="597"/>
      <c r="B309" s="330"/>
      <c r="C309" s="330"/>
      <c r="D309" s="330"/>
      <c r="E309" s="330"/>
      <c r="F309" s="330"/>
      <c r="G309" s="330"/>
      <c r="H309" s="330"/>
      <c r="I309" s="330"/>
      <c r="J309" s="330"/>
      <c r="K309" s="331"/>
      <c r="L309" s="330"/>
      <c r="M309" s="332"/>
      <c r="N309" s="599"/>
    </row>
    <row r="310" spans="1:14" x14ac:dyDescent="0.25">
      <c r="A310" s="597"/>
      <c r="B310" s="330"/>
      <c r="C310" s="330"/>
      <c r="D310" s="330"/>
      <c r="E310" s="330"/>
      <c r="F310" s="330"/>
      <c r="G310" s="330"/>
      <c r="H310" s="330"/>
      <c r="I310" s="330"/>
      <c r="J310" s="330"/>
      <c r="K310" s="331"/>
      <c r="L310" s="330"/>
      <c r="M310" s="332"/>
      <c r="N310" s="599"/>
    </row>
    <row r="311" spans="1:14" x14ac:dyDescent="0.25">
      <c r="A311" s="597"/>
      <c r="B311" s="330"/>
      <c r="C311" s="330"/>
      <c r="D311" s="330"/>
      <c r="E311" s="330"/>
      <c r="F311" s="330"/>
      <c r="G311" s="330"/>
      <c r="H311" s="330"/>
      <c r="I311" s="330"/>
      <c r="J311" s="330"/>
      <c r="K311" s="331"/>
      <c r="L311" s="330"/>
      <c r="M311" s="332"/>
      <c r="N311" s="599"/>
    </row>
    <row r="312" spans="1:14" x14ac:dyDescent="0.25">
      <c r="A312" s="597"/>
      <c r="B312" s="330"/>
      <c r="C312" s="330"/>
      <c r="D312" s="330"/>
      <c r="E312" s="330"/>
      <c r="F312" s="330"/>
      <c r="G312" s="330"/>
      <c r="H312" s="330"/>
      <c r="I312" s="330"/>
      <c r="J312" s="330"/>
      <c r="K312" s="331"/>
      <c r="L312" s="330"/>
      <c r="M312" s="332"/>
      <c r="N312" s="599"/>
    </row>
    <row r="313" spans="1:14" x14ac:dyDescent="0.25">
      <c r="A313" s="597"/>
      <c r="B313" s="330"/>
      <c r="C313" s="330"/>
      <c r="D313" s="330"/>
      <c r="E313" s="330"/>
      <c r="F313" s="330"/>
      <c r="G313" s="330"/>
      <c r="H313" s="330"/>
      <c r="I313" s="330"/>
      <c r="J313" s="330"/>
      <c r="K313" s="331"/>
      <c r="L313" s="330"/>
      <c r="M313" s="332"/>
      <c r="N313" s="599"/>
    </row>
    <row r="314" spans="1:14" x14ac:dyDescent="0.25">
      <c r="A314" s="597"/>
      <c r="B314" s="330"/>
      <c r="C314" s="330"/>
      <c r="D314" s="330"/>
      <c r="E314" s="330"/>
      <c r="F314" s="330"/>
      <c r="G314" s="330"/>
      <c r="H314" s="330"/>
      <c r="I314" s="330"/>
      <c r="J314" s="330"/>
      <c r="K314" s="331"/>
      <c r="L314" s="330"/>
      <c r="M314" s="332"/>
      <c r="N314" s="599"/>
    </row>
    <row r="315" spans="1:14" x14ac:dyDescent="0.25">
      <c r="A315" s="597"/>
      <c r="B315" s="330"/>
      <c r="C315" s="330"/>
      <c r="D315" s="330"/>
      <c r="E315" s="330"/>
      <c r="F315" s="330"/>
      <c r="G315" s="330"/>
      <c r="H315" s="330"/>
      <c r="I315" s="330"/>
      <c r="J315" s="330"/>
      <c r="K315" s="331"/>
      <c r="L315" s="330"/>
      <c r="M315" s="332"/>
      <c r="N315" s="599"/>
    </row>
    <row r="316" spans="1:14" x14ac:dyDescent="0.25">
      <c r="A316" s="597"/>
      <c r="B316" s="330"/>
      <c r="C316" s="330"/>
      <c r="D316" s="330"/>
      <c r="E316" s="330"/>
      <c r="F316" s="330"/>
      <c r="G316" s="330"/>
      <c r="H316" s="330"/>
      <c r="I316" s="330"/>
      <c r="J316" s="330"/>
      <c r="K316" s="331"/>
      <c r="L316" s="330"/>
      <c r="M316" s="332"/>
      <c r="N316" s="599"/>
    </row>
    <row r="317" spans="1:14" x14ac:dyDescent="0.25">
      <c r="A317" s="597"/>
      <c r="B317" s="330"/>
      <c r="C317" s="330"/>
      <c r="D317" s="330"/>
      <c r="E317" s="330"/>
      <c r="F317" s="330"/>
      <c r="G317" s="330"/>
      <c r="H317" s="330"/>
      <c r="I317" s="330"/>
      <c r="J317" s="330"/>
      <c r="K317" s="331"/>
      <c r="L317" s="330"/>
      <c r="M317" s="332"/>
      <c r="N317" s="599"/>
    </row>
    <row r="318" spans="1:14" x14ac:dyDescent="0.25">
      <c r="A318" s="597"/>
      <c r="B318" s="330"/>
      <c r="C318" s="330"/>
      <c r="D318" s="330"/>
      <c r="E318" s="330"/>
      <c r="F318" s="330"/>
      <c r="G318" s="330"/>
      <c r="H318" s="330"/>
      <c r="I318" s="330"/>
      <c r="J318" s="330"/>
      <c r="K318" s="331"/>
      <c r="L318" s="330"/>
      <c r="M318" s="332"/>
      <c r="N318" s="599"/>
    </row>
    <row r="319" spans="1:14" x14ac:dyDescent="0.25">
      <c r="A319" s="597"/>
      <c r="B319" s="330"/>
      <c r="C319" s="330"/>
      <c r="D319" s="330"/>
      <c r="E319" s="330"/>
      <c r="F319" s="330"/>
      <c r="G319" s="330"/>
      <c r="H319" s="330"/>
      <c r="I319" s="330"/>
      <c r="J319" s="330"/>
      <c r="K319" s="331"/>
      <c r="L319" s="330"/>
      <c r="M319" s="332"/>
      <c r="N319" s="599"/>
    </row>
    <row r="320" spans="1:14" x14ac:dyDescent="0.25">
      <c r="A320" s="597"/>
      <c r="B320" s="330"/>
      <c r="C320" s="330"/>
      <c r="D320" s="330"/>
      <c r="E320" s="330"/>
      <c r="F320" s="330"/>
      <c r="G320" s="330"/>
      <c r="H320" s="330"/>
      <c r="I320" s="330"/>
      <c r="J320" s="330"/>
      <c r="K320" s="331"/>
      <c r="L320" s="330"/>
      <c r="M320" s="332"/>
      <c r="N320" s="599"/>
    </row>
    <row r="321" spans="1:14" x14ac:dyDescent="0.25">
      <c r="A321" s="597"/>
      <c r="B321" s="330"/>
      <c r="C321" s="330"/>
      <c r="D321" s="330"/>
      <c r="E321" s="330"/>
      <c r="F321" s="330"/>
      <c r="G321" s="330"/>
      <c r="H321" s="330"/>
      <c r="I321" s="330"/>
      <c r="J321" s="330"/>
      <c r="K321" s="331"/>
      <c r="L321" s="330"/>
      <c r="M321" s="332"/>
      <c r="N321" s="599"/>
    </row>
    <row r="322" spans="1:14" x14ac:dyDescent="0.25">
      <c r="A322" s="597"/>
      <c r="B322" s="330"/>
      <c r="C322" s="330"/>
      <c r="D322" s="330"/>
      <c r="E322" s="330"/>
      <c r="F322" s="330"/>
      <c r="G322" s="330"/>
      <c r="H322" s="330"/>
      <c r="I322" s="330"/>
      <c r="J322" s="330"/>
      <c r="K322" s="331"/>
      <c r="L322" s="330"/>
      <c r="M322" s="332"/>
      <c r="N322" s="599"/>
    </row>
    <row r="323" spans="1:14" x14ac:dyDescent="0.25">
      <c r="A323" s="597"/>
      <c r="B323" s="330"/>
      <c r="C323" s="330"/>
      <c r="D323" s="330"/>
      <c r="E323" s="330"/>
      <c r="F323" s="330"/>
      <c r="G323" s="330"/>
      <c r="H323" s="330"/>
      <c r="I323" s="330"/>
      <c r="J323" s="330"/>
      <c r="K323" s="331"/>
      <c r="L323" s="330"/>
      <c r="M323" s="332"/>
      <c r="N323" s="599"/>
    </row>
    <row r="324" spans="1:14" x14ac:dyDescent="0.25">
      <c r="A324" s="597"/>
      <c r="B324" s="330"/>
      <c r="C324" s="330"/>
      <c r="D324" s="330"/>
      <c r="E324" s="330"/>
      <c r="F324" s="330"/>
      <c r="G324" s="330"/>
      <c r="H324" s="330"/>
      <c r="I324" s="330"/>
      <c r="J324" s="330"/>
      <c r="K324" s="331"/>
      <c r="L324" s="330"/>
      <c r="M324" s="332"/>
      <c r="N324" s="599"/>
    </row>
    <row r="325" spans="1:14" x14ac:dyDescent="0.25">
      <c r="A325" s="597"/>
      <c r="B325" s="330"/>
      <c r="C325" s="330"/>
      <c r="D325" s="330"/>
      <c r="E325" s="330"/>
      <c r="F325" s="330"/>
      <c r="G325" s="330"/>
      <c r="H325" s="330"/>
      <c r="I325" s="330"/>
      <c r="J325" s="330"/>
      <c r="K325" s="331"/>
      <c r="L325" s="330"/>
      <c r="M325" s="332"/>
      <c r="N325" s="599"/>
    </row>
    <row r="326" spans="1:14" x14ac:dyDescent="0.25">
      <c r="A326" s="597"/>
      <c r="B326" s="330"/>
      <c r="C326" s="330"/>
      <c r="D326" s="330"/>
      <c r="E326" s="330"/>
      <c r="F326" s="330"/>
      <c r="G326" s="330"/>
      <c r="H326" s="330"/>
      <c r="I326" s="330"/>
      <c r="J326" s="330"/>
      <c r="K326" s="331"/>
      <c r="L326" s="330"/>
      <c r="M326" s="332"/>
      <c r="N326" s="599"/>
    </row>
    <row r="327" spans="1:14" x14ac:dyDescent="0.25">
      <c r="A327" s="597"/>
      <c r="B327" s="330"/>
      <c r="C327" s="330"/>
      <c r="D327" s="330"/>
      <c r="E327" s="330"/>
      <c r="F327" s="330"/>
      <c r="G327" s="330"/>
      <c r="H327" s="330"/>
      <c r="I327" s="330"/>
      <c r="J327" s="330"/>
      <c r="K327" s="331"/>
      <c r="L327" s="330"/>
      <c r="M327" s="332"/>
      <c r="N327" s="599"/>
    </row>
    <row r="328" spans="1:14" x14ac:dyDescent="0.25">
      <c r="A328" s="597"/>
      <c r="B328" s="330"/>
      <c r="C328" s="330"/>
      <c r="D328" s="330"/>
      <c r="E328" s="330"/>
      <c r="F328" s="330"/>
      <c r="G328" s="330"/>
      <c r="H328" s="330"/>
      <c r="I328" s="330"/>
      <c r="J328" s="330"/>
      <c r="K328" s="331"/>
      <c r="L328" s="330"/>
      <c r="M328" s="332"/>
      <c r="N328" s="599"/>
    </row>
    <row r="329" spans="1:14" x14ac:dyDescent="0.25">
      <c r="A329" s="597"/>
      <c r="B329" s="330"/>
      <c r="C329" s="330"/>
      <c r="D329" s="330"/>
      <c r="E329" s="330"/>
      <c r="F329" s="330"/>
      <c r="G329" s="330"/>
      <c r="H329" s="330"/>
      <c r="I329" s="330"/>
      <c r="J329" s="330"/>
      <c r="K329" s="331"/>
      <c r="L329" s="330"/>
      <c r="M329" s="332"/>
      <c r="N329" s="599"/>
    </row>
    <row r="330" spans="1:14" x14ac:dyDescent="0.25">
      <c r="A330" s="597"/>
      <c r="B330" s="330"/>
      <c r="C330" s="330"/>
      <c r="D330" s="330"/>
      <c r="E330" s="330"/>
      <c r="F330" s="330"/>
      <c r="G330" s="330"/>
      <c r="H330" s="330"/>
      <c r="I330" s="330"/>
      <c r="J330" s="330"/>
      <c r="K330" s="331"/>
      <c r="L330" s="330"/>
      <c r="M330" s="332"/>
      <c r="N330" s="599"/>
    </row>
    <row r="331" spans="1:14" x14ac:dyDescent="0.25">
      <c r="A331" s="597"/>
      <c r="B331" s="330"/>
      <c r="C331" s="330"/>
      <c r="D331" s="330"/>
      <c r="E331" s="330"/>
      <c r="F331" s="330"/>
      <c r="G331" s="330"/>
      <c r="H331" s="330"/>
      <c r="I331" s="330"/>
      <c r="J331" s="330"/>
      <c r="K331" s="331"/>
      <c r="L331" s="330"/>
      <c r="M331" s="332"/>
      <c r="N331" s="599"/>
    </row>
    <row r="332" spans="1:14" x14ac:dyDescent="0.25">
      <c r="A332" s="597"/>
      <c r="B332" s="330"/>
      <c r="C332" s="330"/>
      <c r="D332" s="330"/>
      <c r="E332" s="330"/>
      <c r="F332" s="330"/>
      <c r="G332" s="330"/>
      <c r="H332" s="330"/>
      <c r="I332" s="330"/>
      <c r="J332" s="330"/>
      <c r="K332" s="331"/>
      <c r="L332" s="330"/>
      <c r="M332" s="332"/>
      <c r="N332" s="599"/>
    </row>
    <row r="333" spans="1:14" x14ac:dyDescent="0.25">
      <c r="A333" s="597"/>
      <c r="B333" s="330"/>
      <c r="C333" s="330"/>
      <c r="D333" s="330"/>
      <c r="E333" s="330"/>
      <c r="F333" s="330"/>
      <c r="G333" s="330"/>
      <c r="H333" s="330"/>
      <c r="I333" s="330"/>
      <c r="J333" s="330"/>
      <c r="K333" s="331"/>
      <c r="L333" s="330"/>
      <c r="M333" s="332"/>
      <c r="N333" s="599"/>
    </row>
    <row r="334" spans="1:14" x14ac:dyDescent="0.25">
      <c r="A334" s="597"/>
      <c r="B334" s="330"/>
      <c r="C334" s="330"/>
      <c r="D334" s="330"/>
      <c r="E334" s="330"/>
      <c r="F334" s="330"/>
      <c r="G334" s="330"/>
      <c r="H334" s="330"/>
      <c r="I334" s="330"/>
      <c r="J334" s="330"/>
      <c r="K334" s="331"/>
      <c r="L334" s="330"/>
      <c r="M334" s="332"/>
      <c r="N334" s="599"/>
    </row>
    <row r="335" spans="1:14" x14ac:dyDescent="0.25">
      <c r="A335" s="597"/>
      <c r="B335" s="330"/>
      <c r="C335" s="330"/>
      <c r="D335" s="330"/>
      <c r="E335" s="330"/>
      <c r="F335" s="330"/>
      <c r="G335" s="330"/>
      <c r="H335" s="330"/>
      <c r="I335" s="330"/>
      <c r="J335" s="330"/>
      <c r="K335" s="331"/>
      <c r="L335" s="330"/>
      <c r="M335" s="332"/>
      <c r="N335" s="599"/>
    </row>
    <row r="336" spans="1:14" x14ac:dyDescent="0.25">
      <c r="A336" s="597"/>
      <c r="B336" s="330"/>
      <c r="C336" s="330"/>
      <c r="D336" s="330"/>
      <c r="E336" s="330"/>
      <c r="F336" s="330"/>
      <c r="G336" s="330"/>
      <c r="H336" s="330"/>
      <c r="I336" s="330"/>
      <c r="J336" s="330"/>
      <c r="K336" s="331"/>
      <c r="L336" s="330"/>
      <c r="M336" s="332"/>
      <c r="N336" s="599"/>
    </row>
    <row r="337" spans="1:14" x14ac:dyDescent="0.25">
      <c r="A337" s="597"/>
      <c r="B337" s="330"/>
      <c r="C337" s="330"/>
      <c r="D337" s="330"/>
      <c r="E337" s="330"/>
      <c r="F337" s="330"/>
      <c r="G337" s="330"/>
      <c r="H337" s="330"/>
      <c r="I337" s="330"/>
      <c r="J337" s="330"/>
      <c r="K337" s="331"/>
      <c r="L337" s="330"/>
      <c r="M337" s="332"/>
      <c r="N337" s="599"/>
    </row>
    <row r="338" spans="1:14" x14ac:dyDescent="0.25">
      <c r="A338" s="597"/>
      <c r="B338" s="330"/>
      <c r="C338" s="330"/>
      <c r="D338" s="330"/>
      <c r="E338" s="330"/>
      <c r="F338" s="330"/>
      <c r="G338" s="330"/>
      <c r="H338" s="330"/>
      <c r="I338" s="330"/>
      <c r="J338" s="330"/>
      <c r="K338" s="331"/>
      <c r="L338" s="330"/>
      <c r="M338" s="332"/>
      <c r="N338" s="599"/>
    </row>
    <row r="339" spans="1:14" x14ac:dyDescent="0.25">
      <c r="A339" s="597"/>
      <c r="B339" s="330"/>
      <c r="C339" s="330"/>
      <c r="D339" s="330"/>
      <c r="E339" s="330"/>
      <c r="F339" s="330"/>
      <c r="G339" s="330"/>
      <c r="H339" s="330"/>
      <c r="I339" s="330"/>
      <c r="J339" s="330"/>
      <c r="K339" s="331"/>
      <c r="L339" s="330"/>
      <c r="M339" s="332"/>
      <c r="N339" s="599"/>
    </row>
    <row r="340" spans="1:14" x14ac:dyDescent="0.25">
      <c r="A340" s="597"/>
      <c r="B340" s="330"/>
      <c r="C340" s="330"/>
      <c r="D340" s="330"/>
      <c r="E340" s="330"/>
      <c r="F340" s="330"/>
      <c r="G340" s="330"/>
      <c r="H340" s="330"/>
      <c r="I340" s="330"/>
      <c r="J340" s="330"/>
      <c r="K340" s="331"/>
      <c r="L340" s="330"/>
      <c r="M340" s="332"/>
      <c r="N340" s="599"/>
    </row>
    <row r="341" spans="1:14" x14ac:dyDescent="0.25">
      <c r="A341" s="597"/>
      <c r="B341" s="330"/>
      <c r="C341" s="330"/>
      <c r="D341" s="330"/>
      <c r="E341" s="330"/>
      <c r="F341" s="330"/>
      <c r="G341" s="330"/>
      <c r="H341" s="330"/>
      <c r="I341" s="330"/>
      <c r="J341" s="330"/>
      <c r="K341" s="331"/>
      <c r="L341" s="330"/>
      <c r="M341" s="332"/>
      <c r="N341" s="599"/>
    </row>
    <row r="342" spans="1:14" x14ac:dyDescent="0.25">
      <c r="A342" s="597"/>
      <c r="B342" s="330"/>
      <c r="C342" s="330"/>
      <c r="D342" s="330"/>
      <c r="E342" s="330"/>
      <c r="F342" s="330"/>
      <c r="G342" s="330"/>
      <c r="H342" s="330"/>
      <c r="I342" s="330"/>
      <c r="J342" s="330"/>
      <c r="K342" s="331"/>
      <c r="L342" s="330"/>
      <c r="M342" s="332"/>
      <c r="N342" s="599"/>
    </row>
    <row r="343" spans="1:14" x14ac:dyDescent="0.25">
      <c r="A343" s="597"/>
      <c r="B343" s="330"/>
      <c r="C343" s="330"/>
      <c r="D343" s="330"/>
      <c r="E343" s="330"/>
      <c r="F343" s="330"/>
      <c r="G343" s="330"/>
      <c r="H343" s="330"/>
      <c r="I343" s="330"/>
      <c r="J343" s="330"/>
      <c r="K343" s="331"/>
      <c r="L343" s="330"/>
      <c r="M343" s="332"/>
      <c r="N343" s="599"/>
    </row>
    <row r="344" spans="1:14" x14ac:dyDescent="0.25">
      <c r="A344" s="597"/>
      <c r="B344" s="330"/>
      <c r="C344" s="330"/>
      <c r="D344" s="330"/>
      <c r="E344" s="330"/>
      <c r="F344" s="330"/>
      <c r="G344" s="330"/>
      <c r="H344" s="330"/>
      <c r="I344" s="330"/>
      <c r="J344" s="330"/>
      <c r="K344" s="331"/>
      <c r="L344" s="330"/>
      <c r="M344" s="332"/>
      <c r="N344" s="599"/>
    </row>
    <row r="345" spans="1:14" x14ac:dyDescent="0.25">
      <c r="A345" s="597"/>
      <c r="B345" s="330"/>
      <c r="C345" s="330"/>
      <c r="D345" s="330"/>
      <c r="E345" s="330"/>
      <c r="F345" s="330"/>
      <c r="G345" s="330"/>
      <c r="H345" s="330"/>
      <c r="I345" s="330"/>
      <c r="J345" s="330"/>
      <c r="K345" s="331"/>
      <c r="L345" s="330"/>
      <c r="M345" s="332"/>
      <c r="N345" s="599"/>
    </row>
    <row r="346" spans="1:14" x14ac:dyDescent="0.25">
      <c r="A346" s="597"/>
      <c r="B346" s="330"/>
      <c r="C346" s="330"/>
      <c r="D346" s="330"/>
      <c r="E346" s="330"/>
      <c r="F346" s="330"/>
      <c r="G346" s="330"/>
      <c r="H346" s="330"/>
      <c r="I346" s="330"/>
      <c r="J346" s="330"/>
      <c r="K346" s="331"/>
      <c r="L346" s="330"/>
      <c r="M346" s="332"/>
      <c r="N346" s="599"/>
    </row>
    <row r="347" spans="1:14" x14ac:dyDescent="0.25">
      <c r="A347" s="597"/>
      <c r="B347" s="330"/>
      <c r="C347" s="330"/>
      <c r="D347" s="330"/>
      <c r="E347" s="330"/>
      <c r="F347" s="330"/>
      <c r="G347" s="330"/>
      <c r="H347" s="330"/>
      <c r="I347" s="330"/>
      <c r="J347" s="330"/>
      <c r="K347" s="331"/>
      <c r="L347" s="330"/>
      <c r="M347" s="332"/>
      <c r="N347" s="599"/>
    </row>
    <row r="348" spans="1:14" x14ac:dyDescent="0.25">
      <c r="A348" s="597"/>
      <c r="B348" s="330"/>
      <c r="C348" s="330"/>
      <c r="D348" s="330"/>
      <c r="E348" s="330"/>
      <c r="F348" s="330"/>
      <c r="G348" s="330"/>
      <c r="H348" s="330"/>
      <c r="I348" s="330"/>
      <c r="J348" s="330"/>
      <c r="K348" s="331"/>
      <c r="L348" s="330"/>
      <c r="M348" s="332"/>
      <c r="N348" s="599"/>
    </row>
    <row r="349" spans="1:14" x14ac:dyDescent="0.25">
      <c r="A349" s="597"/>
      <c r="B349" s="330"/>
      <c r="C349" s="330"/>
      <c r="D349" s="330"/>
      <c r="E349" s="330"/>
      <c r="F349" s="330"/>
      <c r="G349" s="330"/>
      <c r="H349" s="330"/>
      <c r="I349" s="330"/>
      <c r="J349" s="330"/>
      <c r="K349" s="331"/>
      <c r="L349" s="330"/>
      <c r="M349" s="332"/>
      <c r="N349" s="599"/>
    </row>
    <row r="350" spans="1:14" x14ac:dyDescent="0.25">
      <c r="A350" s="597"/>
      <c r="B350" s="330"/>
      <c r="C350" s="330"/>
      <c r="D350" s="330"/>
      <c r="E350" s="330"/>
      <c r="F350" s="330"/>
      <c r="G350" s="330"/>
      <c r="H350" s="330"/>
      <c r="I350" s="330"/>
      <c r="J350" s="330"/>
      <c r="K350" s="331"/>
      <c r="L350" s="330"/>
      <c r="M350" s="332"/>
      <c r="N350" s="599"/>
    </row>
    <row r="351" spans="1:14" x14ac:dyDescent="0.25">
      <c r="A351" s="597"/>
      <c r="B351" s="330"/>
      <c r="C351" s="330"/>
      <c r="D351" s="330"/>
      <c r="E351" s="330"/>
      <c r="F351" s="330"/>
      <c r="G351" s="330"/>
      <c r="H351" s="330"/>
      <c r="I351" s="330"/>
      <c r="J351" s="330"/>
      <c r="K351" s="331"/>
      <c r="L351" s="330"/>
      <c r="M351" s="332"/>
      <c r="N351" s="599"/>
    </row>
    <row r="352" spans="1:14" x14ac:dyDescent="0.25">
      <c r="A352" s="597"/>
      <c r="B352" s="330"/>
      <c r="C352" s="330"/>
      <c r="D352" s="330"/>
      <c r="E352" s="330"/>
      <c r="F352" s="330"/>
      <c r="G352" s="330"/>
      <c r="H352" s="330"/>
      <c r="I352" s="330"/>
      <c r="J352" s="330"/>
      <c r="K352" s="331"/>
      <c r="L352" s="330"/>
      <c r="M352" s="332"/>
      <c r="N352" s="599"/>
    </row>
    <row r="353" spans="1:14" x14ac:dyDescent="0.25">
      <c r="A353" s="597"/>
      <c r="B353" s="330"/>
      <c r="C353" s="330"/>
      <c r="D353" s="330"/>
      <c r="E353" s="330"/>
      <c r="F353" s="330"/>
      <c r="G353" s="330"/>
      <c r="H353" s="330"/>
      <c r="I353" s="330"/>
      <c r="J353" s="330"/>
      <c r="K353" s="331"/>
      <c r="L353" s="330"/>
      <c r="M353" s="332"/>
      <c r="N353" s="599"/>
    </row>
    <row r="354" spans="1:14" x14ac:dyDescent="0.25">
      <c r="A354" s="597"/>
      <c r="B354" s="330"/>
      <c r="C354" s="330"/>
      <c r="D354" s="330"/>
      <c r="E354" s="330"/>
      <c r="F354" s="330"/>
      <c r="G354" s="330"/>
      <c r="H354" s="330"/>
      <c r="I354" s="330"/>
      <c r="J354" s="330"/>
      <c r="K354" s="331"/>
      <c r="L354" s="330"/>
      <c r="M354" s="332"/>
      <c r="N354" s="599"/>
    </row>
    <row r="355" spans="1:14" x14ac:dyDescent="0.25">
      <c r="A355" s="597"/>
      <c r="B355" s="330"/>
      <c r="C355" s="330"/>
      <c r="D355" s="330"/>
      <c r="E355" s="330"/>
      <c r="F355" s="330"/>
      <c r="G355" s="330"/>
      <c r="H355" s="330"/>
      <c r="I355" s="330"/>
      <c r="J355" s="330"/>
      <c r="K355" s="331"/>
      <c r="L355" s="330"/>
      <c r="M355" s="332"/>
      <c r="N355" s="599"/>
    </row>
    <row r="356" spans="1:14" x14ac:dyDescent="0.25">
      <c r="A356" s="597"/>
      <c r="B356" s="330"/>
      <c r="C356" s="330"/>
      <c r="D356" s="330"/>
      <c r="E356" s="330"/>
      <c r="F356" s="330"/>
      <c r="G356" s="330"/>
      <c r="H356" s="330"/>
      <c r="I356" s="330"/>
      <c r="J356" s="330"/>
      <c r="K356" s="331"/>
      <c r="L356" s="330"/>
      <c r="M356" s="332"/>
      <c r="N356" s="599"/>
    </row>
    <row r="357" spans="1:14" x14ac:dyDescent="0.25">
      <c r="A357" s="597"/>
      <c r="B357" s="330"/>
      <c r="C357" s="330"/>
      <c r="D357" s="330"/>
      <c r="E357" s="330"/>
      <c r="F357" s="330"/>
      <c r="G357" s="330"/>
      <c r="H357" s="330"/>
      <c r="I357" s="330"/>
      <c r="J357" s="330"/>
      <c r="K357" s="331"/>
      <c r="L357" s="330"/>
      <c r="M357" s="332"/>
      <c r="N357" s="599"/>
    </row>
    <row r="358" spans="1:14" x14ac:dyDescent="0.25">
      <c r="A358" s="597"/>
      <c r="B358" s="330"/>
      <c r="C358" s="330"/>
      <c r="D358" s="330"/>
      <c r="E358" s="330"/>
      <c r="F358" s="330"/>
      <c r="G358" s="330"/>
      <c r="H358" s="330"/>
      <c r="I358" s="330"/>
      <c r="J358" s="330"/>
      <c r="K358" s="331"/>
      <c r="L358" s="330"/>
      <c r="M358" s="332"/>
      <c r="N358" s="599"/>
    </row>
    <row r="359" spans="1:14" x14ac:dyDescent="0.25">
      <c r="A359" s="597"/>
      <c r="B359" s="330"/>
      <c r="C359" s="330"/>
      <c r="D359" s="330"/>
      <c r="E359" s="330"/>
      <c r="F359" s="330"/>
      <c r="G359" s="330"/>
      <c r="H359" s="330"/>
      <c r="I359" s="330"/>
      <c r="J359" s="330"/>
      <c r="K359" s="331"/>
      <c r="L359" s="330"/>
      <c r="M359" s="332"/>
      <c r="N359" s="599"/>
    </row>
    <row r="360" spans="1:14" x14ac:dyDescent="0.25">
      <c r="A360" s="597"/>
      <c r="B360" s="330"/>
      <c r="C360" s="330"/>
      <c r="D360" s="330"/>
      <c r="E360" s="330"/>
      <c r="F360" s="330"/>
      <c r="G360" s="330"/>
      <c r="H360" s="330"/>
      <c r="I360" s="330"/>
      <c r="J360" s="330"/>
      <c r="K360" s="331"/>
      <c r="L360" s="330"/>
      <c r="M360" s="332"/>
      <c r="N360" s="599"/>
    </row>
    <row r="361" spans="1:14" x14ac:dyDescent="0.25">
      <c r="A361" s="597"/>
      <c r="B361" s="330"/>
      <c r="C361" s="330"/>
      <c r="D361" s="330"/>
      <c r="E361" s="330"/>
      <c r="F361" s="330"/>
      <c r="G361" s="330"/>
      <c r="H361" s="330"/>
      <c r="I361" s="330"/>
      <c r="J361" s="330"/>
      <c r="K361" s="331"/>
      <c r="L361" s="330"/>
      <c r="M361" s="332"/>
      <c r="N361" s="599"/>
    </row>
    <row r="362" spans="1:14" x14ac:dyDescent="0.25">
      <c r="A362" s="597"/>
      <c r="B362" s="330"/>
      <c r="C362" s="330"/>
      <c r="D362" s="330"/>
      <c r="E362" s="330"/>
      <c r="F362" s="330"/>
      <c r="G362" s="330"/>
      <c r="H362" s="330"/>
      <c r="I362" s="330"/>
      <c r="J362" s="330"/>
      <c r="K362" s="331"/>
      <c r="L362" s="330"/>
      <c r="M362" s="332"/>
      <c r="N362" s="599"/>
    </row>
    <row r="363" spans="1:14" x14ac:dyDescent="0.25">
      <c r="A363" s="597"/>
      <c r="B363" s="330"/>
      <c r="C363" s="330"/>
      <c r="D363" s="330"/>
      <c r="E363" s="330"/>
      <c r="F363" s="330"/>
      <c r="G363" s="330"/>
      <c r="H363" s="330"/>
      <c r="I363" s="330"/>
      <c r="J363" s="330"/>
      <c r="K363" s="331"/>
      <c r="L363" s="330"/>
      <c r="M363" s="332"/>
      <c r="N363" s="599"/>
    </row>
    <row r="364" spans="1:14" x14ac:dyDescent="0.25">
      <c r="A364" s="597"/>
      <c r="B364" s="330"/>
      <c r="C364" s="330"/>
      <c r="D364" s="330"/>
      <c r="E364" s="330"/>
      <c r="F364" s="330"/>
      <c r="G364" s="330"/>
      <c r="H364" s="330"/>
      <c r="I364" s="330"/>
      <c r="J364" s="330"/>
      <c r="K364" s="331"/>
      <c r="L364" s="330"/>
      <c r="M364" s="332"/>
      <c r="N364" s="599"/>
    </row>
    <row r="365" spans="1:14" x14ac:dyDescent="0.25">
      <c r="A365" s="597"/>
      <c r="B365" s="330"/>
      <c r="C365" s="330"/>
      <c r="D365" s="330"/>
      <c r="E365" s="330"/>
      <c r="F365" s="330"/>
      <c r="G365" s="330"/>
      <c r="H365" s="330"/>
      <c r="I365" s="330"/>
      <c r="J365" s="330"/>
      <c r="K365" s="331"/>
      <c r="L365" s="330"/>
      <c r="M365" s="332"/>
      <c r="N365" s="599"/>
    </row>
    <row r="366" spans="1:14" x14ac:dyDescent="0.25">
      <c r="A366" s="597"/>
      <c r="B366" s="330"/>
      <c r="C366" s="330"/>
      <c r="D366" s="330"/>
      <c r="E366" s="330"/>
      <c r="F366" s="330"/>
      <c r="G366" s="330"/>
      <c r="H366" s="330"/>
      <c r="I366" s="330"/>
      <c r="J366" s="330"/>
      <c r="K366" s="331"/>
      <c r="L366" s="330"/>
      <c r="M366" s="332"/>
      <c r="N366" s="599"/>
    </row>
    <row r="367" spans="1:14" x14ac:dyDescent="0.25">
      <c r="A367" s="597"/>
      <c r="B367" s="330"/>
      <c r="C367" s="330"/>
      <c r="D367" s="330"/>
      <c r="E367" s="330"/>
      <c r="F367" s="330"/>
      <c r="G367" s="330"/>
      <c r="H367" s="330"/>
      <c r="I367" s="330"/>
      <c r="J367" s="330"/>
      <c r="K367" s="331"/>
      <c r="L367" s="330"/>
      <c r="M367" s="332"/>
      <c r="N367" s="599"/>
    </row>
    <row r="368" spans="1:14" x14ac:dyDescent="0.25">
      <c r="A368" s="597"/>
      <c r="B368" s="330"/>
      <c r="C368" s="330"/>
      <c r="D368" s="330"/>
      <c r="E368" s="330"/>
      <c r="F368" s="330"/>
      <c r="G368" s="330"/>
      <c r="H368" s="330"/>
      <c r="I368" s="330"/>
      <c r="J368" s="330"/>
      <c r="K368" s="331"/>
      <c r="L368" s="330"/>
      <c r="M368" s="332"/>
      <c r="N368" s="599"/>
    </row>
    <row r="369" spans="1:14" x14ac:dyDescent="0.25">
      <c r="A369" s="597"/>
      <c r="B369" s="330"/>
      <c r="C369" s="330"/>
      <c r="D369" s="330"/>
      <c r="E369" s="330"/>
      <c r="F369" s="330"/>
      <c r="G369" s="330"/>
      <c r="H369" s="330"/>
      <c r="I369" s="330"/>
      <c r="J369" s="330"/>
      <c r="K369" s="331"/>
      <c r="L369" s="330"/>
      <c r="M369" s="332"/>
      <c r="N369" s="599"/>
    </row>
    <row r="370" spans="1:14" x14ac:dyDescent="0.25">
      <c r="A370" s="597"/>
      <c r="B370" s="330"/>
      <c r="C370" s="330"/>
      <c r="D370" s="330"/>
      <c r="E370" s="330"/>
      <c r="F370" s="330"/>
      <c r="G370" s="330"/>
      <c r="H370" s="330"/>
      <c r="I370" s="330"/>
      <c r="J370" s="330"/>
      <c r="K370" s="331"/>
      <c r="L370" s="330"/>
      <c r="M370" s="332"/>
      <c r="N370" s="599"/>
    </row>
    <row r="371" spans="1:14" x14ac:dyDescent="0.25">
      <c r="A371" s="597"/>
      <c r="B371" s="330"/>
      <c r="C371" s="330"/>
      <c r="D371" s="330"/>
      <c r="E371" s="330"/>
      <c r="F371" s="330"/>
      <c r="G371" s="330"/>
      <c r="H371" s="330"/>
      <c r="I371" s="330"/>
      <c r="J371" s="330"/>
      <c r="K371" s="331"/>
      <c r="L371" s="330"/>
      <c r="M371" s="332"/>
      <c r="N371" s="599"/>
    </row>
    <row r="372" spans="1:14" x14ac:dyDescent="0.25">
      <c r="A372" s="597"/>
      <c r="B372" s="330"/>
      <c r="C372" s="330"/>
      <c r="D372" s="330"/>
      <c r="E372" s="330"/>
      <c r="F372" s="330"/>
      <c r="G372" s="330"/>
      <c r="H372" s="330"/>
      <c r="I372" s="330"/>
      <c r="J372" s="330"/>
      <c r="K372" s="331"/>
      <c r="L372" s="330"/>
      <c r="M372" s="332"/>
      <c r="N372" s="599"/>
    </row>
    <row r="373" spans="1:14" x14ac:dyDescent="0.25">
      <c r="A373" s="597"/>
      <c r="B373" s="330"/>
      <c r="C373" s="330"/>
      <c r="D373" s="330"/>
      <c r="E373" s="330"/>
      <c r="F373" s="330"/>
      <c r="G373" s="330"/>
      <c r="H373" s="330"/>
      <c r="I373" s="330"/>
      <c r="J373" s="330"/>
      <c r="K373" s="331"/>
      <c r="L373" s="330"/>
      <c r="M373" s="332"/>
      <c r="N373" s="599"/>
    </row>
    <row r="374" spans="1:14" x14ac:dyDescent="0.25">
      <c r="A374" s="597"/>
      <c r="B374" s="330"/>
      <c r="C374" s="330"/>
      <c r="D374" s="330"/>
      <c r="E374" s="330"/>
      <c r="F374" s="330"/>
      <c r="G374" s="330"/>
      <c r="H374" s="330"/>
      <c r="I374" s="330"/>
      <c r="J374" s="330"/>
      <c r="K374" s="331"/>
      <c r="L374" s="330"/>
      <c r="M374" s="332"/>
      <c r="N374" s="599"/>
    </row>
    <row r="375" spans="1:14" x14ac:dyDescent="0.25">
      <c r="A375" s="597"/>
      <c r="B375" s="330"/>
      <c r="C375" s="330"/>
      <c r="D375" s="330"/>
      <c r="E375" s="330"/>
      <c r="F375" s="330"/>
      <c r="G375" s="330"/>
      <c r="H375" s="330"/>
      <c r="I375" s="330"/>
      <c r="J375" s="330"/>
      <c r="K375" s="331"/>
      <c r="L375" s="330"/>
      <c r="M375" s="332"/>
      <c r="N375" s="599"/>
    </row>
    <row r="376" spans="1:14" x14ac:dyDescent="0.25">
      <c r="A376" s="597"/>
      <c r="B376" s="330"/>
      <c r="C376" s="330"/>
      <c r="D376" s="330"/>
      <c r="E376" s="330"/>
      <c r="F376" s="330"/>
      <c r="G376" s="330"/>
      <c r="H376" s="330"/>
      <c r="I376" s="330"/>
      <c r="J376" s="330"/>
      <c r="K376" s="331"/>
      <c r="L376" s="330"/>
      <c r="M376" s="332"/>
      <c r="N376" s="599"/>
    </row>
    <row r="377" spans="1:14" x14ac:dyDescent="0.25">
      <c r="A377" s="597"/>
      <c r="B377" s="330"/>
      <c r="C377" s="330"/>
      <c r="D377" s="330"/>
      <c r="E377" s="330"/>
      <c r="F377" s="330"/>
      <c r="G377" s="330"/>
      <c r="H377" s="330"/>
      <c r="I377" s="330"/>
      <c r="J377" s="330"/>
      <c r="K377" s="331"/>
      <c r="L377" s="330"/>
      <c r="M377" s="332"/>
      <c r="N377" s="599"/>
    </row>
    <row r="378" spans="1:14" x14ac:dyDescent="0.25">
      <c r="A378" s="597"/>
      <c r="B378" s="330"/>
      <c r="C378" s="330"/>
      <c r="D378" s="330"/>
      <c r="E378" s="330"/>
      <c r="F378" s="330"/>
      <c r="G378" s="330"/>
      <c r="H378" s="330"/>
      <c r="I378" s="330"/>
      <c r="J378" s="330"/>
      <c r="K378" s="331"/>
      <c r="L378" s="330"/>
      <c r="M378" s="332"/>
      <c r="N378" s="599"/>
    </row>
    <row r="379" spans="1:14" x14ac:dyDescent="0.25">
      <c r="A379" s="597"/>
      <c r="B379" s="330"/>
      <c r="C379" s="330"/>
      <c r="D379" s="330"/>
      <c r="E379" s="330"/>
      <c r="F379" s="330"/>
      <c r="G379" s="330"/>
      <c r="H379" s="330"/>
      <c r="I379" s="330"/>
      <c r="J379" s="330"/>
      <c r="K379" s="331"/>
      <c r="L379" s="330"/>
      <c r="M379" s="332"/>
      <c r="N379" s="599"/>
    </row>
    <row r="380" spans="1:14" x14ac:dyDescent="0.25">
      <c r="A380" s="597"/>
      <c r="B380" s="330"/>
      <c r="C380" s="330"/>
      <c r="D380" s="330"/>
      <c r="E380" s="330"/>
      <c r="F380" s="330"/>
      <c r="G380" s="330"/>
      <c r="H380" s="330"/>
      <c r="I380" s="330"/>
      <c r="J380" s="330"/>
      <c r="K380" s="331"/>
      <c r="L380" s="330"/>
      <c r="M380" s="332"/>
      <c r="N380" s="599"/>
    </row>
    <row r="381" spans="1:14" x14ac:dyDescent="0.25">
      <c r="A381" s="597"/>
      <c r="B381" s="330"/>
      <c r="C381" s="330"/>
      <c r="D381" s="330"/>
      <c r="E381" s="330"/>
      <c r="F381" s="330"/>
      <c r="G381" s="330"/>
      <c r="H381" s="330"/>
      <c r="I381" s="330"/>
      <c r="J381" s="330"/>
      <c r="K381" s="331"/>
      <c r="L381" s="330"/>
      <c r="M381" s="332"/>
      <c r="N381" s="599"/>
    </row>
    <row r="382" spans="1:14" x14ac:dyDescent="0.25">
      <c r="A382" s="597"/>
      <c r="B382" s="330"/>
      <c r="C382" s="330"/>
      <c r="D382" s="330"/>
      <c r="E382" s="330"/>
      <c r="F382" s="330"/>
      <c r="G382" s="330"/>
      <c r="H382" s="330"/>
      <c r="I382" s="330"/>
      <c r="J382" s="330"/>
      <c r="K382" s="331"/>
      <c r="L382" s="330"/>
      <c r="M382" s="332"/>
      <c r="N382" s="599"/>
    </row>
    <row r="383" spans="1:14" x14ac:dyDescent="0.25">
      <c r="A383" s="597"/>
      <c r="B383" s="330"/>
      <c r="C383" s="330"/>
      <c r="D383" s="330"/>
      <c r="E383" s="330"/>
      <c r="F383" s="330"/>
      <c r="G383" s="330"/>
      <c r="H383" s="330"/>
      <c r="I383" s="330"/>
      <c r="J383" s="330"/>
      <c r="K383" s="331"/>
      <c r="L383" s="330"/>
      <c r="M383" s="332"/>
      <c r="N383" s="599"/>
    </row>
    <row r="384" spans="1:14" x14ac:dyDescent="0.25">
      <c r="A384" s="597"/>
      <c r="B384" s="330"/>
      <c r="C384" s="330"/>
      <c r="D384" s="330"/>
      <c r="E384" s="330"/>
      <c r="F384" s="330"/>
      <c r="G384" s="330"/>
      <c r="H384" s="330"/>
      <c r="I384" s="330"/>
      <c r="J384" s="330"/>
      <c r="K384" s="331"/>
      <c r="L384" s="330"/>
      <c r="M384" s="332"/>
      <c r="N384" s="599"/>
    </row>
    <row r="385" spans="1:14" x14ac:dyDescent="0.25">
      <c r="A385" s="597"/>
      <c r="B385" s="330"/>
      <c r="C385" s="330"/>
      <c r="D385" s="330"/>
      <c r="E385" s="330"/>
      <c r="F385" s="330"/>
      <c r="G385" s="330"/>
      <c r="H385" s="330"/>
      <c r="I385" s="330"/>
      <c r="J385" s="330"/>
      <c r="K385" s="331"/>
      <c r="L385" s="330"/>
      <c r="M385" s="332"/>
      <c r="N385" s="599"/>
    </row>
    <row r="386" spans="1:14" x14ac:dyDescent="0.25">
      <c r="A386" s="597"/>
      <c r="B386" s="330"/>
      <c r="C386" s="330"/>
      <c r="D386" s="330"/>
      <c r="E386" s="330"/>
      <c r="F386" s="330"/>
      <c r="G386" s="330"/>
      <c r="H386" s="330"/>
      <c r="I386" s="330"/>
      <c r="J386" s="330"/>
      <c r="K386" s="331"/>
      <c r="L386" s="330"/>
      <c r="M386" s="332"/>
      <c r="N386" s="599"/>
    </row>
    <row r="387" spans="1:14" x14ac:dyDescent="0.25">
      <c r="A387" s="597"/>
      <c r="B387" s="330"/>
      <c r="C387" s="330"/>
      <c r="D387" s="330"/>
      <c r="E387" s="330"/>
      <c r="F387" s="330"/>
      <c r="G387" s="330"/>
      <c r="H387" s="330"/>
      <c r="I387" s="330"/>
      <c r="J387" s="330"/>
      <c r="K387" s="331"/>
      <c r="L387" s="330"/>
      <c r="M387" s="332"/>
      <c r="N387" s="599"/>
    </row>
    <row r="388" spans="1:14" x14ac:dyDescent="0.25">
      <c r="A388" s="597"/>
      <c r="B388" s="330"/>
      <c r="C388" s="330"/>
      <c r="D388" s="330"/>
      <c r="E388" s="330"/>
      <c r="F388" s="330"/>
      <c r="G388" s="330"/>
      <c r="H388" s="330"/>
      <c r="I388" s="330"/>
      <c r="J388" s="330"/>
      <c r="K388" s="331"/>
      <c r="L388" s="330"/>
      <c r="M388" s="332"/>
      <c r="N388" s="599"/>
    </row>
    <row r="389" spans="1:14" x14ac:dyDescent="0.25">
      <c r="A389" s="597"/>
      <c r="B389" s="330"/>
      <c r="C389" s="330"/>
      <c r="D389" s="330"/>
      <c r="E389" s="330"/>
      <c r="F389" s="330"/>
      <c r="G389" s="330"/>
      <c r="H389" s="330"/>
      <c r="I389" s="330"/>
      <c r="J389" s="330"/>
      <c r="K389" s="331"/>
      <c r="L389" s="330"/>
      <c r="M389" s="332"/>
      <c r="N389" s="599"/>
    </row>
    <row r="390" spans="1:14" x14ac:dyDescent="0.25">
      <c r="A390" s="597"/>
      <c r="B390" s="330"/>
      <c r="C390" s="330"/>
      <c r="D390" s="330"/>
      <c r="E390" s="330"/>
      <c r="F390" s="330"/>
      <c r="G390" s="330"/>
      <c r="H390" s="330"/>
      <c r="I390" s="330"/>
      <c r="J390" s="330"/>
      <c r="K390" s="331"/>
      <c r="L390" s="330"/>
      <c r="M390" s="332"/>
      <c r="N390" s="599"/>
    </row>
    <row r="391" spans="1:14" x14ac:dyDescent="0.25">
      <c r="A391" s="597"/>
      <c r="B391" s="330"/>
      <c r="C391" s="330"/>
      <c r="D391" s="330"/>
      <c r="E391" s="330"/>
      <c r="F391" s="330"/>
      <c r="G391" s="330"/>
      <c r="H391" s="330"/>
      <c r="I391" s="330"/>
      <c r="J391" s="330"/>
      <c r="K391" s="331"/>
      <c r="L391" s="330"/>
      <c r="M391" s="332"/>
      <c r="N391" s="599"/>
    </row>
    <row r="392" spans="1:14" x14ac:dyDescent="0.25">
      <c r="A392" s="597"/>
      <c r="B392" s="330"/>
      <c r="C392" s="330"/>
      <c r="D392" s="330"/>
      <c r="E392" s="330"/>
      <c r="F392" s="330"/>
      <c r="G392" s="330"/>
      <c r="H392" s="330"/>
      <c r="I392" s="330"/>
      <c r="J392" s="330"/>
      <c r="K392" s="331"/>
      <c r="L392" s="330"/>
      <c r="M392" s="332"/>
      <c r="N392" s="599"/>
    </row>
    <row r="393" spans="1:14" x14ac:dyDescent="0.25">
      <c r="A393" s="597"/>
      <c r="B393" s="330"/>
      <c r="C393" s="330"/>
      <c r="D393" s="330"/>
      <c r="E393" s="330"/>
      <c r="F393" s="330"/>
      <c r="G393" s="330"/>
      <c r="H393" s="330"/>
      <c r="I393" s="330"/>
      <c r="J393" s="330"/>
      <c r="K393" s="331"/>
      <c r="L393" s="330"/>
      <c r="M393" s="332"/>
      <c r="N393" s="599"/>
    </row>
    <row r="394" spans="1:14" x14ac:dyDescent="0.25">
      <c r="A394" s="597"/>
      <c r="B394" s="330"/>
      <c r="C394" s="330"/>
      <c r="D394" s="330"/>
      <c r="E394" s="330"/>
      <c r="F394" s="330"/>
      <c r="G394" s="330"/>
      <c r="H394" s="330"/>
      <c r="I394" s="330"/>
      <c r="J394" s="330"/>
      <c r="K394" s="331"/>
      <c r="L394" s="330"/>
      <c r="M394" s="332"/>
      <c r="N394" s="599"/>
    </row>
    <row r="395" spans="1:14" x14ac:dyDescent="0.25">
      <c r="A395" s="597"/>
      <c r="B395" s="330"/>
      <c r="C395" s="330"/>
      <c r="D395" s="330"/>
      <c r="E395" s="330"/>
      <c r="F395" s="330"/>
      <c r="G395" s="330"/>
      <c r="H395" s="330"/>
      <c r="I395" s="330"/>
      <c r="J395" s="330"/>
      <c r="K395" s="331"/>
      <c r="L395" s="330"/>
      <c r="M395" s="332"/>
      <c r="N395" s="599"/>
    </row>
    <row r="396" spans="1:14" x14ac:dyDescent="0.25">
      <c r="A396" s="597"/>
      <c r="B396" s="330"/>
      <c r="C396" s="330"/>
      <c r="D396" s="330"/>
      <c r="E396" s="330"/>
      <c r="F396" s="330"/>
      <c r="G396" s="330"/>
      <c r="H396" s="330"/>
      <c r="I396" s="330"/>
      <c r="J396" s="330"/>
      <c r="K396" s="331"/>
      <c r="L396" s="330"/>
      <c r="M396" s="332"/>
      <c r="N396" s="599"/>
    </row>
    <row r="397" spans="1:14" x14ac:dyDescent="0.25">
      <c r="A397" s="597"/>
      <c r="B397" s="330"/>
      <c r="C397" s="330"/>
      <c r="D397" s="330"/>
      <c r="E397" s="330"/>
      <c r="F397" s="330"/>
      <c r="G397" s="330"/>
      <c r="H397" s="330"/>
      <c r="I397" s="330"/>
      <c r="J397" s="330"/>
      <c r="K397" s="331"/>
      <c r="L397" s="330"/>
      <c r="M397" s="332"/>
      <c r="N397" s="599"/>
    </row>
    <row r="398" spans="1:14" x14ac:dyDescent="0.25">
      <c r="A398" s="597"/>
      <c r="B398" s="330"/>
      <c r="C398" s="330"/>
      <c r="D398" s="330"/>
      <c r="E398" s="330"/>
      <c r="F398" s="330"/>
      <c r="G398" s="330"/>
      <c r="H398" s="330"/>
      <c r="I398" s="330"/>
      <c r="J398" s="330"/>
      <c r="K398" s="331"/>
      <c r="L398" s="330"/>
      <c r="M398" s="332"/>
      <c r="N398" s="599"/>
    </row>
    <row r="399" spans="1:14" x14ac:dyDescent="0.25">
      <c r="A399" s="597"/>
      <c r="B399" s="330"/>
      <c r="C399" s="330"/>
      <c r="D399" s="330"/>
      <c r="E399" s="330"/>
      <c r="F399" s="330"/>
      <c r="G399" s="330"/>
      <c r="H399" s="330"/>
      <c r="I399" s="330"/>
      <c r="J399" s="330"/>
      <c r="K399" s="331"/>
      <c r="L399" s="330"/>
      <c r="M399" s="332"/>
      <c r="N399" s="599"/>
    </row>
    <row r="400" spans="1:14" x14ac:dyDescent="0.25">
      <c r="A400" s="597"/>
      <c r="B400" s="330"/>
      <c r="C400" s="330"/>
      <c r="D400" s="330"/>
      <c r="E400" s="330"/>
      <c r="F400" s="330"/>
      <c r="G400" s="330"/>
      <c r="H400" s="330"/>
      <c r="I400" s="330"/>
      <c r="J400" s="330"/>
      <c r="K400" s="331"/>
      <c r="L400" s="330"/>
      <c r="M400" s="332"/>
      <c r="N400" s="599"/>
    </row>
    <row r="401" spans="1:14" x14ac:dyDescent="0.25">
      <c r="A401" s="597"/>
      <c r="B401" s="330"/>
      <c r="C401" s="330"/>
      <c r="D401" s="330"/>
      <c r="E401" s="330"/>
      <c r="F401" s="330"/>
      <c r="G401" s="330"/>
      <c r="H401" s="330"/>
      <c r="I401" s="330"/>
      <c r="J401" s="330"/>
      <c r="K401" s="331"/>
      <c r="L401" s="330"/>
      <c r="M401" s="332"/>
      <c r="N401" s="599"/>
    </row>
    <row r="402" spans="1:14" x14ac:dyDescent="0.25">
      <c r="A402" s="597"/>
      <c r="B402" s="330"/>
      <c r="C402" s="330"/>
      <c r="D402" s="330"/>
      <c r="E402" s="330"/>
      <c r="F402" s="330"/>
      <c r="G402" s="330"/>
      <c r="H402" s="330"/>
      <c r="I402" s="330"/>
      <c r="J402" s="330"/>
      <c r="K402" s="331"/>
      <c r="L402" s="330"/>
      <c r="M402" s="332"/>
      <c r="N402" s="599"/>
    </row>
    <row r="403" spans="1:14" x14ac:dyDescent="0.25">
      <c r="A403" s="597"/>
      <c r="B403" s="330"/>
      <c r="C403" s="330"/>
      <c r="D403" s="330"/>
      <c r="E403" s="330"/>
      <c r="F403" s="330"/>
      <c r="G403" s="330"/>
      <c r="H403" s="330"/>
      <c r="I403" s="330"/>
      <c r="J403" s="330"/>
      <c r="K403" s="331"/>
      <c r="L403" s="330"/>
      <c r="M403" s="332"/>
      <c r="N403" s="599"/>
    </row>
    <row r="404" spans="1:14" x14ac:dyDescent="0.25">
      <c r="A404" s="597"/>
      <c r="B404" s="330"/>
      <c r="C404" s="330"/>
      <c r="D404" s="330"/>
      <c r="E404" s="330"/>
      <c r="F404" s="330"/>
      <c r="G404" s="330"/>
      <c r="H404" s="330"/>
      <c r="I404" s="330"/>
      <c r="J404" s="330"/>
      <c r="K404" s="331"/>
      <c r="L404" s="330"/>
      <c r="M404" s="332"/>
      <c r="N404" s="599"/>
    </row>
    <row r="405" spans="1:14" x14ac:dyDescent="0.25">
      <c r="A405" s="597"/>
      <c r="B405" s="330"/>
      <c r="C405" s="330"/>
      <c r="D405" s="330"/>
      <c r="E405" s="330"/>
      <c r="F405" s="330"/>
      <c r="G405" s="330"/>
      <c r="H405" s="330"/>
      <c r="I405" s="330"/>
      <c r="J405" s="330"/>
      <c r="K405" s="331"/>
      <c r="L405" s="330"/>
      <c r="M405" s="332"/>
      <c r="N405" s="599"/>
    </row>
    <row r="406" spans="1:14" x14ac:dyDescent="0.25">
      <c r="A406" s="597"/>
      <c r="B406" s="330"/>
      <c r="C406" s="330"/>
      <c r="D406" s="330"/>
      <c r="E406" s="330"/>
      <c r="F406" s="330"/>
      <c r="G406" s="330"/>
      <c r="H406" s="330"/>
      <c r="I406" s="330"/>
      <c r="J406" s="330"/>
      <c r="K406" s="331"/>
      <c r="L406" s="330"/>
      <c r="M406" s="332"/>
      <c r="N406" s="599"/>
    </row>
    <row r="407" spans="1:14" x14ac:dyDescent="0.25">
      <c r="A407" s="597"/>
      <c r="B407" s="330"/>
      <c r="C407" s="330"/>
      <c r="D407" s="330"/>
      <c r="E407" s="330"/>
      <c r="F407" s="330"/>
      <c r="G407" s="330"/>
      <c r="H407" s="330"/>
      <c r="I407" s="330"/>
      <c r="J407" s="330"/>
      <c r="K407" s="331"/>
      <c r="L407" s="330"/>
      <c r="M407" s="332"/>
      <c r="N407" s="599"/>
    </row>
    <row r="408" spans="1:14" x14ac:dyDescent="0.25">
      <c r="A408" s="597"/>
      <c r="B408" s="330"/>
      <c r="C408" s="330"/>
      <c r="D408" s="330"/>
      <c r="E408" s="330"/>
      <c r="F408" s="330"/>
      <c r="G408" s="330"/>
      <c r="H408" s="330"/>
      <c r="I408" s="330"/>
      <c r="J408" s="330"/>
      <c r="K408" s="331"/>
      <c r="L408" s="330"/>
      <c r="M408" s="332"/>
      <c r="N408" s="599"/>
    </row>
    <row r="409" spans="1:14" x14ac:dyDescent="0.25">
      <c r="A409" s="597"/>
      <c r="B409" s="330"/>
      <c r="C409" s="330"/>
      <c r="D409" s="330"/>
      <c r="E409" s="330"/>
      <c r="F409" s="330"/>
      <c r="G409" s="330"/>
      <c r="H409" s="330"/>
      <c r="I409" s="330"/>
      <c r="J409" s="330"/>
      <c r="K409" s="331"/>
      <c r="L409" s="330"/>
      <c r="M409" s="332"/>
      <c r="N409" s="599"/>
    </row>
    <row r="410" spans="1:14" x14ac:dyDescent="0.25">
      <c r="A410" s="597"/>
      <c r="B410" s="330"/>
      <c r="C410" s="330"/>
      <c r="D410" s="330"/>
      <c r="E410" s="330"/>
      <c r="F410" s="330"/>
      <c r="G410" s="330"/>
      <c r="H410" s="330"/>
      <c r="I410" s="330"/>
      <c r="J410" s="330"/>
      <c r="K410" s="331"/>
      <c r="L410" s="330"/>
      <c r="M410" s="332"/>
      <c r="N410" s="599"/>
    </row>
    <row r="411" spans="1:14" x14ac:dyDescent="0.25">
      <c r="A411" s="597"/>
      <c r="B411" s="330"/>
      <c r="C411" s="330"/>
      <c r="D411" s="330"/>
      <c r="E411" s="330"/>
      <c r="F411" s="330"/>
      <c r="G411" s="330"/>
      <c r="H411" s="330"/>
      <c r="I411" s="330"/>
      <c r="J411" s="330"/>
      <c r="K411" s="331"/>
      <c r="L411" s="330"/>
      <c r="M411" s="332"/>
      <c r="N411" s="599"/>
    </row>
    <row r="412" spans="1:14" x14ac:dyDescent="0.25">
      <c r="A412" s="597"/>
      <c r="B412" s="330"/>
      <c r="C412" s="330"/>
      <c r="D412" s="330"/>
      <c r="E412" s="330"/>
      <c r="F412" s="330"/>
      <c r="G412" s="330"/>
      <c r="H412" s="330"/>
      <c r="I412" s="330"/>
      <c r="J412" s="330"/>
      <c r="K412" s="331"/>
      <c r="L412" s="330"/>
      <c r="M412" s="332"/>
      <c r="N412" s="599"/>
    </row>
    <row r="413" spans="1:14" x14ac:dyDescent="0.25">
      <c r="A413" s="597"/>
      <c r="B413" s="330"/>
      <c r="C413" s="330"/>
      <c r="D413" s="330"/>
      <c r="E413" s="330"/>
      <c r="F413" s="330"/>
      <c r="G413" s="330"/>
      <c r="H413" s="330"/>
      <c r="I413" s="330"/>
      <c r="J413" s="330"/>
      <c r="K413" s="331"/>
      <c r="L413" s="330"/>
      <c r="M413" s="332"/>
      <c r="N413" s="599"/>
    </row>
    <row r="414" spans="1:14" x14ac:dyDescent="0.25">
      <c r="A414" s="597"/>
      <c r="B414" s="330"/>
      <c r="C414" s="330"/>
      <c r="D414" s="330"/>
      <c r="E414" s="330"/>
      <c r="F414" s="330"/>
      <c r="G414" s="330"/>
      <c r="H414" s="330"/>
      <c r="I414" s="330"/>
      <c r="J414" s="330"/>
      <c r="K414" s="331"/>
      <c r="L414" s="330"/>
      <c r="M414" s="332"/>
      <c r="N414" s="599"/>
    </row>
    <row r="415" spans="1:14" x14ac:dyDescent="0.25">
      <c r="A415" s="597"/>
      <c r="B415" s="330"/>
      <c r="C415" s="330"/>
      <c r="D415" s="330"/>
      <c r="E415" s="330"/>
      <c r="F415" s="330"/>
      <c r="G415" s="330"/>
      <c r="H415" s="330"/>
      <c r="I415" s="330"/>
      <c r="J415" s="330"/>
      <c r="K415" s="331"/>
      <c r="L415" s="330"/>
      <c r="M415" s="332"/>
      <c r="N415" s="599"/>
    </row>
    <row r="416" spans="1:14" x14ac:dyDescent="0.25">
      <c r="A416" s="597"/>
      <c r="B416" s="330"/>
      <c r="C416" s="330"/>
      <c r="D416" s="330"/>
      <c r="E416" s="330"/>
      <c r="F416" s="330"/>
      <c r="G416" s="330"/>
      <c r="H416" s="330"/>
      <c r="I416" s="330"/>
      <c r="J416" s="330"/>
      <c r="K416" s="331"/>
      <c r="L416" s="330"/>
      <c r="M416" s="332"/>
      <c r="N416" s="599"/>
    </row>
    <row r="417" spans="1:14" x14ac:dyDescent="0.25">
      <c r="A417" s="597"/>
      <c r="B417" s="330"/>
      <c r="C417" s="330"/>
      <c r="D417" s="330"/>
      <c r="E417" s="330"/>
      <c r="F417" s="330"/>
      <c r="G417" s="330"/>
      <c r="H417" s="330"/>
      <c r="I417" s="330"/>
      <c r="J417" s="330"/>
      <c r="K417" s="331"/>
      <c r="L417" s="330"/>
      <c r="M417" s="332"/>
      <c r="N417" s="599"/>
    </row>
    <row r="418" spans="1:14" x14ac:dyDescent="0.25">
      <c r="A418" s="597"/>
      <c r="B418" s="330"/>
      <c r="C418" s="330"/>
      <c r="D418" s="330"/>
      <c r="E418" s="330"/>
      <c r="F418" s="330"/>
      <c r="G418" s="330"/>
      <c r="H418" s="330"/>
      <c r="I418" s="330"/>
      <c r="J418" s="330"/>
      <c r="K418" s="331"/>
      <c r="L418" s="330"/>
      <c r="M418" s="332"/>
      <c r="N418" s="599"/>
    </row>
    <row r="419" spans="1:14" x14ac:dyDescent="0.25">
      <c r="A419" s="597"/>
      <c r="B419" s="330"/>
      <c r="C419" s="330"/>
      <c r="D419" s="330"/>
      <c r="E419" s="330"/>
      <c r="F419" s="330"/>
      <c r="G419" s="330"/>
      <c r="H419" s="330"/>
      <c r="I419" s="330"/>
      <c r="J419" s="330"/>
      <c r="K419" s="331"/>
      <c r="L419" s="330"/>
      <c r="M419" s="332"/>
      <c r="N419" s="599"/>
    </row>
    <row r="420" spans="1:14" x14ac:dyDescent="0.25">
      <c r="A420" s="597"/>
      <c r="B420" s="330"/>
      <c r="C420" s="330"/>
      <c r="D420" s="330"/>
      <c r="E420" s="330"/>
      <c r="F420" s="330"/>
      <c r="G420" s="330"/>
      <c r="H420" s="330"/>
      <c r="I420" s="330"/>
      <c r="J420" s="330"/>
      <c r="K420" s="331"/>
      <c r="L420" s="330"/>
      <c r="M420" s="332"/>
      <c r="N420" s="599"/>
    </row>
    <row r="421" spans="1:14" x14ac:dyDescent="0.25">
      <c r="A421" s="597"/>
      <c r="B421" s="330"/>
      <c r="C421" s="330"/>
      <c r="D421" s="330"/>
      <c r="E421" s="330"/>
      <c r="F421" s="330"/>
      <c r="G421" s="330"/>
      <c r="H421" s="330"/>
      <c r="I421" s="330"/>
      <c r="J421" s="330"/>
      <c r="K421" s="331"/>
      <c r="L421" s="330"/>
      <c r="M421" s="332"/>
      <c r="N421" s="599"/>
    </row>
    <row r="422" spans="1:14" x14ac:dyDescent="0.25">
      <c r="A422" s="597"/>
      <c r="B422" s="330"/>
      <c r="C422" s="330"/>
      <c r="D422" s="330"/>
      <c r="E422" s="330"/>
      <c r="F422" s="330"/>
      <c r="G422" s="330"/>
      <c r="H422" s="330"/>
      <c r="I422" s="330"/>
      <c r="J422" s="330"/>
      <c r="K422" s="331"/>
      <c r="L422" s="330"/>
      <c r="M422" s="332"/>
      <c r="N422" s="599"/>
    </row>
    <row r="423" spans="1:14" x14ac:dyDescent="0.25">
      <c r="A423" s="597"/>
      <c r="B423" s="330"/>
      <c r="C423" s="330"/>
      <c r="D423" s="330"/>
      <c r="E423" s="330"/>
      <c r="F423" s="330"/>
      <c r="G423" s="330"/>
      <c r="H423" s="330"/>
      <c r="I423" s="330"/>
      <c r="J423" s="330"/>
      <c r="K423" s="331"/>
      <c r="L423" s="330"/>
      <c r="M423" s="332"/>
      <c r="N423" s="599"/>
    </row>
    <row r="424" spans="1:14" x14ac:dyDescent="0.25">
      <c r="A424" s="597"/>
      <c r="B424" s="330"/>
      <c r="C424" s="330"/>
      <c r="D424" s="330"/>
      <c r="E424" s="330"/>
      <c r="F424" s="330"/>
      <c r="G424" s="330"/>
      <c r="H424" s="330"/>
      <c r="I424" s="330"/>
      <c r="J424" s="330"/>
      <c r="K424" s="331"/>
      <c r="L424" s="330"/>
      <c r="M424" s="332"/>
      <c r="N424" s="599"/>
    </row>
    <row r="425" spans="1:14" x14ac:dyDescent="0.25">
      <c r="A425" s="597"/>
      <c r="B425" s="330"/>
      <c r="C425" s="330"/>
      <c r="D425" s="330"/>
      <c r="E425" s="330"/>
      <c r="F425" s="330"/>
      <c r="G425" s="330"/>
      <c r="H425" s="330"/>
      <c r="I425" s="330"/>
      <c r="J425" s="330"/>
      <c r="K425" s="331"/>
      <c r="L425" s="330"/>
      <c r="M425" s="332"/>
      <c r="N425" s="599"/>
    </row>
    <row r="426" spans="1:14" x14ac:dyDescent="0.25">
      <c r="A426" s="597"/>
      <c r="B426" s="330"/>
      <c r="C426" s="330"/>
      <c r="D426" s="330"/>
      <c r="E426" s="330"/>
      <c r="F426" s="330"/>
      <c r="G426" s="330"/>
      <c r="H426" s="330"/>
      <c r="I426" s="330"/>
      <c r="J426" s="330"/>
      <c r="K426" s="331"/>
      <c r="L426" s="330"/>
      <c r="M426" s="332"/>
      <c r="N426" s="599"/>
    </row>
    <row r="427" spans="1:14" x14ac:dyDescent="0.25">
      <c r="A427" s="597"/>
      <c r="B427" s="330"/>
      <c r="C427" s="330"/>
      <c r="D427" s="330"/>
      <c r="E427" s="330"/>
      <c r="F427" s="330"/>
      <c r="G427" s="330"/>
      <c r="H427" s="330"/>
      <c r="I427" s="330"/>
      <c r="J427" s="330"/>
      <c r="K427" s="331"/>
      <c r="L427" s="330"/>
      <c r="M427" s="332"/>
      <c r="N427" s="599"/>
    </row>
    <row r="428" spans="1:14" x14ac:dyDescent="0.25">
      <c r="A428" s="597"/>
      <c r="B428" s="330"/>
      <c r="C428" s="330"/>
      <c r="D428" s="330"/>
      <c r="E428" s="330"/>
      <c r="F428" s="330"/>
      <c r="G428" s="330"/>
      <c r="H428" s="330"/>
      <c r="I428" s="330"/>
      <c r="J428" s="330"/>
      <c r="K428" s="331"/>
      <c r="L428" s="330"/>
      <c r="M428" s="332"/>
      <c r="N428" s="599"/>
    </row>
    <row r="429" spans="1:14" x14ac:dyDescent="0.25">
      <c r="A429" s="597"/>
      <c r="B429" s="330"/>
      <c r="C429" s="330"/>
      <c r="D429" s="330"/>
      <c r="E429" s="330"/>
      <c r="F429" s="330"/>
      <c r="G429" s="330"/>
      <c r="H429" s="330"/>
      <c r="I429" s="330"/>
      <c r="J429" s="330"/>
      <c r="K429" s="331"/>
      <c r="L429" s="330"/>
      <c r="M429" s="332"/>
      <c r="N429" s="599"/>
    </row>
    <row r="430" spans="1:14" x14ac:dyDescent="0.25">
      <c r="A430" s="597"/>
      <c r="B430" s="330"/>
      <c r="C430" s="330"/>
      <c r="D430" s="330"/>
      <c r="E430" s="330"/>
      <c r="F430" s="330"/>
      <c r="G430" s="330"/>
      <c r="H430" s="330"/>
      <c r="I430" s="330"/>
      <c r="J430" s="330"/>
      <c r="K430" s="331"/>
      <c r="L430" s="330"/>
      <c r="M430" s="332"/>
      <c r="N430" s="599"/>
    </row>
    <row r="431" spans="1:14" x14ac:dyDescent="0.25">
      <c r="A431" s="597"/>
      <c r="B431" s="330"/>
      <c r="C431" s="330"/>
      <c r="D431" s="330"/>
      <c r="E431" s="330"/>
      <c r="F431" s="330"/>
      <c r="G431" s="330"/>
      <c r="H431" s="330"/>
      <c r="I431" s="330"/>
      <c r="J431" s="330"/>
      <c r="K431" s="331"/>
      <c r="L431" s="330"/>
      <c r="M431" s="332"/>
      <c r="N431" s="599"/>
    </row>
    <row r="432" spans="1:14" x14ac:dyDescent="0.25">
      <c r="A432" s="597"/>
      <c r="B432" s="330"/>
      <c r="C432" s="330"/>
      <c r="D432" s="330"/>
      <c r="E432" s="330"/>
      <c r="F432" s="330"/>
      <c r="G432" s="330"/>
      <c r="H432" s="330"/>
      <c r="I432" s="330"/>
      <c r="J432" s="330"/>
      <c r="K432" s="331"/>
      <c r="L432" s="330"/>
      <c r="M432" s="332"/>
      <c r="N432" s="599"/>
    </row>
    <row r="433" spans="1:14" x14ac:dyDescent="0.25">
      <c r="A433" s="597"/>
      <c r="B433" s="330"/>
      <c r="C433" s="330"/>
      <c r="D433" s="330"/>
      <c r="E433" s="330"/>
      <c r="F433" s="330"/>
      <c r="G433" s="330"/>
      <c r="H433" s="330"/>
      <c r="I433" s="330"/>
      <c r="J433" s="330"/>
      <c r="K433" s="331"/>
      <c r="L433" s="330"/>
      <c r="M433" s="332"/>
      <c r="N433" s="599"/>
    </row>
    <row r="434" spans="1:14" x14ac:dyDescent="0.25">
      <c r="A434" s="597"/>
      <c r="B434" s="330"/>
      <c r="C434" s="330"/>
      <c r="D434" s="330"/>
      <c r="E434" s="330"/>
      <c r="F434" s="330"/>
      <c r="G434" s="330"/>
      <c r="H434" s="330"/>
      <c r="I434" s="330"/>
      <c r="J434" s="330"/>
      <c r="K434" s="331"/>
      <c r="L434" s="330"/>
      <c r="M434" s="332"/>
      <c r="N434" s="599"/>
    </row>
    <row r="435" spans="1:14" x14ac:dyDescent="0.25">
      <c r="A435" s="597"/>
      <c r="B435" s="330"/>
      <c r="C435" s="330"/>
      <c r="D435" s="330"/>
      <c r="E435" s="330"/>
      <c r="F435" s="330"/>
      <c r="G435" s="330"/>
      <c r="H435" s="330"/>
      <c r="I435" s="330"/>
      <c r="J435" s="330"/>
      <c r="K435" s="331"/>
      <c r="L435" s="330"/>
      <c r="M435" s="332"/>
      <c r="N435" s="599"/>
    </row>
    <row r="436" spans="1:14" x14ac:dyDescent="0.25">
      <c r="A436" s="597"/>
      <c r="B436" s="330"/>
      <c r="C436" s="330"/>
      <c r="D436" s="330"/>
      <c r="E436" s="330"/>
      <c r="F436" s="330"/>
      <c r="G436" s="330"/>
      <c r="H436" s="330"/>
      <c r="I436" s="330"/>
      <c r="J436" s="330"/>
      <c r="K436" s="331"/>
      <c r="L436" s="330"/>
      <c r="M436" s="332"/>
      <c r="N436" s="599"/>
    </row>
    <row r="437" spans="1:14" x14ac:dyDescent="0.25">
      <c r="A437" s="597"/>
      <c r="B437" s="330"/>
      <c r="C437" s="330"/>
      <c r="D437" s="330"/>
      <c r="E437" s="330"/>
      <c r="F437" s="330"/>
      <c r="G437" s="330"/>
      <c r="H437" s="330"/>
      <c r="I437" s="330"/>
      <c r="J437" s="330"/>
      <c r="K437" s="331"/>
      <c r="L437" s="330"/>
      <c r="M437" s="332"/>
      <c r="N437" s="599"/>
    </row>
    <row r="438" spans="1:14" x14ac:dyDescent="0.25">
      <c r="A438" s="597"/>
      <c r="B438" s="330"/>
      <c r="C438" s="330"/>
      <c r="D438" s="330"/>
      <c r="E438" s="330"/>
      <c r="F438" s="330"/>
      <c r="G438" s="330"/>
      <c r="H438" s="330"/>
      <c r="I438" s="330"/>
      <c r="J438" s="330"/>
      <c r="K438" s="331"/>
      <c r="L438" s="330"/>
      <c r="M438" s="332"/>
      <c r="N438" s="599"/>
    </row>
    <row r="439" spans="1:14" x14ac:dyDescent="0.25">
      <c r="A439" s="597"/>
      <c r="B439" s="330"/>
      <c r="C439" s="330"/>
      <c r="D439" s="330"/>
      <c r="E439" s="330"/>
      <c r="F439" s="330"/>
      <c r="G439" s="330"/>
      <c r="H439" s="330"/>
      <c r="I439" s="330"/>
      <c r="J439" s="330"/>
      <c r="K439" s="331"/>
      <c r="L439" s="330"/>
      <c r="M439" s="332"/>
      <c r="N439" s="599"/>
    </row>
    <row r="440" spans="1:14" x14ac:dyDescent="0.25">
      <c r="A440" s="597"/>
      <c r="B440" s="330"/>
      <c r="C440" s="330"/>
      <c r="D440" s="330"/>
      <c r="E440" s="330"/>
      <c r="F440" s="330"/>
      <c r="G440" s="330"/>
      <c r="H440" s="330"/>
      <c r="I440" s="330"/>
      <c r="J440" s="330"/>
      <c r="K440" s="331"/>
      <c r="L440" s="330"/>
      <c r="M440" s="332"/>
      <c r="N440" s="599"/>
    </row>
    <row r="441" spans="1:14" x14ac:dyDescent="0.25">
      <c r="A441" s="597"/>
      <c r="B441" s="330"/>
      <c r="C441" s="330"/>
      <c r="D441" s="330"/>
      <c r="E441" s="330"/>
      <c r="F441" s="330"/>
      <c r="G441" s="330"/>
      <c r="H441" s="330"/>
      <c r="I441" s="330"/>
      <c r="J441" s="330"/>
      <c r="K441" s="331"/>
      <c r="L441" s="330"/>
      <c r="M441" s="332"/>
      <c r="N441" s="599"/>
    </row>
    <row r="442" spans="1:14" x14ac:dyDescent="0.25">
      <c r="A442" s="597"/>
      <c r="B442" s="330"/>
      <c r="C442" s="330"/>
      <c r="D442" s="330"/>
      <c r="E442" s="330"/>
      <c r="F442" s="330"/>
      <c r="G442" s="330"/>
      <c r="H442" s="330"/>
      <c r="I442" s="330"/>
      <c r="J442" s="330"/>
      <c r="K442" s="331"/>
      <c r="L442" s="330"/>
      <c r="M442" s="332"/>
      <c r="N442" s="599"/>
    </row>
    <row r="443" spans="1:14" x14ac:dyDescent="0.25">
      <c r="A443" s="597"/>
      <c r="B443" s="330"/>
      <c r="C443" s="330"/>
      <c r="D443" s="330"/>
      <c r="E443" s="330"/>
      <c r="F443" s="330"/>
      <c r="G443" s="330"/>
      <c r="H443" s="330"/>
      <c r="I443" s="330"/>
      <c r="J443" s="330"/>
      <c r="K443" s="331"/>
      <c r="L443" s="330"/>
      <c r="M443" s="332"/>
      <c r="N443" s="599"/>
    </row>
    <row r="444" spans="1:14" x14ac:dyDescent="0.25">
      <c r="A444" s="597"/>
      <c r="B444" s="330"/>
      <c r="C444" s="330"/>
      <c r="D444" s="330"/>
      <c r="E444" s="330"/>
      <c r="F444" s="330"/>
      <c r="G444" s="330"/>
      <c r="H444" s="330"/>
      <c r="I444" s="330"/>
      <c r="J444" s="330"/>
      <c r="K444" s="331"/>
      <c r="L444" s="330"/>
      <c r="M444" s="332"/>
      <c r="N444" s="599"/>
    </row>
    <row r="445" spans="1:14" x14ac:dyDescent="0.25">
      <c r="A445" s="597"/>
      <c r="B445" s="330"/>
      <c r="C445" s="330"/>
      <c r="D445" s="330"/>
      <c r="E445" s="330"/>
      <c r="F445" s="330"/>
      <c r="G445" s="330"/>
      <c r="H445" s="330"/>
      <c r="I445" s="330"/>
      <c r="J445" s="330"/>
      <c r="K445" s="331"/>
      <c r="L445" s="330"/>
      <c r="M445" s="332"/>
      <c r="N445" s="599"/>
    </row>
    <row r="446" spans="1:14" x14ac:dyDescent="0.25">
      <c r="A446" s="597"/>
      <c r="B446" s="330"/>
      <c r="C446" s="330"/>
      <c r="D446" s="330"/>
      <c r="E446" s="330"/>
      <c r="F446" s="330"/>
      <c r="G446" s="330"/>
      <c r="H446" s="330"/>
      <c r="I446" s="330"/>
      <c r="J446" s="330"/>
      <c r="K446" s="331"/>
      <c r="L446" s="330"/>
      <c r="M446" s="332"/>
      <c r="N446" s="599"/>
    </row>
    <row r="447" spans="1:14" x14ac:dyDescent="0.25">
      <c r="A447" s="597"/>
      <c r="B447" s="330"/>
      <c r="C447" s="330"/>
      <c r="D447" s="330"/>
      <c r="E447" s="330"/>
      <c r="F447" s="330"/>
      <c r="G447" s="330"/>
      <c r="H447" s="330"/>
      <c r="I447" s="330"/>
      <c r="J447" s="330"/>
      <c r="K447" s="331"/>
      <c r="L447" s="330"/>
      <c r="M447" s="332"/>
      <c r="N447" s="599"/>
    </row>
    <row r="448" spans="1:14" x14ac:dyDescent="0.25">
      <c r="A448" s="597"/>
      <c r="B448" s="330"/>
      <c r="C448" s="330"/>
      <c r="D448" s="330"/>
      <c r="E448" s="330"/>
      <c r="F448" s="330"/>
      <c r="G448" s="330"/>
      <c r="H448" s="330"/>
      <c r="I448" s="330"/>
      <c r="J448" s="330"/>
      <c r="K448" s="331"/>
      <c r="L448" s="330"/>
      <c r="M448" s="332"/>
      <c r="N448" s="599"/>
    </row>
    <row r="449" spans="1:14" x14ac:dyDescent="0.25">
      <c r="A449" s="597"/>
      <c r="B449" s="330"/>
      <c r="C449" s="330"/>
      <c r="D449" s="330"/>
      <c r="E449" s="330"/>
      <c r="F449" s="330"/>
      <c r="G449" s="330"/>
      <c r="H449" s="330"/>
      <c r="I449" s="330"/>
      <c r="J449" s="330"/>
      <c r="K449" s="331"/>
      <c r="L449" s="330"/>
      <c r="M449" s="332"/>
      <c r="N449" s="599"/>
    </row>
    <row r="450" spans="1:14" x14ac:dyDescent="0.25">
      <c r="A450" s="597"/>
      <c r="B450" s="330"/>
      <c r="C450" s="330"/>
      <c r="D450" s="330"/>
      <c r="E450" s="330"/>
      <c r="F450" s="330"/>
      <c r="G450" s="330"/>
      <c r="H450" s="330"/>
      <c r="I450" s="330"/>
      <c r="J450" s="330"/>
      <c r="K450" s="331"/>
      <c r="L450" s="330"/>
      <c r="M450" s="332"/>
      <c r="N450" s="599"/>
    </row>
    <row r="451" spans="1:14" x14ac:dyDescent="0.25">
      <c r="A451" s="597"/>
      <c r="B451" s="330"/>
      <c r="C451" s="330"/>
      <c r="D451" s="330"/>
      <c r="E451" s="330"/>
      <c r="F451" s="330"/>
      <c r="G451" s="330"/>
      <c r="H451" s="330"/>
      <c r="I451" s="330"/>
      <c r="J451" s="330"/>
      <c r="K451" s="331"/>
      <c r="L451" s="330"/>
      <c r="M451" s="332"/>
      <c r="N451" s="599"/>
    </row>
    <row r="452" spans="1:14" x14ac:dyDescent="0.25">
      <c r="A452" s="597"/>
      <c r="B452" s="330"/>
      <c r="C452" s="330"/>
      <c r="D452" s="330"/>
      <c r="E452" s="330"/>
      <c r="F452" s="330"/>
      <c r="G452" s="330"/>
      <c r="H452" s="330"/>
      <c r="I452" s="330"/>
      <c r="J452" s="330"/>
      <c r="K452" s="331"/>
      <c r="L452" s="330"/>
      <c r="M452" s="332"/>
      <c r="N452" s="599"/>
    </row>
    <row r="453" spans="1:14" x14ac:dyDescent="0.25">
      <c r="A453" s="597"/>
      <c r="B453" s="330"/>
      <c r="C453" s="330"/>
      <c r="D453" s="330"/>
      <c r="E453" s="330"/>
      <c r="F453" s="330"/>
      <c r="G453" s="330"/>
      <c r="H453" s="330"/>
      <c r="I453" s="330"/>
      <c r="J453" s="330"/>
      <c r="K453" s="331"/>
      <c r="L453" s="330"/>
      <c r="M453" s="332"/>
      <c r="N453" s="599"/>
    </row>
    <row r="454" spans="1:14" x14ac:dyDescent="0.25">
      <c r="A454" s="597"/>
      <c r="B454" s="330"/>
      <c r="C454" s="330"/>
      <c r="D454" s="330"/>
      <c r="E454" s="330"/>
      <c r="F454" s="330"/>
      <c r="G454" s="330"/>
      <c r="H454" s="330"/>
      <c r="I454" s="330"/>
      <c r="J454" s="330"/>
      <c r="K454" s="331"/>
      <c r="L454" s="330"/>
      <c r="M454" s="332"/>
      <c r="N454" s="599"/>
    </row>
    <row r="455" spans="1:14" x14ac:dyDescent="0.25">
      <c r="A455" s="597"/>
      <c r="B455" s="330"/>
      <c r="C455" s="330"/>
      <c r="D455" s="330"/>
      <c r="E455" s="330"/>
      <c r="F455" s="330"/>
      <c r="G455" s="330"/>
      <c r="H455" s="330"/>
      <c r="I455" s="330"/>
      <c r="J455" s="330"/>
      <c r="K455" s="331"/>
      <c r="L455" s="330"/>
      <c r="M455" s="332"/>
      <c r="N455" s="599"/>
    </row>
    <row r="456" spans="1:14" x14ac:dyDescent="0.25">
      <c r="A456" s="597"/>
      <c r="B456" s="330"/>
      <c r="C456" s="330"/>
      <c r="D456" s="330"/>
      <c r="E456" s="330"/>
      <c r="F456" s="330"/>
      <c r="G456" s="330"/>
      <c r="H456" s="330"/>
      <c r="I456" s="330"/>
      <c r="J456" s="330"/>
      <c r="K456" s="331"/>
      <c r="L456" s="330"/>
      <c r="M456" s="332"/>
      <c r="N456" s="599"/>
    </row>
    <row r="457" spans="1:14" x14ac:dyDescent="0.25">
      <c r="A457" s="597"/>
      <c r="B457" s="330"/>
      <c r="C457" s="330"/>
      <c r="D457" s="330"/>
      <c r="E457" s="330"/>
      <c r="F457" s="330"/>
      <c r="G457" s="330"/>
      <c r="H457" s="330"/>
      <c r="I457" s="330"/>
      <c r="J457" s="330"/>
      <c r="K457" s="331"/>
      <c r="L457" s="330"/>
      <c r="M457" s="332"/>
      <c r="N457" s="599"/>
    </row>
    <row r="458" spans="1:14" x14ac:dyDescent="0.25">
      <c r="A458" s="597"/>
      <c r="B458" s="330"/>
      <c r="C458" s="330"/>
      <c r="D458" s="330"/>
      <c r="E458" s="330"/>
      <c r="F458" s="330"/>
      <c r="G458" s="330"/>
      <c r="H458" s="330"/>
      <c r="I458" s="330"/>
      <c r="J458" s="330"/>
      <c r="K458" s="331"/>
      <c r="L458" s="330"/>
      <c r="M458" s="332"/>
      <c r="N458" s="599"/>
    </row>
    <row r="459" spans="1:14" x14ac:dyDescent="0.25">
      <c r="A459" s="597"/>
      <c r="B459" s="330"/>
      <c r="C459" s="330"/>
      <c r="D459" s="330"/>
      <c r="E459" s="330"/>
      <c r="F459" s="330"/>
      <c r="G459" s="330"/>
      <c r="H459" s="330"/>
      <c r="I459" s="330"/>
      <c r="J459" s="330"/>
      <c r="K459" s="331"/>
      <c r="L459" s="330"/>
      <c r="M459" s="332"/>
      <c r="N459" s="599"/>
    </row>
    <row r="460" spans="1:14" x14ac:dyDescent="0.25">
      <c r="A460" s="597"/>
      <c r="B460" s="330"/>
      <c r="C460" s="330"/>
      <c r="D460" s="330"/>
      <c r="E460" s="330"/>
      <c r="F460" s="330"/>
      <c r="G460" s="330"/>
      <c r="H460" s="330"/>
      <c r="I460" s="330"/>
      <c r="J460" s="330"/>
      <c r="K460" s="331"/>
      <c r="L460" s="330"/>
      <c r="M460" s="332"/>
      <c r="N460" s="599"/>
    </row>
    <row r="461" spans="1:14" x14ac:dyDescent="0.25">
      <c r="A461" s="597"/>
      <c r="B461" s="330"/>
      <c r="C461" s="330"/>
      <c r="D461" s="330"/>
      <c r="E461" s="330"/>
      <c r="F461" s="330"/>
      <c r="G461" s="330"/>
      <c r="H461" s="330"/>
      <c r="I461" s="330"/>
      <c r="J461" s="330"/>
      <c r="K461" s="331"/>
      <c r="L461" s="330"/>
      <c r="M461" s="332"/>
      <c r="N461" s="599"/>
    </row>
    <row r="462" spans="1:14" x14ac:dyDescent="0.25">
      <c r="A462" s="597"/>
      <c r="B462" s="330"/>
      <c r="C462" s="330"/>
      <c r="D462" s="330"/>
      <c r="E462" s="330"/>
      <c r="F462" s="330"/>
      <c r="G462" s="330"/>
      <c r="H462" s="330"/>
      <c r="I462" s="330"/>
      <c r="J462" s="330"/>
      <c r="K462" s="331"/>
      <c r="L462" s="330"/>
      <c r="M462" s="332"/>
      <c r="N462" s="599"/>
    </row>
    <row r="463" spans="1:14" x14ac:dyDescent="0.25">
      <c r="A463" s="597"/>
      <c r="B463" s="330"/>
      <c r="C463" s="330"/>
      <c r="D463" s="330"/>
      <c r="E463" s="330"/>
      <c r="F463" s="330"/>
      <c r="G463" s="330"/>
      <c r="H463" s="330"/>
      <c r="I463" s="330"/>
      <c r="J463" s="330"/>
      <c r="K463" s="331"/>
      <c r="L463" s="330"/>
      <c r="M463" s="332"/>
      <c r="N463" s="599"/>
    </row>
    <row r="464" spans="1:14" x14ac:dyDescent="0.25">
      <c r="A464" s="597"/>
      <c r="B464" s="330"/>
      <c r="C464" s="330"/>
      <c r="D464" s="330"/>
      <c r="E464" s="330"/>
      <c r="F464" s="330"/>
      <c r="G464" s="330"/>
      <c r="H464" s="330"/>
      <c r="I464" s="330"/>
      <c r="J464" s="330"/>
      <c r="K464" s="331"/>
      <c r="L464" s="330"/>
      <c r="M464" s="332"/>
      <c r="N464" s="599"/>
    </row>
    <row r="465" spans="1:14" x14ac:dyDescent="0.25">
      <c r="A465" s="597"/>
      <c r="B465" s="330"/>
      <c r="C465" s="330"/>
      <c r="D465" s="330"/>
      <c r="E465" s="330"/>
      <c r="F465" s="330"/>
      <c r="G465" s="330"/>
      <c r="H465" s="330"/>
      <c r="I465" s="330"/>
      <c r="J465" s="330"/>
      <c r="K465" s="331"/>
      <c r="L465" s="330"/>
      <c r="M465" s="332"/>
      <c r="N465" s="599"/>
    </row>
    <row r="466" spans="1:14" x14ac:dyDescent="0.25">
      <c r="A466" s="597"/>
      <c r="B466" s="330"/>
      <c r="C466" s="330"/>
      <c r="D466" s="330"/>
      <c r="E466" s="330"/>
      <c r="F466" s="330"/>
      <c r="G466" s="330"/>
      <c r="H466" s="330"/>
      <c r="I466" s="330"/>
      <c r="J466" s="330"/>
      <c r="K466" s="331"/>
      <c r="L466" s="330"/>
      <c r="M466" s="332"/>
      <c r="N466" s="599"/>
    </row>
    <row r="467" spans="1:14" x14ac:dyDescent="0.25">
      <c r="A467" s="597"/>
      <c r="B467" s="330"/>
      <c r="C467" s="330"/>
      <c r="D467" s="330"/>
      <c r="E467" s="330"/>
      <c r="F467" s="330"/>
      <c r="G467" s="330"/>
      <c r="H467" s="330"/>
      <c r="I467" s="330"/>
      <c r="J467" s="330"/>
      <c r="K467" s="331"/>
      <c r="L467" s="330"/>
      <c r="M467" s="332"/>
      <c r="N467" s="599"/>
    </row>
    <row r="468" spans="1:14" x14ac:dyDescent="0.25">
      <c r="A468" s="597"/>
      <c r="B468" s="330"/>
      <c r="C468" s="330"/>
      <c r="D468" s="330"/>
      <c r="E468" s="330"/>
      <c r="F468" s="330"/>
      <c r="G468" s="330"/>
      <c r="H468" s="330"/>
      <c r="I468" s="330"/>
      <c r="J468" s="330"/>
      <c r="K468" s="331"/>
      <c r="L468" s="330"/>
      <c r="M468" s="332"/>
      <c r="N468" s="599"/>
    </row>
    <row r="469" spans="1:14" x14ac:dyDescent="0.25">
      <c r="A469" s="597"/>
      <c r="B469" s="330"/>
      <c r="C469" s="330"/>
      <c r="D469" s="330"/>
      <c r="E469" s="330"/>
      <c r="F469" s="330"/>
      <c r="G469" s="330"/>
      <c r="H469" s="330"/>
      <c r="I469" s="330"/>
      <c r="J469" s="330"/>
      <c r="K469" s="331"/>
      <c r="L469" s="330"/>
      <c r="M469" s="332"/>
      <c r="N469" s="599"/>
    </row>
    <row r="470" spans="1:14" x14ac:dyDescent="0.25">
      <c r="A470" s="597"/>
      <c r="B470" s="330"/>
      <c r="C470" s="330"/>
      <c r="D470" s="330"/>
      <c r="E470" s="330"/>
      <c r="F470" s="330"/>
      <c r="G470" s="330"/>
      <c r="H470" s="330"/>
      <c r="I470" s="330"/>
      <c r="J470" s="330"/>
      <c r="K470" s="331"/>
      <c r="L470" s="330"/>
      <c r="M470" s="332"/>
      <c r="N470" s="599"/>
    </row>
    <row r="471" spans="1:14" x14ac:dyDescent="0.25">
      <c r="A471" s="597"/>
      <c r="B471" s="330"/>
      <c r="C471" s="330"/>
      <c r="D471" s="330"/>
      <c r="E471" s="330"/>
      <c r="F471" s="330"/>
      <c r="G471" s="330"/>
      <c r="H471" s="330"/>
      <c r="I471" s="330"/>
      <c r="J471" s="330"/>
      <c r="K471" s="331"/>
      <c r="L471" s="330"/>
      <c r="M471" s="332"/>
      <c r="N471" s="599"/>
    </row>
    <row r="472" spans="1:14" x14ac:dyDescent="0.25">
      <c r="A472" s="597"/>
      <c r="B472" s="330"/>
      <c r="C472" s="330"/>
      <c r="D472" s="330"/>
      <c r="E472" s="330"/>
      <c r="F472" s="330"/>
      <c r="G472" s="330"/>
      <c r="H472" s="330"/>
      <c r="I472" s="330"/>
      <c r="J472" s="330"/>
      <c r="K472" s="331"/>
      <c r="L472" s="330"/>
      <c r="M472" s="332"/>
      <c r="N472" s="599"/>
    </row>
    <row r="473" spans="1:14" x14ac:dyDescent="0.25">
      <c r="A473" s="597"/>
      <c r="B473" s="330"/>
      <c r="C473" s="330"/>
      <c r="D473" s="330"/>
      <c r="E473" s="330"/>
      <c r="F473" s="330"/>
      <c r="G473" s="330"/>
      <c r="H473" s="330"/>
      <c r="I473" s="330"/>
      <c r="J473" s="330"/>
      <c r="K473" s="331"/>
      <c r="L473" s="330"/>
      <c r="M473" s="332"/>
      <c r="N473" s="599"/>
    </row>
    <row r="474" spans="1:14" x14ac:dyDescent="0.25">
      <c r="A474" s="597"/>
      <c r="B474" s="330"/>
      <c r="C474" s="330"/>
      <c r="D474" s="330"/>
      <c r="E474" s="330"/>
      <c r="F474" s="330"/>
      <c r="G474" s="330"/>
      <c r="H474" s="330"/>
      <c r="I474" s="330"/>
      <c r="J474" s="330"/>
      <c r="K474" s="331"/>
      <c r="L474" s="330"/>
      <c r="M474" s="332"/>
      <c r="N474" s="599"/>
    </row>
    <row r="475" spans="1:14" x14ac:dyDescent="0.25">
      <c r="A475" s="597"/>
      <c r="B475" s="330"/>
      <c r="C475" s="330"/>
      <c r="D475" s="330"/>
      <c r="E475" s="330"/>
      <c r="F475" s="330"/>
      <c r="G475" s="330"/>
      <c r="H475" s="330"/>
      <c r="I475" s="330"/>
      <c r="J475" s="330"/>
      <c r="K475" s="331"/>
      <c r="L475" s="330"/>
      <c r="M475" s="332"/>
      <c r="N475" s="599"/>
    </row>
    <row r="476" spans="1:14" x14ac:dyDescent="0.25">
      <c r="A476" s="597"/>
      <c r="B476" s="330"/>
      <c r="C476" s="330"/>
      <c r="D476" s="330"/>
      <c r="E476" s="330"/>
      <c r="F476" s="330"/>
      <c r="G476" s="330"/>
      <c r="H476" s="330"/>
      <c r="I476" s="330"/>
      <c r="J476" s="330"/>
      <c r="K476" s="331"/>
      <c r="L476" s="330"/>
      <c r="M476" s="332"/>
      <c r="N476" s="599"/>
    </row>
    <row r="477" spans="1:14" x14ac:dyDescent="0.25">
      <c r="A477" s="597"/>
      <c r="B477" s="330"/>
      <c r="C477" s="330"/>
      <c r="D477" s="330"/>
      <c r="E477" s="330"/>
      <c r="F477" s="330"/>
      <c r="G477" s="330"/>
      <c r="H477" s="330"/>
      <c r="I477" s="330"/>
      <c r="J477" s="330"/>
      <c r="K477" s="331"/>
      <c r="L477" s="330"/>
      <c r="M477" s="332"/>
      <c r="N477" s="599"/>
    </row>
    <row r="478" spans="1:14" x14ac:dyDescent="0.25">
      <c r="A478" s="597"/>
      <c r="B478" s="330"/>
      <c r="C478" s="330"/>
      <c r="D478" s="330"/>
      <c r="E478" s="330"/>
      <c r="F478" s="330"/>
      <c r="G478" s="330"/>
      <c r="H478" s="330"/>
      <c r="I478" s="330"/>
      <c r="J478" s="330"/>
      <c r="K478" s="331"/>
      <c r="L478" s="330"/>
      <c r="M478" s="332"/>
      <c r="N478" s="599"/>
    </row>
    <row r="479" spans="1:14" x14ac:dyDescent="0.25">
      <c r="A479" s="597"/>
      <c r="B479" s="330"/>
      <c r="C479" s="330"/>
      <c r="D479" s="330"/>
      <c r="E479" s="330"/>
      <c r="F479" s="330"/>
      <c r="G479" s="330"/>
      <c r="H479" s="330"/>
      <c r="I479" s="330"/>
      <c r="J479" s="330"/>
      <c r="K479" s="331"/>
      <c r="L479" s="330"/>
      <c r="M479" s="332"/>
      <c r="N479" s="599"/>
    </row>
    <row r="480" spans="1:14" x14ac:dyDescent="0.25">
      <c r="A480" s="597"/>
      <c r="B480" s="330"/>
      <c r="C480" s="330"/>
      <c r="D480" s="330"/>
      <c r="E480" s="330"/>
      <c r="F480" s="330"/>
      <c r="G480" s="330"/>
      <c r="H480" s="330"/>
      <c r="I480" s="330"/>
      <c r="J480" s="330"/>
      <c r="K480" s="331"/>
      <c r="L480" s="330"/>
      <c r="M480" s="332"/>
      <c r="N480" s="599"/>
    </row>
    <row r="481" spans="1:14" x14ac:dyDescent="0.25">
      <c r="A481" s="597"/>
      <c r="B481" s="330"/>
      <c r="C481" s="330"/>
      <c r="D481" s="330"/>
      <c r="E481" s="330"/>
      <c r="F481" s="330"/>
      <c r="G481" s="330"/>
      <c r="H481" s="330"/>
      <c r="I481" s="330"/>
      <c r="J481" s="330"/>
      <c r="K481" s="331"/>
      <c r="L481" s="330"/>
      <c r="M481" s="332"/>
      <c r="N481" s="599"/>
    </row>
    <row r="482" spans="1:14" x14ac:dyDescent="0.25">
      <c r="A482" s="597"/>
      <c r="B482" s="330"/>
      <c r="C482" s="330"/>
      <c r="D482" s="330"/>
      <c r="E482" s="330"/>
      <c r="F482" s="330"/>
      <c r="G482" s="330"/>
      <c r="H482" s="330"/>
      <c r="I482" s="330"/>
      <c r="J482" s="330"/>
      <c r="K482" s="331"/>
      <c r="L482" s="330"/>
      <c r="M482" s="332"/>
      <c r="N482" s="599"/>
    </row>
    <row r="483" spans="1:14" x14ac:dyDescent="0.25">
      <c r="A483" s="597"/>
      <c r="B483" s="330"/>
      <c r="C483" s="330"/>
      <c r="D483" s="330"/>
      <c r="E483" s="330"/>
      <c r="F483" s="330"/>
      <c r="G483" s="330"/>
      <c r="H483" s="330"/>
      <c r="I483" s="330"/>
      <c r="J483" s="330"/>
      <c r="K483" s="331"/>
      <c r="L483" s="330"/>
      <c r="M483" s="332"/>
      <c r="N483" s="599"/>
    </row>
    <row r="484" spans="1:14" x14ac:dyDescent="0.25">
      <c r="A484" s="597"/>
      <c r="B484" s="330"/>
      <c r="C484" s="330"/>
      <c r="D484" s="330"/>
      <c r="E484" s="330"/>
      <c r="F484" s="330"/>
      <c r="G484" s="330"/>
      <c r="H484" s="330"/>
      <c r="I484" s="330"/>
      <c r="J484" s="330"/>
      <c r="K484" s="331"/>
      <c r="L484" s="330"/>
      <c r="M484" s="332"/>
      <c r="N484" s="599"/>
    </row>
    <row r="485" spans="1:14" x14ac:dyDescent="0.25">
      <c r="A485" s="597"/>
      <c r="B485" s="330"/>
      <c r="C485" s="330"/>
      <c r="D485" s="330"/>
      <c r="E485" s="330"/>
      <c r="F485" s="330"/>
      <c r="G485" s="330"/>
      <c r="H485" s="330"/>
      <c r="I485" s="330"/>
      <c r="J485" s="330"/>
      <c r="K485" s="331"/>
      <c r="L485" s="330"/>
      <c r="M485" s="332"/>
      <c r="N485" s="599"/>
    </row>
    <row r="486" spans="1:14" x14ac:dyDescent="0.25">
      <c r="A486" s="597"/>
      <c r="B486" s="330"/>
      <c r="C486" s="330"/>
      <c r="D486" s="330"/>
      <c r="E486" s="330"/>
      <c r="F486" s="330"/>
      <c r="G486" s="330"/>
      <c r="H486" s="330"/>
      <c r="I486" s="330"/>
      <c r="J486" s="330"/>
      <c r="K486" s="331"/>
      <c r="L486" s="330"/>
      <c r="M486" s="332"/>
      <c r="N486" s="599"/>
    </row>
    <row r="487" spans="1:14" x14ac:dyDescent="0.25">
      <c r="A487" s="597"/>
      <c r="B487" s="330"/>
      <c r="C487" s="330"/>
      <c r="D487" s="330"/>
      <c r="E487" s="330"/>
      <c r="F487" s="330"/>
      <c r="G487" s="330"/>
      <c r="H487" s="330"/>
      <c r="I487" s="330"/>
      <c r="J487" s="330"/>
      <c r="K487" s="331"/>
      <c r="L487" s="330"/>
      <c r="M487" s="332"/>
      <c r="N487" s="599"/>
    </row>
    <row r="488" spans="1:14" x14ac:dyDescent="0.25">
      <c r="A488" s="597"/>
      <c r="B488" s="330"/>
      <c r="C488" s="330"/>
      <c r="D488" s="330"/>
      <c r="E488" s="330"/>
      <c r="F488" s="330"/>
      <c r="G488" s="330"/>
      <c r="H488" s="330"/>
      <c r="I488" s="330"/>
      <c r="J488" s="330"/>
      <c r="K488" s="331"/>
      <c r="L488" s="330"/>
      <c r="M488" s="332"/>
      <c r="N488" s="599"/>
    </row>
    <row r="489" spans="1:14" x14ac:dyDescent="0.25">
      <c r="A489" s="597"/>
      <c r="B489" s="330"/>
      <c r="C489" s="330"/>
      <c r="D489" s="330"/>
      <c r="E489" s="330"/>
      <c r="F489" s="330"/>
      <c r="G489" s="330"/>
      <c r="H489" s="330"/>
      <c r="I489" s="330"/>
      <c r="J489" s="330"/>
      <c r="K489" s="331"/>
      <c r="L489" s="330"/>
      <c r="M489" s="332"/>
      <c r="N489" s="599"/>
    </row>
    <row r="490" spans="1:14" x14ac:dyDescent="0.25">
      <c r="A490" s="597"/>
      <c r="B490" s="330"/>
      <c r="C490" s="330"/>
      <c r="D490" s="330"/>
      <c r="E490" s="330"/>
      <c r="F490" s="330"/>
      <c r="G490" s="330"/>
      <c r="H490" s="330"/>
      <c r="I490" s="330"/>
      <c r="J490" s="330"/>
      <c r="K490" s="331"/>
      <c r="L490" s="330"/>
      <c r="M490" s="332"/>
      <c r="N490" s="599"/>
    </row>
    <row r="491" spans="1:14" x14ac:dyDescent="0.25">
      <c r="A491" s="597"/>
      <c r="B491" s="330"/>
      <c r="C491" s="330"/>
      <c r="D491" s="330"/>
      <c r="E491" s="330"/>
      <c r="F491" s="330"/>
      <c r="G491" s="330"/>
      <c r="H491" s="330"/>
      <c r="I491" s="330"/>
      <c r="J491" s="330"/>
      <c r="K491" s="331"/>
      <c r="L491" s="330"/>
      <c r="M491" s="332"/>
      <c r="N491" s="599"/>
    </row>
    <row r="492" spans="1:14" x14ac:dyDescent="0.25">
      <c r="A492" s="597"/>
      <c r="B492" s="330"/>
      <c r="C492" s="330"/>
      <c r="D492" s="330"/>
      <c r="E492" s="330"/>
      <c r="F492" s="330"/>
      <c r="G492" s="330"/>
      <c r="H492" s="330"/>
      <c r="I492" s="330"/>
      <c r="J492" s="330"/>
      <c r="K492" s="331"/>
      <c r="L492" s="330"/>
      <c r="M492" s="332"/>
      <c r="N492" s="599"/>
    </row>
    <row r="493" spans="1:14" x14ac:dyDescent="0.25">
      <c r="A493" s="597"/>
      <c r="B493" s="330"/>
      <c r="C493" s="330"/>
      <c r="D493" s="330"/>
      <c r="E493" s="330"/>
      <c r="F493" s="330"/>
      <c r="G493" s="330"/>
      <c r="H493" s="330"/>
      <c r="I493" s="330"/>
      <c r="J493" s="330"/>
      <c r="K493" s="331"/>
      <c r="L493" s="330"/>
      <c r="M493" s="332"/>
      <c r="N493" s="599"/>
    </row>
    <row r="494" spans="1:14" x14ac:dyDescent="0.25">
      <c r="A494" s="597"/>
      <c r="B494" s="330"/>
      <c r="C494" s="330"/>
      <c r="D494" s="330"/>
      <c r="E494" s="330"/>
      <c r="F494" s="330"/>
      <c r="G494" s="330"/>
      <c r="H494" s="330"/>
      <c r="I494" s="330"/>
      <c r="J494" s="330"/>
      <c r="K494" s="331"/>
      <c r="L494" s="330"/>
      <c r="M494" s="332"/>
      <c r="N494" s="599"/>
    </row>
    <row r="495" spans="1:14" x14ac:dyDescent="0.25">
      <c r="A495" s="597"/>
      <c r="B495" s="330"/>
      <c r="C495" s="330"/>
      <c r="D495" s="330"/>
      <c r="E495" s="330"/>
      <c r="F495" s="330"/>
      <c r="G495" s="330"/>
      <c r="H495" s="330"/>
      <c r="I495" s="330"/>
      <c r="J495" s="330"/>
      <c r="K495" s="331"/>
      <c r="L495" s="330"/>
      <c r="M495" s="332"/>
      <c r="N495" s="599"/>
    </row>
    <row r="496" spans="1:14" x14ac:dyDescent="0.25">
      <c r="A496" s="597"/>
      <c r="B496" s="330"/>
      <c r="C496" s="330"/>
      <c r="D496" s="330"/>
      <c r="E496" s="330"/>
      <c r="F496" s="330"/>
      <c r="G496" s="330"/>
      <c r="H496" s="330"/>
      <c r="I496" s="330"/>
      <c r="J496" s="330"/>
      <c r="K496" s="331"/>
      <c r="L496" s="330"/>
      <c r="M496" s="332"/>
      <c r="N496" s="599"/>
    </row>
    <row r="497" spans="1:14" x14ac:dyDescent="0.25">
      <c r="A497" s="597"/>
      <c r="B497" s="330"/>
      <c r="C497" s="330"/>
      <c r="D497" s="330"/>
      <c r="E497" s="330"/>
      <c r="F497" s="330"/>
      <c r="G497" s="330"/>
      <c r="H497" s="330"/>
      <c r="I497" s="330"/>
      <c r="J497" s="330"/>
      <c r="K497" s="331"/>
      <c r="L497" s="330"/>
      <c r="M497" s="332"/>
      <c r="N497" s="599"/>
    </row>
    <row r="498" spans="1:14" x14ac:dyDescent="0.25">
      <c r="A498" s="597"/>
      <c r="B498" s="330"/>
      <c r="C498" s="330"/>
      <c r="D498" s="330"/>
      <c r="E498" s="330"/>
      <c r="F498" s="330"/>
      <c r="G498" s="330"/>
      <c r="H498" s="330"/>
      <c r="I498" s="330"/>
      <c r="J498" s="330"/>
      <c r="K498" s="331"/>
      <c r="L498" s="330"/>
      <c r="M498" s="332"/>
      <c r="N498" s="599"/>
    </row>
    <row r="499" spans="1:14" x14ac:dyDescent="0.25">
      <c r="A499" s="597"/>
      <c r="B499" s="330"/>
      <c r="C499" s="330"/>
      <c r="D499" s="330"/>
      <c r="E499" s="330"/>
      <c r="F499" s="330"/>
      <c r="G499" s="330"/>
      <c r="H499" s="330"/>
      <c r="I499" s="330"/>
      <c r="J499" s="330"/>
      <c r="K499" s="331"/>
      <c r="L499" s="330"/>
      <c r="M499" s="332"/>
      <c r="N499" s="599"/>
    </row>
    <row r="500" spans="1:14" x14ac:dyDescent="0.25">
      <c r="A500" s="597"/>
      <c r="B500" s="330"/>
      <c r="C500" s="330"/>
      <c r="D500" s="330"/>
      <c r="E500" s="330"/>
      <c r="F500" s="330"/>
      <c r="G500" s="330"/>
      <c r="H500" s="330"/>
      <c r="I500" s="330"/>
      <c r="J500" s="330"/>
      <c r="K500" s="331"/>
      <c r="L500" s="330"/>
      <c r="M500" s="332"/>
      <c r="N500" s="599"/>
    </row>
    <row r="501" spans="1:14" x14ac:dyDescent="0.25">
      <c r="A501" s="597"/>
      <c r="B501" s="330"/>
      <c r="C501" s="330"/>
      <c r="D501" s="330"/>
      <c r="E501" s="330"/>
      <c r="F501" s="330"/>
      <c r="G501" s="330"/>
      <c r="H501" s="330"/>
      <c r="I501" s="330"/>
      <c r="J501" s="330"/>
      <c r="K501" s="331"/>
      <c r="L501" s="330"/>
      <c r="M501" s="332"/>
      <c r="N501" s="599"/>
    </row>
    <row r="502" spans="1:14" x14ac:dyDescent="0.25">
      <c r="A502" s="597"/>
      <c r="B502" s="330"/>
      <c r="C502" s="330"/>
      <c r="D502" s="330"/>
      <c r="E502" s="330"/>
      <c r="F502" s="330"/>
      <c r="G502" s="330"/>
      <c r="H502" s="330"/>
      <c r="I502" s="330"/>
      <c r="J502" s="330"/>
      <c r="K502" s="331"/>
      <c r="L502" s="330"/>
      <c r="M502" s="332"/>
      <c r="N502" s="599"/>
    </row>
    <row r="503" spans="1:14" x14ac:dyDescent="0.25">
      <c r="A503" s="597"/>
      <c r="B503" s="330"/>
      <c r="C503" s="330"/>
      <c r="D503" s="330"/>
      <c r="E503" s="330"/>
      <c r="F503" s="330"/>
      <c r="G503" s="330"/>
      <c r="H503" s="330"/>
      <c r="I503" s="330"/>
      <c r="J503" s="330"/>
      <c r="K503" s="331"/>
      <c r="L503" s="330"/>
      <c r="M503" s="332"/>
      <c r="N503" s="599"/>
    </row>
    <row r="504" spans="1:14" x14ac:dyDescent="0.25">
      <c r="A504" s="597"/>
      <c r="B504" s="330"/>
      <c r="C504" s="330"/>
      <c r="D504" s="330"/>
      <c r="E504" s="330"/>
      <c r="F504" s="330"/>
      <c r="G504" s="330"/>
      <c r="H504" s="330"/>
      <c r="I504" s="330"/>
      <c r="J504" s="330"/>
      <c r="K504" s="331"/>
      <c r="L504" s="330"/>
      <c r="M504" s="332"/>
      <c r="N504" s="599"/>
    </row>
    <row r="505" spans="1:14" x14ac:dyDescent="0.25">
      <c r="A505" s="597"/>
      <c r="B505" s="330"/>
      <c r="C505" s="330"/>
      <c r="D505" s="330"/>
      <c r="E505" s="330"/>
      <c r="F505" s="330"/>
      <c r="G505" s="330"/>
      <c r="H505" s="330"/>
      <c r="I505" s="330"/>
      <c r="J505" s="330"/>
      <c r="K505" s="331"/>
      <c r="L505" s="330"/>
      <c r="M505" s="332"/>
      <c r="N505" s="599"/>
    </row>
    <row r="506" spans="1:14" x14ac:dyDescent="0.25">
      <c r="A506" s="597"/>
      <c r="B506" s="330"/>
      <c r="C506" s="330"/>
      <c r="D506" s="330"/>
      <c r="E506" s="330"/>
      <c r="F506" s="330"/>
      <c r="G506" s="330"/>
      <c r="H506" s="330"/>
      <c r="I506" s="330"/>
      <c r="J506" s="330"/>
      <c r="K506" s="331"/>
      <c r="L506" s="330"/>
      <c r="M506" s="332"/>
      <c r="N506" s="599"/>
    </row>
    <row r="507" spans="1:14" x14ac:dyDescent="0.25">
      <c r="A507" s="597"/>
      <c r="B507" s="330"/>
      <c r="C507" s="330"/>
      <c r="D507" s="330"/>
      <c r="E507" s="330"/>
      <c r="F507" s="330"/>
      <c r="G507" s="330"/>
      <c r="H507" s="330"/>
      <c r="I507" s="330"/>
      <c r="J507" s="330"/>
      <c r="K507" s="331"/>
      <c r="L507" s="330"/>
      <c r="M507" s="332"/>
      <c r="N507" s="599"/>
    </row>
    <row r="508" spans="1:14" x14ac:dyDescent="0.25">
      <c r="A508" s="597"/>
      <c r="B508" s="330"/>
      <c r="C508" s="330"/>
      <c r="D508" s="330"/>
      <c r="E508" s="330"/>
      <c r="F508" s="330"/>
      <c r="G508" s="330"/>
      <c r="H508" s="330"/>
      <c r="I508" s="330"/>
      <c r="J508" s="330"/>
      <c r="K508" s="331"/>
      <c r="L508" s="330"/>
      <c r="M508" s="332"/>
      <c r="N508" s="599"/>
    </row>
    <row r="509" spans="1:14" x14ac:dyDescent="0.25">
      <c r="A509" s="597"/>
      <c r="B509" s="330"/>
      <c r="C509" s="330"/>
      <c r="D509" s="330"/>
      <c r="E509" s="330"/>
      <c r="F509" s="330"/>
      <c r="G509" s="330"/>
      <c r="H509" s="330"/>
      <c r="I509" s="330"/>
      <c r="J509" s="330"/>
      <c r="K509" s="331"/>
      <c r="L509" s="330"/>
      <c r="M509" s="332"/>
      <c r="N509" s="599"/>
    </row>
    <row r="510" spans="1:14" x14ac:dyDescent="0.25">
      <c r="A510" s="597"/>
      <c r="B510" s="330"/>
      <c r="C510" s="330"/>
      <c r="D510" s="330"/>
      <c r="E510" s="330"/>
      <c r="F510" s="330"/>
      <c r="G510" s="330"/>
      <c r="H510" s="330"/>
      <c r="I510" s="330"/>
      <c r="J510" s="330"/>
      <c r="K510" s="331"/>
      <c r="L510" s="330"/>
      <c r="M510" s="332"/>
      <c r="N510" s="599"/>
    </row>
    <row r="511" spans="1:14" x14ac:dyDescent="0.25">
      <c r="A511" s="597"/>
      <c r="B511" s="330"/>
      <c r="C511" s="330"/>
      <c r="D511" s="330"/>
      <c r="E511" s="330"/>
      <c r="F511" s="330"/>
      <c r="G511" s="330"/>
      <c r="H511" s="330"/>
      <c r="I511" s="330"/>
      <c r="J511" s="330"/>
      <c r="K511" s="331"/>
      <c r="L511" s="330"/>
      <c r="M511" s="332"/>
      <c r="N511" s="599"/>
    </row>
    <row r="512" spans="1:14" x14ac:dyDescent="0.25">
      <c r="A512" s="597"/>
      <c r="B512" s="330"/>
      <c r="C512" s="330"/>
      <c r="D512" s="330"/>
      <c r="E512" s="330"/>
      <c r="F512" s="330"/>
      <c r="G512" s="330"/>
      <c r="H512" s="330"/>
      <c r="I512" s="330"/>
      <c r="J512" s="330"/>
      <c r="K512" s="331"/>
      <c r="L512" s="330"/>
      <c r="M512" s="332"/>
      <c r="N512" s="599"/>
    </row>
    <row r="513" spans="1:14" x14ac:dyDescent="0.25">
      <c r="A513" s="597"/>
      <c r="B513" s="330"/>
      <c r="C513" s="330"/>
      <c r="D513" s="330"/>
      <c r="E513" s="330"/>
      <c r="F513" s="330"/>
      <c r="G513" s="330"/>
      <c r="H513" s="330"/>
      <c r="I513" s="330"/>
      <c r="J513" s="330"/>
      <c r="K513" s="331"/>
      <c r="L513" s="330"/>
      <c r="M513" s="332"/>
      <c r="N513" s="599"/>
    </row>
    <row r="514" spans="1:14" x14ac:dyDescent="0.25">
      <c r="A514" s="597"/>
      <c r="B514" s="330"/>
      <c r="C514" s="330"/>
      <c r="D514" s="330"/>
      <c r="E514" s="330"/>
      <c r="F514" s="330"/>
      <c r="G514" s="330"/>
      <c r="H514" s="330"/>
      <c r="I514" s="330"/>
      <c r="J514" s="330"/>
      <c r="K514" s="331"/>
      <c r="L514" s="330"/>
      <c r="M514" s="332"/>
      <c r="N514" s="599"/>
    </row>
    <row r="515" spans="1:14" x14ac:dyDescent="0.25">
      <c r="A515" s="597"/>
      <c r="B515" s="330"/>
      <c r="C515" s="330"/>
      <c r="D515" s="330"/>
      <c r="E515" s="330"/>
      <c r="F515" s="330"/>
      <c r="G515" s="330"/>
      <c r="H515" s="330"/>
      <c r="I515" s="330"/>
      <c r="J515" s="330"/>
      <c r="K515" s="331"/>
      <c r="L515" s="330"/>
      <c r="M515" s="332"/>
      <c r="N515" s="599"/>
    </row>
    <row r="516" spans="1:14" x14ac:dyDescent="0.25">
      <c r="A516" s="597"/>
      <c r="B516" s="330"/>
      <c r="C516" s="330"/>
      <c r="D516" s="330"/>
      <c r="E516" s="330"/>
      <c r="F516" s="330"/>
      <c r="G516" s="330"/>
      <c r="H516" s="330"/>
      <c r="I516" s="330"/>
      <c r="J516" s="330"/>
      <c r="K516" s="331"/>
      <c r="L516" s="330"/>
      <c r="M516" s="332"/>
      <c r="N516" s="599"/>
    </row>
    <row r="517" spans="1:14" x14ac:dyDescent="0.25">
      <c r="A517" s="597"/>
      <c r="B517" s="330"/>
      <c r="C517" s="330"/>
      <c r="D517" s="330"/>
      <c r="E517" s="330"/>
      <c r="F517" s="330"/>
      <c r="G517" s="330"/>
      <c r="H517" s="330"/>
      <c r="I517" s="330"/>
      <c r="J517" s="330"/>
      <c r="K517" s="331"/>
      <c r="L517" s="330"/>
      <c r="M517" s="332"/>
      <c r="N517" s="599"/>
    </row>
    <row r="518" spans="1:14" x14ac:dyDescent="0.25">
      <c r="A518" s="597"/>
      <c r="B518" s="330"/>
      <c r="C518" s="330"/>
      <c r="D518" s="330"/>
      <c r="E518" s="330"/>
      <c r="F518" s="330"/>
      <c r="G518" s="330"/>
      <c r="H518" s="330"/>
      <c r="I518" s="330"/>
      <c r="J518" s="330"/>
      <c r="K518" s="331"/>
      <c r="L518" s="330"/>
      <c r="M518" s="332"/>
      <c r="N518" s="599"/>
    </row>
    <row r="519" spans="1:14" x14ac:dyDescent="0.25">
      <c r="A519" s="597"/>
      <c r="B519" s="330"/>
      <c r="C519" s="330"/>
      <c r="D519" s="330"/>
      <c r="E519" s="330"/>
      <c r="F519" s="330"/>
      <c r="G519" s="330"/>
      <c r="H519" s="330"/>
      <c r="I519" s="330"/>
      <c r="J519" s="330"/>
      <c r="K519" s="331"/>
      <c r="L519" s="330"/>
      <c r="M519" s="332"/>
      <c r="N519" s="599"/>
    </row>
    <row r="520" spans="1:14" x14ac:dyDescent="0.25">
      <c r="A520" s="597"/>
      <c r="B520" s="330"/>
      <c r="C520" s="330"/>
      <c r="D520" s="330"/>
      <c r="E520" s="330"/>
      <c r="F520" s="330"/>
      <c r="G520" s="330"/>
      <c r="H520" s="330"/>
      <c r="I520" s="330"/>
      <c r="J520" s="330"/>
      <c r="K520" s="331"/>
      <c r="L520" s="330"/>
      <c r="M520" s="332"/>
      <c r="N520" s="599"/>
    </row>
    <row r="521" spans="1:14" x14ac:dyDescent="0.25">
      <c r="A521" s="597"/>
      <c r="B521" s="330"/>
      <c r="C521" s="330"/>
      <c r="D521" s="330"/>
      <c r="E521" s="330"/>
      <c r="F521" s="330"/>
      <c r="G521" s="330"/>
      <c r="H521" s="330"/>
      <c r="I521" s="330"/>
      <c r="J521" s="330"/>
      <c r="K521" s="331"/>
      <c r="L521" s="330"/>
      <c r="M521" s="332"/>
      <c r="N521" s="599"/>
    </row>
    <row r="522" spans="1:14" x14ac:dyDescent="0.25">
      <c r="A522" s="597"/>
      <c r="B522" s="330"/>
      <c r="C522" s="330"/>
      <c r="D522" s="330"/>
      <c r="E522" s="330"/>
      <c r="F522" s="330"/>
      <c r="G522" s="330"/>
      <c r="H522" s="330"/>
      <c r="I522" s="330"/>
      <c r="J522" s="330"/>
      <c r="K522" s="331"/>
      <c r="L522" s="330"/>
      <c r="M522" s="332"/>
      <c r="N522" s="599"/>
    </row>
    <row r="523" spans="1:14" x14ac:dyDescent="0.25">
      <c r="A523" s="597"/>
      <c r="B523" s="330"/>
      <c r="C523" s="330"/>
      <c r="D523" s="330"/>
      <c r="E523" s="330"/>
      <c r="F523" s="330"/>
      <c r="G523" s="330"/>
      <c r="H523" s="330"/>
      <c r="I523" s="330"/>
      <c r="J523" s="330"/>
      <c r="K523" s="331"/>
      <c r="L523" s="330"/>
      <c r="M523" s="332"/>
      <c r="N523" s="599"/>
    </row>
    <row r="524" spans="1:14" x14ac:dyDescent="0.25">
      <c r="A524" s="597"/>
      <c r="B524" s="330"/>
      <c r="C524" s="330"/>
      <c r="D524" s="330"/>
      <c r="E524" s="330"/>
      <c r="F524" s="330"/>
      <c r="G524" s="330"/>
      <c r="H524" s="330"/>
      <c r="I524" s="330"/>
      <c r="J524" s="330"/>
      <c r="K524" s="331"/>
      <c r="L524" s="330"/>
      <c r="M524" s="332"/>
      <c r="N524" s="599"/>
    </row>
    <row r="525" spans="1:14" x14ac:dyDescent="0.25">
      <c r="A525" s="597"/>
      <c r="B525" s="330"/>
      <c r="C525" s="330"/>
      <c r="D525" s="330"/>
      <c r="E525" s="330"/>
      <c r="F525" s="330"/>
      <c r="G525" s="330"/>
      <c r="H525" s="330"/>
      <c r="I525" s="330"/>
      <c r="J525" s="330"/>
      <c r="K525" s="331"/>
      <c r="L525" s="330"/>
      <c r="M525" s="332"/>
      <c r="N525" s="599"/>
    </row>
    <row r="526" spans="1:14" x14ac:dyDescent="0.25">
      <c r="A526" s="597"/>
      <c r="B526" s="330"/>
      <c r="C526" s="330"/>
      <c r="D526" s="330"/>
      <c r="E526" s="330"/>
      <c r="F526" s="330"/>
      <c r="G526" s="330"/>
      <c r="H526" s="330"/>
      <c r="I526" s="330"/>
      <c r="J526" s="330"/>
      <c r="K526" s="331"/>
      <c r="L526" s="330"/>
      <c r="M526" s="332"/>
      <c r="N526" s="599"/>
    </row>
    <row r="527" spans="1:14" x14ac:dyDescent="0.25">
      <c r="A527" s="597"/>
      <c r="B527" s="330"/>
      <c r="C527" s="330"/>
      <c r="D527" s="330"/>
      <c r="E527" s="330"/>
      <c r="F527" s="330"/>
      <c r="G527" s="330"/>
      <c r="H527" s="330"/>
      <c r="I527" s="330"/>
      <c r="J527" s="330"/>
      <c r="K527" s="331"/>
      <c r="L527" s="330"/>
      <c r="M527" s="332"/>
      <c r="N527" s="599"/>
    </row>
    <row r="528" spans="1:14" x14ac:dyDescent="0.25">
      <c r="A528" s="597"/>
      <c r="B528" s="330"/>
      <c r="C528" s="330"/>
      <c r="D528" s="330"/>
      <c r="E528" s="330"/>
      <c r="F528" s="330"/>
      <c r="G528" s="330"/>
      <c r="H528" s="330"/>
      <c r="I528" s="330"/>
      <c r="J528" s="330"/>
      <c r="K528" s="331"/>
      <c r="L528" s="330"/>
      <c r="M528" s="332"/>
      <c r="N528" s="599"/>
    </row>
    <row r="529" spans="1:14" x14ac:dyDescent="0.25">
      <c r="A529" s="597"/>
      <c r="B529" s="330"/>
      <c r="C529" s="330"/>
      <c r="D529" s="330"/>
      <c r="E529" s="330"/>
      <c r="F529" s="330"/>
      <c r="G529" s="330"/>
      <c r="H529" s="330"/>
      <c r="I529" s="330"/>
      <c r="J529" s="330"/>
      <c r="K529" s="331"/>
      <c r="L529" s="330"/>
      <c r="M529" s="332"/>
      <c r="N529" s="599"/>
    </row>
    <row r="530" spans="1:14" x14ac:dyDescent="0.25">
      <c r="A530" s="597"/>
      <c r="B530" s="330"/>
      <c r="C530" s="330"/>
      <c r="D530" s="330"/>
      <c r="E530" s="330"/>
      <c r="F530" s="330"/>
      <c r="G530" s="330"/>
      <c r="H530" s="330"/>
      <c r="I530" s="330"/>
      <c r="J530" s="330"/>
      <c r="K530" s="331"/>
      <c r="L530" s="330"/>
      <c r="M530" s="332"/>
      <c r="N530" s="599"/>
    </row>
    <row r="531" spans="1:14" x14ac:dyDescent="0.25">
      <c r="A531" s="597"/>
      <c r="B531" s="330"/>
      <c r="C531" s="330"/>
      <c r="D531" s="330"/>
      <c r="E531" s="330"/>
      <c r="F531" s="330"/>
      <c r="G531" s="330"/>
      <c r="H531" s="330"/>
      <c r="I531" s="330"/>
      <c r="J531" s="330"/>
      <c r="K531" s="331"/>
      <c r="L531" s="330"/>
      <c r="M531" s="332"/>
      <c r="N531" s="599"/>
    </row>
    <row r="532" spans="1:14" x14ac:dyDescent="0.25">
      <c r="A532" s="597"/>
      <c r="B532" s="330"/>
      <c r="C532" s="330"/>
      <c r="D532" s="330"/>
      <c r="E532" s="330"/>
      <c r="F532" s="330"/>
      <c r="G532" s="330"/>
      <c r="H532" s="330"/>
      <c r="I532" s="330"/>
      <c r="J532" s="330"/>
      <c r="K532" s="331"/>
      <c r="L532" s="330"/>
      <c r="M532" s="332"/>
      <c r="N532" s="599"/>
    </row>
    <row r="533" spans="1:14" x14ac:dyDescent="0.25">
      <c r="A533" s="597"/>
      <c r="B533" s="330"/>
      <c r="C533" s="330"/>
      <c r="D533" s="330"/>
      <c r="E533" s="330"/>
      <c r="F533" s="330"/>
      <c r="G533" s="330"/>
      <c r="H533" s="330"/>
      <c r="I533" s="330"/>
      <c r="J533" s="330"/>
      <c r="K533" s="331"/>
      <c r="L533" s="330"/>
      <c r="M533" s="332"/>
      <c r="N533" s="599"/>
    </row>
    <row r="534" spans="1:14" x14ac:dyDescent="0.25">
      <c r="A534" s="597"/>
      <c r="B534" s="330"/>
      <c r="C534" s="330"/>
      <c r="D534" s="330"/>
      <c r="E534" s="330"/>
      <c r="F534" s="330"/>
      <c r="G534" s="330"/>
      <c r="H534" s="330"/>
      <c r="I534" s="330"/>
      <c r="J534" s="330"/>
      <c r="K534" s="331"/>
      <c r="L534" s="330"/>
      <c r="M534" s="332"/>
      <c r="N534" s="599"/>
    </row>
    <row r="535" spans="1:14" x14ac:dyDescent="0.25">
      <c r="A535" s="597"/>
      <c r="B535" s="330"/>
      <c r="C535" s="330"/>
      <c r="D535" s="330"/>
      <c r="E535" s="330"/>
      <c r="F535" s="330"/>
      <c r="G535" s="330"/>
      <c r="H535" s="330"/>
      <c r="I535" s="330"/>
      <c r="J535" s="330"/>
      <c r="K535" s="331"/>
      <c r="L535" s="330"/>
      <c r="M535" s="332"/>
      <c r="N535" s="599"/>
    </row>
    <row r="536" spans="1:14" x14ac:dyDescent="0.25">
      <c r="A536" s="597"/>
      <c r="B536" s="330"/>
      <c r="C536" s="330"/>
      <c r="D536" s="330"/>
      <c r="E536" s="330"/>
      <c r="F536" s="330"/>
      <c r="G536" s="330"/>
      <c r="H536" s="330"/>
      <c r="I536" s="330"/>
      <c r="J536" s="330"/>
      <c r="K536" s="331"/>
      <c r="L536" s="330"/>
      <c r="M536" s="332"/>
      <c r="N536" s="599"/>
    </row>
    <row r="537" spans="1:14" x14ac:dyDescent="0.25">
      <c r="A537" s="597"/>
      <c r="B537" s="330"/>
      <c r="C537" s="330"/>
      <c r="D537" s="330"/>
      <c r="E537" s="330"/>
      <c r="F537" s="330"/>
      <c r="G537" s="330"/>
      <c r="H537" s="330"/>
      <c r="I537" s="330"/>
      <c r="J537" s="330"/>
      <c r="K537" s="331"/>
      <c r="L537" s="330"/>
      <c r="M537" s="332"/>
      <c r="N537" s="599"/>
    </row>
    <row r="538" spans="1:14" x14ac:dyDescent="0.25">
      <c r="A538" s="597"/>
      <c r="B538" s="330"/>
      <c r="C538" s="330"/>
      <c r="D538" s="330"/>
      <c r="E538" s="330"/>
      <c r="F538" s="330"/>
      <c r="G538" s="330"/>
      <c r="H538" s="330"/>
      <c r="I538" s="330"/>
      <c r="J538" s="330"/>
      <c r="K538" s="331"/>
      <c r="L538" s="330"/>
      <c r="M538" s="332"/>
      <c r="N538" s="599"/>
    </row>
    <row r="539" spans="1:14" x14ac:dyDescent="0.25">
      <c r="A539" s="597"/>
      <c r="B539" s="330"/>
      <c r="C539" s="330"/>
      <c r="D539" s="330"/>
      <c r="E539" s="330"/>
      <c r="F539" s="330"/>
      <c r="G539" s="330"/>
      <c r="H539" s="330"/>
      <c r="I539" s="330"/>
      <c r="J539" s="330"/>
      <c r="K539" s="331"/>
      <c r="L539" s="330"/>
      <c r="M539" s="332"/>
      <c r="N539" s="599"/>
    </row>
    <row r="540" spans="1:14" x14ac:dyDescent="0.25">
      <c r="A540" s="597"/>
      <c r="B540" s="330"/>
      <c r="C540" s="330"/>
      <c r="D540" s="330"/>
      <c r="E540" s="330"/>
      <c r="F540" s="330"/>
      <c r="G540" s="330"/>
      <c r="H540" s="330"/>
      <c r="I540" s="330"/>
      <c r="J540" s="330"/>
      <c r="K540" s="331"/>
      <c r="L540" s="330"/>
      <c r="M540" s="332"/>
      <c r="N540" s="599"/>
    </row>
    <row r="541" spans="1:14" x14ac:dyDescent="0.25">
      <c r="A541" s="597"/>
      <c r="B541" s="330"/>
      <c r="C541" s="330"/>
      <c r="D541" s="330"/>
      <c r="E541" s="330"/>
      <c r="F541" s="330"/>
      <c r="G541" s="330"/>
      <c r="H541" s="330"/>
      <c r="I541" s="330"/>
      <c r="J541" s="330"/>
      <c r="K541" s="331"/>
      <c r="L541" s="330"/>
      <c r="M541" s="332"/>
      <c r="N541" s="599"/>
    </row>
    <row r="542" spans="1:14" x14ac:dyDescent="0.25">
      <c r="A542" s="597"/>
      <c r="B542" s="330"/>
      <c r="C542" s="330"/>
      <c r="D542" s="330"/>
      <c r="E542" s="330"/>
      <c r="F542" s="330"/>
      <c r="G542" s="330"/>
      <c r="H542" s="330"/>
      <c r="I542" s="330"/>
      <c r="J542" s="330"/>
      <c r="K542" s="331"/>
      <c r="L542" s="330"/>
      <c r="M542" s="332"/>
      <c r="N542" s="599"/>
    </row>
    <row r="543" spans="1:14" x14ac:dyDescent="0.25">
      <c r="A543" s="597"/>
      <c r="B543" s="330"/>
      <c r="C543" s="330"/>
      <c r="D543" s="330"/>
      <c r="E543" s="330"/>
      <c r="F543" s="330"/>
      <c r="G543" s="330"/>
      <c r="H543" s="330"/>
      <c r="I543" s="330"/>
      <c r="J543" s="330"/>
      <c r="K543" s="331"/>
      <c r="L543" s="330"/>
      <c r="M543" s="332"/>
      <c r="N543" s="599"/>
    </row>
    <row r="544" spans="1:14" x14ac:dyDescent="0.25">
      <c r="A544" s="597"/>
      <c r="B544" s="330"/>
      <c r="C544" s="330"/>
      <c r="D544" s="330"/>
      <c r="E544" s="330"/>
      <c r="F544" s="330"/>
      <c r="G544" s="330"/>
      <c r="H544" s="330"/>
      <c r="I544" s="330"/>
      <c r="J544" s="330"/>
      <c r="K544" s="331"/>
      <c r="L544" s="330"/>
      <c r="M544" s="332"/>
      <c r="N544" s="599"/>
    </row>
    <row r="545" spans="1:14" x14ac:dyDescent="0.25">
      <c r="A545" s="597"/>
      <c r="B545" s="330"/>
      <c r="C545" s="330"/>
      <c r="D545" s="330"/>
      <c r="E545" s="330"/>
      <c r="F545" s="330"/>
      <c r="G545" s="330"/>
      <c r="H545" s="330"/>
      <c r="I545" s="330"/>
      <c r="J545" s="330"/>
      <c r="K545" s="331"/>
      <c r="L545" s="330"/>
      <c r="M545" s="332"/>
      <c r="N545" s="599"/>
    </row>
    <row r="546" spans="1:14" x14ac:dyDescent="0.25">
      <c r="A546" s="597"/>
      <c r="B546" s="330"/>
      <c r="C546" s="330"/>
      <c r="D546" s="330"/>
      <c r="E546" s="330"/>
      <c r="F546" s="330"/>
      <c r="G546" s="330"/>
      <c r="H546" s="330"/>
      <c r="I546" s="330"/>
      <c r="J546" s="330"/>
      <c r="K546" s="331"/>
      <c r="L546" s="330"/>
      <c r="M546" s="332"/>
      <c r="N546" s="599"/>
    </row>
    <row r="547" spans="1:14" x14ac:dyDescent="0.25">
      <c r="A547" s="597"/>
      <c r="B547" s="330"/>
      <c r="C547" s="330"/>
      <c r="D547" s="330"/>
      <c r="E547" s="330"/>
      <c r="F547" s="330"/>
      <c r="G547" s="330"/>
      <c r="H547" s="330"/>
      <c r="I547" s="330"/>
      <c r="J547" s="330"/>
      <c r="K547" s="331"/>
      <c r="L547" s="330"/>
      <c r="M547" s="332"/>
      <c r="N547" s="599"/>
    </row>
    <row r="548" spans="1:14" x14ac:dyDescent="0.25">
      <c r="A548" s="597"/>
      <c r="B548" s="330"/>
      <c r="C548" s="330"/>
      <c r="D548" s="330"/>
      <c r="E548" s="330"/>
      <c r="F548" s="330"/>
      <c r="G548" s="330"/>
      <c r="H548" s="330"/>
      <c r="I548" s="330"/>
      <c r="J548" s="330"/>
      <c r="K548" s="331"/>
      <c r="L548" s="330"/>
      <c r="M548" s="332"/>
      <c r="N548" s="599"/>
    </row>
    <row r="549" spans="1:14" x14ac:dyDescent="0.25">
      <c r="A549" s="597"/>
      <c r="B549" s="330"/>
      <c r="C549" s="330"/>
      <c r="D549" s="330"/>
      <c r="E549" s="330"/>
      <c r="F549" s="330"/>
      <c r="G549" s="330"/>
      <c r="H549" s="330"/>
      <c r="I549" s="330"/>
      <c r="J549" s="330"/>
      <c r="K549" s="331"/>
      <c r="L549" s="330"/>
      <c r="M549" s="332"/>
      <c r="N549" s="599"/>
    </row>
    <row r="550" spans="1:14" x14ac:dyDescent="0.25">
      <c r="A550" s="597"/>
      <c r="B550" s="330"/>
      <c r="C550" s="330"/>
      <c r="D550" s="330"/>
      <c r="E550" s="330"/>
      <c r="F550" s="330"/>
      <c r="G550" s="330"/>
      <c r="H550" s="330"/>
      <c r="I550" s="330"/>
      <c r="J550" s="330"/>
      <c r="K550" s="331"/>
      <c r="L550" s="330"/>
      <c r="M550" s="332"/>
      <c r="N550" s="599"/>
    </row>
    <row r="551" spans="1:14" x14ac:dyDescent="0.25">
      <c r="A551" s="597"/>
      <c r="B551" s="330"/>
      <c r="C551" s="330"/>
      <c r="D551" s="330"/>
      <c r="E551" s="330"/>
      <c r="F551" s="330"/>
      <c r="G551" s="330"/>
      <c r="H551" s="330"/>
      <c r="I551" s="330"/>
      <c r="J551" s="330"/>
      <c r="K551" s="331"/>
      <c r="L551" s="330"/>
      <c r="M551" s="332"/>
      <c r="N551" s="599"/>
    </row>
    <row r="552" spans="1:14" x14ac:dyDescent="0.25">
      <c r="A552" s="597"/>
      <c r="B552" s="330"/>
      <c r="C552" s="330"/>
      <c r="D552" s="330"/>
      <c r="E552" s="330"/>
      <c r="F552" s="330"/>
      <c r="G552" s="330"/>
      <c r="H552" s="330"/>
      <c r="I552" s="330"/>
      <c r="J552" s="330"/>
      <c r="K552" s="331"/>
      <c r="L552" s="330"/>
      <c r="M552" s="332"/>
      <c r="N552" s="599"/>
    </row>
    <row r="553" spans="1:14" x14ac:dyDescent="0.25">
      <c r="A553" s="597"/>
      <c r="B553" s="330"/>
      <c r="C553" s="330"/>
      <c r="D553" s="330"/>
      <c r="E553" s="330"/>
      <c r="F553" s="330"/>
      <c r="G553" s="330"/>
      <c r="H553" s="330"/>
      <c r="I553" s="330"/>
      <c r="J553" s="330"/>
      <c r="K553" s="331"/>
      <c r="L553" s="330"/>
      <c r="M553" s="332"/>
      <c r="N553" s="599"/>
    </row>
    <row r="554" spans="1:14" x14ac:dyDescent="0.25">
      <c r="A554" s="597"/>
      <c r="B554" s="330"/>
      <c r="C554" s="330"/>
      <c r="D554" s="330"/>
      <c r="E554" s="330"/>
      <c r="F554" s="330"/>
      <c r="G554" s="330"/>
      <c r="H554" s="330"/>
      <c r="I554" s="330"/>
      <c r="J554" s="330"/>
      <c r="K554" s="331"/>
      <c r="L554" s="330"/>
      <c r="M554" s="332"/>
      <c r="N554" s="599"/>
    </row>
    <row r="555" spans="1:14" x14ac:dyDescent="0.25">
      <c r="A555" s="597"/>
      <c r="B555" s="330"/>
      <c r="C555" s="330"/>
      <c r="D555" s="330"/>
      <c r="E555" s="330"/>
      <c r="F555" s="330"/>
      <c r="G555" s="330"/>
      <c r="H555" s="330"/>
      <c r="I555" s="330"/>
      <c r="J555" s="330"/>
      <c r="K555" s="331"/>
      <c r="L555" s="330"/>
      <c r="M555" s="332"/>
      <c r="N555" s="599"/>
    </row>
    <row r="556" spans="1:14" x14ac:dyDescent="0.25">
      <c r="A556" s="597"/>
      <c r="B556" s="330"/>
      <c r="C556" s="330"/>
      <c r="D556" s="330"/>
      <c r="E556" s="330"/>
      <c r="F556" s="330"/>
      <c r="G556" s="330"/>
      <c r="H556" s="330"/>
      <c r="I556" s="330"/>
      <c r="J556" s="330"/>
      <c r="K556" s="331"/>
      <c r="L556" s="330"/>
      <c r="M556" s="332"/>
      <c r="N556" s="599"/>
    </row>
    <row r="557" spans="1:14" x14ac:dyDescent="0.25">
      <c r="A557" s="597"/>
      <c r="B557" s="330"/>
      <c r="C557" s="330"/>
      <c r="D557" s="330"/>
      <c r="E557" s="330"/>
      <c r="F557" s="330"/>
      <c r="G557" s="330"/>
      <c r="H557" s="330"/>
      <c r="I557" s="330"/>
      <c r="J557" s="330"/>
      <c r="K557" s="331"/>
      <c r="L557" s="330"/>
      <c r="M557" s="332"/>
      <c r="N557" s="599"/>
    </row>
    <row r="558" spans="1:14" x14ac:dyDescent="0.25">
      <c r="A558" s="597"/>
      <c r="B558" s="330"/>
      <c r="C558" s="330"/>
      <c r="D558" s="330"/>
      <c r="E558" s="330"/>
      <c r="F558" s="330"/>
      <c r="G558" s="330"/>
      <c r="H558" s="330"/>
      <c r="I558" s="330"/>
      <c r="J558" s="330"/>
      <c r="K558" s="331"/>
      <c r="L558" s="330"/>
      <c r="M558" s="332"/>
      <c r="N558" s="599"/>
    </row>
    <row r="559" spans="1:14" x14ac:dyDescent="0.25">
      <c r="A559" s="597"/>
      <c r="B559" s="330"/>
      <c r="C559" s="330"/>
      <c r="D559" s="330"/>
      <c r="E559" s="330"/>
      <c r="F559" s="330"/>
      <c r="G559" s="330"/>
      <c r="H559" s="330"/>
      <c r="I559" s="330"/>
      <c r="J559" s="330"/>
      <c r="K559" s="331"/>
      <c r="L559" s="330"/>
      <c r="M559" s="332"/>
      <c r="N559" s="599"/>
    </row>
    <row r="560" spans="1:14" x14ac:dyDescent="0.25">
      <c r="A560" s="597"/>
      <c r="B560" s="330"/>
      <c r="C560" s="330"/>
      <c r="D560" s="330"/>
      <c r="E560" s="330"/>
      <c r="F560" s="330"/>
      <c r="G560" s="330"/>
      <c r="H560" s="330"/>
      <c r="I560" s="330"/>
      <c r="J560" s="330"/>
      <c r="K560" s="331"/>
      <c r="L560" s="330"/>
      <c r="M560" s="332"/>
      <c r="N560" s="599"/>
    </row>
    <row r="561" spans="1:14" x14ac:dyDescent="0.25">
      <c r="A561" s="597"/>
      <c r="B561" s="330"/>
      <c r="C561" s="330"/>
      <c r="D561" s="330"/>
      <c r="E561" s="330"/>
      <c r="F561" s="330"/>
      <c r="G561" s="330"/>
      <c r="H561" s="330"/>
      <c r="I561" s="330"/>
      <c r="J561" s="330"/>
      <c r="K561" s="331"/>
      <c r="L561" s="330"/>
      <c r="M561" s="332"/>
      <c r="N561" s="599"/>
    </row>
    <row r="562" spans="1:14" x14ac:dyDescent="0.25">
      <c r="A562" s="597"/>
      <c r="B562" s="330"/>
      <c r="C562" s="330"/>
      <c r="D562" s="330"/>
      <c r="E562" s="330"/>
      <c r="F562" s="330"/>
      <c r="G562" s="330"/>
      <c r="H562" s="330"/>
      <c r="I562" s="330"/>
      <c r="J562" s="330"/>
      <c r="K562" s="331"/>
      <c r="L562" s="330"/>
      <c r="M562" s="332"/>
      <c r="N562" s="599"/>
    </row>
    <row r="563" spans="1:14" x14ac:dyDescent="0.25">
      <c r="A563" s="597"/>
      <c r="B563" s="330"/>
      <c r="C563" s="330"/>
      <c r="D563" s="330"/>
      <c r="E563" s="330"/>
      <c r="F563" s="330"/>
      <c r="G563" s="330"/>
      <c r="H563" s="330"/>
      <c r="I563" s="330"/>
      <c r="J563" s="330"/>
      <c r="K563" s="331"/>
      <c r="L563" s="330"/>
      <c r="M563" s="332"/>
      <c r="N563" s="599"/>
    </row>
    <row r="564" spans="1:14" x14ac:dyDescent="0.25">
      <c r="A564" s="597"/>
      <c r="B564" s="330"/>
      <c r="C564" s="330"/>
      <c r="D564" s="330"/>
      <c r="E564" s="330"/>
      <c r="F564" s="330"/>
      <c r="G564" s="330"/>
      <c r="H564" s="330"/>
      <c r="I564" s="330"/>
      <c r="J564" s="330"/>
      <c r="K564" s="331"/>
      <c r="L564" s="330"/>
      <c r="M564" s="332"/>
      <c r="N564" s="599"/>
    </row>
    <row r="565" spans="1:14" x14ac:dyDescent="0.25">
      <c r="A565" s="597"/>
      <c r="B565" s="330"/>
      <c r="C565" s="330"/>
      <c r="D565" s="330"/>
      <c r="E565" s="330"/>
      <c r="F565" s="330"/>
      <c r="G565" s="330"/>
      <c r="H565" s="330"/>
      <c r="I565" s="330"/>
      <c r="J565" s="330"/>
      <c r="K565" s="331"/>
      <c r="L565" s="330"/>
      <c r="M565" s="332"/>
      <c r="N565" s="599"/>
    </row>
    <row r="566" spans="1:14" x14ac:dyDescent="0.25">
      <c r="A566" s="597"/>
      <c r="B566" s="330"/>
      <c r="C566" s="330"/>
      <c r="D566" s="330"/>
      <c r="E566" s="330"/>
      <c r="F566" s="330"/>
      <c r="G566" s="330"/>
      <c r="H566" s="330"/>
      <c r="I566" s="330"/>
      <c r="J566" s="330"/>
      <c r="K566" s="331"/>
      <c r="L566" s="330"/>
      <c r="M566" s="332"/>
      <c r="N566" s="599"/>
    </row>
    <row r="567" spans="1:14" x14ac:dyDescent="0.25">
      <c r="A567" s="597"/>
      <c r="B567" s="330"/>
      <c r="C567" s="330"/>
      <c r="D567" s="330"/>
      <c r="E567" s="330"/>
      <c r="F567" s="330"/>
      <c r="G567" s="330"/>
      <c r="H567" s="330"/>
      <c r="I567" s="330"/>
      <c r="J567" s="330"/>
      <c r="K567" s="331"/>
      <c r="L567" s="330"/>
      <c r="M567" s="332"/>
      <c r="N567" s="599"/>
    </row>
    <row r="568" spans="1:14" x14ac:dyDescent="0.25">
      <c r="A568" s="597"/>
      <c r="B568" s="330"/>
      <c r="C568" s="330"/>
      <c r="D568" s="330"/>
      <c r="E568" s="330"/>
      <c r="F568" s="330"/>
      <c r="G568" s="330"/>
      <c r="H568" s="330"/>
      <c r="I568" s="330"/>
      <c r="J568" s="330"/>
      <c r="K568" s="331"/>
      <c r="L568" s="330"/>
      <c r="M568" s="332"/>
      <c r="N568" s="599"/>
    </row>
    <row r="569" spans="1:14" x14ac:dyDescent="0.25">
      <c r="A569" s="597"/>
      <c r="B569" s="330"/>
      <c r="C569" s="330"/>
      <c r="D569" s="330"/>
      <c r="E569" s="330"/>
      <c r="F569" s="330"/>
      <c r="G569" s="330"/>
      <c r="H569" s="330"/>
      <c r="I569" s="330"/>
      <c r="J569" s="330"/>
      <c r="K569" s="331"/>
      <c r="L569" s="330"/>
      <c r="M569" s="332"/>
      <c r="N569" s="599"/>
    </row>
    <row r="570" spans="1:14" x14ac:dyDescent="0.25">
      <c r="A570" s="597"/>
      <c r="B570" s="330"/>
      <c r="C570" s="330"/>
      <c r="D570" s="330"/>
      <c r="E570" s="330"/>
      <c r="F570" s="330"/>
      <c r="G570" s="330"/>
      <c r="H570" s="330"/>
      <c r="I570" s="330"/>
      <c r="J570" s="330"/>
      <c r="K570" s="331"/>
      <c r="L570" s="330"/>
      <c r="M570" s="332"/>
      <c r="N570" s="599"/>
    </row>
    <row r="571" spans="1:14" x14ac:dyDescent="0.25">
      <c r="A571" s="597"/>
      <c r="B571" s="330"/>
      <c r="C571" s="330"/>
      <c r="D571" s="330"/>
      <c r="E571" s="330"/>
      <c r="F571" s="330"/>
      <c r="G571" s="330"/>
      <c r="H571" s="330"/>
      <c r="I571" s="330"/>
      <c r="J571" s="330"/>
      <c r="K571" s="331"/>
      <c r="L571" s="330"/>
      <c r="M571" s="332"/>
      <c r="N571" s="599"/>
    </row>
    <row r="572" spans="1:14" x14ac:dyDescent="0.25">
      <c r="A572" s="597"/>
      <c r="B572" s="330"/>
      <c r="C572" s="330"/>
      <c r="D572" s="330"/>
      <c r="E572" s="330"/>
      <c r="F572" s="330"/>
      <c r="G572" s="330"/>
      <c r="H572" s="330"/>
      <c r="I572" s="330"/>
      <c r="J572" s="330"/>
      <c r="K572" s="331"/>
      <c r="L572" s="330"/>
      <c r="M572" s="332"/>
      <c r="N572" s="599"/>
    </row>
    <row r="573" spans="1:14" x14ac:dyDescent="0.25">
      <c r="A573" s="597"/>
      <c r="B573" s="330"/>
      <c r="C573" s="330"/>
      <c r="D573" s="330"/>
      <c r="E573" s="330"/>
      <c r="F573" s="330"/>
      <c r="G573" s="330"/>
      <c r="H573" s="330"/>
      <c r="I573" s="330"/>
      <c r="J573" s="330"/>
      <c r="K573" s="331"/>
      <c r="L573" s="330"/>
      <c r="M573" s="332"/>
      <c r="N573" s="599"/>
    </row>
    <row r="574" spans="1:14" x14ac:dyDescent="0.25">
      <c r="A574" s="597"/>
      <c r="B574" s="330"/>
      <c r="C574" s="330"/>
      <c r="D574" s="330"/>
      <c r="E574" s="330"/>
      <c r="F574" s="330"/>
      <c r="G574" s="330"/>
      <c r="H574" s="330"/>
      <c r="I574" s="330"/>
      <c r="J574" s="330"/>
      <c r="K574" s="331"/>
      <c r="L574" s="330"/>
      <c r="M574" s="332"/>
      <c r="N574" s="599"/>
    </row>
    <row r="575" spans="1:14" x14ac:dyDescent="0.25">
      <c r="A575" s="597"/>
      <c r="B575" s="330"/>
      <c r="C575" s="330"/>
      <c r="D575" s="330"/>
      <c r="E575" s="330"/>
      <c r="F575" s="330"/>
      <c r="G575" s="330"/>
      <c r="H575" s="330"/>
      <c r="I575" s="330"/>
      <c r="J575" s="330"/>
      <c r="K575" s="331"/>
      <c r="L575" s="330"/>
      <c r="M575" s="332"/>
      <c r="N575" s="599"/>
    </row>
    <row r="576" spans="1:14" x14ac:dyDescent="0.25">
      <c r="A576" s="597"/>
      <c r="B576" s="330"/>
      <c r="C576" s="330"/>
      <c r="D576" s="330"/>
      <c r="E576" s="330"/>
      <c r="F576" s="330"/>
      <c r="G576" s="330"/>
      <c r="H576" s="330"/>
      <c r="I576" s="330"/>
      <c r="J576" s="330"/>
      <c r="K576" s="331"/>
      <c r="L576" s="330"/>
      <c r="M576" s="332"/>
      <c r="N576" s="599"/>
    </row>
    <row r="577" spans="1:14" x14ac:dyDescent="0.25">
      <c r="A577" s="597"/>
      <c r="B577" s="330"/>
      <c r="C577" s="330"/>
      <c r="D577" s="330"/>
      <c r="E577" s="330"/>
      <c r="F577" s="330"/>
      <c r="G577" s="330"/>
      <c r="H577" s="330"/>
      <c r="I577" s="330"/>
      <c r="J577" s="330"/>
      <c r="K577" s="331"/>
      <c r="L577" s="330"/>
      <c r="M577" s="332"/>
      <c r="N577" s="599"/>
    </row>
    <row r="578" spans="1:14" x14ac:dyDescent="0.25">
      <c r="A578" s="597"/>
      <c r="B578" s="330"/>
      <c r="C578" s="330"/>
      <c r="D578" s="330"/>
      <c r="E578" s="330"/>
      <c r="F578" s="330"/>
      <c r="G578" s="330"/>
      <c r="H578" s="330"/>
      <c r="I578" s="330"/>
      <c r="J578" s="330"/>
      <c r="K578" s="331"/>
      <c r="L578" s="330"/>
      <c r="M578" s="332"/>
      <c r="N578" s="599"/>
    </row>
    <row r="579" spans="1:14" x14ac:dyDescent="0.25">
      <c r="A579" s="597"/>
      <c r="B579" s="330"/>
      <c r="C579" s="330"/>
      <c r="D579" s="330"/>
      <c r="E579" s="330"/>
      <c r="F579" s="330"/>
      <c r="G579" s="330"/>
      <c r="H579" s="330"/>
      <c r="I579" s="330"/>
      <c r="J579" s="330"/>
      <c r="K579" s="331"/>
      <c r="L579" s="330"/>
      <c r="M579" s="332"/>
      <c r="N579" s="599"/>
    </row>
    <row r="580" spans="1:14" x14ac:dyDescent="0.25">
      <c r="A580" s="597"/>
      <c r="B580" s="330"/>
      <c r="C580" s="330"/>
      <c r="D580" s="330"/>
      <c r="E580" s="330"/>
      <c r="F580" s="330"/>
      <c r="G580" s="330"/>
      <c r="H580" s="330"/>
      <c r="I580" s="330"/>
      <c r="J580" s="330"/>
      <c r="K580" s="331"/>
      <c r="L580" s="330"/>
      <c r="M580" s="332"/>
      <c r="N580" s="599"/>
    </row>
    <row r="581" spans="1:14" x14ac:dyDescent="0.25">
      <c r="A581" s="597"/>
      <c r="B581" s="330"/>
      <c r="C581" s="330"/>
      <c r="D581" s="330"/>
      <c r="E581" s="330"/>
      <c r="F581" s="330"/>
      <c r="G581" s="330"/>
      <c r="H581" s="330"/>
      <c r="I581" s="330"/>
      <c r="J581" s="330"/>
      <c r="K581" s="331"/>
      <c r="L581" s="330"/>
      <c r="M581" s="332"/>
      <c r="N581" s="599"/>
    </row>
    <row r="582" spans="1:14" x14ac:dyDescent="0.25">
      <c r="A582" s="597"/>
      <c r="B582" s="330"/>
      <c r="C582" s="330"/>
      <c r="D582" s="330"/>
      <c r="E582" s="330"/>
      <c r="F582" s="330"/>
      <c r="G582" s="330"/>
      <c r="H582" s="330"/>
      <c r="I582" s="330"/>
      <c r="J582" s="330"/>
      <c r="K582" s="331"/>
      <c r="L582" s="330"/>
      <c r="M582" s="332"/>
      <c r="N582" s="599"/>
    </row>
    <row r="583" spans="1:14" x14ac:dyDescent="0.25">
      <c r="A583" s="597"/>
      <c r="B583" s="330"/>
      <c r="C583" s="330"/>
      <c r="D583" s="330"/>
      <c r="E583" s="330"/>
      <c r="F583" s="330"/>
      <c r="G583" s="330"/>
      <c r="H583" s="330"/>
      <c r="I583" s="330"/>
      <c r="J583" s="330"/>
      <c r="K583" s="331"/>
      <c r="L583" s="330"/>
      <c r="M583" s="332"/>
      <c r="N583" s="599"/>
    </row>
    <row r="584" spans="1:14" x14ac:dyDescent="0.25">
      <c r="A584" s="597"/>
      <c r="B584" s="330"/>
      <c r="C584" s="330"/>
      <c r="D584" s="330"/>
      <c r="E584" s="330"/>
      <c r="F584" s="330"/>
      <c r="G584" s="330"/>
      <c r="H584" s="330"/>
      <c r="I584" s="330"/>
      <c r="J584" s="330"/>
      <c r="K584" s="331"/>
      <c r="L584" s="330"/>
      <c r="M584" s="332"/>
      <c r="N584" s="599"/>
    </row>
    <row r="585" spans="1:14" x14ac:dyDescent="0.25">
      <c r="A585" s="597"/>
      <c r="B585" s="330"/>
      <c r="C585" s="330"/>
      <c r="D585" s="330"/>
      <c r="E585" s="330"/>
      <c r="F585" s="330"/>
      <c r="G585" s="330"/>
      <c r="H585" s="330"/>
      <c r="I585" s="330"/>
      <c r="J585" s="330"/>
      <c r="K585" s="331"/>
      <c r="L585" s="330"/>
      <c r="M585" s="332"/>
      <c r="N585" s="599"/>
    </row>
    <row r="586" spans="1:14" x14ac:dyDescent="0.25">
      <c r="A586" s="597"/>
      <c r="B586" s="330"/>
      <c r="C586" s="330"/>
      <c r="D586" s="330"/>
      <c r="E586" s="330"/>
      <c r="F586" s="330"/>
      <c r="G586" s="330"/>
      <c r="H586" s="330"/>
      <c r="I586" s="330"/>
      <c r="J586" s="330"/>
      <c r="K586" s="331"/>
      <c r="L586" s="330"/>
      <c r="M586" s="332"/>
      <c r="N586" s="599"/>
    </row>
    <row r="587" spans="1:14" x14ac:dyDescent="0.25">
      <c r="A587" s="597"/>
      <c r="B587" s="330"/>
      <c r="C587" s="330"/>
      <c r="D587" s="330"/>
      <c r="E587" s="330"/>
      <c r="F587" s="330"/>
      <c r="G587" s="330"/>
      <c r="H587" s="330"/>
      <c r="I587" s="330"/>
      <c r="J587" s="330"/>
      <c r="K587" s="331"/>
      <c r="L587" s="330"/>
      <c r="M587" s="332"/>
      <c r="N587" s="599"/>
    </row>
    <row r="588" spans="1:14" x14ac:dyDescent="0.25">
      <c r="A588" s="597"/>
      <c r="B588" s="330"/>
      <c r="C588" s="330"/>
      <c r="D588" s="330"/>
      <c r="E588" s="330"/>
      <c r="F588" s="330"/>
      <c r="G588" s="330"/>
      <c r="H588" s="330"/>
      <c r="I588" s="330"/>
      <c r="J588" s="330"/>
      <c r="K588" s="331"/>
      <c r="L588" s="330"/>
      <c r="M588" s="332"/>
      <c r="N588" s="599"/>
    </row>
    <row r="589" spans="1:14" x14ac:dyDescent="0.25">
      <c r="A589" s="597"/>
      <c r="B589" s="330"/>
      <c r="C589" s="330"/>
      <c r="D589" s="330"/>
      <c r="E589" s="330"/>
      <c r="F589" s="330"/>
      <c r="G589" s="330"/>
      <c r="H589" s="330"/>
      <c r="I589" s="330"/>
      <c r="J589" s="330"/>
      <c r="K589" s="331"/>
      <c r="L589" s="330"/>
      <c r="M589" s="332"/>
      <c r="N589" s="599"/>
    </row>
    <row r="590" spans="1:14" x14ac:dyDescent="0.25">
      <c r="A590" s="597"/>
      <c r="B590" s="330"/>
      <c r="C590" s="330"/>
      <c r="D590" s="330"/>
      <c r="E590" s="330"/>
      <c r="F590" s="330"/>
      <c r="G590" s="330"/>
      <c r="H590" s="330"/>
      <c r="I590" s="330"/>
      <c r="J590" s="330"/>
      <c r="K590" s="331"/>
      <c r="L590" s="330"/>
      <c r="M590" s="332"/>
      <c r="N590" s="599"/>
    </row>
    <row r="591" spans="1:14" x14ac:dyDescent="0.25">
      <c r="A591" s="597"/>
      <c r="B591" s="330"/>
      <c r="C591" s="330"/>
      <c r="D591" s="330"/>
      <c r="E591" s="330"/>
      <c r="F591" s="330"/>
      <c r="G591" s="330"/>
      <c r="H591" s="330"/>
      <c r="I591" s="330"/>
      <c r="J591" s="330"/>
      <c r="K591" s="331"/>
      <c r="L591" s="330"/>
      <c r="M591" s="332"/>
      <c r="N591" s="599"/>
    </row>
    <row r="592" spans="1:14" x14ac:dyDescent="0.25">
      <c r="A592" s="597"/>
      <c r="B592" s="330"/>
      <c r="C592" s="330"/>
      <c r="D592" s="330"/>
      <c r="E592" s="330"/>
      <c r="F592" s="330"/>
      <c r="G592" s="330"/>
      <c r="H592" s="330"/>
      <c r="I592" s="330"/>
      <c r="J592" s="330"/>
      <c r="K592" s="331"/>
      <c r="L592" s="330"/>
      <c r="M592" s="332"/>
      <c r="N592" s="599"/>
    </row>
    <row r="593" spans="1:14" x14ac:dyDescent="0.25">
      <c r="A593" s="597"/>
      <c r="B593" s="330"/>
      <c r="C593" s="330"/>
      <c r="D593" s="330"/>
      <c r="E593" s="330"/>
      <c r="F593" s="330"/>
      <c r="G593" s="330"/>
      <c r="H593" s="330"/>
      <c r="I593" s="330"/>
      <c r="J593" s="330"/>
      <c r="K593" s="331"/>
      <c r="L593" s="330"/>
      <c r="M593" s="332"/>
      <c r="N593" s="599"/>
    </row>
    <row r="594" spans="1:14" x14ac:dyDescent="0.25">
      <c r="A594" s="597"/>
      <c r="B594" s="330"/>
      <c r="C594" s="330"/>
      <c r="D594" s="330"/>
      <c r="E594" s="330"/>
      <c r="F594" s="330"/>
      <c r="G594" s="330"/>
      <c r="H594" s="330"/>
      <c r="I594" s="330"/>
      <c r="J594" s="330"/>
      <c r="K594" s="331"/>
      <c r="L594" s="330"/>
      <c r="M594" s="332"/>
      <c r="N594" s="599"/>
    </row>
    <row r="595" spans="1:14" x14ac:dyDescent="0.25">
      <c r="A595" s="597"/>
      <c r="B595" s="330"/>
      <c r="C595" s="330"/>
      <c r="D595" s="330"/>
      <c r="E595" s="330"/>
      <c r="F595" s="330"/>
      <c r="G595" s="330"/>
      <c r="H595" s="330"/>
      <c r="I595" s="330"/>
      <c r="J595" s="330"/>
      <c r="K595" s="331"/>
      <c r="L595" s="330"/>
      <c r="M595" s="332"/>
      <c r="N595" s="599"/>
    </row>
    <row r="596" spans="1:14" x14ac:dyDescent="0.25">
      <c r="A596" s="597"/>
      <c r="B596" s="330"/>
      <c r="C596" s="330"/>
      <c r="D596" s="330"/>
      <c r="E596" s="330"/>
      <c r="F596" s="330"/>
      <c r="G596" s="330"/>
      <c r="H596" s="330"/>
      <c r="I596" s="330"/>
      <c r="J596" s="330"/>
      <c r="K596" s="331"/>
      <c r="L596" s="330"/>
      <c r="M596" s="332"/>
      <c r="N596" s="599"/>
    </row>
    <row r="597" spans="1:14" x14ac:dyDescent="0.25">
      <c r="A597" s="597"/>
      <c r="B597" s="330"/>
      <c r="C597" s="330"/>
      <c r="D597" s="330"/>
      <c r="E597" s="330"/>
      <c r="F597" s="330"/>
      <c r="G597" s="330"/>
      <c r="H597" s="330"/>
      <c r="I597" s="330"/>
      <c r="J597" s="330"/>
      <c r="K597" s="331"/>
      <c r="L597" s="330"/>
      <c r="M597" s="332"/>
      <c r="N597" s="599"/>
    </row>
    <row r="598" spans="1:14" x14ac:dyDescent="0.25">
      <c r="A598" s="597"/>
      <c r="B598" s="330"/>
      <c r="C598" s="330"/>
      <c r="D598" s="330"/>
      <c r="E598" s="330"/>
      <c r="F598" s="330"/>
      <c r="G598" s="330"/>
      <c r="H598" s="330"/>
      <c r="I598" s="330"/>
      <c r="J598" s="330"/>
      <c r="K598" s="331"/>
      <c r="L598" s="330"/>
      <c r="M598" s="332"/>
      <c r="N598" s="599"/>
    </row>
    <row r="599" spans="1:14" x14ac:dyDescent="0.25">
      <c r="A599" s="597"/>
      <c r="B599" s="330"/>
      <c r="C599" s="330"/>
      <c r="D599" s="330"/>
      <c r="E599" s="330"/>
      <c r="F599" s="330"/>
      <c r="G599" s="330"/>
      <c r="H599" s="330"/>
      <c r="I599" s="330"/>
      <c r="J599" s="330"/>
      <c r="K599" s="331"/>
      <c r="L599" s="330"/>
      <c r="M599" s="332"/>
      <c r="N599" s="599"/>
    </row>
    <row r="600" spans="1:14" x14ac:dyDescent="0.25">
      <c r="A600" s="597"/>
      <c r="B600" s="330"/>
      <c r="C600" s="330"/>
      <c r="D600" s="330"/>
      <c r="E600" s="330"/>
      <c r="F600" s="330"/>
      <c r="G600" s="330"/>
      <c r="H600" s="330"/>
      <c r="I600" s="330"/>
      <c r="J600" s="330"/>
      <c r="K600" s="331"/>
      <c r="L600" s="330"/>
      <c r="M600" s="332"/>
      <c r="N600" s="599"/>
    </row>
    <row r="601" spans="1:14" x14ac:dyDescent="0.25">
      <c r="A601" s="597"/>
      <c r="B601" s="330"/>
      <c r="C601" s="330"/>
      <c r="D601" s="330"/>
      <c r="E601" s="330"/>
      <c r="F601" s="330"/>
      <c r="G601" s="330"/>
      <c r="H601" s="330"/>
      <c r="I601" s="330"/>
      <c r="J601" s="330"/>
      <c r="K601" s="331"/>
      <c r="L601" s="330"/>
      <c r="M601" s="332"/>
      <c r="N601" s="599"/>
    </row>
    <row r="602" spans="1:14" x14ac:dyDescent="0.25">
      <c r="A602" s="597"/>
      <c r="B602" s="330"/>
      <c r="C602" s="330"/>
      <c r="D602" s="330"/>
      <c r="E602" s="330"/>
      <c r="F602" s="330"/>
      <c r="G602" s="330"/>
      <c r="H602" s="330"/>
      <c r="I602" s="330"/>
      <c r="J602" s="330"/>
      <c r="K602" s="331"/>
      <c r="L602" s="330"/>
      <c r="M602" s="332"/>
      <c r="N602" s="599"/>
    </row>
    <row r="603" spans="1:14" x14ac:dyDescent="0.25">
      <c r="A603" s="597"/>
      <c r="B603" s="330"/>
      <c r="C603" s="330"/>
      <c r="D603" s="330"/>
      <c r="E603" s="330"/>
      <c r="F603" s="330"/>
      <c r="G603" s="330"/>
      <c r="H603" s="330"/>
      <c r="I603" s="330"/>
      <c r="J603" s="330"/>
      <c r="K603" s="331"/>
      <c r="L603" s="330"/>
      <c r="M603" s="332"/>
      <c r="N603" s="599"/>
    </row>
    <row r="604" spans="1:14" x14ac:dyDescent="0.25">
      <c r="A604" s="597"/>
      <c r="B604" s="330"/>
      <c r="C604" s="330"/>
      <c r="D604" s="330"/>
      <c r="E604" s="330"/>
      <c r="F604" s="330"/>
      <c r="G604" s="330"/>
      <c r="H604" s="330"/>
      <c r="I604" s="330"/>
      <c r="J604" s="330"/>
      <c r="K604" s="331"/>
      <c r="L604" s="330"/>
      <c r="M604" s="332"/>
      <c r="N604" s="599"/>
    </row>
    <row r="605" spans="1:14" x14ac:dyDescent="0.25">
      <c r="A605" s="597"/>
      <c r="B605" s="330"/>
      <c r="C605" s="330"/>
      <c r="D605" s="330"/>
      <c r="E605" s="330"/>
      <c r="F605" s="330"/>
      <c r="G605" s="330"/>
      <c r="H605" s="330"/>
      <c r="I605" s="330"/>
      <c r="J605" s="330"/>
      <c r="K605" s="331"/>
      <c r="L605" s="330"/>
      <c r="M605" s="332"/>
      <c r="N605" s="599"/>
    </row>
    <row r="606" spans="1:14" x14ac:dyDescent="0.25">
      <c r="A606" s="597"/>
      <c r="B606" s="330"/>
      <c r="C606" s="330"/>
      <c r="D606" s="330"/>
      <c r="E606" s="330"/>
      <c r="F606" s="330"/>
      <c r="G606" s="330"/>
      <c r="H606" s="330"/>
      <c r="I606" s="330"/>
      <c r="J606" s="330"/>
      <c r="K606" s="331"/>
      <c r="L606" s="330"/>
      <c r="M606" s="332"/>
      <c r="N606" s="599"/>
    </row>
    <row r="607" spans="1:14" x14ac:dyDescent="0.25">
      <c r="A607" s="597"/>
      <c r="B607" s="330"/>
      <c r="C607" s="330"/>
      <c r="D607" s="330"/>
      <c r="E607" s="330"/>
      <c r="F607" s="330"/>
      <c r="G607" s="330"/>
      <c r="H607" s="330"/>
      <c r="I607" s="330"/>
      <c r="J607" s="330"/>
      <c r="K607" s="331"/>
      <c r="L607" s="330"/>
      <c r="M607" s="332"/>
      <c r="N607" s="599"/>
    </row>
    <row r="608" spans="1:14" x14ac:dyDescent="0.25">
      <c r="A608" s="597"/>
      <c r="B608" s="330"/>
      <c r="C608" s="330"/>
      <c r="D608" s="330"/>
      <c r="E608" s="330"/>
      <c r="F608" s="330"/>
      <c r="G608" s="330"/>
      <c r="H608" s="330"/>
      <c r="I608" s="330"/>
      <c r="J608" s="330"/>
      <c r="K608" s="331"/>
      <c r="L608" s="330"/>
      <c r="M608" s="332"/>
      <c r="N608" s="599"/>
    </row>
    <row r="609" spans="1:14" x14ac:dyDescent="0.25">
      <c r="A609" s="597"/>
      <c r="B609" s="330"/>
      <c r="C609" s="330"/>
      <c r="D609" s="330"/>
      <c r="E609" s="330"/>
      <c r="F609" s="330"/>
      <c r="G609" s="330"/>
      <c r="H609" s="330"/>
      <c r="I609" s="330"/>
      <c r="J609" s="330"/>
      <c r="K609" s="331"/>
      <c r="L609" s="330"/>
      <c r="M609" s="332"/>
      <c r="N609" s="599"/>
    </row>
    <row r="610" spans="1:14" x14ac:dyDescent="0.25">
      <c r="A610" s="597"/>
      <c r="B610" s="330"/>
      <c r="C610" s="330"/>
      <c r="D610" s="330"/>
      <c r="E610" s="330"/>
      <c r="F610" s="330"/>
      <c r="G610" s="330"/>
      <c r="H610" s="330"/>
      <c r="I610" s="330"/>
      <c r="J610" s="330"/>
      <c r="K610" s="331"/>
      <c r="L610" s="330"/>
      <c r="M610" s="332"/>
      <c r="N610" s="599"/>
    </row>
    <row r="611" spans="1:14" x14ac:dyDescent="0.25">
      <c r="A611" s="597"/>
      <c r="B611" s="330"/>
      <c r="C611" s="330"/>
      <c r="D611" s="330"/>
      <c r="E611" s="330"/>
      <c r="F611" s="330"/>
      <c r="G611" s="330"/>
      <c r="H611" s="330"/>
      <c r="I611" s="330"/>
      <c r="J611" s="330"/>
      <c r="K611" s="331"/>
      <c r="L611" s="330"/>
      <c r="M611" s="332"/>
      <c r="N611" s="599"/>
    </row>
    <row r="612" spans="1:14" x14ac:dyDescent="0.25">
      <c r="A612" s="597"/>
      <c r="B612" s="330"/>
      <c r="C612" s="330"/>
      <c r="D612" s="330"/>
      <c r="E612" s="330"/>
      <c r="F612" s="330"/>
      <c r="G612" s="330"/>
      <c r="H612" s="330"/>
      <c r="I612" s="330"/>
      <c r="J612" s="330"/>
      <c r="K612" s="331"/>
      <c r="L612" s="330"/>
      <c r="M612" s="332"/>
      <c r="N612" s="599"/>
    </row>
    <row r="613" spans="1:14" x14ac:dyDescent="0.25">
      <c r="A613" s="597"/>
      <c r="B613" s="330"/>
      <c r="C613" s="330"/>
      <c r="D613" s="330"/>
      <c r="E613" s="330"/>
      <c r="F613" s="330"/>
      <c r="G613" s="330"/>
      <c r="H613" s="330"/>
      <c r="I613" s="330"/>
      <c r="J613" s="330"/>
      <c r="K613" s="331"/>
      <c r="L613" s="330"/>
      <c r="M613" s="332"/>
      <c r="N613" s="599"/>
    </row>
    <row r="614" spans="1:14" x14ac:dyDescent="0.25">
      <c r="A614" s="597"/>
      <c r="B614" s="330"/>
      <c r="C614" s="330"/>
      <c r="D614" s="330"/>
      <c r="E614" s="330"/>
      <c r="F614" s="330"/>
      <c r="G614" s="330"/>
      <c r="H614" s="330"/>
      <c r="I614" s="330"/>
      <c r="J614" s="330"/>
      <c r="K614" s="331"/>
      <c r="L614" s="330"/>
      <c r="M614" s="332"/>
      <c r="N614" s="599"/>
    </row>
    <row r="615" spans="1:14" x14ac:dyDescent="0.25">
      <c r="A615" s="597"/>
      <c r="B615" s="330"/>
      <c r="C615" s="330"/>
      <c r="D615" s="330"/>
      <c r="E615" s="330"/>
      <c r="F615" s="330"/>
      <c r="G615" s="330"/>
      <c r="H615" s="330"/>
      <c r="I615" s="330"/>
      <c r="J615" s="330"/>
      <c r="K615" s="331"/>
      <c r="L615" s="330"/>
      <c r="M615" s="332"/>
      <c r="N615" s="599"/>
    </row>
    <row r="616" spans="1:14" x14ac:dyDescent="0.25">
      <c r="A616" s="597"/>
      <c r="B616" s="330"/>
      <c r="C616" s="330"/>
      <c r="D616" s="330"/>
      <c r="E616" s="330"/>
      <c r="F616" s="330"/>
      <c r="G616" s="330"/>
      <c r="H616" s="330"/>
      <c r="I616" s="330"/>
      <c r="J616" s="330"/>
      <c r="K616" s="331"/>
      <c r="L616" s="330"/>
      <c r="M616" s="332"/>
      <c r="N616" s="599"/>
    </row>
    <row r="617" spans="1:14" x14ac:dyDescent="0.25">
      <c r="A617" s="597"/>
      <c r="B617" s="330"/>
      <c r="C617" s="330"/>
      <c r="D617" s="330"/>
      <c r="E617" s="330"/>
      <c r="F617" s="330"/>
      <c r="G617" s="330"/>
      <c r="H617" s="330"/>
      <c r="I617" s="330"/>
      <c r="J617" s="330"/>
      <c r="K617" s="331"/>
      <c r="L617" s="330"/>
      <c r="M617" s="332"/>
      <c r="N617" s="599"/>
    </row>
    <row r="618" spans="1:14" x14ac:dyDescent="0.25">
      <c r="A618" s="597"/>
      <c r="B618" s="330"/>
      <c r="C618" s="330"/>
      <c r="D618" s="330"/>
      <c r="E618" s="330"/>
      <c r="F618" s="330"/>
      <c r="G618" s="330"/>
      <c r="H618" s="330"/>
      <c r="I618" s="330"/>
      <c r="J618" s="330"/>
      <c r="K618" s="331"/>
      <c r="L618" s="330"/>
      <c r="M618" s="332"/>
      <c r="N618" s="599"/>
    </row>
    <row r="619" spans="1:14" x14ac:dyDescent="0.25">
      <c r="A619" s="597"/>
      <c r="B619" s="330"/>
      <c r="C619" s="330"/>
      <c r="D619" s="330"/>
      <c r="E619" s="330"/>
      <c r="F619" s="330"/>
      <c r="G619" s="330"/>
      <c r="H619" s="330"/>
      <c r="I619" s="330"/>
      <c r="J619" s="330"/>
      <c r="K619" s="331"/>
      <c r="L619" s="330"/>
      <c r="M619" s="332"/>
      <c r="N619" s="599"/>
    </row>
    <row r="620" spans="1:14" x14ac:dyDescent="0.25">
      <c r="A620" s="597"/>
      <c r="B620" s="330"/>
      <c r="C620" s="330"/>
      <c r="D620" s="330"/>
      <c r="E620" s="330"/>
      <c r="F620" s="330"/>
      <c r="G620" s="330"/>
      <c r="H620" s="330"/>
      <c r="I620" s="330"/>
      <c r="J620" s="330"/>
      <c r="K620" s="331"/>
      <c r="L620" s="330"/>
      <c r="M620" s="332"/>
      <c r="N620" s="599"/>
    </row>
    <row r="621" spans="1:14" x14ac:dyDescent="0.25">
      <c r="A621" s="597"/>
      <c r="B621" s="330"/>
      <c r="C621" s="330"/>
      <c r="D621" s="330"/>
      <c r="E621" s="330"/>
      <c r="F621" s="330"/>
      <c r="G621" s="330"/>
      <c r="H621" s="330"/>
      <c r="I621" s="330"/>
      <c r="J621" s="330"/>
      <c r="K621" s="331"/>
      <c r="L621" s="330"/>
      <c r="M621" s="332"/>
      <c r="N621" s="599"/>
    </row>
  </sheetData>
  <mergeCells count="240">
    <mergeCell ref="J67:K67"/>
    <mergeCell ref="G67:I67"/>
    <mergeCell ref="A56:A57"/>
    <mergeCell ref="B56:B57"/>
    <mergeCell ref="G55:I55"/>
    <mergeCell ref="G58:M58"/>
    <mergeCell ref="G60:M60"/>
    <mergeCell ref="G61:I61"/>
    <mergeCell ref="G63:M63"/>
    <mergeCell ref="G64:I64"/>
    <mergeCell ref="J64:K64"/>
    <mergeCell ref="G66:M66"/>
    <mergeCell ref="J73:K73"/>
    <mergeCell ref="G134:M134"/>
    <mergeCell ref="A21:A22"/>
    <mergeCell ref="G30:M30"/>
    <mergeCell ref="A30:A31"/>
    <mergeCell ref="B2:F6"/>
    <mergeCell ref="B7:F7"/>
    <mergeCell ref="G13:I13"/>
    <mergeCell ref="B30:B31"/>
    <mergeCell ref="G34:I34"/>
    <mergeCell ref="A40:A41"/>
    <mergeCell ref="B40:B41"/>
    <mergeCell ref="B21:B22"/>
    <mergeCell ref="J33:K33"/>
    <mergeCell ref="G35:M35"/>
    <mergeCell ref="G36:I36"/>
    <mergeCell ref="J36:K36"/>
    <mergeCell ref="A69:A70"/>
    <mergeCell ref="B69:B70"/>
    <mergeCell ref="G62:I62"/>
    <mergeCell ref="G56:M56"/>
    <mergeCell ref="G45:M45"/>
    <mergeCell ref="G46:I46"/>
    <mergeCell ref="G48:M48"/>
    <mergeCell ref="G2:M2"/>
    <mergeCell ref="G3:M4"/>
    <mergeCell ref="G15:I15"/>
    <mergeCell ref="G20:I20"/>
    <mergeCell ref="G21:M21"/>
    <mergeCell ref="G44:I44"/>
    <mergeCell ref="G29:I29"/>
    <mergeCell ref="G10:I10"/>
    <mergeCell ref="G23:M23"/>
    <mergeCell ref="G32:M32"/>
    <mergeCell ref="G8:M8"/>
    <mergeCell ref="G9:I9"/>
    <mergeCell ref="J9:K9"/>
    <mergeCell ref="J12:K12"/>
    <mergeCell ref="J28:K28"/>
    <mergeCell ref="G11:M11"/>
    <mergeCell ref="G12:I12"/>
    <mergeCell ref="G16:M16"/>
    <mergeCell ref="G42:M42"/>
    <mergeCell ref="G43:I43"/>
    <mergeCell ref="J43:K43"/>
    <mergeCell ref="G27:M27"/>
    <mergeCell ref="G28:I28"/>
    <mergeCell ref="G33:I33"/>
    <mergeCell ref="A277:M277"/>
    <mergeCell ref="A261:M261"/>
    <mergeCell ref="A232:M232"/>
    <mergeCell ref="G137:M137"/>
    <mergeCell ref="A185:M185"/>
    <mergeCell ref="A244:M244"/>
    <mergeCell ref="A219:M219"/>
    <mergeCell ref="A276:M276"/>
    <mergeCell ref="A245:M245"/>
    <mergeCell ref="C137:C138"/>
    <mergeCell ref="D137:D138"/>
    <mergeCell ref="A218:M218"/>
    <mergeCell ref="G155:I155"/>
    <mergeCell ref="A137:A138"/>
    <mergeCell ref="A186:M186"/>
    <mergeCell ref="A206:M206"/>
    <mergeCell ref="A202:M202"/>
    <mergeCell ref="A201:M201"/>
    <mergeCell ref="A190:M190"/>
    <mergeCell ref="G152:M152"/>
    <mergeCell ref="G154:I154"/>
    <mergeCell ref="J154:K154"/>
    <mergeCell ref="J151:K151"/>
    <mergeCell ref="G151:I151"/>
    <mergeCell ref="G94:I94"/>
    <mergeCell ref="G102:M102"/>
    <mergeCell ref="A128:A129"/>
    <mergeCell ref="B128:B129"/>
    <mergeCell ref="G114:M114"/>
    <mergeCell ref="A181:M181"/>
    <mergeCell ref="G118:M118"/>
    <mergeCell ref="D128:D129"/>
    <mergeCell ref="E128:E129"/>
    <mergeCell ref="F128:F129"/>
    <mergeCell ref="A156:B156"/>
    <mergeCell ref="C128:C129"/>
    <mergeCell ref="B137:B138"/>
    <mergeCell ref="G148:M148"/>
    <mergeCell ref="E137:E138"/>
    <mergeCell ref="F137:F138"/>
    <mergeCell ref="G130:M130"/>
    <mergeCell ref="G122:M122"/>
    <mergeCell ref="G132:M132"/>
    <mergeCell ref="G116:M116"/>
    <mergeCell ref="G136:I136"/>
    <mergeCell ref="G128:M128"/>
    <mergeCell ref="G125:M125"/>
    <mergeCell ref="G126:I126"/>
    <mergeCell ref="B88:B89"/>
    <mergeCell ref="C88:C89"/>
    <mergeCell ref="D88:D89"/>
    <mergeCell ref="E88:E89"/>
    <mergeCell ref="A2:A6"/>
    <mergeCell ref="A114:A115"/>
    <mergeCell ref="A88:A89"/>
    <mergeCell ref="G104:I104"/>
    <mergeCell ref="C114:C115"/>
    <mergeCell ref="D114:D115"/>
    <mergeCell ref="E114:E115"/>
    <mergeCell ref="F114:F115"/>
    <mergeCell ref="G109:M109"/>
    <mergeCell ref="G95:M95"/>
    <mergeCell ref="G91:M91"/>
    <mergeCell ref="G98:M98"/>
    <mergeCell ref="G90:I90"/>
    <mergeCell ref="G88:M88"/>
    <mergeCell ref="B114:B115"/>
    <mergeCell ref="G111:M111"/>
    <mergeCell ref="G112:I112"/>
    <mergeCell ref="G100:M100"/>
    <mergeCell ref="G101:I101"/>
    <mergeCell ref="J101:K101"/>
    <mergeCell ref="G72:M72"/>
    <mergeCell ref="G73:I73"/>
    <mergeCell ref="J86:K86"/>
    <mergeCell ref="G78:M78"/>
    <mergeCell ref="G79:I79"/>
    <mergeCell ref="A1:T1"/>
    <mergeCell ref="N90:P90"/>
    <mergeCell ref="N94:P94"/>
    <mergeCell ref="E69:E70"/>
    <mergeCell ref="F69:F70"/>
    <mergeCell ref="F88:F89"/>
    <mergeCell ref="N77:P77"/>
    <mergeCell ref="N21:T21"/>
    <mergeCell ref="N29:P29"/>
    <mergeCell ref="N30:T30"/>
    <mergeCell ref="N34:P34"/>
    <mergeCell ref="N37:P37"/>
    <mergeCell ref="N39:P39"/>
    <mergeCell ref="C69:C70"/>
    <mergeCell ref="D69:D70"/>
    <mergeCell ref="N20:P20"/>
    <mergeCell ref="N50:P50"/>
    <mergeCell ref="N53:P53"/>
    <mergeCell ref="N2:T2"/>
    <mergeCell ref="N3:T4"/>
    <mergeCell ref="N10:P10"/>
    <mergeCell ref="N13:P13"/>
    <mergeCell ref="N15:P15"/>
    <mergeCell ref="G40:M40"/>
    <mergeCell ref="G37:I37"/>
    <mergeCell ref="G68:I68"/>
    <mergeCell ref="G69:M69"/>
    <mergeCell ref="G65:I65"/>
    <mergeCell ref="N69:T69"/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N18:P18"/>
    <mergeCell ref="G18:I18"/>
    <mergeCell ref="N62:P62"/>
    <mergeCell ref="N65:P65"/>
    <mergeCell ref="G141:M141"/>
    <mergeCell ref="G143:M143"/>
    <mergeCell ref="N116:T116"/>
    <mergeCell ref="N104:P104"/>
    <mergeCell ref="N105:T105"/>
    <mergeCell ref="G145:M145"/>
    <mergeCell ref="G107:M107"/>
    <mergeCell ref="G113:I113"/>
    <mergeCell ref="G105:M105"/>
    <mergeCell ref="G127:I127"/>
    <mergeCell ref="N137:T137"/>
    <mergeCell ref="N136:P136"/>
    <mergeCell ref="N113:P113"/>
    <mergeCell ref="G120:M120"/>
    <mergeCell ref="N114:T114"/>
    <mergeCell ref="N107:T107"/>
    <mergeCell ref="N109:T109"/>
    <mergeCell ref="J112:K112"/>
    <mergeCell ref="J126:K126"/>
    <mergeCell ref="J135:K135"/>
    <mergeCell ref="G135:I135"/>
    <mergeCell ref="N47:P47"/>
    <mergeCell ref="N56:T56"/>
    <mergeCell ref="N40:T40"/>
    <mergeCell ref="N44:P44"/>
    <mergeCell ref="N80:P80"/>
    <mergeCell ref="N68:P68"/>
    <mergeCell ref="N155:P155"/>
    <mergeCell ref="N128:T128"/>
    <mergeCell ref="N127:P127"/>
    <mergeCell ref="N55:P55"/>
    <mergeCell ref="N82:P82"/>
    <mergeCell ref="N87:P87"/>
    <mergeCell ref="N84:P84"/>
    <mergeCell ref="G74:I74"/>
    <mergeCell ref="G82:I82"/>
    <mergeCell ref="G80:I80"/>
    <mergeCell ref="N88:T88"/>
    <mergeCell ref="G87:I87"/>
    <mergeCell ref="J79:K79"/>
    <mergeCell ref="G84:I84"/>
    <mergeCell ref="G85:M85"/>
    <mergeCell ref="G86:I86"/>
    <mergeCell ref="G77:I77"/>
    <mergeCell ref="G75:M75"/>
    <mergeCell ref="G76:I76"/>
    <mergeCell ref="J76:K76"/>
    <mergeCell ref="N74:P74"/>
    <mergeCell ref="G25:M25"/>
    <mergeCell ref="G50:I50"/>
    <mergeCell ref="J61:K61"/>
    <mergeCell ref="G47:I47"/>
    <mergeCell ref="G53:I53"/>
    <mergeCell ref="G39:I39"/>
    <mergeCell ref="G49:I49"/>
    <mergeCell ref="G51:M51"/>
    <mergeCell ref="G52:I52"/>
    <mergeCell ref="J46:K46"/>
    <mergeCell ref="J49:K49"/>
    <mergeCell ref="J52:K52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V1694"/>
  <sheetViews>
    <sheetView zoomScale="70" zoomScaleNormal="70" workbookViewId="0">
      <pane ySplit="7" topLeftCell="A530" activePane="bottomLeft" state="frozen"/>
      <selection pane="bottomLeft" activeCell="K570" sqref="K570"/>
    </sheetView>
  </sheetViews>
  <sheetFormatPr defaultColWidth="13.7109375" defaultRowHeight="15.75" x14ac:dyDescent="0.25"/>
  <cols>
    <col min="1" max="1" width="30.7109375" style="335" customWidth="1"/>
    <col min="2" max="6" width="5.7109375" style="335" customWidth="1"/>
    <col min="7" max="9" width="20.7109375" style="335" customWidth="1"/>
    <col min="10" max="10" width="10.85546875" style="713" customWidth="1"/>
    <col min="11" max="11" width="10.7109375" style="713" customWidth="1"/>
    <col min="12" max="12" width="10.7109375" style="714" customWidth="1"/>
    <col min="13" max="13" width="10.7109375" style="614" customWidth="1"/>
    <col min="14" max="14" width="10.7109375" style="714" customWidth="1"/>
    <col min="15" max="15" width="20.7109375" style="475" customWidth="1"/>
    <col min="16" max="17" width="20.7109375" style="301" customWidth="1"/>
    <col min="18" max="18" width="11.7109375" style="301" customWidth="1"/>
    <col min="19" max="19" width="10.7109375" style="336" customWidth="1"/>
    <col min="20" max="20" width="10.7109375" style="337" customWidth="1"/>
    <col min="21" max="21" width="10.7109375" style="301" customWidth="1"/>
    <col min="22" max="22" width="10.7109375" style="336" customWidth="1"/>
    <col min="23" max="16384" width="13.7109375" style="301"/>
  </cols>
  <sheetData>
    <row r="1" spans="1:22" ht="15" customHeight="1" x14ac:dyDescent="0.25">
      <c r="A1" s="1049" t="s">
        <v>18528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</row>
    <row r="2" spans="1:22" ht="15" customHeight="1" x14ac:dyDescent="0.25">
      <c r="A2" s="1216" t="s">
        <v>244</v>
      </c>
      <c r="B2" s="1138" t="s">
        <v>1136</v>
      </c>
      <c r="C2" s="1139"/>
      <c r="D2" s="1139"/>
      <c r="E2" s="1139"/>
      <c r="F2" s="1140"/>
      <c r="G2" s="1219" t="s">
        <v>1187</v>
      </c>
      <c r="H2" s="1220"/>
      <c r="I2" s="1220"/>
      <c r="J2" s="1220"/>
      <c r="K2" s="1220"/>
      <c r="L2" s="1220"/>
      <c r="M2" s="1220"/>
      <c r="N2" s="1040"/>
      <c r="O2" s="1033" t="s">
        <v>1668</v>
      </c>
      <c r="P2" s="1033"/>
      <c r="Q2" s="1033"/>
      <c r="R2" s="1033"/>
      <c r="S2" s="1033"/>
      <c r="T2" s="1033"/>
      <c r="U2" s="1033"/>
      <c r="V2" s="1033"/>
    </row>
    <row r="3" spans="1:22" ht="15" customHeight="1" x14ac:dyDescent="0.25">
      <c r="A3" s="1217"/>
      <c r="B3" s="1141"/>
      <c r="C3" s="1039"/>
      <c r="D3" s="1039"/>
      <c r="E3" s="1039"/>
      <c r="F3" s="1142"/>
      <c r="G3" s="1138" t="s">
        <v>1188</v>
      </c>
      <c r="H3" s="1139"/>
      <c r="I3" s="1139"/>
      <c r="J3" s="1139"/>
      <c r="K3" s="1139"/>
      <c r="L3" s="1139"/>
      <c r="M3" s="1139"/>
      <c r="N3" s="1140"/>
      <c r="O3" s="1034" t="s">
        <v>1669</v>
      </c>
      <c r="P3" s="1033"/>
      <c r="Q3" s="1033"/>
      <c r="R3" s="1033"/>
      <c r="S3" s="1033"/>
      <c r="T3" s="1033"/>
      <c r="U3" s="1033"/>
      <c r="V3" s="1033"/>
    </row>
    <row r="4" spans="1:22" ht="15" customHeight="1" x14ac:dyDescent="0.25">
      <c r="A4" s="1217"/>
      <c r="B4" s="1141"/>
      <c r="C4" s="1039"/>
      <c r="D4" s="1039"/>
      <c r="E4" s="1039"/>
      <c r="F4" s="1142"/>
      <c r="G4" s="1143"/>
      <c r="H4" s="1144"/>
      <c r="I4" s="1144"/>
      <c r="J4" s="1144"/>
      <c r="K4" s="1144"/>
      <c r="L4" s="1144"/>
      <c r="M4" s="1144"/>
      <c r="N4" s="1145"/>
      <c r="O4" s="1033"/>
      <c r="P4" s="1033"/>
      <c r="Q4" s="1033"/>
      <c r="R4" s="1033"/>
      <c r="S4" s="1033"/>
      <c r="T4" s="1033"/>
      <c r="U4" s="1033"/>
      <c r="V4" s="1033"/>
    </row>
    <row r="5" spans="1:22" ht="15" customHeight="1" x14ac:dyDescent="0.25">
      <c r="A5" s="1217"/>
      <c r="B5" s="1141"/>
      <c r="C5" s="1039"/>
      <c r="D5" s="1039"/>
      <c r="E5" s="1039"/>
      <c r="F5" s="1142"/>
      <c r="G5" s="1034" t="s">
        <v>1189</v>
      </c>
      <c r="H5" s="1034" t="s">
        <v>1195</v>
      </c>
      <c r="I5" s="1034" t="s">
        <v>1191</v>
      </c>
      <c r="J5" s="286" t="s">
        <v>19510</v>
      </c>
      <c r="K5" s="286" t="s">
        <v>19511</v>
      </c>
      <c r="L5" s="302" t="s">
        <v>19526</v>
      </c>
      <c r="M5" s="1185" t="s">
        <v>1193</v>
      </c>
      <c r="N5" s="1195" t="s">
        <v>1194</v>
      </c>
      <c r="O5" s="1176" t="s">
        <v>1189</v>
      </c>
      <c r="P5" s="1176" t="s">
        <v>1195</v>
      </c>
      <c r="Q5" s="1176" t="s">
        <v>1191</v>
      </c>
      <c r="R5" s="543" t="s">
        <v>19510</v>
      </c>
      <c r="S5" s="543" t="s">
        <v>19511</v>
      </c>
      <c r="T5" s="590" t="s">
        <v>19526</v>
      </c>
      <c r="U5" s="1176" t="s">
        <v>1193</v>
      </c>
      <c r="V5" s="1193" t="s">
        <v>1194</v>
      </c>
    </row>
    <row r="6" spans="1:22" ht="15" customHeight="1" x14ac:dyDescent="0.25">
      <c r="A6" s="1218"/>
      <c r="B6" s="1143"/>
      <c r="C6" s="1144"/>
      <c r="D6" s="1144"/>
      <c r="E6" s="1144"/>
      <c r="F6" s="1145"/>
      <c r="G6" s="1034"/>
      <c r="H6" s="1034"/>
      <c r="I6" s="1034"/>
      <c r="J6" s="286" t="s">
        <v>1192</v>
      </c>
      <c r="K6" s="286" t="s">
        <v>1192</v>
      </c>
      <c r="L6" s="302" t="s">
        <v>1192</v>
      </c>
      <c r="M6" s="1185"/>
      <c r="N6" s="1196"/>
      <c r="O6" s="1178"/>
      <c r="P6" s="1178"/>
      <c r="Q6" s="1178"/>
      <c r="R6" s="286" t="s">
        <v>1192</v>
      </c>
      <c r="S6" s="286" t="s">
        <v>1192</v>
      </c>
      <c r="T6" s="302" t="s">
        <v>1192</v>
      </c>
      <c r="U6" s="1178"/>
      <c r="V6" s="1194"/>
    </row>
    <row r="7" spans="1:22" ht="15" customHeight="1" thickBot="1" x14ac:dyDescent="0.3">
      <c r="A7" s="623">
        <v>1</v>
      </c>
      <c r="B7" s="1221">
        <v>2</v>
      </c>
      <c r="C7" s="1222"/>
      <c r="D7" s="1222"/>
      <c r="E7" s="1222"/>
      <c r="F7" s="1223"/>
      <c r="G7" s="207">
        <v>3</v>
      </c>
      <c r="H7" s="207">
        <v>4</v>
      </c>
      <c r="I7" s="207">
        <v>5</v>
      </c>
      <c r="J7" s="431">
        <v>6</v>
      </c>
      <c r="K7" s="431">
        <v>7</v>
      </c>
      <c r="L7" s="624">
        <v>8</v>
      </c>
      <c r="M7" s="625">
        <v>9</v>
      </c>
      <c r="N7" s="625">
        <v>10</v>
      </c>
      <c r="O7" s="207">
        <v>11</v>
      </c>
      <c r="P7" s="207">
        <v>12</v>
      </c>
      <c r="Q7" s="207">
        <v>13</v>
      </c>
      <c r="R7" s="207">
        <v>14</v>
      </c>
      <c r="S7" s="207">
        <v>15</v>
      </c>
      <c r="T7" s="625">
        <v>16</v>
      </c>
      <c r="U7" s="207">
        <v>17</v>
      </c>
      <c r="V7" s="625">
        <v>18</v>
      </c>
    </row>
    <row r="8" spans="1:22" ht="15" customHeight="1" x14ac:dyDescent="0.25">
      <c r="A8" s="1092" t="str">
        <f>Итоговая!C284</f>
        <v xml:space="preserve">ПС 110/10 кВ Золоотвал </v>
      </c>
      <c r="B8" s="1072">
        <f>Итоговая!D284</f>
        <v>2.5</v>
      </c>
      <c r="C8" s="552"/>
      <c r="D8" s="552"/>
      <c r="E8" s="552"/>
      <c r="F8" s="552"/>
      <c r="G8" s="1168" t="s">
        <v>1288</v>
      </c>
      <c r="H8" s="1168"/>
      <c r="I8" s="1168"/>
      <c r="J8" s="1168"/>
      <c r="K8" s="1168"/>
      <c r="L8" s="1168"/>
      <c r="M8" s="1168"/>
      <c r="N8" s="1168"/>
      <c r="O8" s="1168" t="s">
        <v>2011</v>
      </c>
      <c r="P8" s="1168"/>
      <c r="Q8" s="1168"/>
      <c r="R8" s="1168"/>
      <c r="S8" s="1168"/>
      <c r="T8" s="1168"/>
      <c r="U8" s="1168"/>
      <c r="V8" s="1169"/>
    </row>
    <row r="9" spans="1:22" ht="15" customHeight="1" x14ac:dyDescent="0.25">
      <c r="A9" s="1093"/>
      <c r="B9" s="1023"/>
      <c r="C9" s="553"/>
      <c r="D9" s="553"/>
      <c r="E9" s="553"/>
      <c r="F9" s="553"/>
      <c r="G9" s="596" t="s">
        <v>1067</v>
      </c>
      <c r="H9" s="596" t="s">
        <v>1068</v>
      </c>
      <c r="I9" s="596" t="s">
        <v>1069</v>
      </c>
      <c r="J9" s="286"/>
      <c r="K9" s="286">
        <v>1.5</v>
      </c>
      <c r="L9" s="302"/>
      <c r="M9" s="590"/>
      <c r="N9" s="302"/>
      <c r="O9" s="596" t="s">
        <v>1065</v>
      </c>
      <c r="P9" s="596" t="s">
        <v>1066</v>
      </c>
      <c r="Q9" s="596" t="s">
        <v>2170</v>
      </c>
      <c r="R9" s="596"/>
      <c r="S9" s="286">
        <f>0.6*0.9</f>
        <v>0.54</v>
      </c>
      <c r="T9" s="302"/>
      <c r="U9" s="590"/>
      <c r="V9" s="303"/>
    </row>
    <row r="10" spans="1:22" ht="15" customHeight="1" x14ac:dyDescent="0.25">
      <c r="A10" s="567"/>
      <c r="B10" s="564"/>
      <c r="C10" s="553"/>
      <c r="D10" s="553"/>
      <c r="E10" s="553"/>
      <c r="F10" s="553"/>
      <c r="G10" s="1163" t="s">
        <v>1645</v>
      </c>
      <c r="H10" s="1163"/>
      <c r="I10" s="1163"/>
      <c r="J10" s="1163"/>
      <c r="K10" s="1163"/>
      <c r="L10" s="1163"/>
      <c r="M10" s="1163"/>
      <c r="N10" s="1163"/>
      <c r="O10" s="590"/>
      <c r="P10" s="590"/>
      <c r="Q10" s="626"/>
      <c r="R10" s="626"/>
      <c r="S10" s="302"/>
      <c r="T10" s="302"/>
      <c r="U10" s="590"/>
      <c r="V10" s="303"/>
    </row>
    <row r="11" spans="1:22" ht="15" customHeight="1" x14ac:dyDescent="0.25">
      <c r="A11" s="567"/>
      <c r="B11" s="564"/>
      <c r="C11" s="553"/>
      <c r="D11" s="553"/>
      <c r="E11" s="553"/>
      <c r="F11" s="553"/>
      <c r="G11" s="627" t="s">
        <v>1705</v>
      </c>
      <c r="H11" s="627" t="s">
        <v>1706</v>
      </c>
      <c r="I11" s="596" t="s">
        <v>1738</v>
      </c>
      <c r="J11" s="286"/>
      <c r="K11" s="628">
        <v>0.27654000000000001</v>
      </c>
      <c r="L11" s="302"/>
      <c r="M11" s="590"/>
      <c r="N11" s="302"/>
      <c r="O11" s="590"/>
      <c r="P11" s="590"/>
      <c r="Q11" s="626"/>
      <c r="R11" s="626"/>
      <c r="S11" s="302"/>
      <c r="T11" s="302"/>
      <c r="U11" s="590"/>
      <c r="V11" s="303"/>
    </row>
    <row r="12" spans="1:22" ht="15" customHeight="1" x14ac:dyDescent="0.25">
      <c r="A12" s="567"/>
      <c r="B12" s="564"/>
      <c r="C12" s="553"/>
      <c r="D12" s="553"/>
      <c r="E12" s="553"/>
      <c r="F12" s="553"/>
      <c r="G12" s="627" t="s">
        <v>1707</v>
      </c>
      <c r="H12" s="627" t="s">
        <v>1708</v>
      </c>
      <c r="I12" s="596" t="s">
        <v>1739</v>
      </c>
      <c r="J12" s="286"/>
      <c r="K12" s="286">
        <v>0.1</v>
      </c>
      <c r="L12" s="302"/>
      <c r="M12" s="590"/>
      <c r="N12" s="302"/>
      <c r="O12" s="590"/>
      <c r="P12" s="590"/>
      <c r="Q12" s="626"/>
      <c r="R12" s="626"/>
      <c r="S12" s="302"/>
      <c r="T12" s="302"/>
      <c r="U12" s="590"/>
      <c r="V12" s="303"/>
    </row>
    <row r="13" spans="1:22" ht="15" customHeight="1" x14ac:dyDescent="0.25">
      <c r="A13" s="567"/>
      <c r="B13" s="564"/>
      <c r="C13" s="553"/>
      <c r="D13" s="553"/>
      <c r="E13" s="553"/>
      <c r="F13" s="553"/>
      <c r="G13" s="1163" t="s">
        <v>18518</v>
      </c>
      <c r="H13" s="1163"/>
      <c r="I13" s="1163"/>
      <c r="J13" s="1163"/>
      <c r="K13" s="1163"/>
      <c r="L13" s="1163"/>
      <c r="M13" s="1163"/>
      <c r="N13" s="1163"/>
      <c r="O13" s="290"/>
      <c r="P13" s="290"/>
      <c r="Q13" s="629"/>
      <c r="R13" s="629"/>
      <c r="S13" s="307"/>
      <c r="T13" s="307"/>
      <c r="U13" s="290"/>
      <c r="V13" s="305"/>
    </row>
    <row r="14" spans="1:22" ht="15" customHeight="1" x14ac:dyDescent="0.25">
      <c r="A14" s="567"/>
      <c r="B14" s="564"/>
      <c r="C14" s="553"/>
      <c r="D14" s="553"/>
      <c r="E14" s="553"/>
      <c r="F14" s="553"/>
      <c r="G14" s="590" t="s">
        <v>2161</v>
      </c>
      <c r="H14" s="590" t="s">
        <v>18994</v>
      </c>
      <c r="I14" s="590" t="s">
        <v>19565</v>
      </c>
      <c r="J14" s="302">
        <f>0.70835*0.9</f>
        <v>0.63751500000000005</v>
      </c>
      <c r="K14" s="302"/>
      <c r="L14" s="302"/>
      <c r="M14" s="590"/>
      <c r="N14" s="590"/>
      <c r="O14" s="290"/>
      <c r="P14" s="290"/>
      <c r="Q14" s="629"/>
      <c r="R14" s="629"/>
      <c r="S14" s="307"/>
      <c r="T14" s="307"/>
      <c r="U14" s="290"/>
      <c r="V14" s="305"/>
    </row>
    <row r="15" spans="1:22" ht="15" customHeight="1" x14ac:dyDescent="0.25">
      <c r="A15" s="567"/>
      <c r="B15" s="564"/>
      <c r="C15" s="553"/>
      <c r="D15" s="553"/>
      <c r="E15" s="553"/>
      <c r="F15" s="553"/>
      <c r="G15" s="1164" t="s">
        <v>2262</v>
      </c>
      <c r="H15" s="1164"/>
      <c r="I15" s="1164"/>
      <c r="J15" s="339"/>
      <c r="K15" s="339">
        <f>0.03*0.9</f>
        <v>2.7E-2</v>
      </c>
      <c r="L15" s="302"/>
      <c r="M15" s="590"/>
      <c r="N15" s="302"/>
      <c r="O15" s="290"/>
      <c r="P15" s="290"/>
      <c r="Q15" s="629"/>
      <c r="R15" s="629"/>
      <c r="S15" s="307"/>
      <c r="T15" s="307"/>
      <c r="U15" s="290"/>
      <c r="V15" s="305"/>
    </row>
    <row r="16" spans="1:22" ht="15" customHeight="1" thickBot="1" x14ac:dyDescent="0.3">
      <c r="A16" s="242"/>
      <c r="B16" s="243"/>
      <c r="C16" s="244"/>
      <c r="D16" s="244"/>
      <c r="E16" s="244"/>
      <c r="F16" s="244"/>
      <c r="G16" s="1066" t="s">
        <v>1199</v>
      </c>
      <c r="H16" s="1066"/>
      <c r="I16" s="1066"/>
      <c r="J16" s="630"/>
      <c r="K16" s="456">
        <f>SUM(J14:K15)</f>
        <v>0.66451500000000008</v>
      </c>
      <c r="L16" s="631"/>
      <c r="M16" s="632">
        <v>0.92</v>
      </c>
      <c r="N16" s="456">
        <f>K16/M16</f>
        <v>0.72229891304347826</v>
      </c>
      <c r="O16" s="1066" t="s">
        <v>1199</v>
      </c>
      <c r="P16" s="1066"/>
      <c r="Q16" s="1066"/>
      <c r="R16" s="554"/>
      <c r="S16" s="456">
        <f>SUM(S9:S12)</f>
        <v>0.54</v>
      </c>
      <c r="T16" s="631"/>
      <c r="U16" s="554">
        <v>0.92</v>
      </c>
      <c r="V16" s="633">
        <f>S16/U16</f>
        <v>0.58695652173913049</v>
      </c>
    </row>
    <row r="17" spans="1:22" ht="15" customHeight="1" x14ac:dyDescent="0.25">
      <c r="A17" s="1092" t="str">
        <f>Итоговая!C285</f>
        <v xml:space="preserve">ПС 35/10 кВ Красногорская </v>
      </c>
      <c r="B17" s="1072">
        <f>Итоговая!D285</f>
        <v>1.6</v>
      </c>
      <c r="C17" s="552"/>
      <c r="D17" s="552"/>
      <c r="E17" s="552"/>
      <c r="F17" s="552"/>
      <c r="G17" s="1168" t="s">
        <v>1645</v>
      </c>
      <c r="H17" s="1168"/>
      <c r="I17" s="1168"/>
      <c r="J17" s="1168"/>
      <c r="K17" s="1168"/>
      <c r="L17" s="1168"/>
      <c r="M17" s="1168"/>
      <c r="N17" s="1168"/>
      <c r="O17" s="1168" t="s">
        <v>1645</v>
      </c>
      <c r="P17" s="1168"/>
      <c r="Q17" s="1168"/>
      <c r="R17" s="1168"/>
      <c r="S17" s="1168"/>
      <c r="T17" s="1168"/>
      <c r="U17" s="1168"/>
      <c r="V17" s="1168"/>
    </row>
    <row r="18" spans="1:22" ht="15" customHeight="1" x14ac:dyDescent="0.25">
      <c r="A18" s="1093"/>
      <c r="B18" s="1023"/>
      <c r="C18" s="553"/>
      <c r="D18" s="553"/>
      <c r="E18" s="553"/>
      <c r="F18" s="553"/>
      <c r="G18" s="596"/>
      <c r="H18" s="596"/>
      <c r="I18" s="590"/>
      <c r="J18" s="302"/>
      <c r="K18" s="286"/>
      <c r="L18" s="302"/>
      <c r="M18" s="590"/>
      <c r="N18" s="302"/>
      <c r="O18" s="725" t="s">
        <v>343</v>
      </c>
      <c r="P18" s="725" t="s">
        <v>1684</v>
      </c>
      <c r="Q18" s="743" t="s">
        <v>1689</v>
      </c>
      <c r="R18" s="302"/>
      <c r="S18" s="286">
        <f>0.045-0.005</f>
        <v>0.04</v>
      </c>
      <c r="T18" s="302"/>
      <c r="U18" s="743"/>
      <c r="V18" s="302"/>
    </row>
    <row r="19" spans="1:22" ht="15" customHeight="1" x14ac:dyDescent="0.25">
      <c r="A19" s="567"/>
      <c r="B19" s="564"/>
      <c r="C19" s="553"/>
      <c r="D19" s="553"/>
      <c r="E19" s="553"/>
      <c r="F19" s="553"/>
      <c r="G19" s="596" t="s">
        <v>343</v>
      </c>
      <c r="H19" s="596" t="s">
        <v>1964</v>
      </c>
      <c r="I19" s="590" t="s">
        <v>1998</v>
      </c>
      <c r="J19" s="302"/>
      <c r="K19" s="286">
        <f>0.16-0.045</f>
        <v>0.115</v>
      </c>
      <c r="L19" s="302"/>
      <c r="M19" s="590"/>
      <c r="N19" s="302"/>
      <c r="O19" s="590"/>
      <c r="P19" s="590"/>
      <c r="Q19" s="590"/>
      <c r="R19" s="590"/>
      <c r="S19" s="302"/>
      <c r="T19" s="302"/>
      <c r="U19" s="596"/>
      <c r="V19" s="303"/>
    </row>
    <row r="20" spans="1:22" ht="15" customHeight="1" x14ac:dyDescent="0.25">
      <c r="A20" s="567"/>
      <c r="B20" s="564"/>
      <c r="C20" s="553"/>
      <c r="D20" s="553"/>
      <c r="E20" s="553"/>
      <c r="F20" s="553"/>
      <c r="G20" s="1163" t="s">
        <v>14933</v>
      </c>
      <c r="H20" s="1163"/>
      <c r="I20" s="1163"/>
      <c r="J20" s="1163"/>
      <c r="K20" s="1163"/>
      <c r="L20" s="1163"/>
      <c r="M20" s="1163"/>
      <c r="N20" s="1163"/>
      <c r="O20" s="590"/>
      <c r="P20" s="590"/>
      <c r="Q20" s="590"/>
      <c r="R20" s="590"/>
      <c r="S20" s="302"/>
      <c r="T20" s="302"/>
      <c r="U20" s="596"/>
      <c r="V20" s="303"/>
    </row>
    <row r="21" spans="1:22" ht="15" customHeight="1" x14ac:dyDescent="0.25">
      <c r="A21" s="567"/>
      <c r="B21" s="564"/>
      <c r="C21" s="553"/>
      <c r="D21" s="553"/>
      <c r="E21" s="553"/>
      <c r="F21" s="553"/>
      <c r="G21" s="1164" t="s">
        <v>2262</v>
      </c>
      <c r="H21" s="1164"/>
      <c r="I21" s="1164"/>
      <c r="J21" s="1165">
        <f>0.746*0.9*0.6</f>
        <v>0.40283999999999998</v>
      </c>
      <c r="K21" s="1166"/>
      <c r="L21" s="302"/>
      <c r="M21" s="590"/>
      <c r="N21" s="302"/>
      <c r="O21" s="590"/>
      <c r="P21" s="590"/>
      <c r="Q21" s="590"/>
      <c r="R21" s="590"/>
      <c r="S21" s="302"/>
      <c r="T21" s="302"/>
      <c r="U21" s="596"/>
      <c r="V21" s="303"/>
    </row>
    <row r="22" spans="1:22" ht="15" customHeight="1" x14ac:dyDescent="0.25">
      <c r="A22" s="567"/>
      <c r="B22" s="564"/>
      <c r="C22" s="553"/>
      <c r="D22" s="553"/>
      <c r="E22" s="553"/>
      <c r="F22" s="553"/>
      <c r="G22" s="590" t="s">
        <v>17547</v>
      </c>
      <c r="H22" s="590" t="s">
        <v>17548</v>
      </c>
      <c r="I22" s="590" t="s">
        <v>17549</v>
      </c>
      <c r="J22" s="302"/>
      <c r="K22" s="302">
        <f>0.406*0.75</f>
        <v>0.30449999999999999</v>
      </c>
      <c r="L22" s="302"/>
      <c r="M22" s="590"/>
      <c r="N22" s="302"/>
      <c r="O22" s="590"/>
      <c r="P22" s="590"/>
      <c r="Q22" s="590"/>
      <c r="R22" s="590"/>
      <c r="S22" s="302"/>
      <c r="T22" s="302"/>
      <c r="U22" s="596"/>
      <c r="V22" s="303"/>
    </row>
    <row r="23" spans="1:22" ht="15" customHeight="1" x14ac:dyDescent="0.25">
      <c r="A23" s="567"/>
      <c r="B23" s="564"/>
      <c r="C23" s="553"/>
      <c r="D23" s="553"/>
      <c r="E23" s="553"/>
      <c r="F23" s="553"/>
      <c r="G23" s="1163" t="s">
        <v>18518</v>
      </c>
      <c r="H23" s="1163"/>
      <c r="I23" s="1163"/>
      <c r="J23" s="1163"/>
      <c r="K23" s="1163"/>
      <c r="L23" s="1163"/>
      <c r="M23" s="1163"/>
      <c r="N23" s="1163"/>
      <c r="O23" s="290"/>
      <c r="P23" s="290"/>
      <c r="Q23" s="290"/>
      <c r="R23" s="290"/>
      <c r="S23" s="307"/>
      <c r="T23" s="307"/>
      <c r="U23" s="600"/>
      <c r="V23" s="305"/>
    </row>
    <row r="24" spans="1:22" ht="15" customHeight="1" x14ac:dyDescent="0.25">
      <c r="A24" s="567"/>
      <c r="B24" s="564"/>
      <c r="C24" s="553"/>
      <c r="D24" s="553"/>
      <c r="E24" s="553"/>
      <c r="F24" s="553"/>
      <c r="G24" s="290" t="s">
        <v>18867</v>
      </c>
      <c r="H24" s="290" t="s">
        <v>18868</v>
      </c>
      <c r="I24" s="290" t="s">
        <v>18869</v>
      </c>
      <c r="J24" s="307">
        <f>(0.06-0.015)*0.9</f>
        <v>4.0500000000000001E-2</v>
      </c>
      <c r="K24" s="307"/>
      <c r="L24" s="307"/>
      <c r="M24" s="290"/>
      <c r="N24" s="307"/>
      <c r="O24" s="290"/>
      <c r="P24" s="290"/>
      <c r="Q24" s="290"/>
      <c r="R24" s="290"/>
      <c r="S24" s="307"/>
      <c r="T24" s="307"/>
      <c r="U24" s="600"/>
      <c r="V24" s="305"/>
    </row>
    <row r="25" spans="1:22" ht="15" customHeight="1" x14ac:dyDescent="0.25">
      <c r="A25" s="567"/>
      <c r="B25" s="564"/>
      <c r="C25" s="553"/>
      <c r="D25" s="553"/>
      <c r="E25" s="553"/>
      <c r="F25" s="553"/>
      <c r="G25" s="1164" t="s">
        <v>2262</v>
      </c>
      <c r="H25" s="1164"/>
      <c r="I25" s="1164"/>
      <c r="J25" s="1165">
        <f>1.468*0.9*0.6</f>
        <v>0.79271999999999998</v>
      </c>
      <c r="K25" s="1166"/>
      <c r="L25" s="302"/>
      <c r="M25" s="590"/>
      <c r="N25" s="302"/>
      <c r="O25" s="290"/>
      <c r="P25" s="290"/>
      <c r="Q25" s="290"/>
      <c r="R25" s="290"/>
      <c r="S25" s="307"/>
      <c r="T25" s="307"/>
      <c r="U25" s="600"/>
      <c r="V25" s="305"/>
    </row>
    <row r="26" spans="1:22" ht="15" customHeight="1" thickBot="1" x14ac:dyDescent="0.3">
      <c r="A26" s="242"/>
      <c r="B26" s="243"/>
      <c r="C26" s="244"/>
      <c r="D26" s="244"/>
      <c r="E26" s="244"/>
      <c r="F26" s="244"/>
      <c r="G26" s="1066" t="s">
        <v>1199</v>
      </c>
      <c r="H26" s="1066"/>
      <c r="I26" s="1066"/>
      <c r="J26" s="630"/>
      <c r="K26" s="456">
        <f>SUM(J21:K25)</f>
        <v>1.5405599999999999</v>
      </c>
      <c r="L26" s="631"/>
      <c r="M26" s="632">
        <v>0.92</v>
      </c>
      <c r="N26" s="456">
        <f>K26/M26</f>
        <v>1.6745217391304346</v>
      </c>
      <c r="O26" s="1066" t="s">
        <v>1199</v>
      </c>
      <c r="P26" s="1066"/>
      <c r="Q26" s="1066"/>
      <c r="R26" s="554"/>
      <c r="S26" s="456">
        <f>SUM(0)</f>
        <v>0</v>
      </c>
      <c r="T26" s="631"/>
      <c r="U26" s="554">
        <v>0.92</v>
      </c>
      <c r="V26" s="633">
        <f>S26/U26</f>
        <v>0</v>
      </c>
    </row>
    <row r="27" spans="1:22" ht="15" customHeight="1" x14ac:dyDescent="0.25">
      <c r="A27" s="1092" t="str">
        <f>Итоговая!C286</f>
        <v xml:space="preserve">ПС 35/10 кВ Лисицкий Бор </v>
      </c>
      <c r="B27" s="1072">
        <f>Итоговая!D286</f>
        <v>2.5</v>
      </c>
      <c r="C27" s="552"/>
      <c r="D27" s="552"/>
      <c r="E27" s="552"/>
      <c r="F27" s="552"/>
      <c r="G27" s="1168" t="s">
        <v>1286</v>
      </c>
      <c r="H27" s="1168"/>
      <c r="I27" s="1168"/>
      <c r="J27" s="1168"/>
      <c r="K27" s="1168"/>
      <c r="L27" s="1168"/>
      <c r="M27" s="1168"/>
      <c r="N27" s="1168"/>
      <c r="O27" s="1181"/>
      <c r="P27" s="1181"/>
      <c r="Q27" s="1181"/>
      <c r="R27" s="1181"/>
      <c r="S27" s="1181"/>
      <c r="T27" s="1181"/>
      <c r="U27" s="1181"/>
      <c r="V27" s="1182"/>
    </row>
    <row r="28" spans="1:22" ht="15" customHeight="1" x14ac:dyDescent="0.25">
      <c r="A28" s="1093"/>
      <c r="B28" s="1023"/>
      <c r="C28" s="553"/>
      <c r="D28" s="553"/>
      <c r="E28" s="553"/>
      <c r="F28" s="553"/>
      <c r="G28" s="596" t="s">
        <v>255</v>
      </c>
      <c r="H28" s="596" t="s">
        <v>256</v>
      </c>
      <c r="I28" s="596" t="s">
        <v>257</v>
      </c>
      <c r="J28" s="286"/>
      <c r="K28" s="286">
        <v>0.124</v>
      </c>
      <c r="L28" s="302"/>
      <c r="M28" s="590"/>
      <c r="N28" s="302"/>
      <c r="O28" s="590"/>
      <c r="P28" s="590"/>
      <c r="Q28" s="590"/>
      <c r="R28" s="590"/>
      <c r="S28" s="302"/>
      <c r="T28" s="302"/>
      <c r="U28" s="590"/>
      <c r="V28" s="303"/>
    </row>
    <row r="29" spans="1:22" ht="15" customHeight="1" x14ac:dyDescent="0.25">
      <c r="A29" s="567"/>
      <c r="B29" s="564"/>
      <c r="C29" s="553"/>
      <c r="D29" s="553"/>
      <c r="E29" s="553"/>
      <c r="F29" s="553"/>
      <c r="G29" s="1163" t="s">
        <v>1324</v>
      </c>
      <c r="H29" s="1163"/>
      <c r="I29" s="1163"/>
      <c r="J29" s="1163"/>
      <c r="K29" s="1163"/>
      <c r="L29" s="1163"/>
      <c r="M29" s="1163"/>
      <c r="N29" s="1163"/>
      <c r="O29" s="1185"/>
      <c r="P29" s="1185"/>
      <c r="Q29" s="1185"/>
      <c r="R29" s="1185"/>
      <c r="S29" s="1185"/>
      <c r="T29" s="1185"/>
      <c r="U29" s="1185"/>
      <c r="V29" s="1186"/>
    </row>
    <row r="30" spans="1:22" ht="15" customHeight="1" x14ac:dyDescent="0.25">
      <c r="A30" s="567"/>
      <c r="B30" s="564"/>
      <c r="C30" s="553"/>
      <c r="D30" s="553"/>
      <c r="E30" s="553"/>
      <c r="F30" s="553"/>
      <c r="G30" s="596" t="s">
        <v>258</v>
      </c>
      <c r="H30" s="596" t="s">
        <v>259</v>
      </c>
      <c r="I30" s="635">
        <v>40253</v>
      </c>
      <c r="J30" s="286"/>
      <c r="K30" s="286">
        <v>0.6</v>
      </c>
      <c r="L30" s="302"/>
      <c r="M30" s="590"/>
      <c r="N30" s="302"/>
      <c r="O30" s="590"/>
      <c r="P30" s="590"/>
      <c r="Q30" s="636"/>
      <c r="R30" s="636"/>
      <c r="S30" s="302"/>
      <c r="T30" s="302"/>
      <c r="U30" s="590"/>
      <c r="V30" s="303"/>
    </row>
    <row r="31" spans="1:22" ht="15" customHeight="1" x14ac:dyDescent="0.25">
      <c r="A31" s="567"/>
      <c r="B31" s="564"/>
      <c r="C31" s="553"/>
      <c r="D31" s="553"/>
      <c r="E31" s="553"/>
      <c r="F31" s="553"/>
      <c r="G31" s="596" t="s">
        <v>532</v>
      </c>
      <c r="H31" s="596" t="s">
        <v>533</v>
      </c>
      <c r="I31" s="596" t="s">
        <v>1473</v>
      </c>
      <c r="J31" s="286"/>
      <c r="K31" s="286">
        <v>0.1</v>
      </c>
      <c r="L31" s="302"/>
      <c r="M31" s="590"/>
      <c r="N31" s="302"/>
      <c r="O31" s="590"/>
      <c r="P31" s="590"/>
      <c r="Q31" s="590"/>
      <c r="R31" s="590"/>
      <c r="S31" s="302"/>
      <c r="T31" s="302"/>
      <c r="U31" s="590"/>
      <c r="V31" s="303"/>
    </row>
    <row r="32" spans="1:22" ht="15" customHeight="1" x14ac:dyDescent="0.25">
      <c r="A32" s="567"/>
      <c r="B32" s="564"/>
      <c r="C32" s="553"/>
      <c r="D32" s="553"/>
      <c r="E32" s="553"/>
      <c r="F32" s="553"/>
      <c r="G32" s="596" t="s">
        <v>532</v>
      </c>
      <c r="H32" s="596" t="s">
        <v>534</v>
      </c>
      <c r="I32" s="596" t="s">
        <v>1474</v>
      </c>
      <c r="J32" s="286"/>
      <c r="K32" s="286">
        <v>0.1</v>
      </c>
      <c r="L32" s="302"/>
      <c r="M32" s="590"/>
      <c r="N32" s="302"/>
      <c r="O32" s="590"/>
      <c r="P32" s="590"/>
      <c r="Q32" s="590"/>
      <c r="R32" s="590"/>
      <c r="S32" s="302"/>
      <c r="T32" s="302"/>
      <c r="U32" s="590"/>
      <c r="V32" s="303"/>
    </row>
    <row r="33" spans="1:22" ht="15" customHeight="1" x14ac:dyDescent="0.25">
      <c r="A33" s="567"/>
      <c r="B33" s="564"/>
      <c r="C33" s="553"/>
      <c r="D33" s="553"/>
      <c r="E33" s="553"/>
      <c r="F33" s="553"/>
      <c r="G33" s="1163" t="s">
        <v>14933</v>
      </c>
      <c r="H33" s="1163"/>
      <c r="I33" s="1163"/>
      <c r="J33" s="1163"/>
      <c r="K33" s="1163"/>
      <c r="L33" s="1163"/>
      <c r="M33" s="1163"/>
      <c r="N33" s="1163"/>
      <c r="O33" s="590"/>
      <c r="P33" s="590"/>
      <c r="Q33" s="590"/>
      <c r="R33" s="590"/>
      <c r="S33" s="302"/>
      <c r="T33" s="302"/>
      <c r="U33" s="590"/>
      <c r="V33" s="303"/>
    </row>
    <row r="34" spans="1:22" ht="15" customHeight="1" x14ac:dyDescent="0.25">
      <c r="A34" s="567"/>
      <c r="B34" s="564"/>
      <c r="C34" s="553"/>
      <c r="D34" s="553"/>
      <c r="E34" s="553"/>
      <c r="F34" s="553"/>
      <c r="G34" s="1164" t="s">
        <v>2262</v>
      </c>
      <c r="H34" s="1164"/>
      <c r="I34" s="1164"/>
      <c r="J34" s="1165">
        <f>0.221*0.9</f>
        <v>0.19889999999999999</v>
      </c>
      <c r="K34" s="1166"/>
      <c r="L34" s="302"/>
      <c r="M34" s="590"/>
      <c r="N34" s="302"/>
      <c r="O34" s="590"/>
      <c r="P34" s="590"/>
      <c r="Q34" s="590"/>
      <c r="R34" s="590"/>
      <c r="S34" s="302"/>
      <c r="T34" s="302"/>
      <c r="U34" s="590"/>
      <c r="V34" s="303"/>
    </row>
    <row r="35" spans="1:22" ht="15" customHeight="1" x14ac:dyDescent="0.25">
      <c r="A35" s="567"/>
      <c r="B35" s="564"/>
      <c r="C35" s="553"/>
      <c r="D35" s="553"/>
      <c r="E35" s="553"/>
      <c r="F35" s="553"/>
      <c r="G35" s="1163" t="s">
        <v>18518</v>
      </c>
      <c r="H35" s="1163"/>
      <c r="I35" s="1163"/>
      <c r="J35" s="1163"/>
      <c r="K35" s="1163"/>
      <c r="L35" s="1163"/>
      <c r="M35" s="1163"/>
      <c r="N35" s="1163"/>
      <c r="O35" s="290"/>
      <c r="P35" s="290"/>
      <c r="Q35" s="290"/>
      <c r="R35" s="290"/>
      <c r="S35" s="307"/>
      <c r="T35" s="307"/>
      <c r="U35" s="290"/>
      <c r="V35" s="305"/>
    </row>
    <row r="36" spans="1:22" ht="15" customHeight="1" x14ac:dyDescent="0.25">
      <c r="A36" s="567"/>
      <c r="B36" s="564"/>
      <c r="C36" s="553"/>
      <c r="D36" s="553"/>
      <c r="E36" s="553"/>
      <c r="F36" s="553"/>
      <c r="G36" s="266" t="s">
        <v>18976</v>
      </c>
      <c r="H36" s="266" t="s">
        <v>18973</v>
      </c>
      <c r="I36" s="265">
        <v>41039756</v>
      </c>
      <c r="J36" s="268">
        <f>0.34*0.9</f>
        <v>0.30600000000000005</v>
      </c>
      <c r="K36" s="268"/>
      <c r="L36" s="637"/>
      <c r="M36" s="590"/>
      <c r="N36" s="590"/>
      <c r="O36" s="290"/>
      <c r="P36" s="290"/>
      <c r="Q36" s="290"/>
      <c r="R36" s="290"/>
      <c r="S36" s="307"/>
      <c r="T36" s="307"/>
      <c r="U36" s="290"/>
      <c r="V36" s="305"/>
    </row>
    <row r="37" spans="1:22" ht="15" customHeight="1" x14ac:dyDescent="0.25">
      <c r="A37" s="567"/>
      <c r="B37" s="564"/>
      <c r="C37" s="553"/>
      <c r="D37" s="553"/>
      <c r="E37" s="553"/>
      <c r="F37" s="553"/>
      <c r="G37" s="1164" t="s">
        <v>2262</v>
      </c>
      <c r="H37" s="1164"/>
      <c r="I37" s="1164"/>
      <c r="J37" s="1165">
        <f>0.37*0.9*0.6</f>
        <v>0.19980000000000001</v>
      </c>
      <c r="K37" s="1166"/>
      <c r="L37" s="302"/>
      <c r="M37" s="590"/>
      <c r="N37" s="302"/>
      <c r="O37" s="290"/>
      <c r="P37" s="290"/>
      <c r="Q37" s="290"/>
      <c r="R37" s="290"/>
      <c r="S37" s="307"/>
      <c r="T37" s="307"/>
      <c r="U37" s="290"/>
      <c r="V37" s="305"/>
    </row>
    <row r="38" spans="1:22" ht="15" customHeight="1" thickBot="1" x14ac:dyDescent="0.3">
      <c r="A38" s="242"/>
      <c r="B38" s="243"/>
      <c r="C38" s="244"/>
      <c r="D38" s="244"/>
      <c r="E38" s="244"/>
      <c r="F38" s="244"/>
      <c r="G38" s="1066" t="s">
        <v>1199</v>
      </c>
      <c r="H38" s="1066"/>
      <c r="I38" s="1066"/>
      <c r="J38" s="630"/>
      <c r="K38" s="456">
        <f>SUM(J34:K37)</f>
        <v>0.70469999999999999</v>
      </c>
      <c r="L38" s="631"/>
      <c r="M38" s="632">
        <v>0.92</v>
      </c>
      <c r="N38" s="456">
        <f>K38/M38</f>
        <v>0.76597826086956522</v>
      </c>
      <c r="O38" s="1066" t="s">
        <v>1199</v>
      </c>
      <c r="P38" s="1066"/>
      <c r="Q38" s="1066"/>
      <c r="R38" s="554"/>
      <c r="S38" s="456">
        <f>SUM(S28:S32)</f>
        <v>0</v>
      </c>
      <c r="T38" s="631"/>
      <c r="U38" s="554">
        <v>0.92</v>
      </c>
      <c r="V38" s="633">
        <f>S38/U38</f>
        <v>0</v>
      </c>
    </row>
    <row r="39" spans="1:22" ht="15" customHeight="1" x14ac:dyDescent="0.25">
      <c r="A39" s="566" t="str">
        <f>Итоговая!C287</f>
        <v xml:space="preserve">ПС  35/3 кВ №6 </v>
      </c>
      <c r="B39" s="563">
        <f>Итоговая!D287</f>
        <v>1</v>
      </c>
      <c r="C39" s="552"/>
      <c r="D39" s="552"/>
      <c r="E39" s="552"/>
      <c r="F39" s="552"/>
      <c r="G39" s="427"/>
      <c r="H39" s="427"/>
      <c r="I39" s="427"/>
      <c r="J39" s="459"/>
      <c r="K39" s="459"/>
      <c r="L39" s="460"/>
      <c r="M39" s="588"/>
      <c r="N39" s="460"/>
      <c r="O39" s="427"/>
      <c r="P39" s="427"/>
      <c r="Q39" s="427"/>
      <c r="R39" s="427"/>
      <c r="S39" s="459"/>
      <c r="T39" s="460"/>
      <c r="U39" s="427"/>
      <c r="V39" s="634"/>
    </row>
    <row r="40" spans="1:22" ht="15" customHeight="1" thickBot="1" x14ac:dyDescent="0.3">
      <c r="A40" s="242"/>
      <c r="B40" s="243"/>
      <c r="C40" s="244"/>
      <c r="D40" s="244"/>
      <c r="E40" s="244"/>
      <c r="F40" s="244"/>
      <c r="G40" s="1066" t="s">
        <v>1199</v>
      </c>
      <c r="H40" s="1066"/>
      <c r="I40" s="1066"/>
      <c r="J40" s="630"/>
      <c r="K40" s="456">
        <f>SUM(K39:K39)</f>
        <v>0</v>
      </c>
      <c r="L40" s="631"/>
      <c r="M40" s="632">
        <v>0.92</v>
      </c>
      <c r="N40" s="456">
        <f>K40/M40</f>
        <v>0</v>
      </c>
      <c r="O40" s="1066" t="s">
        <v>1199</v>
      </c>
      <c r="P40" s="1066"/>
      <c r="Q40" s="1066"/>
      <c r="R40" s="554"/>
      <c r="S40" s="456">
        <f>SUM(S39:S39)</f>
        <v>0</v>
      </c>
      <c r="T40" s="631"/>
      <c r="U40" s="554">
        <v>0.92</v>
      </c>
      <c r="V40" s="633">
        <f>S40/U40</f>
        <v>0</v>
      </c>
    </row>
    <row r="41" spans="1:22" ht="15" customHeight="1" x14ac:dyDescent="0.25">
      <c r="A41" s="1092" t="str">
        <f>Итоговая!C288</f>
        <v xml:space="preserve">ПС 35/6 кВ №1 </v>
      </c>
      <c r="B41" s="1072">
        <f>Итоговая!D288</f>
        <v>1</v>
      </c>
      <c r="C41" s="552"/>
      <c r="D41" s="552"/>
      <c r="E41" s="552"/>
      <c r="F41" s="552"/>
      <c r="G41" s="1168" t="s">
        <v>1324</v>
      </c>
      <c r="H41" s="1168"/>
      <c r="I41" s="1168"/>
      <c r="J41" s="1168"/>
      <c r="K41" s="1168"/>
      <c r="L41" s="1168"/>
      <c r="M41" s="1168"/>
      <c r="N41" s="1168"/>
      <c r="O41" s="1168" t="s">
        <v>1324</v>
      </c>
      <c r="P41" s="1168"/>
      <c r="Q41" s="1168"/>
      <c r="R41" s="1168"/>
      <c r="S41" s="1168"/>
      <c r="T41" s="1168"/>
      <c r="U41" s="1168"/>
      <c r="V41" s="1169"/>
    </row>
    <row r="42" spans="1:22" ht="15" customHeight="1" x14ac:dyDescent="0.25">
      <c r="A42" s="1093"/>
      <c r="B42" s="1023"/>
      <c r="C42" s="553"/>
      <c r="D42" s="553"/>
      <c r="E42" s="553"/>
      <c r="F42" s="553"/>
      <c r="G42" s="596" t="s">
        <v>1420</v>
      </c>
      <c r="H42" s="596" t="s">
        <v>1421</v>
      </c>
      <c r="I42" s="596" t="s">
        <v>1514</v>
      </c>
      <c r="J42" s="286"/>
      <c r="K42" s="286">
        <v>0.2</v>
      </c>
      <c r="L42" s="302"/>
      <c r="M42" s="461"/>
      <c r="N42" s="342"/>
      <c r="O42" s="277" t="s">
        <v>1220</v>
      </c>
      <c r="P42" s="277" t="s">
        <v>1332</v>
      </c>
      <c r="Q42" s="277" t="s">
        <v>1660</v>
      </c>
      <c r="R42" s="277"/>
      <c r="S42" s="279">
        <v>4.5999999999999999E-2</v>
      </c>
      <c r="T42" s="370"/>
      <c r="U42" s="277"/>
      <c r="V42" s="280"/>
    </row>
    <row r="43" spans="1:22" ht="15" customHeight="1" x14ac:dyDescent="0.25">
      <c r="A43" s="567"/>
      <c r="B43" s="564"/>
      <c r="C43" s="553"/>
      <c r="D43" s="553"/>
      <c r="E43" s="553"/>
      <c r="F43" s="553"/>
      <c r="G43" s="627" t="s">
        <v>1220</v>
      </c>
      <c r="H43" s="627" t="s">
        <v>1329</v>
      </c>
      <c r="I43" s="596" t="s">
        <v>1619</v>
      </c>
      <c r="J43" s="286"/>
      <c r="K43" s="628">
        <v>2.2499999999999999E-2</v>
      </c>
      <c r="L43" s="302"/>
      <c r="M43" s="590"/>
      <c r="N43" s="302"/>
      <c r="O43" s="590"/>
      <c r="P43" s="590"/>
      <c r="Q43" s="590"/>
      <c r="R43" s="590"/>
      <c r="S43" s="302"/>
      <c r="T43" s="302"/>
      <c r="U43" s="590"/>
      <c r="V43" s="303"/>
    </row>
    <row r="44" spans="1:22" ht="15" customHeight="1" x14ac:dyDescent="0.25">
      <c r="A44" s="567"/>
      <c r="B44" s="564"/>
      <c r="C44" s="553"/>
      <c r="D44" s="553"/>
      <c r="E44" s="553"/>
      <c r="F44" s="553"/>
      <c r="G44" s="1163" t="s">
        <v>2290</v>
      </c>
      <c r="H44" s="1163"/>
      <c r="I44" s="1163"/>
      <c r="J44" s="1163"/>
      <c r="K44" s="1163"/>
      <c r="L44" s="1163"/>
      <c r="M44" s="1163"/>
      <c r="N44" s="1163"/>
      <c r="O44" s="590"/>
      <c r="P44" s="590"/>
      <c r="Q44" s="590"/>
      <c r="R44" s="590"/>
      <c r="S44" s="302"/>
      <c r="T44" s="302"/>
      <c r="U44" s="590"/>
      <c r="V44" s="303"/>
    </row>
    <row r="45" spans="1:22" ht="15" customHeight="1" x14ac:dyDescent="0.25">
      <c r="A45" s="567"/>
      <c r="B45" s="564"/>
      <c r="C45" s="553"/>
      <c r="D45" s="553"/>
      <c r="E45" s="553"/>
      <c r="F45" s="553"/>
      <c r="G45" s="627" t="s">
        <v>2250</v>
      </c>
      <c r="H45" s="627" t="s">
        <v>2251</v>
      </c>
      <c r="I45" s="627" t="s">
        <v>2324</v>
      </c>
      <c r="J45" s="628"/>
      <c r="K45" s="286">
        <f>0.49*0.75</f>
        <v>0.36749999999999999</v>
      </c>
      <c r="L45" s="302"/>
      <c r="M45" s="590"/>
      <c r="N45" s="302"/>
      <c r="O45" s="590"/>
      <c r="P45" s="590"/>
      <c r="Q45" s="590"/>
      <c r="R45" s="590"/>
      <c r="S45" s="302"/>
      <c r="T45" s="302"/>
      <c r="U45" s="590"/>
      <c r="V45" s="303"/>
    </row>
    <row r="46" spans="1:22" ht="15" customHeight="1" x14ac:dyDescent="0.25">
      <c r="A46" s="567"/>
      <c r="B46" s="564"/>
      <c r="C46" s="553"/>
      <c r="D46" s="553"/>
      <c r="E46" s="553"/>
      <c r="F46" s="553"/>
      <c r="G46" s="1163" t="s">
        <v>18518</v>
      </c>
      <c r="H46" s="1163"/>
      <c r="I46" s="1163"/>
      <c r="J46" s="1163"/>
      <c r="K46" s="1163"/>
      <c r="L46" s="1163"/>
      <c r="M46" s="1163"/>
      <c r="N46" s="1163"/>
      <c r="O46" s="290"/>
      <c r="P46" s="290"/>
      <c r="Q46" s="290"/>
      <c r="R46" s="290"/>
      <c r="S46" s="307"/>
      <c r="T46" s="307"/>
      <c r="U46" s="290"/>
      <c r="V46" s="305"/>
    </row>
    <row r="47" spans="1:22" ht="15" customHeight="1" x14ac:dyDescent="0.25">
      <c r="A47" s="567"/>
      <c r="B47" s="564"/>
      <c r="C47" s="553"/>
      <c r="D47" s="553"/>
      <c r="E47" s="553"/>
      <c r="F47" s="553"/>
      <c r="G47" s="1164" t="s">
        <v>2262</v>
      </c>
      <c r="H47" s="1164"/>
      <c r="I47" s="1164"/>
      <c r="J47" s="1165">
        <f>0.23*0.9*0.6</f>
        <v>0.1242</v>
      </c>
      <c r="K47" s="1166"/>
      <c r="L47" s="307"/>
      <c r="M47" s="290"/>
      <c r="N47" s="307"/>
      <c r="O47" s="290"/>
      <c r="P47" s="290"/>
      <c r="Q47" s="290"/>
      <c r="R47" s="290"/>
      <c r="S47" s="307"/>
      <c r="T47" s="307"/>
      <c r="U47" s="290"/>
      <c r="V47" s="305"/>
    </row>
    <row r="48" spans="1:22" ht="15" customHeight="1" thickBot="1" x14ac:dyDescent="0.3">
      <c r="A48" s="242"/>
      <c r="B48" s="243"/>
      <c r="C48" s="244"/>
      <c r="D48" s="244"/>
      <c r="E48" s="244"/>
      <c r="F48" s="244"/>
      <c r="G48" s="1066" t="s">
        <v>1199</v>
      </c>
      <c r="H48" s="1066"/>
      <c r="I48" s="1066"/>
      <c r="J48" s="630"/>
      <c r="K48" s="456">
        <f>SUM(J47)</f>
        <v>0.1242</v>
      </c>
      <c r="L48" s="631"/>
      <c r="M48" s="632">
        <v>0.92</v>
      </c>
      <c r="N48" s="456">
        <f>K48/M48</f>
        <v>0.13500000000000001</v>
      </c>
      <c r="O48" s="1066" t="s">
        <v>1199</v>
      </c>
      <c r="P48" s="1066"/>
      <c r="Q48" s="1066"/>
      <c r="R48" s="554"/>
      <c r="S48" s="456">
        <f>SUM(S42:S43)</f>
        <v>4.5999999999999999E-2</v>
      </c>
      <c r="T48" s="631"/>
      <c r="U48" s="554">
        <v>0.92</v>
      </c>
      <c r="V48" s="633">
        <f>S48/U48</f>
        <v>4.9999999999999996E-2</v>
      </c>
    </row>
    <row r="49" spans="1:22" ht="15" customHeight="1" x14ac:dyDescent="0.25">
      <c r="A49" s="1092" t="str">
        <f>Итоговая!C289</f>
        <v xml:space="preserve">  ПС  35/10 кВ №1 </v>
      </c>
      <c r="B49" s="1072">
        <f>Итоговая!D289</f>
        <v>4</v>
      </c>
      <c r="C49" s="552"/>
      <c r="D49" s="552"/>
      <c r="E49" s="552"/>
      <c r="F49" s="552"/>
      <c r="G49" s="1168" t="s">
        <v>1290</v>
      </c>
      <c r="H49" s="1168"/>
      <c r="I49" s="1168"/>
      <c r="J49" s="1168"/>
      <c r="K49" s="1168"/>
      <c r="L49" s="1168"/>
      <c r="M49" s="1168"/>
      <c r="N49" s="1168"/>
      <c r="O49" s="1168" t="s">
        <v>1324</v>
      </c>
      <c r="P49" s="1168"/>
      <c r="Q49" s="1168"/>
      <c r="R49" s="1168"/>
      <c r="S49" s="1168"/>
      <c r="T49" s="1168"/>
      <c r="U49" s="1168"/>
      <c r="V49" s="1169"/>
    </row>
    <row r="50" spans="1:22" ht="15" customHeight="1" x14ac:dyDescent="0.25">
      <c r="A50" s="1093"/>
      <c r="B50" s="1023"/>
      <c r="C50" s="553"/>
      <c r="D50" s="553"/>
      <c r="E50" s="553"/>
      <c r="F50" s="553"/>
      <c r="G50" s="596" t="s">
        <v>268</v>
      </c>
      <c r="H50" s="596" t="s">
        <v>269</v>
      </c>
      <c r="I50" s="596" t="s">
        <v>270</v>
      </c>
      <c r="J50" s="286"/>
      <c r="K50" s="302">
        <v>0.495</v>
      </c>
      <c r="L50" s="302"/>
      <c r="M50" s="590"/>
      <c r="N50" s="302"/>
      <c r="O50" s="596" t="s">
        <v>1423</v>
      </c>
      <c r="P50" s="596" t="s">
        <v>1424</v>
      </c>
      <c r="Q50" s="596" t="s">
        <v>2261</v>
      </c>
      <c r="R50" s="596"/>
      <c r="S50" s="286">
        <f>0.275-0.22</f>
        <v>5.5000000000000021E-2</v>
      </c>
      <c r="T50" s="302"/>
      <c r="U50" s="590"/>
      <c r="V50" s="303"/>
    </row>
    <row r="51" spans="1:22" ht="15" customHeight="1" x14ac:dyDescent="0.25">
      <c r="A51" s="567"/>
      <c r="B51" s="564"/>
      <c r="C51" s="553"/>
      <c r="D51" s="553"/>
      <c r="E51" s="553"/>
      <c r="F51" s="553"/>
      <c r="G51" s="1163" t="s">
        <v>1287</v>
      </c>
      <c r="H51" s="1163"/>
      <c r="I51" s="1163"/>
      <c r="J51" s="1163"/>
      <c r="K51" s="1163"/>
      <c r="L51" s="1163"/>
      <c r="M51" s="1163"/>
      <c r="N51" s="1163"/>
      <c r="O51" s="1163" t="s">
        <v>2290</v>
      </c>
      <c r="P51" s="1163"/>
      <c r="Q51" s="1163"/>
      <c r="R51" s="1163"/>
      <c r="S51" s="1163"/>
      <c r="T51" s="1163"/>
      <c r="U51" s="1163"/>
      <c r="V51" s="1198"/>
    </row>
    <row r="52" spans="1:22" ht="15" customHeight="1" x14ac:dyDescent="0.25">
      <c r="A52" s="567"/>
      <c r="B52" s="564"/>
      <c r="C52" s="553"/>
      <c r="D52" s="553"/>
      <c r="E52" s="553"/>
      <c r="F52" s="553"/>
      <c r="G52" s="596" t="s">
        <v>271</v>
      </c>
      <c r="H52" s="596" t="s">
        <v>272</v>
      </c>
      <c r="I52" s="596" t="s">
        <v>273</v>
      </c>
      <c r="J52" s="286"/>
      <c r="K52" s="286">
        <v>0.18</v>
      </c>
      <c r="L52" s="302"/>
      <c r="M52" s="590"/>
      <c r="N52" s="302"/>
      <c r="O52" s="596" t="s">
        <v>2342</v>
      </c>
      <c r="P52" s="596" t="s">
        <v>2343</v>
      </c>
      <c r="Q52" s="596" t="s">
        <v>14775</v>
      </c>
      <c r="R52" s="596"/>
      <c r="S52" s="628">
        <v>2.5000000000000001E-2</v>
      </c>
      <c r="T52" s="302"/>
      <c r="U52" s="590"/>
      <c r="V52" s="303"/>
    </row>
    <row r="53" spans="1:22" ht="15" customHeight="1" x14ac:dyDescent="0.25">
      <c r="A53" s="567"/>
      <c r="B53" s="564"/>
      <c r="C53" s="553"/>
      <c r="D53" s="553"/>
      <c r="E53" s="553"/>
      <c r="F53" s="553"/>
      <c r="G53" s="1163" t="s">
        <v>1286</v>
      </c>
      <c r="H53" s="1163"/>
      <c r="I53" s="1163"/>
      <c r="J53" s="1163"/>
      <c r="K53" s="1163"/>
      <c r="L53" s="1163"/>
      <c r="M53" s="1163"/>
      <c r="N53" s="1163"/>
      <c r="O53" s="480"/>
      <c r="P53" s="480"/>
      <c r="Q53" s="480"/>
      <c r="R53" s="480"/>
      <c r="S53" s="480"/>
      <c r="T53" s="480"/>
      <c r="U53" s="480"/>
      <c r="V53" s="638"/>
    </row>
    <row r="54" spans="1:22" ht="15" customHeight="1" x14ac:dyDescent="0.25">
      <c r="A54" s="567"/>
      <c r="B54" s="564"/>
      <c r="C54" s="553"/>
      <c r="D54" s="553"/>
      <c r="E54" s="553"/>
      <c r="F54" s="553"/>
      <c r="G54" s="596" t="s">
        <v>964</v>
      </c>
      <c r="H54" s="596" t="s">
        <v>965</v>
      </c>
      <c r="I54" s="590" t="s">
        <v>966</v>
      </c>
      <c r="J54" s="302"/>
      <c r="K54" s="286">
        <v>0.1</v>
      </c>
      <c r="L54" s="302"/>
      <c r="M54" s="590"/>
      <c r="N54" s="302"/>
      <c r="O54" s="480"/>
      <c r="P54" s="480"/>
      <c r="Q54" s="480"/>
      <c r="R54" s="480"/>
      <c r="S54" s="480"/>
      <c r="T54" s="480"/>
      <c r="U54" s="480"/>
      <c r="V54" s="638"/>
    </row>
    <row r="55" spans="1:22" ht="15" customHeight="1" x14ac:dyDescent="0.25">
      <c r="A55" s="567"/>
      <c r="B55" s="564"/>
      <c r="C55" s="553"/>
      <c r="D55" s="553"/>
      <c r="E55" s="553"/>
      <c r="F55" s="553"/>
      <c r="G55" s="596" t="s">
        <v>274</v>
      </c>
      <c r="H55" s="596" t="s">
        <v>275</v>
      </c>
      <c r="I55" s="596" t="s">
        <v>1526</v>
      </c>
      <c r="J55" s="286"/>
      <c r="K55" s="286">
        <v>7.0000000000000007E-2</v>
      </c>
      <c r="L55" s="302"/>
      <c r="M55" s="590"/>
      <c r="N55" s="302"/>
      <c r="O55" s="480"/>
      <c r="P55" s="480"/>
      <c r="Q55" s="480"/>
      <c r="R55" s="480"/>
      <c r="S55" s="480"/>
      <c r="T55" s="480"/>
      <c r="U55" s="480"/>
      <c r="V55" s="638"/>
    </row>
    <row r="56" spans="1:22" ht="15" customHeight="1" x14ac:dyDescent="0.25">
      <c r="A56" s="567"/>
      <c r="B56" s="564"/>
      <c r="C56" s="553"/>
      <c r="D56" s="553"/>
      <c r="E56" s="553"/>
      <c r="F56" s="553"/>
      <c r="G56" s="1163" t="s">
        <v>1324</v>
      </c>
      <c r="H56" s="1163"/>
      <c r="I56" s="1163"/>
      <c r="J56" s="1163"/>
      <c r="K56" s="1163"/>
      <c r="L56" s="1163"/>
      <c r="M56" s="1163"/>
      <c r="N56" s="1163"/>
      <c r="O56" s="480"/>
      <c r="P56" s="480"/>
      <c r="Q56" s="480"/>
      <c r="R56" s="480"/>
      <c r="S56" s="480"/>
      <c r="T56" s="480"/>
      <c r="U56" s="480"/>
      <c r="V56" s="638"/>
    </row>
    <row r="57" spans="1:22" ht="15" customHeight="1" x14ac:dyDescent="0.25">
      <c r="A57" s="567"/>
      <c r="B57" s="564"/>
      <c r="C57" s="553"/>
      <c r="D57" s="553"/>
      <c r="E57" s="553"/>
      <c r="F57" s="553"/>
      <c r="G57" s="596" t="s">
        <v>962</v>
      </c>
      <c r="H57" s="596" t="s">
        <v>963</v>
      </c>
      <c r="I57" s="596" t="s">
        <v>1440</v>
      </c>
      <c r="J57" s="286"/>
      <c r="K57" s="286">
        <v>0.01</v>
      </c>
      <c r="L57" s="302"/>
      <c r="M57" s="590"/>
      <c r="N57" s="302"/>
      <c r="O57" s="480"/>
      <c r="P57" s="480"/>
      <c r="Q57" s="480"/>
      <c r="R57" s="480"/>
      <c r="S57" s="480"/>
      <c r="T57" s="480"/>
      <c r="U57" s="480"/>
      <c r="V57" s="638"/>
    </row>
    <row r="58" spans="1:22" ht="15" customHeight="1" x14ac:dyDescent="0.25">
      <c r="A58" s="567"/>
      <c r="B58" s="564"/>
      <c r="C58" s="553"/>
      <c r="D58" s="553"/>
      <c r="E58" s="553"/>
      <c r="F58" s="553"/>
      <c r="G58" s="1163" t="s">
        <v>1645</v>
      </c>
      <c r="H58" s="1163"/>
      <c r="I58" s="1163"/>
      <c r="J58" s="1163"/>
      <c r="K58" s="1163"/>
      <c r="L58" s="1163"/>
      <c r="M58" s="1163"/>
      <c r="N58" s="1163"/>
      <c r="O58" s="480"/>
      <c r="P58" s="480"/>
      <c r="Q58" s="480"/>
      <c r="R58" s="480"/>
      <c r="S58" s="480"/>
      <c r="T58" s="480"/>
      <c r="U58" s="480"/>
      <c r="V58" s="638"/>
    </row>
    <row r="59" spans="1:22" ht="15" customHeight="1" x14ac:dyDescent="0.25">
      <c r="A59" s="567"/>
      <c r="B59" s="564"/>
      <c r="C59" s="553"/>
      <c r="D59" s="553"/>
      <c r="E59" s="553"/>
      <c r="F59" s="553"/>
      <c r="G59" s="596" t="s">
        <v>1703</v>
      </c>
      <c r="H59" s="596" t="s">
        <v>1728</v>
      </c>
      <c r="I59" s="596" t="s">
        <v>1898</v>
      </c>
      <c r="J59" s="286"/>
      <c r="K59" s="286">
        <v>0.3</v>
      </c>
      <c r="L59" s="302"/>
      <c r="M59" s="590"/>
      <c r="N59" s="302"/>
      <c r="O59" s="480"/>
      <c r="P59" s="480"/>
      <c r="Q59" s="480"/>
      <c r="R59" s="480"/>
      <c r="S59" s="480"/>
      <c r="T59" s="480"/>
      <c r="U59" s="480"/>
      <c r="V59" s="638"/>
    </row>
    <row r="60" spans="1:22" ht="15" customHeight="1" x14ac:dyDescent="0.25">
      <c r="A60" s="567"/>
      <c r="B60" s="564"/>
      <c r="C60" s="553"/>
      <c r="D60" s="553"/>
      <c r="E60" s="553"/>
      <c r="F60" s="553"/>
      <c r="G60" s="627" t="s">
        <v>2013</v>
      </c>
      <c r="H60" s="627" t="s">
        <v>2014</v>
      </c>
      <c r="I60" s="596" t="s">
        <v>1854</v>
      </c>
      <c r="J60" s="286"/>
      <c r="K60" s="628">
        <v>1.1120000000000001</v>
      </c>
      <c r="L60" s="302"/>
      <c r="M60" s="590"/>
      <c r="N60" s="302"/>
      <c r="O60" s="480"/>
      <c r="P60" s="480"/>
      <c r="Q60" s="480"/>
      <c r="R60" s="480"/>
      <c r="S60" s="480"/>
      <c r="T60" s="480"/>
      <c r="U60" s="480"/>
      <c r="V60" s="638"/>
    </row>
    <row r="61" spans="1:22" ht="15" customHeight="1" x14ac:dyDescent="0.25">
      <c r="A61" s="567"/>
      <c r="B61" s="564"/>
      <c r="C61" s="553"/>
      <c r="D61" s="553"/>
      <c r="E61" s="553"/>
      <c r="F61" s="553"/>
      <c r="G61" s="1163" t="s">
        <v>14933</v>
      </c>
      <c r="H61" s="1163"/>
      <c r="I61" s="1163"/>
      <c r="J61" s="1163"/>
      <c r="K61" s="1163"/>
      <c r="L61" s="1163"/>
      <c r="M61" s="1163"/>
      <c r="N61" s="1163"/>
      <c r="O61" s="480"/>
      <c r="P61" s="480"/>
      <c r="Q61" s="480"/>
      <c r="R61" s="480"/>
      <c r="S61" s="480"/>
      <c r="T61" s="480"/>
      <c r="U61" s="480"/>
      <c r="V61" s="638"/>
    </row>
    <row r="62" spans="1:22" ht="15" customHeight="1" x14ac:dyDescent="0.25">
      <c r="A62" s="567"/>
      <c r="B62" s="564"/>
      <c r="C62" s="553"/>
      <c r="D62" s="553"/>
      <c r="E62" s="553"/>
      <c r="F62" s="553"/>
      <c r="G62" s="1164" t="s">
        <v>2262</v>
      </c>
      <c r="H62" s="1164"/>
      <c r="I62" s="1164"/>
      <c r="J62" s="1165">
        <f>1.65*0.9</f>
        <v>1.4849999999999999</v>
      </c>
      <c r="K62" s="1166"/>
      <c r="L62" s="302"/>
      <c r="M62" s="590"/>
      <c r="N62" s="302"/>
      <c r="O62" s="480"/>
      <c r="P62" s="480"/>
      <c r="Q62" s="480"/>
      <c r="R62" s="480"/>
      <c r="S62" s="480"/>
      <c r="T62" s="480"/>
      <c r="U62" s="480"/>
      <c r="V62" s="638"/>
    </row>
    <row r="63" spans="1:22" ht="15" customHeight="1" x14ac:dyDescent="0.25">
      <c r="A63" s="567"/>
      <c r="B63" s="564"/>
      <c r="C63" s="553"/>
      <c r="D63" s="553"/>
      <c r="E63" s="553"/>
      <c r="F63" s="553"/>
      <c r="G63" s="590" t="s">
        <v>17588</v>
      </c>
      <c r="H63" s="590" t="s">
        <v>17589</v>
      </c>
      <c r="I63" s="590" t="s">
        <v>17590</v>
      </c>
      <c r="J63" s="302"/>
      <c r="K63" s="302">
        <f>0.1*0.9</f>
        <v>9.0000000000000011E-2</v>
      </c>
      <c r="L63" s="302"/>
      <c r="M63" s="590"/>
      <c r="N63" s="302"/>
      <c r="O63" s="480"/>
      <c r="P63" s="480"/>
      <c r="Q63" s="480"/>
      <c r="R63" s="480"/>
      <c r="S63" s="480"/>
      <c r="T63" s="480"/>
      <c r="U63" s="480"/>
      <c r="V63" s="638"/>
    </row>
    <row r="64" spans="1:22" ht="15" customHeight="1" x14ac:dyDescent="0.25">
      <c r="A64" s="567"/>
      <c r="B64" s="564"/>
      <c r="C64" s="553"/>
      <c r="D64" s="553"/>
      <c r="E64" s="553"/>
      <c r="F64" s="553"/>
      <c r="G64" s="590" t="s">
        <v>17598</v>
      </c>
      <c r="H64" s="590" t="s">
        <v>17599</v>
      </c>
      <c r="I64" s="590" t="s">
        <v>17600</v>
      </c>
      <c r="J64" s="302"/>
      <c r="K64" s="302">
        <f>0.09*0.15</f>
        <v>1.35E-2</v>
      </c>
      <c r="L64" s="302"/>
      <c r="M64" s="590"/>
      <c r="N64" s="302"/>
      <c r="O64" s="480"/>
      <c r="P64" s="480"/>
      <c r="Q64" s="480"/>
      <c r="R64" s="480"/>
      <c r="S64" s="480"/>
      <c r="T64" s="480"/>
      <c r="U64" s="480"/>
      <c r="V64" s="638"/>
    </row>
    <row r="65" spans="1:22" ht="15" customHeight="1" x14ac:dyDescent="0.25">
      <c r="A65" s="567"/>
      <c r="B65" s="564"/>
      <c r="C65" s="553"/>
      <c r="D65" s="553"/>
      <c r="E65" s="553"/>
      <c r="F65" s="553"/>
      <c r="G65" s="1163" t="s">
        <v>18518</v>
      </c>
      <c r="H65" s="1163"/>
      <c r="I65" s="1163"/>
      <c r="J65" s="1163"/>
      <c r="K65" s="1163"/>
      <c r="L65" s="1163"/>
      <c r="M65" s="1163"/>
      <c r="N65" s="1163"/>
      <c r="O65" s="483"/>
      <c r="P65" s="483"/>
      <c r="Q65" s="483"/>
      <c r="R65" s="483"/>
      <c r="S65" s="483"/>
      <c r="T65" s="483"/>
      <c r="U65" s="483"/>
      <c r="V65" s="639"/>
    </row>
    <row r="66" spans="1:22" ht="15" customHeight="1" x14ac:dyDescent="0.25">
      <c r="A66" s="567"/>
      <c r="B66" s="564"/>
      <c r="C66" s="553"/>
      <c r="D66" s="553"/>
      <c r="E66" s="553"/>
      <c r="F66" s="553"/>
      <c r="G66" s="290" t="s">
        <v>18864</v>
      </c>
      <c r="H66" s="290" t="s">
        <v>18865</v>
      </c>
      <c r="I66" s="290" t="s">
        <v>18866</v>
      </c>
      <c r="J66" s="307"/>
      <c r="K66" s="307">
        <f>0.3*0.9</f>
        <v>0.27</v>
      </c>
      <c r="L66" s="307"/>
      <c r="M66" s="290"/>
      <c r="N66" s="307"/>
      <c r="O66" s="483"/>
      <c r="P66" s="483"/>
      <c r="Q66" s="483"/>
      <c r="R66" s="483"/>
      <c r="S66" s="483"/>
      <c r="T66" s="483"/>
      <c r="U66" s="483"/>
      <c r="V66" s="639"/>
    </row>
    <row r="67" spans="1:22" ht="15" customHeight="1" x14ac:dyDescent="0.25">
      <c r="A67" s="567"/>
      <c r="B67" s="564"/>
      <c r="C67" s="553"/>
      <c r="D67" s="553"/>
      <c r="E67" s="553"/>
      <c r="F67" s="553"/>
      <c r="G67" s="290" t="s">
        <v>18873</v>
      </c>
      <c r="H67" s="290" t="s">
        <v>18874</v>
      </c>
      <c r="I67" s="290" t="s">
        <v>18952</v>
      </c>
      <c r="J67" s="307"/>
      <c r="K67" s="307">
        <f>0.04*0.9</f>
        <v>3.6000000000000004E-2</v>
      </c>
      <c r="L67" s="307"/>
      <c r="M67" s="290"/>
      <c r="N67" s="307"/>
      <c r="O67" s="483"/>
      <c r="P67" s="483"/>
      <c r="Q67" s="483"/>
      <c r="R67" s="483"/>
      <c r="S67" s="483"/>
      <c r="T67" s="483"/>
      <c r="U67" s="483"/>
      <c r="V67" s="639"/>
    </row>
    <row r="68" spans="1:22" ht="15" customHeight="1" x14ac:dyDescent="0.25">
      <c r="A68" s="567"/>
      <c r="B68" s="564"/>
      <c r="C68" s="553"/>
      <c r="D68" s="553"/>
      <c r="E68" s="553"/>
      <c r="F68" s="553"/>
      <c r="G68" s="1164" t="s">
        <v>2262</v>
      </c>
      <c r="H68" s="1164"/>
      <c r="I68" s="1164"/>
      <c r="J68" s="1165">
        <f>3.172*0.9*0.6</f>
        <v>1.71288</v>
      </c>
      <c r="K68" s="1166"/>
      <c r="L68" s="307"/>
      <c r="M68" s="290"/>
      <c r="N68" s="307"/>
      <c r="O68" s="483"/>
      <c r="P68" s="483"/>
      <c r="Q68" s="483"/>
      <c r="R68" s="483"/>
      <c r="S68" s="483"/>
      <c r="T68" s="483"/>
      <c r="U68" s="483"/>
      <c r="V68" s="639"/>
    </row>
    <row r="69" spans="1:22" ht="15" customHeight="1" thickBot="1" x14ac:dyDescent="0.3">
      <c r="A69" s="242"/>
      <c r="B69" s="243"/>
      <c r="C69" s="244"/>
      <c r="D69" s="244"/>
      <c r="E69" s="244"/>
      <c r="F69" s="244"/>
      <c r="G69" s="1066" t="s">
        <v>1199</v>
      </c>
      <c r="H69" s="1066"/>
      <c r="I69" s="1066"/>
      <c r="J69" s="630"/>
      <c r="K69" s="456">
        <f>SUM(J62:K68)</f>
        <v>3.60738</v>
      </c>
      <c r="L69" s="631"/>
      <c r="M69" s="632">
        <v>0.92</v>
      </c>
      <c r="N69" s="456">
        <f>K69/M69</f>
        <v>3.9210652173913041</v>
      </c>
      <c r="O69" s="1066" t="s">
        <v>1199</v>
      </c>
      <c r="P69" s="1066"/>
      <c r="Q69" s="1066"/>
      <c r="R69" s="554"/>
      <c r="S69" s="456">
        <f>SUM(S49:S52)</f>
        <v>8.0000000000000016E-2</v>
      </c>
      <c r="T69" s="631"/>
      <c r="U69" s="554">
        <v>0.92</v>
      </c>
      <c r="V69" s="633">
        <f>S69/U69</f>
        <v>8.6956521739130446E-2</v>
      </c>
    </row>
    <row r="70" spans="1:22" ht="15" customHeight="1" x14ac:dyDescent="0.25">
      <c r="A70" s="566" t="str">
        <f>Итоговая!C290</f>
        <v>ПС  35/6 кВ №16</v>
      </c>
      <c r="B70" s="563">
        <f>Итоговая!D290</f>
        <v>1</v>
      </c>
      <c r="C70" s="552"/>
      <c r="D70" s="552"/>
      <c r="E70" s="552"/>
      <c r="F70" s="552"/>
      <c r="G70" s="1168" t="s">
        <v>1645</v>
      </c>
      <c r="H70" s="1168"/>
      <c r="I70" s="1168"/>
      <c r="J70" s="1168"/>
      <c r="K70" s="1168"/>
      <c r="L70" s="1168"/>
      <c r="M70" s="1168"/>
      <c r="N70" s="1168"/>
      <c r="O70" s="427"/>
      <c r="P70" s="427"/>
      <c r="Q70" s="427"/>
      <c r="R70" s="427"/>
      <c r="S70" s="459"/>
      <c r="T70" s="460"/>
      <c r="U70" s="427"/>
      <c r="V70" s="634"/>
    </row>
    <row r="71" spans="1:22" ht="15" customHeight="1" x14ac:dyDescent="0.25">
      <c r="A71" s="567"/>
      <c r="B71" s="564"/>
      <c r="C71" s="553"/>
      <c r="D71" s="553"/>
      <c r="E71" s="553"/>
      <c r="F71" s="553"/>
      <c r="G71" s="596" t="s">
        <v>1814</v>
      </c>
      <c r="H71" s="596" t="s">
        <v>1954</v>
      </c>
      <c r="I71" s="596" t="s">
        <v>1988</v>
      </c>
      <c r="J71" s="286"/>
      <c r="K71" s="286">
        <v>0.52</v>
      </c>
      <c r="L71" s="302"/>
      <c r="M71" s="590"/>
      <c r="N71" s="302"/>
      <c r="O71" s="596"/>
      <c r="P71" s="596"/>
      <c r="Q71" s="596"/>
      <c r="R71" s="596"/>
      <c r="S71" s="286"/>
      <c r="T71" s="302"/>
      <c r="U71" s="596"/>
      <c r="V71" s="303"/>
    </row>
    <row r="72" spans="1:22" ht="15" customHeight="1" x14ac:dyDescent="0.25">
      <c r="A72" s="567"/>
      <c r="B72" s="564"/>
      <c r="C72" s="553"/>
      <c r="D72" s="553"/>
      <c r="E72" s="553"/>
      <c r="F72" s="553"/>
      <c r="G72" s="1163" t="s">
        <v>14933</v>
      </c>
      <c r="H72" s="1163"/>
      <c r="I72" s="1163"/>
      <c r="J72" s="1163"/>
      <c r="K72" s="1163"/>
      <c r="L72" s="1163"/>
      <c r="M72" s="1163"/>
      <c r="N72" s="1163"/>
      <c r="O72" s="596"/>
      <c r="P72" s="596"/>
      <c r="Q72" s="596"/>
      <c r="R72" s="596"/>
      <c r="S72" s="286"/>
      <c r="T72" s="302"/>
      <c r="U72" s="596"/>
      <c r="V72" s="303"/>
    </row>
    <row r="73" spans="1:22" ht="15" customHeight="1" x14ac:dyDescent="0.25">
      <c r="A73" s="567"/>
      <c r="B73" s="564"/>
      <c r="C73" s="553"/>
      <c r="D73" s="553"/>
      <c r="E73" s="553"/>
      <c r="F73" s="553"/>
      <c r="G73" s="1164" t="s">
        <v>2262</v>
      </c>
      <c r="H73" s="1164"/>
      <c r="I73" s="1164"/>
      <c r="J73" s="1165">
        <f>0.192*0.9</f>
        <v>0.17280000000000001</v>
      </c>
      <c r="K73" s="1166"/>
      <c r="L73" s="302"/>
      <c r="M73" s="590"/>
      <c r="N73" s="302"/>
      <c r="O73" s="596"/>
      <c r="P73" s="596"/>
      <c r="Q73" s="596"/>
      <c r="R73" s="596"/>
      <c r="S73" s="286"/>
      <c r="T73" s="302"/>
      <c r="U73" s="596"/>
      <c r="V73" s="303"/>
    </row>
    <row r="74" spans="1:22" ht="15" customHeight="1" x14ac:dyDescent="0.25">
      <c r="A74" s="567"/>
      <c r="B74" s="564"/>
      <c r="C74" s="553"/>
      <c r="D74" s="553"/>
      <c r="E74" s="553"/>
      <c r="F74" s="553"/>
      <c r="G74" s="1163" t="s">
        <v>18518</v>
      </c>
      <c r="H74" s="1163"/>
      <c r="I74" s="1163"/>
      <c r="J74" s="1163"/>
      <c r="K74" s="1163"/>
      <c r="L74" s="1163"/>
      <c r="M74" s="1163"/>
      <c r="N74" s="1163"/>
      <c r="O74" s="600"/>
      <c r="P74" s="600"/>
      <c r="Q74" s="600"/>
      <c r="R74" s="600"/>
      <c r="S74" s="640"/>
      <c r="T74" s="307"/>
      <c r="U74" s="600"/>
      <c r="V74" s="305"/>
    </row>
    <row r="75" spans="1:22" ht="15" customHeight="1" x14ac:dyDescent="0.25">
      <c r="A75" s="567"/>
      <c r="B75" s="564"/>
      <c r="C75" s="553"/>
      <c r="D75" s="553"/>
      <c r="E75" s="553"/>
      <c r="F75" s="553"/>
      <c r="G75" s="290" t="s">
        <v>19257</v>
      </c>
      <c r="H75" s="290" t="s">
        <v>19258</v>
      </c>
      <c r="I75" s="290" t="s">
        <v>19259</v>
      </c>
      <c r="J75" s="307">
        <f>0.045*0.85</f>
        <v>3.8249999999999999E-2</v>
      </c>
      <c r="K75" s="307"/>
      <c r="L75" s="307"/>
      <c r="M75" s="290"/>
      <c r="N75" s="307"/>
      <c r="O75" s="600"/>
      <c r="P75" s="600"/>
      <c r="Q75" s="600"/>
      <c r="R75" s="600"/>
      <c r="S75" s="640"/>
      <c r="T75" s="307"/>
      <c r="U75" s="600"/>
      <c r="V75" s="305"/>
    </row>
    <row r="76" spans="1:22" ht="15" customHeight="1" x14ac:dyDescent="0.25">
      <c r="A76" s="567"/>
      <c r="B76" s="564"/>
      <c r="C76" s="553"/>
      <c r="D76" s="553"/>
      <c r="E76" s="553"/>
      <c r="F76" s="553"/>
      <c r="G76" s="1164" t="s">
        <v>2262</v>
      </c>
      <c r="H76" s="1164"/>
      <c r="I76" s="1164"/>
      <c r="J76" s="1165">
        <f>0.043*0.9*0.6</f>
        <v>2.3219999999999998E-2</v>
      </c>
      <c r="K76" s="1166"/>
      <c r="L76" s="307"/>
      <c r="M76" s="290"/>
      <c r="N76" s="307"/>
      <c r="O76" s="600"/>
      <c r="P76" s="600"/>
      <c r="Q76" s="600"/>
      <c r="R76" s="600"/>
      <c r="S76" s="640"/>
      <c r="T76" s="307"/>
      <c r="U76" s="600"/>
      <c r="V76" s="305"/>
    </row>
    <row r="77" spans="1:22" ht="15" customHeight="1" thickBot="1" x14ac:dyDescent="0.3">
      <c r="A77" s="242"/>
      <c r="B77" s="243"/>
      <c r="C77" s="244"/>
      <c r="D77" s="244"/>
      <c r="E77" s="244"/>
      <c r="F77" s="244"/>
      <c r="G77" s="1066" t="s">
        <v>1199</v>
      </c>
      <c r="H77" s="1066"/>
      <c r="I77" s="1066"/>
      <c r="J77" s="630"/>
      <c r="K77" s="456">
        <f>SUM(J73:L75)</f>
        <v>0.21105000000000002</v>
      </c>
      <c r="L77" s="631"/>
      <c r="M77" s="632">
        <v>0.92</v>
      </c>
      <c r="N77" s="456">
        <f>K77/M77</f>
        <v>0.22940217391304349</v>
      </c>
      <c r="O77" s="1066" t="s">
        <v>1199</v>
      </c>
      <c r="P77" s="1066"/>
      <c r="Q77" s="1066"/>
      <c r="R77" s="554"/>
      <c r="S77" s="456">
        <f>SUM(S70:S70)</f>
        <v>0</v>
      </c>
      <c r="T77" s="631"/>
      <c r="U77" s="554">
        <v>0.92</v>
      </c>
      <c r="V77" s="633">
        <f>S77/U77</f>
        <v>0</v>
      </c>
    </row>
    <row r="78" spans="1:22" ht="15" customHeight="1" x14ac:dyDescent="0.25">
      <c r="A78" s="566" t="str">
        <f>Итоговая!C291</f>
        <v>ПС  35/10 кВ №16</v>
      </c>
      <c r="B78" s="563">
        <f>Итоговая!D291</f>
        <v>2.5</v>
      </c>
      <c r="C78" s="552"/>
      <c r="D78" s="552"/>
      <c r="E78" s="552"/>
      <c r="F78" s="552"/>
      <c r="G78" s="1168" t="s">
        <v>14933</v>
      </c>
      <c r="H78" s="1168"/>
      <c r="I78" s="1168"/>
      <c r="J78" s="1168"/>
      <c r="K78" s="1168"/>
      <c r="L78" s="1168"/>
      <c r="M78" s="1168"/>
      <c r="N78" s="1168"/>
      <c r="O78" s="427" t="s">
        <v>1814</v>
      </c>
      <c r="P78" s="427"/>
      <c r="Q78" s="427"/>
      <c r="R78" s="427"/>
      <c r="S78" s="459"/>
      <c r="T78" s="460"/>
      <c r="U78" s="427"/>
      <c r="V78" s="634"/>
    </row>
    <row r="79" spans="1:22" ht="15" customHeight="1" x14ac:dyDescent="0.25">
      <c r="A79" s="567"/>
      <c r="B79" s="564"/>
      <c r="C79" s="553"/>
      <c r="D79" s="553"/>
      <c r="E79" s="553"/>
      <c r="F79" s="553"/>
      <c r="G79" s="596" t="s">
        <v>17229</v>
      </c>
      <c r="H79" s="596" t="s">
        <v>17230</v>
      </c>
      <c r="I79" s="596" t="s">
        <v>17231</v>
      </c>
      <c r="J79" s="286"/>
      <c r="K79" s="286">
        <f>0.05*0.9</f>
        <v>4.5000000000000005E-2</v>
      </c>
      <c r="L79" s="302"/>
      <c r="M79" s="590"/>
      <c r="N79" s="302"/>
      <c r="O79" s="548"/>
      <c r="P79" s="548"/>
      <c r="Q79" s="548"/>
      <c r="R79" s="548"/>
      <c r="S79" s="286"/>
      <c r="T79" s="302"/>
      <c r="U79" s="596"/>
      <c r="V79" s="303"/>
    </row>
    <row r="80" spans="1:22" ht="15" customHeight="1" x14ac:dyDescent="0.25">
      <c r="A80" s="567"/>
      <c r="B80" s="564"/>
      <c r="C80" s="553"/>
      <c r="D80" s="553"/>
      <c r="E80" s="553"/>
      <c r="F80" s="553"/>
      <c r="G80" s="1163" t="s">
        <v>18518</v>
      </c>
      <c r="H80" s="1163"/>
      <c r="I80" s="1163"/>
      <c r="J80" s="1163"/>
      <c r="K80" s="1163"/>
      <c r="L80" s="1163"/>
      <c r="M80" s="1163"/>
      <c r="N80" s="1163"/>
      <c r="O80" s="269"/>
      <c r="P80" s="269"/>
      <c r="Q80" s="269"/>
      <c r="R80" s="269"/>
      <c r="S80" s="640"/>
      <c r="T80" s="307"/>
      <c r="U80" s="600"/>
      <c r="V80" s="305"/>
    </row>
    <row r="81" spans="1:22" ht="15" customHeight="1" x14ac:dyDescent="0.25">
      <c r="A81" s="567"/>
      <c r="B81" s="564"/>
      <c r="C81" s="553"/>
      <c r="D81" s="553"/>
      <c r="E81" s="553"/>
      <c r="F81" s="553"/>
      <c r="G81" s="600" t="s">
        <v>13409</v>
      </c>
      <c r="H81" s="600" t="s">
        <v>18846</v>
      </c>
      <c r="I81" s="600" t="s">
        <v>18847</v>
      </c>
      <c r="J81" s="640"/>
      <c r="K81" s="640">
        <f>0.025*0.9</f>
        <v>2.2500000000000003E-2</v>
      </c>
      <c r="L81" s="307"/>
      <c r="M81" s="290"/>
      <c r="N81" s="307"/>
      <c r="O81" s="269"/>
      <c r="P81" s="269"/>
      <c r="Q81" s="269"/>
      <c r="R81" s="269"/>
      <c r="S81" s="640"/>
      <c r="T81" s="307"/>
      <c r="U81" s="600"/>
      <c r="V81" s="305"/>
    </row>
    <row r="82" spans="1:22" ht="15" customHeight="1" x14ac:dyDescent="0.25">
      <c r="A82" s="567"/>
      <c r="B82" s="564"/>
      <c r="C82" s="553"/>
      <c r="D82" s="553"/>
      <c r="E82" s="553"/>
      <c r="F82" s="553"/>
      <c r="G82" s="600" t="s">
        <v>13409</v>
      </c>
      <c r="H82" s="600" t="s">
        <v>18849</v>
      </c>
      <c r="I82" s="600" t="s">
        <v>18848</v>
      </c>
      <c r="J82" s="640"/>
      <c r="K82" s="640">
        <f>0.025*0.9</f>
        <v>2.2500000000000003E-2</v>
      </c>
      <c r="L82" s="307"/>
      <c r="M82" s="290"/>
      <c r="N82" s="307"/>
      <c r="O82" s="269"/>
      <c r="P82" s="269"/>
      <c r="Q82" s="269"/>
      <c r="R82" s="269"/>
      <c r="S82" s="640"/>
      <c r="T82" s="307"/>
      <c r="U82" s="600"/>
      <c r="V82" s="305"/>
    </row>
    <row r="83" spans="1:22" ht="15" customHeight="1" x14ac:dyDescent="0.25">
      <c r="A83" s="567"/>
      <c r="B83" s="564"/>
      <c r="C83" s="553"/>
      <c r="D83" s="553"/>
      <c r="E83" s="553"/>
      <c r="F83" s="553"/>
      <c r="G83" s="600" t="s">
        <v>19254</v>
      </c>
      <c r="H83" s="600" t="s">
        <v>19255</v>
      </c>
      <c r="I83" s="600" t="s">
        <v>19256</v>
      </c>
      <c r="J83" s="640"/>
      <c r="K83" s="640">
        <f>0.115*0.75</f>
        <v>8.6250000000000007E-2</v>
      </c>
      <c r="L83" s="307"/>
      <c r="M83" s="290"/>
      <c r="N83" s="307"/>
      <c r="O83" s="269"/>
      <c r="P83" s="269"/>
      <c r="Q83" s="269"/>
      <c r="R83" s="269"/>
      <c r="S83" s="640"/>
      <c r="T83" s="307"/>
      <c r="U83" s="600"/>
      <c r="V83" s="305"/>
    </row>
    <row r="84" spans="1:22" ht="15" customHeight="1" x14ac:dyDescent="0.25">
      <c r="A84" s="567"/>
      <c r="B84" s="564"/>
      <c r="C84" s="553"/>
      <c r="D84" s="553"/>
      <c r="E84" s="553"/>
      <c r="F84" s="553"/>
      <c r="G84" s="1164" t="s">
        <v>2262</v>
      </c>
      <c r="H84" s="1164"/>
      <c r="I84" s="1164"/>
      <c r="J84" s="1165">
        <f>0.339*0.9*0.6</f>
        <v>0.18306000000000003</v>
      </c>
      <c r="K84" s="1166"/>
      <c r="L84" s="307"/>
      <c r="M84" s="290"/>
      <c r="N84" s="307"/>
      <c r="O84" s="269"/>
      <c r="P84" s="269"/>
      <c r="Q84" s="269"/>
      <c r="R84" s="269"/>
      <c r="S84" s="640"/>
      <c r="T84" s="307"/>
      <c r="U84" s="600"/>
      <c r="V84" s="305"/>
    </row>
    <row r="85" spans="1:22" ht="15" customHeight="1" thickBot="1" x14ac:dyDescent="0.3">
      <c r="A85" s="242"/>
      <c r="B85" s="243"/>
      <c r="C85" s="244"/>
      <c r="D85" s="244"/>
      <c r="E85" s="244"/>
      <c r="F85" s="244"/>
      <c r="G85" s="1066" t="s">
        <v>1199</v>
      </c>
      <c r="H85" s="1066"/>
      <c r="I85" s="1066"/>
      <c r="J85" s="630"/>
      <c r="K85" s="456">
        <f>SUM(J79:K84)</f>
        <v>0.35931000000000002</v>
      </c>
      <c r="L85" s="631"/>
      <c r="M85" s="632">
        <v>0.92</v>
      </c>
      <c r="N85" s="456">
        <f>K85/M85</f>
        <v>0.39055434782608694</v>
      </c>
      <c r="O85" s="1066" t="s">
        <v>1199</v>
      </c>
      <c r="P85" s="1066"/>
      <c r="Q85" s="1066"/>
      <c r="R85" s="554"/>
      <c r="S85" s="456">
        <f>SUM(S78:S78)</f>
        <v>0</v>
      </c>
      <c r="T85" s="631"/>
      <c r="U85" s="554">
        <v>0.92</v>
      </c>
      <c r="V85" s="633">
        <f>S85/U85</f>
        <v>0</v>
      </c>
    </row>
    <row r="86" spans="1:22" ht="15" customHeight="1" x14ac:dyDescent="0.25">
      <c r="A86" s="566" t="str">
        <f>Итоговая!C292</f>
        <v xml:space="preserve">ПС 35/10 кВ Золотиха </v>
      </c>
      <c r="B86" s="563">
        <f>Итоговая!D292</f>
        <v>2.5</v>
      </c>
      <c r="C86" s="552"/>
      <c r="D86" s="552"/>
      <c r="E86" s="552"/>
      <c r="F86" s="552"/>
      <c r="G86" s="1168" t="s">
        <v>14933</v>
      </c>
      <c r="H86" s="1168"/>
      <c r="I86" s="1168"/>
      <c r="J86" s="1168"/>
      <c r="K86" s="1168"/>
      <c r="L86" s="1168"/>
      <c r="M86" s="1168"/>
      <c r="N86" s="1168"/>
      <c r="O86" s="427"/>
      <c r="P86" s="427"/>
      <c r="Q86" s="427"/>
      <c r="R86" s="427"/>
      <c r="S86" s="459"/>
      <c r="T86" s="460"/>
      <c r="U86" s="427"/>
      <c r="V86" s="634"/>
    </row>
    <row r="87" spans="1:22" ht="15" customHeight="1" x14ac:dyDescent="0.25">
      <c r="A87" s="567"/>
      <c r="B87" s="564"/>
      <c r="C87" s="553"/>
      <c r="D87" s="553"/>
      <c r="E87" s="553"/>
      <c r="F87" s="553"/>
      <c r="G87" s="596" t="s">
        <v>17371</v>
      </c>
      <c r="H87" s="596" t="s">
        <v>17372</v>
      </c>
      <c r="I87" s="596" t="s">
        <v>17373</v>
      </c>
      <c r="J87" s="286"/>
      <c r="K87" s="286">
        <f>0.07*0.9</f>
        <v>6.3000000000000014E-2</v>
      </c>
      <c r="L87" s="302"/>
      <c r="M87" s="590"/>
      <c r="N87" s="302"/>
      <c r="O87" s="596"/>
      <c r="P87" s="596"/>
      <c r="Q87" s="596"/>
      <c r="R87" s="596"/>
      <c r="S87" s="286"/>
      <c r="T87" s="302"/>
      <c r="U87" s="596"/>
      <c r="V87" s="303"/>
    </row>
    <row r="88" spans="1:22" ht="15" customHeight="1" x14ac:dyDescent="0.25">
      <c r="A88" s="567"/>
      <c r="B88" s="564"/>
      <c r="C88" s="553"/>
      <c r="D88" s="553"/>
      <c r="E88" s="553"/>
      <c r="F88" s="553"/>
      <c r="G88" s="1163" t="s">
        <v>18518</v>
      </c>
      <c r="H88" s="1163"/>
      <c r="I88" s="1163"/>
      <c r="J88" s="1163"/>
      <c r="K88" s="1163"/>
      <c r="L88" s="1163"/>
      <c r="M88" s="1163"/>
      <c r="N88" s="1163"/>
      <c r="O88" s="600"/>
      <c r="P88" s="600"/>
      <c r="Q88" s="600"/>
      <c r="R88" s="600"/>
      <c r="S88" s="640"/>
      <c r="T88" s="307"/>
      <c r="U88" s="600"/>
      <c r="V88" s="305"/>
    </row>
    <row r="89" spans="1:22" ht="15" customHeight="1" x14ac:dyDescent="0.25">
      <c r="A89" s="567"/>
      <c r="B89" s="564"/>
      <c r="C89" s="553"/>
      <c r="D89" s="553"/>
      <c r="E89" s="553"/>
      <c r="F89" s="553"/>
      <c r="G89" s="1164" t="s">
        <v>2262</v>
      </c>
      <c r="H89" s="1164"/>
      <c r="I89" s="1164"/>
      <c r="J89" s="1165">
        <f>0.045*0.9*0.6</f>
        <v>2.4299999999999999E-2</v>
      </c>
      <c r="K89" s="1166"/>
      <c r="L89" s="307"/>
      <c r="M89" s="290"/>
      <c r="N89" s="307"/>
      <c r="O89" s="600"/>
      <c r="P89" s="600"/>
      <c r="Q89" s="600"/>
      <c r="R89" s="600"/>
      <c r="S89" s="640"/>
      <c r="T89" s="307"/>
      <c r="U89" s="600"/>
      <c r="V89" s="305"/>
    </row>
    <row r="90" spans="1:22" ht="15" customHeight="1" thickBot="1" x14ac:dyDescent="0.3">
      <c r="A90" s="242"/>
      <c r="B90" s="243"/>
      <c r="C90" s="244"/>
      <c r="D90" s="244"/>
      <c r="E90" s="244"/>
      <c r="F90" s="244"/>
      <c r="G90" s="1066" t="s">
        <v>1199</v>
      </c>
      <c r="H90" s="1066"/>
      <c r="I90" s="1066"/>
      <c r="J90" s="630"/>
      <c r="K90" s="456">
        <f>SUM(K87:K89)</f>
        <v>6.3000000000000014E-2</v>
      </c>
      <c r="L90" s="631"/>
      <c r="M90" s="632">
        <v>0.92</v>
      </c>
      <c r="N90" s="456">
        <f>K90/M90</f>
        <v>6.8478260869565225E-2</v>
      </c>
      <c r="O90" s="1066" t="s">
        <v>1199</v>
      </c>
      <c r="P90" s="1066"/>
      <c r="Q90" s="1066"/>
      <c r="R90" s="554"/>
      <c r="S90" s="456">
        <f>SUM(S86:S86)</f>
        <v>0</v>
      </c>
      <c r="T90" s="631"/>
      <c r="U90" s="554">
        <v>0.92</v>
      </c>
      <c r="V90" s="633">
        <f>S90/U90</f>
        <v>0</v>
      </c>
    </row>
    <row r="91" spans="1:22" ht="15" customHeight="1" x14ac:dyDescent="0.25">
      <c r="A91" s="566" t="str">
        <f>Итоговая!C293</f>
        <v>ПС  35/10 кВ Новый Стан</v>
      </c>
      <c r="B91" s="563">
        <f>Итоговая!D293</f>
        <v>2.5</v>
      </c>
      <c r="C91" s="552"/>
      <c r="D91" s="552"/>
      <c r="E91" s="552"/>
      <c r="F91" s="552"/>
      <c r="G91" s="1163" t="s">
        <v>18518</v>
      </c>
      <c r="H91" s="1163"/>
      <c r="I91" s="1163"/>
      <c r="J91" s="1163"/>
      <c r="K91" s="1163"/>
      <c r="L91" s="1163"/>
      <c r="M91" s="1163"/>
      <c r="N91" s="1163"/>
      <c r="O91" s="427"/>
      <c r="P91" s="427"/>
      <c r="Q91" s="427"/>
      <c r="R91" s="427"/>
      <c r="S91" s="459"/>
      <c r="T91" s="460"/>
      <c r="U91" s="427"/>
      <c r="V91" s="634"/>
    </row>
    <row r="92" spans="1:22" ht="15" customHeight="1" x14ac:dyDescent="0.25">
      <c r="A92" s="567"/>
      <c r="B92" s="564"/>
      <c r="C92" s="553"/>
      <c r="D92" s="553"/>
      <c r="E92" s="553"/>
      <c r="F92" s="553"/>
      <c r="G92" s="1164" t="s">
        <v>2262</v>
      </c>
      <c r="H92" s="1164"/>
      <c r="I92" s="1164"/>
      <c r="J92" s="1165">
        <f>0.013*0.9</f>
        <v>1.17E-2</v>
      </c>
      <c r="K92" s="1166"/>
      <c r="L92" s="307"/>
      <c r="M92" s="290"/>
      <c r="N92" s="307"/>
      <c r="O92" s="601"/>
      <c r="P92" s="601"/>
      <c r="Q92" s="601"/>
      <c r="R92" s="601"/>
      <c r="S92" s="641"/>
      <c r="T92" s="642"/>
      <c r="U92" s="601"/>
      <c r="V92" s="643"/>
    </row>
    <row r="93" spans="1:22" ht="15" customHeight="1" thickBot="1" x14ac:dyDescent="0.3">
      <c r="A93" s="242"/>
      <c r="B93" s="243"/>
      <c r="C93" s="244"/>
      <c r="D93" s="244"/>
      <c r="E93" s="244"/>
      <c r="F93" s="244"/>
      <c r="G93" s="1066" t="s">
        <v>1199</v>
      </c>
      <c r="H93" s="1066"/>
      <c r="I93" s="1066"/>
      <c r="J93" s="630"/>
      <c r="K93" s="456">
        <f>SUM(J92)</f>
        <v>1.17E-2</v>
      </c>
      <c r="L93" s="631"/>
      <c r="M93" s="632">
        <v>0.92</v>
      </c>
      <c r="N93" s="456">
        <f>K93/M93</f>
        <v>1.2717391304347826E-2</v>
      </c>
      <c r="O93" s="1066" t="s">
        <v>1199</v>
      </c>
      <c r="P93" s="1066"/>
      <c r="Q93" s="1066"/>
      <c r="R93" s="554"/>
      <c r="S93" s="456">
        <f>SUM(S91:S91)</f>
        <v>0</v>
      </c>
      <c r="T93" s="631"/>
      <c r="U93" s="554">
        <v>0.92</v>
      </c>
      <c r="V93" s="633">
        <f>S93/U93</f>
        <v>0</v>
      </c>
    </row>
    <row r="94" spans="1:22" ht="15" customHeight="1" x14ac:dyDescent="0.25">
      <c r="A94" s="566" t="str">
        <f>Итоговая!C294</f>
        <v>ПС  35/10 кВ Романово</v>
      </c>
      <c r="B94" s="563">
        <f>Итоговая!D294</f>
        <v>2.5</v>
      </c>
      <c r="C94" s="552"/>
      <c r="D94" s="552"/>
      <c r="E94" s="552"/>
      <c r="F94" s="552"/>
      <c r="G94" s="1168" t="s">
        <v>18518</v>
      </c>
      <c r="H94" s="1168"/>
      <c r="I94" s="1168"/>
      <c r="J94" s="1168"/>
      <c r="K94" s="1168"/>
      <c r="L94" s="1168"/>
      <c r="M94" s="1168"/>
      <c r="N94" s="1168"/>
      <c r="O94" s="1168" t="s">
        <v>18518</v>
      </c>
      <c r="P94" s="1168"/>
      <c r="Q94" s="1168"/>
      <c r="R94" s="1168"/>
      <c r="S94" s="1168"/>
      <c r="T94" s="1168"/>
      <c r="U94" s="1168"/>
      <c r="V94" s="1168"/>
    </row>
    <row r="95" spans="1:22" ht="15" customHeight="1" x14ac:dyDescent="0.25">
      <c r="A95" s="567"/>
      <c r="B95" s="564"/>
      <c r="C95" s="553"/>
      <c r="D95" s="553"/>
      <c r="E95" s="553"/>
      <c r="F95" s="553"/>
      <c r="G95" s="596" t="s">
        <v>18879</v>
      </c>
      <c r="H95" s="596" t="s">
        <v>18880</v>
      </c>
      <c r="I95" s="596" t="s">
        <v>18881</v>
      </c>
      <c r="J95" s="286">
        <f>(0.036-0.025)*0.9</f>
        <v>9.8999999999999973E-3</v>
      </c>
      <c r="K95" s="286"/>
      <c r="L95" s="302"/>
      <c r="M95" s="590"/>
      <c r="N95" s="302"/>
      <c r="O95" s="596" t="s">
        <v>19523</v>
      </c>
      <c r="P95" s="596" t="s">
        <v>19524</v>
      </c>
      <c r="Q95" s="596" t="s">
        <v>19525</v>
      </c>
      <c r="R95" s="596">
        <f>0.1*0.9</f>
        <v>9.0000000000000011E-2</v>
      </c>
      <c r="S95" s="286"/>
      <c r="T95" s="302"/>
      <c r="U95" s="596"/>
      <c r="V95" s="302"/>
    </row>
    <row r="96" spans="1:22" ht="15" customHeight="1" x14ac:dyDescent="0.25">
      <c r="A96" s="567"/>
      <c r="B96" s="564"/>
      <c r="C96" s="553"/>
      <c r="D96" s="553"/>
      <c r="E96" s="553"/>
      <c r="F96" s="553"/>
      <c r="G96" s="277" t="s">
        <v>2029</v>
      </c>
      <c r="H96" s="590" t="s">
        <v>19521</v>
      </c>
      <c r="I96" s="277" t="s">
        <v>19522</v>
      </c>
      <c r="J96" s="279">
        <f>0.5*0.15</f>
        <v>7.4999999999999997E-2</v>
      </c>
      <c r="K96" s="286"/>
      <c r="L96" s="302"/>
      <c r="M96" s="590"/>
      <c r="N96" s="302"/>
      <c r="O96" s="596"/>
      <c r="P96" s="596"/>
      <c r="Q96" s="596"/>
      <c r="R96" s="596"/>
      <c r="S96" s="286"/>
      <c r="T96" s="302"/>
      <c r="U96" s="596"/>
      <c r="V96" s="302"/>
    </row>
    <row r="97" spans="1:22" ht="15" customHeight="1" x14ac:dyDescent="0.25">
      <c r="A97" s="567"/>
      <c r="B97" s="564"/>
      <c r="C97" s="553"/>
      <c r="D97" s="553"/>
      <c r="E97" s="553"/>
      <c r="F97" s="553"/>
      <c r="G97" s="277" t="s">
        <v>18953</v>
      </c>
      <c r="H97" s="590" t="s">
        <v>19541</v>
      </c>
      <c r="I97" s="277" t="s">
        <v>19547</v>
      </c>
      <c r="J97" s="279">
        <f>0.47719*1</f>
        <v>0.47719</v>
      </c>
      <c r="K97" s="286"/>
      <c r="L97" s="302"/>
      <c r="M97" s="590"/>
      <c r="N97" s="302"/>
      <c r="O97" s="596"/>
      <c r="P97" s="596"/>
      <c r="Q97" s="596"/>
      <c r="R97" s="596"/>
      <c r="S97" s="286"/>
      <c r="T97" s="302"/>
      <c r="U97" s="596"/>
      <c r="V97" s="302"/>
    </row>
    <row r="98" spans="1:22" ht="15" customHeight="1" x14ac:dyDescent="0.25">
      <c r="A98" s="567"/>
      <c r="B98" s="564"/>
      <c r="C98" s="553"/>
      <c r="D98" s="553"/>
      <c r="E98" s="553"/>
      <c r="F98" s="553"/>
      <c r="G98" s="1164" t="s">
        <v>2262</v>
      </c>
      <c r="H98" s="1164"/>
      <c r="I98" s="1164"/>
      <c r="J98" s="1165">
        <f>0.205*0.9*0.6</f>
        <v>0.11069999999999999</v>
      </c>
      <c r="K98" s="1166"/>
      <c r="L98" s="302"/>
      <c r="M98" s="590"/>
      <c r="N98" s="302"/>
      <c r="O98" s="596"/>
      <c r="P98" s="596"/>
      <c r="Q98" s="596"/>
      <c r="R98" s="596"/>
      <c r="S98" s="286"/>
      <c r="T98" s="302"/>
      <c r="U98" s="596"/>
      <c r="V98" s="302"/>
    </row>
    <row r="99" spans="1:22" ht="15" customHeight="1" thickBot="1" x14ac:dyDescent="0.3">
      <c r="A99" s="242"/>
      <c r="B99" s="243"/>
      <c r="C99" s="244"/>
      <c r="D99" s="244"/>
      <c r="E99" s="244"/>
      <c r="F99" s="244"/>
      <c r="G99" s="1066" t="s">
        <v>1199</v>
      </c>
      <c r="H99" s="1066"/>
      <c r="I99" s="1066"/>
      <c r="J99" s="630"/>
      <c r="K99" s="456">
        <f>SUM(J95:K98)</f>
        <v>0.67279</v>
      </c>
      <c r="L99" s="631"/>
      <c r="M99" s="632">
        <v>0.92</v>
      </c>
      <c r="N99" s="456">
        <f>K99/M99</f>
        <v>0.73129347826086954</v>
      </c>
      <c r="O99" s="1066" t="s">
        <v>1199</v>
      </c>
      <c r="P99" s="1066"/>
      <c r="Q99" s="1066"/>
      <c r="R99" s="554"/>
      <c r="S99" s="456">
        <f>SUM(R95:S98)</f>
        <v>9.0000000000000011E-2</v>
      </c>
      <c r="T99" s="631"/>
      <c r="U99" s="554">
        <v>0.92</v>
      </c>
      <c r="V99" s="633">
        <f>S99/U99</f>
        <v>9.7826086956521743E-2</v>
      </c>
    </row>
    <row r="100" spans="1:22" ht="15" customHeight="1" x14ac:dyDescent="0.25">
      <c r="A100" s="566" t="str">
        <f>Итоговая!C295</f>
        <v xml:space="preserve">ПС 35/10 кВ Первитино </v>
      </c>
      <c r="B100" s="563">
        <f>Итоговая!D295</f>
        <v>1.6</v>
      </c>
      <c r="C100" s="552"/>
      <c r="D100" s="552"/>
      <c r="E100" s="552"/>
      <c r="F100" s="552"/>
      <c r="G100" s="1163" t="s">
        <v>18518</v>
      </c>
      <c r="H100" s="1163"/>
      <c r="I100" s="1163"/>
      <c r="J100" s="1163"/>
      <c r="K100" s="1163"/>
      <c r="L100" s="1163"/>
      <c r="M100" s="1163"/>
      <c r="N100" s="1163"/>
      <c r="O100" s="427"/>
      <c r="P100" s="427"/>
      <c r="Q100" s="427"/>
      <c r="R100" s="427"/>
      <c r="S100" s="459"/>
      <c r="T100" s="460"/>
      <c r="U100" s="427"/>
      <c r="V100" s="634"/>
    </row>
    <row r="101" spans="1:22" ht="15" customHeight="1" x14ac:dyDescent="0.25">
      <c r="A101" s="567"/>
      <c r="B101" s="564"/>
      <c r="C101" s="553"/>
      <c r="D101" s="553"/>
      <c r="E101" s="553"/>
      <c r="F101" s="553"/>
      <c r="G101" s="1164" t="s">
        <v>2262</v>
      </c>
      <c r="H101" s="1164"/>
      <c r="I101" s="1164"/>
      <c r="J101" s="1165">
        <f>0.149*0.9*0.6</f>
        <v>8.045999999999999E-2</v>
      </c>
      <c r="K101" s="1166"/>
      <c r="L101" s="307"/>
      <c r="M101" s="290"/>
      <c r="N101" s="307"/>
      <c r="O101" s="601"/>
      <c r="P101" s="601"/>
      <c r="Q101" s="601"/>
      <c r="R101" s="601"/>
      <c r="S101" s="641"/>
      <c r="T101" s="642"/>
      <c r="U101" s="601"/>
      <c r="V101" s="643"/>
    </row>
    <row r="102" spans="1:22" ht="15" customHeight="1" thickBot="1" x14ac:dyDescent="0.3">
      <c r="A102" s="242"/>
      <c r="B102" s="243"/>
      <c r="C102" s="244"/>
      <c r="D102" s="244"/>
      <c r="E102" s="244"/>
      <c r="F102" s="244"/>
      <c r="G102" s="1066" t="s">
        <v>1199</v>
      </c>
      <c r="H102" s="1066"/>
      <c r="I102" s="1066"/>
      <c r="J102" s="630"/>
      <c r="K102" s="456">
        <f>SUM(J101)</f>
        <v>8.045999999999999E-2</v>
      </c>
      <c r="L102" s="631"/>
      <c r="M102" s="632">
        <v>0.92</v>
      </c>
      <c r="N102" s="456">
        <f>K102/M102</f>
        <v>8.7456521739130419E-2</v>
      </c>
      <c r="O102" s="1066" t="s">
        <v>1199</v>
      </c>
      <c r="P102" s="1066"/>
      <c r="Q102" s="1066"/>
      <c r="R102" s="554"/>
      <c r="S102" s="456">
        <f>SUM(S100:S100)</f>
        <v>0</v>
      </c>
      <c r="T102" s="631"/>
      <c r="U102" s="554">
        <v>0.92</v>
      </c>
      <c r="V102" s="633">
        <f>S102/U102</f>
        <v>0</v>
      </c>
    </row>
    <row r="103" spans="1:22" ht="15" customHeight="1" x14ac:dyDescent="0.25">
      <c r="A103" s="566" t="str">
        <f>Итоговая!C296</f>
        <v xml:space="preserve">ПС 35/10 кВ № 8  </v>
      </c>
      <c r="B103" s="563">
        <f>Итоговая!D296</f>
        <v>2.5</v>
      </c>
      <c r="C103" s="552"/>
      <c r="D103" s="552"/>
      <c r="E103" s="552"/>
      <c r="F103" s="552"/>
      <c r="G103" s="1168" t="s">
        <v>18518</v>
      </c>
      <c r="H103" s="1168"/>
      <c r="I103" s="1168"/>
      <c r="J103" s="1168"/>
      <c r="K103" s="1168"/>
      <c r="L103" s="1168"/>
      <c r="M103" s="1168"/>
      <c r="N103" s="1168"/>
      <c r="O103" s="427"/>
      <c r="P103" s="427"/>
      <c r="Q103" s="427"/>
      <c r="R103" s="427"/>
      <c r="S103" s="459"/>
      <c r="T103" s="460"/>
      <c r="U103" s="427"/>
      <c r="V103" s="634"/>
    </row>
    <row r="104" spans="1:22" ht="15" customHeight="1" x14ac:dyDescent="0.25">
      <c r="A104" s="567"/>
      <c r="B104" s="564"/>
      <c r="C104" s="553"/>
      <c r="D104" s="553"/>
      <c r="E104" s="553"/>
      <c r="F104" s="553"/>
      <c r="G104" s="1164" t="s">
        <v>2262</v>
      </c>
      <c r="H104" s="1164"/>
      <c r="I104" s="1164"/>
      <c r="J104" s="1165">
        <f>0.027*0.9*0.6</f>
        <v>1.4579999999999999E-2</v>
      </c>
      <c r="K104" s="1166"/>
      <c r="L104" s="302"/>
      <c r="M104" s="590"/>
      <c r="N104" s="302"/>
      <c r="O104" s="596"/>
      <c r="P104" s="596"/>
      <c r="Q104" s="596"/>
      <c r="R104" s="596"/>
      <c r="S104" s="286"/>
      <c r="T104" s="302"/>
      <c r="U104" s="596"/>
      <c r="V104" s="303"/>
    </row>
    <row r="105" spans="1:22" ht="15" customHeight="1" thickBot="1" x14ac:dyDescent="0.3">
      <c r="A105" s="242"/>
      <c r="B105" s="243"/>
      <c r="C105" s="244"/>
      <c r="D105" s="244"/>
      <c r="E105" s="244"/>
      <c r="F105" s="244"/>
      <c r="G105" s="1066" t="s">
        <v>1199</v>
      </c>
      <c r="H105" s="1066"/>
      <c r="I105" s="1066"/>
      <c r="J105" s="630"/>
      <c r="K105" s="456">
        <f>SUM(J104)</f>
        <v>1.4579999999999999E-2</v>
      </c>
      <c r="L105" s="631"/>
      <c r="M105" s="632">
        <v>0.92</v>
      </c>
      <c r="N105" s="456">
        <f>K105/M105</f>
        <v>1.5847826086956521E-2</v>
      </c>
      <c r="O105" s="1066" t="s">
        <v>1199</v>
      </c>
      <c r="P105" s="1066"/>
      <c r="Q105" s="1066"/>
      <c r="R105" s="554"/>
      <c r="S105" s="456">
        <f>SUM(S103:S103)</f>
        <v>0</v>
      </c>
      <c r="T105" s="631"/>
      <c r="U105" s="554">
        <v>0.92</v>
      </c>
      <c r="V105" s="633">
        <f>S105/U105</f>
        <v>0</v>
      </c>
    </row>
    <row r="106" spans="1:22" ht="15" customHeight="1" x14ac:dyDescent="0.25">
      <c r="A106" s="1092" t="str">
        <f>Итоговая!C297</f>
        <v xml:space="preserve">ПС 35/6 кВ Алексино </v>
      </c>
      <c r="B106" s="1072">
        <f>Итоговая!D297</f>
        <v>2.5</v>
      </c>
      <c r="C106" s="552"/>
      <c r="D106" s="552"/>
      <c r="E106" s="552"/>
      <c r="F106" s="552"/>
      <c r="G106" s="1168" t="s">
        <v>1287</v>
      </c>
      <c r="H106" s="1168"/>
      <c r="I106" s="1168"/>
      <c r="J106" s="1168"/>
      <c r="K106" s="1168"/>
      <c r="L106" s="1168"/>
      <c r="M106" s="1168"/>
      <c r="N106" s="1168"/>
      <c r="O106" s="1181"/>
      <c r="P106" s="1181"/>
      <c r="Q106" s="1181"/>
      <c r="R106" s="1181"/>
      <c r="S106" s="1181"/>
      <c r="T106" s="1181"/>
      <c r="U106" s="1181"/>
      <c r="V106" s="1182"/>
    </row>
    <row r="107" spans="1:22" ht="15" customHeight="1" x14ac:dyDescent="0.25">
      <c r="A107" s="1093"/>
      <c r="B107" s="1023"/>
      <c r="C107" s="553"/>
      <c r="D107" s="553"/>
      <c r="E107" s="553"/>
      <c r="F107" s="553"/>
      <c r="G107" s="596" t="s">
        <v>350</v>
      </c>
      <c r="H107" s="596" t="s">
        <v>351</v>
      </c>
      <c r="I107" s="596" t="s">
        <v>352</v>
      </c>
      <c r="J107" s="286"/>
      <c r="K107" s="286">
        <v>8.4000000000000005E-2</v>
      </c>
      <c r="L107" s="302"/>
      <c r="M107" s="590"/>
      <c r="N107" s="302"/>
      <c r="O107" s="590"/>
      <c r="P107" s="590"/>
      <c r="Q107" s="590"/>
      <c r="R107" s="590"/>
      <c r="S107" s="302"/>
      <c r="T107" s="302"/>
      <c r="U107" s="590"/>
      <c r="V107" s="303"/>
    </row>
    <row r="108" spans="1:22" ht="15" customHeight="1" x14ac:dyDescent="0.25">
      <c r="A108" s="567"/>
      <c r="B108" s="644"/>
      <c r="C108" s="553"/>
      <c r="D108" s="553"/>
      <c r="E108" s="553"/>
      <c r="F108" s="553"/>
      <c r="G108" s="596" t="s">
        <v>353</v>
      </c>
      <c r="H108" s="596" t="s">
        <v>354</v>
      </c>
      <c r="I108" s="596" t="s">
        <v>355</v>
      </c>
      <c r="J108" s="286"/>
      <c r="K108" s="645">
        <v>0.17499999999999999</v>
      </c>
      <c r="L108" s="646"/>
      <c r="M108" s="590"/>
      <c r="N108" s="302"/>
      <c r="O108" s="590"/>
      <c r="P108" s="590"/>
      <c r="Q108" s="590"/>
      <c r="R108" s="590"/>
      <c r="S108" s="646"/>
      <c r="T108" s="646"/>
      <c r="U108" s="590"/>
      <c r="V108" s="303"/>
    </row>
    <row r="109" spans="1:22" ht="15" customHeight="1" x14ac:dyDescent="0.25">
      <c r="A109" s="567"/>
      <c r="B109" s="564"/>
      <c r="C109" s="553"/>
      <c r="D109" s="553"/>
      <c r="E109" s="553"/>
      <c r="F109" s="553"/>
      <c r="G109" s="1163" t="s">
        <v>1286</v>
      </c>
      <c r="H109" s="1163"/>
      <c r="I109" s="1163"/>
      <c r="J109" s="1163"/>
      <c r="K109" s="1163"/>
      <c r="L109" s="1163"/>
      <c r="M109" s="1163"/>
      <c r="N109" s="1163"/>
      <c r="O109" s="1185"/>
      <c r="P109" s="1185"/>
      <c r="Q109" s="1185"/>
      <c r="R109" s="1185"/>
      <c r="S109" s="1185"/>
      <c r="T109" s="1185"/>
      <c r="U109" s="1185"/>
      <c r="V109" s="1186"/>
    </row>
    <row r="110" spans="1:22" ht="15" customHeight="1" x14ac:dyDescent="0.25">
      <c r="A110" s="567"/>
      <c r="B110" s="564"/>
      <c r="C110" s="553"/>
      <c r="D110" s="553"/>
      <c r="E110" s="553"/>
      <c r="F110" s="553"/>
      <c r="G110" s="596" t="s">
        <v>356</v>
      </c>
      <c r="H110" s="596" t="s">
        <v>357</v>
      </c>
      <c r="I110" s="596" t="s">
        <v>358</v>
      </c>
      <c r="J110" s="286"/>
      <c r="K110" s="286">
        <v>0.90500000000000003</v>
      </c>
      <c r="L110" s="302"/>
      <c r="M110" s="590"/>
      <c r="N110" s="302"/>
      <c r="O110" s="590"/>
      <c r="P110" s="590"/>
      <c r="Q110" s="590"/>
      <c r="R110" s="590"/>
      <c r="S110" s="302"/>
      <c r="T110" s="302"/>
      <c r="U110" s="590"/>
      <c r="V110" s="303"/>
    </row>
    <row r="111" spans="1:22" ht="15" customHeight="1" x14ac:dyDescent="0.25">
      <c r="A111" s="567"/>
      <c r="B111" s="564"/>
      <c r="C111" s="553"/>
      <c r="D111" s="553"/>
      <c r="E111" s="553"/>
      <c r="F111" s="553"/>
      <c r="G111" s="1163" t="s">
        <v>1645</v>
      </c>
      <c r="H111" s="1163"/>
      <c r="I111" s="1163"/>
      <c r="J111" s="1163"/>
      <c r="K111" s="1163"/>
      <c r="L111" s="1163"/>
      <c r="M111" s="1163"/>
      <c r="N111" s="1163"/>
      <c r="O111" s="590"/>
      <c r="P111" s="590"/>
      <c r="Q111" s="590"/>
      <c r="R111" s="590"/>
      <c r="S111" s="302"/>
      <c r="T111" s="302"/>
      <c r="U111" s="590"/>
      <c r="V111" s="303"/>
    </row>
    <row r="112" spans="1:22" ht="15" customHeight="1" x14ac:dyDescent="0.25">
      <c r="A112" s="567"/>
      <c r="B112" s="564"/>
      <c r="C112" s="553"/>
      <c r="D112" s="553"/>
      <c r="E112" s="553"/>
      <c r="F112" s="553"/>
      <c r="G112" s="596" t="s">
        <v>1935</v>
      </c>
      <c r="H112" s="596" t="s">
        <v>1936</v>
      </c>
      <c r="I112" s="596" t="s">
        <v>1979</v>
      </c>
      <c r="J112" s="286"/>
      <c r="K112" s="286">
        <v>1.84E-2</v>
      </c>
      <c r="L112" s="302"/>
      <c r="M112" s="590"/>
      <c r="N112" s="302"/>
      <c r="O112" s="590"/>
      <c r="P112" s="590"/>
      <c r="Q112" s="590"/>
      <c r="R112" s="590"/>
      <c r="S112" s="302"/>
      <c r="T112" s="302"/>
      <c r="U112" s="590"/>
      <c r="V112" s="303"/>
    </row>
    <row r="113" spans="1:22" ht="15" customHeight="1" x14ac:dyDescent="0.25">
      <c r="A113" s="567"/>
      <c r="B113" s="564"/>
      <c r="C113" s="553"/>
      <c r="D113" s="553"/>
      <c r="E113" s="553"/>
      <c r="F113" s="553"/>
      <c r="G113" s="596" t="s">
        <v>1935</v>
      </c>
      <c r="H113" s="596" t="s">
        <v>1937</v>
      </c>
      <c r="I113" s="596" t="s">
        <v>1981</v>
      </c>
      <c r="J113" s="286"/>
      <c r="K113" s="286">
        <v>9.69E-2</v>
      </c>
      <c r="L113" s="302"/>
      <c r="M113" s="590"/>
      <c r="N113" s="302"/>
      <c r="O113" s="590"/>
      <c r="P113" s="590"/>
      <c r="Q113" s="590"/>
      <c r="R113" s="590"/>
      <c r="S113" s="302"/>
      <c r="T113" s="302"/>
      <c r="U113" s="590"/>
      <c r="V113" s="303"/>
    </row>
    <row r="114" spans="1:22" ht="15" customHeight="1" x14ac:dyDescent="0.25">
      <c r="A114" s="567"/>
      <c r="B114" s="564"/>
      <c r="C114" s="553"/>
      <c r="D114" s="553"/>
      <c r="E114" s="553"/>
      <c r="F114" s="553"/>
      <c r="G114" s="627" t="s">
        <v>2013</v>
      </c>
      <c r="H114" s="627" t="s">
        <v>2014</v>
      </c>
      <c r="I114" s="596" t="s">
        <v>1854</v>
      </c>
      <c r="J114" s="286"/>
      <c r="K114" s="286">
        <v>0.53500000000000003</v>
      </c>
      <c r="L114" s="302"/>
      <c r="M114" s="590"/>
      <c r="N114" s="302"/>
      <c r="O114" s="590"/>
      <c r="P114" s="590"/>
      <c r="Q114" s="590"/>
      <c r="R114" s="590"/>
      <c r="S114" s="302"/>
      <c r="T114" s="302"/>
      <c r="U114" s="590"/>
      <c r="V114" s="303"/>
    </row>
    <row r="115" spans="1:22" ht="15" customHeight="1" x14ac:dyDescent="0.25">
      <c r="A115" s="567"/>
      <c r="B115" s="564"/>
      <c r="C115" s="553"/>
      <c r="D115" s="553"/>
      <c r="E115" s="553"/>
      <c r="F115" s="553"/>
      <c r="G115" s="1163" t="s">
        <v>14933</v>
      </c>
      <c r="H115" s="1163"/>
      <c r="I115" s="1163"/>
      <c r="J115" s="1163"/>
      <c r="K115" s="1163"/>
      <c r="L115" s="1163"/>
      <c r="M115" s="1163"/>
      <c r="N115" s="1163"/>
      <c r="O115" s="590"/>
      <c r="P115" s="590"/>
      <c r="Q115" s="590"/>
      <c r="R115" s="590"/>
      <c r="S115" s="302"/>
      <c r="T115" s="302"/>
      <c r="U115" s="590"/>
      <c r="V115" s="303"/>
    </row>
    <row r="116" spans="1:22" ht="15" customHeight="1" x14ac:dyDescent="0.25">
      <c r="A116" s="567"/>
      <c r="B116" s="564"/>
      <c r="C116" s="553"/>
      <c r="D116" s="553"/>
      <c r="E116" s="553"/>
      <c r="F116" s="553"/>
      <c r="G116" s="596" t="s">
        <v>14915</v>
      </c>
      <c r="H116" s="596" t="s">
        <v>14911</v>
      </c>
      <c r="I116" s="596" t="s">
        <v>14935</v>
      </c>
      <c r="J116" s="286"/>
      <c r="K116" s="286">
        <f>0.035*0.9</f>
        <v>3.1500000000000007E-2</v>
      </c>
      <c r="L116" s="302"/>
      <c r="M116" s="590"/>
      <c r="N116" s="302"/>
      <c r="O116" s="590"/>
      <c r="P116" s="590"/>
      <c r="Q116" s="590"/>
      <c r="R116" s="590"/>
      <c r="S116" s="302"/>
      <c r="T116" s="302"/>
      <c r="U116" s="590"/>
      <c r="V116" s="303"/>
    </row>
    <row r="117" spans="1:22" ht="15" customHeight="1" x14ac:dyDescent="0.25">
      <c r="A117" s="567"/>
      <c r="B117" s="564"/>
      <c r="C117" s="553"/>
      <c r="D117" s="553"/>
      <c r="E117" s="553"/>
      <c r="F117" s="553"/>
      <c r="G117" s="1163" t="s">
        <v>18518</v>
      </c>
      <c r="H117" s="1163"/>
      <c r="I117" s="1163"/>
      <c r="J117" s="1163"/>
      <c r="K117" s="1163"/>
      <c r="L117" s="1163"/>
      <c r="M117" s="1163"/>
      <c r="N117" s="1163"/>
      <c r="O117" s="290"/>
      <c r="P117" s="290"/>
      <c r="Q117" s="290"/>
      <c r="R117" s="290"/>
      <c r="S117" s="307"/>
      <c r="T117" s="307"/>
      <c r="U117" s="290"/>
      <c r="V117" s="305"/>
    </row>
    <row r="118" spans="1:22" ht="15" customHeight="1" x14ac:dyDescent="0.25">
      <c r="A118" s="567"/>
      <c r="B118" s="564"/>
      <c r="C118" s="553"/>
      <c r="D118" s="553"/>
      <c r="E118" s="553"/>
      <c r="F118" s="553"/>
      <c r="G118" s="590" t="s">
        <v>19224</v>
      </c>
      <c r="H118" s="590" t="s">
        <v>19225</v>
      </c>
      <c r="I118" s="590" t="s">
        <v>19226</v>
      </c>
      <c r="J118" s="302"/>
      <c r="K118" s="302">
        <f>0.104*0.75</f>
        <v>7.8E-2</v>
      </c>
      <c r="L118" s="302"/>
      <c r="M118" s="590"/>
      <c r="N118" s="590"/>
      <c r="O118" s="290"/>
      <c r="P118" s="290"/>
      <c r="Q118" s="290"/>
      <c r="R118" s="290"/>
      <c r="S118" s="307"/>
      <c r="T118" s="307"/>
      <c r="U118" s="290"/>
      <c r="V118" s="305"/>
    </row>
    <row r="119" spans="1:22" ht="15" customHeight="1" x14ac:dyDescent="0.25">
      <c r="A119" s="567"/>
      <c r="B119" s="564"/>
      <c r="C119" s="553"/>
      <c r="D119" s="553"/>
      <c r="E119" s="553"/>
      <c r="F119" s="553"/>
      <c r="G119" s="1164" t="s">
        <v>2262</v>
      </c>
      <c r="H119" s="1164"/>
      <c r="I119" s="1164"/>
      <c r="J119" s="1165">
        <f>0.143*0.9*0.6</f>
        <v>7.7219999999999983E-2</v>
      </c>
      <c r="K119" s="1166"/>
      <c r="L119" s="302"/>
      <c r="M119" s="590"/>
      <c r="N119" s="302"/>
      <c r="O119" s="290"/>
      <c r="P119" s="290"/>
      <c r="Q119" s="290"/>
      <c r="R119" s="290"/>
      <c r="S119" s="307"/>
      <c r="T119" s="307"/>
      <c r="U119" s="290"/>
      <c r="V119" s="305"/>
    </row>
    <row r="120" spans="1:22" ht="15" customHeight="1" thickBot="1" x14ac:dyDescent="0.3">
      <c r="A120" s="242"/>
      <c r="B120" s="243"/>
      <c r="C120" s="244"/>
      <c r="D120" s="244"/>
      <c r="E120" s="244"/>
      <c r="F120" s="244"/>
      <c r="G120" s="1066" t="s">
        <v>1199</v>
      </c>
      <c r="H120" s="1066"/>
      <c r="I120" s="1066"/>
      <c r="J120" s="630"/>
      <c r="K120" s="456">
        <f>SUM(J116:K119)</f>
        <v>0.18672</v>
      </c>
      <c r="L120" s="631"/>
      <c r="M120" s="632">
        <v>0.92</v>
      </c>
      <c r="N120" s="456">
        <f>K120/M120</f>
        <v>0.20295652173913042</v>
      </c>
      <c r="O120" s="1066" t="s">
        <v>1199</v>
      </c>
      <c r="P120" s="1066"/>
      <c r="Q120" s="1066"/>
      <c r="R120" s="554"/>
      <c r="S120" s="456">
        <f>SUM(S107:S110)</f>
        <v>0</v>
      </c>
      <c r="T120" s="631"/>
      <c r="U120" s="554">
        <v>0.92</v>
      </c>
      <c r="V120" s="633">
        <f>S120/U120</f>
        <v>0</v>
      </c>
    </row>
    <row r="121" spans="1:22" ht="15" customHeight="1" x14ac:dyDescent="0.25">
      <c r="A121" s="1092" t="str">
        <f>Итоговая!C298</f>
        <v xml:space="preserve">ПС 35/10 кВ Безбородово </v>
      </c>
      <c r="B121" s="1072">
        <f>Итоговая!D298</f>
        <v>4</v>
      </c>
      <c r="C121" s="552"/>
      <c r="D121" s="552"/>
      <c r="E121" s="552"/>
      <c r="F121" s="552"/>
      <c r="G121" s="1168" t="s">
        <v>1288</v>
      </c>
      <c r="H121" s="1168"/>
      <c r="I121" s="1168"/>
      <c r="J121" s="1168"/>
      <c r="K121" s="1168"/>
      <c r="L121" s="1168"/>
      <c r="M121" s="1168"/>
      <c r="N121" s="1168"/>
      <c r="O121" s="1168" t="s">
        <v>14933</v>
      </c>
      <c r="P121" s="1168"/>
      <c r="Q121" s="1168"/>
      <c r="R121" s="1168"/>
      <c r="S121" s="1168"/>
      <c r="T121" s="1168"/>
      <c r="U121" s="1168"/>
      <c r="V121" s="1169"/>
    </row>
    <row r="122" spans="1:22" ht="15" customHeight="1" x14ac:dyDescent="0.25">
      <c r="A122" s="1093"/>
      <c r="B122" s="1023"/>
      <c r="C122" s="553"/>
      <c r="D122" s="553"/>
      <c r="E122" s="553"/>
      <c r="F122" s="553"/>
      <c r="G122" s="590" t="s">
        <v>359</v>
      </c>
      <c r="H122" s="590" t="s">
        <v>360</v>
      </c>
      <c r="I122" s="590" t="s">
        <v>361</v>
      </c>
      <c r="J122" s="302"/>
      <c r="K122" s="286">
        <v>0.4</v>
      </c>
      <c r="L122" s="302"/>
      <c r="M122" s="590"/>
      <c r="N122" s="302"/>
      <c r="O122" s="596" t="s">
        <v>2255</v>
      </c>
      <c r="P122" s="596" t="s">
        <v>18180</v>
      </c>
      <c r="Q122" s="590" t="s">
        <v>18181</v>
      </c>
      <c r="R122" s="590"/>
      <c r="S122" s="286">
        <f>0.1*0.75</f>
        <v>7.5000000000000011E-2</v>
      </c>
      <c r="T122" s="302"/>
      <c r="U122" s="596"/>
      <c r="V122" s="303"/>
    </row>
    <row r="123" spans="1:22" ht="15" customHeight="1" x14ac:dyDescent="0.25">
      <c r="A123" s="567"/>
      <c r="B123" s="564"/>
      <c r="C123" s="553"/>
      <c r="D123" s="553"/>
      <c r="E123" s="553"/>
      <c r="F123" s="553"/>
      <c r="G123" s="1163" t="s">
        <v>1645</v>
      </c>
      <c r="H123" s="1163"/>
      <c r="I123" s="1163"/>
      <c r="J123" s="1163"/>
      <c r="K123" s="1163"/>
      <c r="L123" s="1163"/>
      <c r="M123" s="1163"/>
      <c r="N123" s="1163"/>
      <c r="O123" s="590"/>
      <c r="P123" s="590"/>
      <c r="Q123" s="590"/>
      <c r="R123" s="590"/>
      <c r="S123" s="302"/>
      <c r="T123" s="302"/>
      <c r="U123" s="590"/>
      <c r="V123" s="303"/>
    </row>
    <row r="124" spans="1:22" ht="15" customHeight="1" x14ac:dyDescent="0.25">
      <c r="A124" s="567"/>
      <c r="B124" s="564"/>
      <c r="C124" s="553"/>
      <c r="D124" s="553"/>
      <c r="E124" s="553"/>
      <c r="F124" s="553"/>
      <c r="G124" s="596" t="s">
        <v>1935</v>
      </c>
      <c r="H124" s="596" t="s">
        <v>1953</v>
      </c>
      <c r="I124" s="590" t="s">
        <v>1985</v>
      </c>
      <c r="J124" s="302"/>
      <c r="K124" s="286">
        <f>0.0516-0.03</f>
        <v>2.1600000000000001E-2</v>
      </c>
      <c r="L124" s="302"/>
      <c r="M124" s="590"/>
      <c r="N124" s="302"/>
      <c r="O124" s="590"/>
      <c r="P124" s="590"/>
      <c r="Q124" s="590"/>
      <c r="R124" s="590"/>
      <c r="S124" s="302"/>
      <c r="T124" s="302"/>
      <c r="U124" s="590"/>
      <c r="V124" s="303"/>
    </row>
    <row r="125" spans="1:22" ht="15" customHeight="1" x14ac:dyDescent="0.25">
      <c r="A125" s="567"/>
      <c r="B125" s="564"/>
      <c r="C125" s="553"/>
      <c r="D125" s="553"/>
      <c r="E125" s="553"/>
      <c r="F125" s="553"/>
      <c r="G125" s="1163" t="s">
        <v>2290</v>
      </c>
      <c r="H125" s="1163"/>
      <c r="I125" s="1163"/>
      <c r="J125" s="1163"/>
      <c r="K125" s="1163"/>
      <c r="L125" s="1163"/>
      <c r="M125" s="1163"/>
      <c r="N125" s="1163"/>
      <c r="O125" s="590"/>
      <c r="P125" s="590"/>
      <c r="Q125" s="590"/>
      <c r="R125" s="590"/>
      <c r="S125" s="302"/>
      <c r="T125" s="302"/>
      <c r="U125" s="590"/>
      <c r="V125" s="303"/>
    </row>
    <row r="126" spans="1:22" ht="15" customHeight="1" x14ac:dyDescent="0.25">
      <c r="A126" s="567"/>
      <c r="B126" s="564"/>
      <c r="C126" s="553"/>
      <c r="D126" s="553"/>
      <c r="E126" s="553"/>
      <c r="F126" s="553"/>
      <c r="G126" s="596" t="s">
        <v>1843</v>
      </c>
      <c r="H126" s="596" t="s">
        <v>1930</v>
      </c>
      <c r="I126" s="590" t="s">
        <v>2327</v>
      </c>
      <c r="J126" s="302"/>
      <c r="K126" s="286">
        <f>2.01*0.75</f>
        <v>1.5074999999999998</v>
      </c>
      <c r="L126" s="302"/>
      <c r="M126" s="590"/>
      <c r="N126" s="302"/>
      <c r="O126" s="590"/>
      <c r="P126" s="590"/>
      <c r="Q126" s="590"/>
      <c r="R126" s="590"/>
      <c r="S126" s="302"/>
      <c r="T126" s="302"/>
      <c r="U126" s="590"/>
      <c r="V126" s="303"/>
    </row>
    <row r="127" spans="1:22" ht="15" customHeight="1" x14ac:dyDescent="0.25">
      <c r="A127" s="567"/>
      <c r="B127" s="564"/>
      <c r="C127" s="553"/>
      <c r="D127" s="553"/>
      <c r="E127" s="553"/>
      <c r="F127" s="553"/>
      <c r="G127" s="596" t="s">
        <v>2368</v>
      </c>
      <c r="H127" s="596" t="s">
        <v>2369</v>
      </c>
      <c r="I127" s="590" t="s">
        <v>2416</v>
      </c>
      <c r="J127" s="302"/>
      <c r="K127" s="286">
        <f>(0.065-0.015)*0.9</f>
        <v>4.5000000000000005E-2</v>
      </c>
      <c r="L127" s="302"/>
      <c r="M127" s="590"/>
      <c r="N127" s="302"/>
      <c r="O127" s="590"/>
      <c r="P127" s="590"/>
      <c r="Q127" s="590"/>
      <c r="R127" s="590"/>
      <c r="S127" s="302"/>
      <c r="T127" s="302"/>
      <c r="U127" s="590"/>
      <c r="V127" s="303"/>
    </row>
    <row r="128" spans="1:22" ht="15" customHeight="1" x14ac:dyDescent="0.25">
      <c r="A128" s="567"/>
      <c r="B128" s="564"/>
      <c r="C128" s="553"/>
      <c r="D128" s="553"/>
      <c r="E128" s="553"/>
      <c r="F128" s="553"/>
      <c r="G128" s="1163" t="s">
        <v>14933</v>
      </c>
      <c r="H128" s="1163"/>
      <c r="I128" s="1163"/>
      <c r="J128" s="1163"/>
      <c r="K128" s="1163"/>
      <c r="L128" s="1163"/>
      <c r="M128" s="1163"/>
      <c r="N128" s="1163"/>
      <c r="O128" s="590"/>
      <c r="P128" s="590"/>
      <c r="Q128" s="590"/>
      <c r="R128" s="590"/>
      <c r="S128" s="302"/>
      <c r="T128" s="302"/>
      <c r="U128" s="590"/>
      <c r="V128" s="303"/>
    </row>
    <row r="129" spans="1:22" ht="15" customHeight="1" x14ac:dyDescent="0.25">
      <c r="A129" s="567"/>
      <c r="B129" s="564"/>
      <c r="C129" s="553"/>
      <c r="D129" s="553"/>
      <c r="E129" s="553"/>
      <c r="F129" s="553"/>
      <c r="G129" s="596" t="s">
        <v>1843</v>
      </c>
      <c r="H129" s="596" t="s">
        <v>2387</v>
      </c>
      <c r="I129" s="590" t="s">
        <v>14988</v>
      </c>
      <c r="J129" s="302"/>
      <c r="K129" s="286">
        <f>0.86*0.75</f>
        <v>0.64500000000000002</v>
      </c>
      <c r="L129" s="302"/>
      <c r="M129" s="590"/>
      <c r="N129" s="302"/>
      <c r="O129" s="590"/>
      <c r="P129" s="590"/>
      <c r="Q129" s="590"/>
      <c r="R129" s="590"/>
      <c r="S129" s="302"/>
      <c r="T129" s="302"/>
      <c r="U129" s="590"/>
      <c r="V129" s="303"/>
    </row>
    <row r="130" spans="1:22" ht="15" customHeight="1" x14ac:dyDescent="0.25">
      <c r="A130" s="567"/>
      <c r="B130" s="564"/>
      <c r="C130" s="553"/>
      <c r="D130" s="553"/>
      <c r="E130" s="553"/>
      <c r="F130" s="553"/>
      <c r="G130" s="1163" t="s">
        <v>18518</v>
      </c>
      <c r="H130" s="1163"/>
      <c r="I130" s="1163"/>
      <c r="J130" s="1163"/>
      <c r="K130" s="1163"/>
      <c r="L130" s="1163"/>
      <c r="M130" s="1163"/>
      <c r="N130" s="1163"/>
      <c r="O130" s="290"/>
      <c r="P130" s="290"/>
      <c r="Q130" s="290"/>
      <c r="R130" s="290"/>
      <c r="S130" s="307"/>
      <c r="T130" s="307"/>
      <c r="U130" s="290"/>
      <c r="V130" s="305"/>
    </row>
    <row r="131" spans="1:22" ht="15" customHeight="1" x14ac:dyDescent="0.25">
      <c r="A131" s="567"/>
      <c r="B131" s="564"/>
      <c r="C131" s="553"/>
      <c r="D131" s="553"/>
      <c r="E131" s="553"/>
      <c r="F131" s="553"/>
      <c r="G131" s="590" t="s">
        <v>19011</v>
      </c>
      <c r="H131" s="590" t="s">
        <v>19012</v>
      </c>
      <c r="I131" s="590">
        <v>41118306</v>
      </c>
      <c r="J131" s="302"/>
      <c r="K131" s="302">
        <f>0.02*0.9</f>
        <v>1.8000000000000002E-2</v>
      </c>
      <c r="L131" s="302"/>
      <c r="M131" s="590"/>
      <c r="N131" s="590"/>
      <c r="O131" s="290"/>
      <c r="P131" s="290"/>
      <c r="Q131" s="290"/>
      <c r="R131" s="290"/>
      <c r="S131" s="307"/>
      <c r="T131" s="307"/>
      <c r="U131" s="290"/>
      <c r="V131" s="305"/>
    </row>
    <row r="132" spans="1:22" ht="15" customHeight="1" x14ac:dyDescent="0.25">
      <c r="A132" s="567"/>
      <c r="B132" s="564"/>
      <c r="C132" s="553"/>
      <c r="D132" s="553"/>
      <c r="E132" s="553"/>
      <c r="F132" s="553"/>
      <c r="G132" s="590" t="s">
        <v>19533</v>
      </c>
      <c r="H132" s="590" t="s">
        <v>19534</v>
      </c>
      <c r="I132" s="590" t="s">
        <v>19535</v>
      </c>
      <c r="J132" s="302"/>
      <c r="K132" s="302"/>
      <c r="L132" s="302">
        <f>0.016*1</f>
        <v>1.6E-2</v>
      </c>
      <c r="M132" s="590"/>
      <c r="N132" s="590"/>
      <c r="O132" s="290"/>
      <c r="P132" s="290"/>
      <c r="Q132" s="290"/>
      <c r="R132" s="290"/>
      <c r="S132" s="307"/>
      <c r="T132" s="307"/>
      <c r="U132" s="290"/>
      <c r="V132" s="305"/>
    </row>
    <row r="133" spans="1:22" ht="15" customHeight="1" x14ac:dyDescent="0.25">
      <c r="A133" s="567"/>
      <c r="B133" s="564"/>
      <c r="C133" s="553"/>
      <c r="D133" s="553"/>
      <c r="E133" s="553"/>
      <c r="F133" s="553"/>
      <c r="G133" s="590" t="s">
        <v>19536</v>
      </c>
      <c r="H133" s="590" t="s">
        <v>19012</v>
      </c>
      <c r="I133" s="590" t="s">
        <v>19537</v>
      </c>
      <c r="J133" s="302"/>
      <c r="K133" s="302"/>
      <c r="L133" s="302">
        <f>0.05*0.9</f>
        <v>4.5000000000000005E-2</v>
      </c>
      <c r="M133" s="590"/>
      <c r="N133" s="590"/>
      <c r="O133" s="290"/>
      <c r="P133" s="290"/>
      <c r="Q133" s="290"/>
      <c r="R133" s="290"/>
      <c r="S133" s="307"/>
      <c r="T133" s="307"/>
      <c r="U133" s="290"/>
      <c r="V133" s="305"/>
    </row>
    <row r="134" spans="1:22" ht="15" customHeight="1" x14ac:dyDescent="0.25">
      <c r="A134" s="567"/>
      <c r="B134" s="564"/>
      <c r="C134" s="553"/>
      <c r="D134" s="553"/>
      <c r="E134" s="553"/>
      <c r="F134" s="553"/>
      <c r="G134" s="1164" t="s">
        <v>2262</v>
      </c>
      <c r="H134" s="1164"/>
      <c r="I134" s="1164"/>
      <c r="J134" s="1165">
        <f>0.4*0.9*0.6</f>
        <v>0.21600000000000003</v>
      </c>
      <c r="K134" s="1192"/>
      <c r="L134" s="1166"/>
      <c r="M134" s="590"/>
      <c r="N134" s="302"/>
      <c r="O134" s="290"/>
      <c r="P134" s="290"/>
      <c r="Q134" s="290"/>
      <c r="R134" s="290"/>
      <c r="S134" s="307"/>
      <c r="T134" s="307"/>
      <c r="U134" s="290"/>
      <c r="V134" s="305"/>
    </row>
    <row r="135" spans="1:22" ht="15" customHeight="1" x14ac:dyDescent="0.25">
      <c r="A135" s="776"/>
      <c r="B135" s="771"/>
      <c r="C135" s="772"/>
      <c r="D135" s="772"/>
      <c r="E135" s="772"/>
      <c r="F135" s="772"/>
      <c r="G135" s="1163" t="s">
        <v>19719</v>
      </c>
      <c r="H135" s="1163"/>
      <c r="I135" s="1163"/>
      <c r="J135" s="1163"/>
      <c r="K135" s="1163"/>
      <c r="L135" s="1163"/>
      <c r="M135" s="1163"/>
      <c r="N135" s="1163"/>
      <c r="O135" s="290"/>
      <c r="P135" s="290"/>
      <c r="Q135" s="290"/>
      <c r="R135" s="290"/>
      <c r="S135" s="786"/>
      <c r="T135" s="786"/>
      <c r="U135" s="290"/>
      <c r="V135" s="305"/>
    </row>
    <row r="136" spans="1:22" ht="15" customHeight="1" x14ac:dyDescent="0.25">
      <c r="A136" s="776"/>
      <c r="B136" s="771"/>
      <c r="C136" s="772"/>
      <c r="D136" s="772"/>
      <c r="E136" s="772"/>
      <c r="F136" s="772"/>
      <c r="G136" s="785" t="s">
        <v>19743</v>
      </c>
      <c r="H136" s="785" t="s">
        <v>19012</v>
      </c>
      <c r="I136" s="785" t="s">
        <v>19744</v>
      </c>
      <c r="J136" s="302"/>
      <c r="K136" s="302"/>
      <c r="L136" s="302">
        <f>0.015*0.9</f>
        <v>1.35E-2</v>
      </c>
      <c r="M136" s="785"/>
      <c r="N136" s="786"/>
      <c r="O136" s="290"/>
      <c r="P136" s="290"/>
      <c r="Q136" s="290"/>
      <c r="R136" s="290"/>
      <c r="S136" s="786"/>
      <c r="T136" s="786"/>
      <c r="U136" s="290"/>
      <c r="V136" s="305"/>
    </row>
    <row r="137" spans="1:22" ht="15" customHeight="1" thickBot="1" x14ac:dyDescent="0.3">
      <c r="A137" s="242"/>
      <c r="B137" s="243"/>
      <c r="C137" s="244"/>
      <c r="D137" s="244"/>
      <c r="E137" s="244"/>
      <c r="F137" s="244"/>
      <c r="G137" s="1066" t="s">
        <v>1199</v>
      </c>
      <c r="H137" s="1066"/>
      <c r="I137" s="1066"/>
      <c r="J137" s="630"/>
      <c r="K137" s="456">
        <f>SUM(J129:L136)</f>
        <v>0.95350000000000013</v>
      </c>
      <c r="L137" s="631"/>
      <c r="M137" s="632">
        <v>0.92</v>
      </c>
      <c r="N137" s="456">
        <f>K137/M137</f>
        <v>1.036413043478261</v>
      </c>
      <c r="O137" s="1066" t="s">
        <v>1199</v>
      </c>
      <c r="P137" s="1066"/>
      <c r="Q137" s="1066"/>
      <c r="R137" s="554"/>
      <c r="S137" s="456">
        <f>SUM(S121:S129)</f>
        <v>7.5000000000000011E-2</v>
      </c>
      <c r="T137" s="631"/>
      <c r="U137" s="554">
        <v>0.92</v>
      </c>
      <c r="V137" s="633">
        <f>S137/U137</f>
        <v>8.1521739130434798E-2</v>
      </c>
    </row>
    <row r="138" spans="1:22" ht="15" customHeight="1" x14ac:dyDescent="0.25">
      <c r="A138" s="566" t="str">
        <f>Итоговая!C299</f>
        <v xml:space="preserve">ПС 110/10 кВ Медведиха </v>
      </c>
      <c r="B138" s="647">
        <f>Итоговая!D299</f>
        <v>2.5</v>
      </c>
      <c r="C138" s="552"/>
      <c r="D138" s="552"/>
      <c r="E138" s="552"/>
      <c r="F138" s="552"/>
      <c r="G138" s="1168" t="s">
        <v>1324</v>
      </c>
      <c r="H138" s="1168"/>
      <c r="I138" s="1168"/>
      <c r="J138" s="1168"/>
      <c r="K138" s="1168"/>
      <c r="L138" s="1168"/>
      <c r="M138" s="1168"/>
      <c r="N138" s="1168"/>
      <c r="O138" s="1181"/>
      <c r="P138" s="1181"/>
      <c r="Q138" s="1181"/>
      <c r="R138" s="1181"/>
      <c r="S138" s="1181"/>
      <c r="T138" s="1181"/>
      <c r="U138" s="1181"/>
      <c r="V138" s="1182"/>
    </row>
    <row r="139" spans="1:22" ht="15" customHeight="1" x14ac:dyDescent="0.25">
      <c r="A139" s="567"/>
      <c r="B139" s="644"/>
      <c r="C139" s="553"/>
      <c r="D139" s="553"/>
      <c r="E139" s="553"/>
      <c r="F139" s="553"/>
      <c r="G139" s="596" t="s">
        <v>950</v>
      </c>
      <c r="H139" s="596" t="s">
        <v>1307</v>
      </c>
      <c r="I139" s="596" t="s">
        <v>1468</v>
      </c>
      <c r="J139" s="286"/>
      <c r="K139" s="286">
        <v>0.13500000000000001</v>
      </c>
      <c r="L139" s="302"/>
      <c r="M139" s="590"/>
      <c r="N139" s="302"/>
      <c r="O139" s="590"/>
      <c r="P139" s="590"/>
      <c r="Q139" s="590"/>
      <c r="R139" s="590"/>
      <c r="S139" s="302"/>
      <c r="T139" s="302"/>
      <c r="U139" s="590"/>
      <c r="V139" s="303"/>
    </row>
    <row r="140" spans="1:22" ht="15" customHeight="1" x14ac:dyDescent="0.25">
      <c r="A140" s="567"/>
      <c r="B140" s="644"/>
      <c r="C140" s="553"/>
      <c r="D140" s="553"/>
      <c r="E140" s="553"/>
      <c r="F140" s="553"/>
      <c r="G140" s="1163" t="s">
        <v>1645</v>
      </c>
      <c r="H140" s="1163"/>
      <c r="I140" s="1163"/>
      <c r="J140" s="1163"/>
      <c r="K140" s="1163"/>
      <c r="L140" s="1163"/>
      <c r="M140" s="1163"/>
      <c r="N140" s="1163"/>
      <c r="O140" s="590"/>
      <c r="P140" s="590"/>
      <c r="Q140" s="590"/>
      <c r="R140" s="590"/>
      <c r="S140" s="302"/>
      <c r="T140" s="302"/>
      <c r="U140" s="590"/>
      <c r="V140" s="303"/>
    </row>
    <row r="141" spans="1:22" ht="15" customHeight="1" x14ac:dyDescent="0.25">
      <c r="A141" s="567"/>
      <c r="B141" s="644"/>
      <c r="C141" s="553"/>
      <c r="D141" s="553"/>
      <c r="E141" s="553"/>
      <c r="F141" s="553"/>
      <c r="G141" s="596" t="s">
        <v>1751</v>
      </c>
      <c r="H141" s="596" t="s">
        <v>1874</v>
      </c>
      <c r="I141" s="596" t="s">
        <v>1902</v>
      </c>
      <c r="J141" s="286"/>
      <c r="K141" s="286">
        <v>1.4999999999999999E-2</v>
      </c>
      <c r="L141" s="302"/>
      <c r="M141" s="590"/>
      <c r="N141" s="302"/>
      <c r="O141" s="590"/>
      <c r="P141" s="590"/>
      <c r="Q141" s="590"/>
      <c r="R141" s="590"/>
      <c r="S141" s="302"/>
      <c r="T141" s="302"/>
      <c r="U141" s="590"/>
      <c r="V141" s="303"/>
    </row>
    <row r="142" spans="1:22" ht="15" customHeight="1" x14ac:dyDescent="0.25">
      <c r="A142" s="567"/>
      <c r="B142" s="644"/>
      <c r="C142" s="553"/>
      <c r="D142" s="553"/>
      <c r="E142" s="553"/>
      <c r="F142" s="553"/>
      <c r="G142" s="1163" t="s">
        <v>2290</v>
      </c>
      <c r="H142" s="1163"/>
      <c r="I142" s="1163"/>
      <c r="J142" s="1163"/>
      <c r="K142" s="1163"/>
      <c r="L142" s="1163"/>
      <c r="M142" s="1163"/>
      <c r="N142" s="1163"/>
      <c r="O142" s="590"/>
      <c r="P142" s="590"/>
      <c r="Q142" s="590"/>
      <c r="R142" s="590"/>
      <c r="S142" s="302"/>
      <c r="T142" s="302"/>
      <c r="U142" s="590"/>
      <c r="V142" s="303"/>
    </row>
    <row r="143" spans="1:22" ht="15" customHeight="1" x14ac:dyDescent="0.25">
      <c r="A143" s="567"/>
      <c r="B143" s="644"/>
      <c r="C143" s="553"/>
      <c r="D143" s="553"/>
      <c r="E143" s="553"/>
      <c r="F143" s="553"/>
      <c r="G143" s="590" t="s">
        <v>2300</v>
      </c>
      <c r="H143" s="590" t="s">
        <v>2301</v>
      </c>
      <c r="I143" s="590" t="s">
        <v>2378</v>
      </c>
      <c r="J143" s="302"/>
      <c r="K143" s="302">
        <f>0.05*0.75</f>
        <v>3.7500000000000006E-2</v>
      </c>
      <c r="L143" s="302"/>
      <c r="M143" s="590"/>
      <c r="N143" s="302"/>
      <c r="O143" s="590"/>
      <c r="P143" s="590"/>
      <c r="Q143" s="590"/>
      <c r="R143" s="590"/>
      <c r="S143" s="302"/>
      <c r="T143" s="302"/>
      <c r="U143" s="590"/>
      <c r="V143" s="303"/>
    </row>
    <row r="144" spans="1:22" ht="15" customHeight="1" x14ac:dyDescent="0.25">
      <c r="A144" s="567"/>
      <c r="B144" s="644"/>
      <c r="C144" s="553"/>
      <c r="D144" s="553"/>
      <c r="E144" s="553"/>
      <c r="F144" s="553"/>
      <c r="G144" s="1163" t="s">
        <v>14933</v>
      </c>
      <c r="H144" s="1163"/>
      <c r="I144" s="1163"/>
      <c r="J144" s="1163"/>
      <c r="K144" s="1163"/>
      <c r="L144" s="1163"/>
      <c r="M144" s="1163"/>
      <c r="N144" s="1163"/>
      <c r="O144" s="590"/>
      <c r="P144" s="590"/>
      <c r="Q144" s="590"/>
      <c r="R144" s="590"/>
      <c r="S144" s="302"/>
      <c r="T144" s="302"/>
      <c r="U144" s="590"/>
      <c r="V144" s="303"/>
    </row>
    <row r="145" spans="1:22" ht="15" customHeight="1" x14ac:dyDescent="0.25">
      <c r="A145" s="567"/>
      <c r="B145" s="644"/>
      <c r="C145" s="553"/>
      <c r="D145" s="553"/>
      <c r="E145" s="553"/>
      <c r="F145" s="553"/>
      <c r="G145" s="1164" t="s">
        <v>2262</v>
      </c>
      <c r="H145" s="1164"/>
      <c r="I145" s="1164"/>
      <c r="J145" s="1165">
        <f>0.12*0.9</f>
        <v>0.108</v>
      </c>
      <c r="K145" s="1166"/>
      <c r="L145" s="302"/>
      <c r="M145" s="590"/>
      <c r="N145" s="302"/>
      <c r="O145" s="590"/>
      <c r="P145" s="590"/>
      <c r="Q145" s="590"/>
      <c r="R145" s="590"/>
      <c r="S145" s="302"/>
      <c r="T145" s="302"/>
      <c r="U145" s="590"/>
      <c r="V145" s="303"/>
    </row>
    <row r="146" spans="1:22" ht="15" customHeight="1" x14ac:dyDescent="0.25">
      <c r="A146" s="567"/>
      <c r="B146" s="644"/>
      <c r="C146" s="553"/>
      <c r="D146" s="553"/>
      <c r="E146" s="553"/>
      <c r="F146" s="553"/>
      <c r="G146" s="1163" t="s">
        <v>18518</v>
      </c>
      <c r="H146" s="1163"/>
      <c r="I146" s="1163"/>
      <c r="J146" s="1163"/>
      <c r="K146" s="1163"/>
      <c r="L146" s="1163"/>
      <c r="M146" s="1163"/>
      <c r="N146" s="1163"/>
      <c r="O146" s="290"/>
      <c r="P146" s="290"/>
      <c r="Q146" s="290"/>
      <c r="R146" s="290"/>
      <c r="S146" s="307"/>
      <c r="T146" s="307"/>
      <c r="U146" s="290"/>
      <c r="V146" s="305"/>
    </row>
    <row r="147" spans="1:22" ht="15" customHeight="1" x14ac:dyDescent="0.25">
      <c r="A147" s="567"/>
      <c r="B147" s="644"/>
      <c r="C147" s="553"/>
      <c r="D147" s="553"/>
      <c r="E147" s="553"/>
      <c r="F147" s="553"/>
      <c r="G147" s="1164" t="s">
        <v>2262</v>
      </c>
      <c r="H147" s="1164"/>
      <c r="I147" s="1164"/>
      <c r="J147" s="1165">
        <f>0.311*0.9*0.6</f>
        <v>0.16793999999999998</v>
      </c>
      <c r="K147" s="1166"/>
      <c r="L147" s="307"/>
      <c r="M147" s="290"/>
      <c r="N147" s="307"/>
      <c r="O147" s="290"/>
      <c r="P147" s="290"/>
      <c r="Q147" s="290"/>
      <c r="R147" s="290"/>
      <c r="S147" s="307"/>
      <c r="T147" s="307"/>
      <c r="U147" s="290"/>
      <c r="V147" s="305"/>
    </row>
    <row r="148" spans="1:22" ht="15" customHeight="1" thickBot="1" x14ac:dyDescent="0.3">
      <c r="A148" s="242"/>
      <c r="B148" s="648"/>
      <c r="C148" s="244"/>
      <c r="D148" s="244"/>
      <c r="E148" s="244"/>
      <c r="F148" s="244"/>
      <c r="G148" s="1066" t="s">
        <v>1199</v>
      </c>
      <c r="H148" s="1066"/>
      <c r="I148" s="1066"/>
      <c r="J148" s="630"/>
      <c r="K148" s="456">
        <f>SUM(J145:K147)</f>
        <v>0.27593999999999996</v>
      </c>
      <c r="L148" s="631"/>
      <c r="M148" s="632">
        <v>0.92</v>
      </c>
      <c r="N148" s="456">
        <f>K148/M148</f>
        <v>0.2999347826086956</v>
      </c>
      <c r="O148" s="1066" t="s">
        <v>1199</v>
      </c>
      <c r="P148" s="1066"/>
      <c r="Q148" s="1066"/>
      <c r="R148" s="554"/>
      <c r="S148" s="456">
        <f>SUM(S139:S139)</f>
        <v>0</v>
      </c>
      <c r="T148" s="631"/>
      <c r="U148" s="554">
        <v>0.92</v>
      </c>
      <c r="V148" s="633">
        <f>S148/U148</f>
        <v>0</v>
      </c>
    </row>
    <row r="149" spans="1:22" ht="15" customHeight="1" x14ac:dyDescent="0.25">
      <c r="A149" s="566" t="str">
        <f>Итоговая!C300</f>
        <v xml:space="preserve">ПС 35/10 кВ Киверичи </v>
      </c>
      <c r="B149" s="563">
        <f>Итоговая!D300</f>
        <v>2.5</v>
      </c>
      <c r="C149" s="552"/>
      <c r="D149" s="552"/>
      <c r="E149" s="552"/>
      <c r="F149" s="552"/>
      <c r="G149" s="1163" t="s">
        <v>18518</v>
      </c>
      <c r="H149" s="1163"/>
      <c r="I149" s="1163"/>
      <c r="J149" s="1163"/>
      <c r="K149" s="1163"/>
      <c r="L149" s="1163"/>
      <c r="M149" s="1163"/>
      <c r="N149" s="1163"/>
      <c r="O149" s="427"/>
      <c r="P149" s="427"/>
      <c r="Q149" s="427"/>
      <c r="R149" s="427"/>
      <c r="S149" s="459"/>
      <c r="T149" s="460"/>
      <c r="U149" s="427"/>
      <c r="V149" s="634"/>
    </row>
    <row r="150" spans="1:22" ht="15" customHeight="1" x14ac:dyDescent="0.25">
      <c r="A150" s="567"/>
      <c r="B150" s="564"/>
      <c r="C150" s="553"/>
      <c r="D150" s="553"/>
      <c r="E150" s="553"/>
      <c r="F150" s="553"/>
      <c r="G150" s="1164" t="s">
        <v>2262</v>
      </c>
      <c r="H150" s="1164"/>
      <c r="I150" s="1164"/>
      <c r="J150" s="1165">
        <f>0.11*0.9*0.6</f>
        <v>5.9400000000000001E-2</v>
      </c>
      <c r="K150" s="1166"/>
      <c r="L150" s="307"/>
      <c r="M150" s="290"/>
      <c r="N150" s="307"/>
      <c r="O150" s="601"/>
      <c r="P150" s="601"/>
      <c r="Q150" s="601"/>
      <c r="R150" s="601"/>
      <c r="S150" s="641"/>
      <c r="T150" s="642"/>
      <c r="U150" s="601"/>
      <c r="V150" s="643"/>
    </row>
    <row r="151" spans="1:22" ht="15" customHeight="1" thickBot="1" x14ac:dyDescent="0.3">
      <c r="A151" s="242"/>
      <c r="B151" s="243"/>
      <c r="C151" s="244"/>
      <c r="D151" s="244"/>
      <c r="E151" s="244"/>
      <c r="F151" s="244"/>
      <c r="G151" s="1066" t="s">
        <v>1199</v>
      </c>
      <c r="H151" s="1066"/>
      <c r="I151" s="1066"/>
      <c r="J151" s="630"/>
      <c r="K151" s="456">
        <f>SUM(J150)</f>
        <v>5.9400000000000001E-2</v>
      </c>
      <c r="L151" s="631"/>
      <c r="M151" s="632">
        <v>0.92</v>
      </c>
      <c r="N151" s="456">
        <f>K151/M151</f>
        <v>6.4565217391304344E-2</v>
      </c>
      <c r="O151" s="1066" t="s">
        <v>1199</v>
      </c>
      <c r="P151" s="1066"/>
      <c r="Q151" s="1066"/>
      <c r="R151" s="554"/>
      <c r="S151" s="456">
        <f>SUM(S149:S149)</f>
        <v>0</v>
      </c>
      <c r="T151" s="631"/>
      <c r="U151" s="554">
        <v>0.92</v>
      </c>
      <c r="V151" s="633">
        <f>S151/U151</f>
        <v>0</v>
      </c>
    </row>
    <row r="152" spans="1:22" ht="15" customHeight="1" x14ac:dyDescent="0.25">
      <c r="A152" s="566" t="str">
        <f>Итоговая!C301</f>
        <v xml:space="preserve">ПС 35/10 кВ Диево </v>
      </c>
      <c r="B152" s="563">
        <f>Итоговая!D301</f>
        <v>2.5</v>
      </c>
      <c r="C152" s="552"/>
      <c r="D152" s="552"/>
      <c r="E152" s="552"/>
      <c r="F152" s="552"/>
      <c r="G152" s="1163" t="s">
        <v>18518</v>
      </c>
      <c r="H152" s="1163"/>
      <c r="I152" s="1163"/>
      <c r="J152" s="1163"/>
      <c r="K152" s="1163"/>
      <c r="L152" s="1163"/>
      <c r="M152" s="1163"/>
      <c r="N152" s="1163"/>
      <c r="O152" s="427"/>
      <c r="P152" s="427"/>
      <c r="Q152" s="427"/>
      <c r="R152" s="427"/>
      <c r="S152" s="459"/>
      <c r="T152" s="460"/>
      <c r="U152" s="427"/>
      <c r="V152" s="634"/>
    </row>
    <row r="153" spans="1:22" ht="15" customHeight="1" x14ac:dyDescent="0.25">
      <c r="A153" s="567"/>
      <c r="B153" s="564"/>
      <c r="C153" s="553"/>
      <c r="D153" s="553"/>
      <c r="E153" s="553"/>
      <c r="F153" s="553"/>
      <c r="G153" s="1164" t="s">
        <v>2265</v>
      </c>
      <c r="H153" s="1164"/>
      <c r="I153" s="1164"/>
      <c r="J153" s="1165">
        <f>0.0075*0.9</f>
        <v>6.7499999999999999E-3</v>
      </c>
      <c r="K153" s="1166"/>
      <c r="L153" s="302"/>
      <c r="M153" s="480"/>
      <c r="N153" s="481"/>
      <c r="O153" s="601"/>
      <c r="P153" s="601"/>
      <c r="Q153" s="601"/>
      <c r="R153" s="601"/>
      <c r="S153" s="641"/>
      <c r="T153" s="642"/>
      <c r="U153" s="601"/>
      <c r="V153" s="643"/>
    </row>
    <row r="154" spans="1:22" ht="15" customHeight="1" thickBot="1" x14ac:dyDescent="0.3">
      <c r="A154" s="242"/>
      <c r="B154" s="243"/>
      <c r="C154" s="244"/>
      <c r="D154" s="244"/>
      <c r="E154" s="244"/>
      <c r="F154" s="244"/>
      <c r="G154" s="1066" t="s">
        <v>1199</v>
      </c>
      <c r="H154" s="1066"/>
      <c r="I154" s="1066"/>
      <c r="J154" s="630"/>
      <c r="K154" s="456">
        <f>SUM(J153)</f>
        <v>6.7499999999999999E-3</v>
      </c>
      <c r="L154" s="631"/>
      <c r="M154" s="632">
        <v>0.92</v>
      </c>
      <c r="N154" s="456">
        <f>K154/M154</f>
        <v>7.3369565217391297E-3</v>
      </c>
      <c r="O154" s="1066" t="s">
        <v>1199</v>
      </c>
      <c r="P154" s="1066"/>
      <c r="Q154" s="1066"/>
      <c r="R154" s="554"/>
      <c r="S154" s="456">
        <f>SUM(S152:S152)</f>
        <v>0</v>
      </c>
      <c r="T154" s="631"/>
      <c r="U154" s="554">
        <v>0.92</v>
      </c>
      <c r="V154" s="633">
        <f>S154/U154</f>
        <v>0</v>
      </c>
    </row>
    <row r="155" spans="1:22" ht="15" customHeight="1" x14ac:dyDescent="0.25">
      <c r="A155" s="566" t="str">
        <f>Итоговая!C302</f>
        <v xml:space="preserve">ПС 35/10 кВ №17 </v>
      </c>
      <c r="B155" s="563">
        <f>Итоговая!D302</f>
        <v>4</v>
      </c>
      <c r="C155" s="552" t="str">
        <f>Итоговая!E302</f>
        <v>+</v>
      </c>
      <c r="D155" s="552">
        <f>Итоговая!F302</f>
        <v>4</v>
      </c>
      <c r="E155" s="552"/>
      <c r="F155" s="552"/>
      <c r="G155" s="1168" t="s">
        <v>1645</v>
      </c>
      <c r="H155" s="1168"/>
      <c r="I155" s="1168"/>
      <c r="J155" s="1168"/>
      <c r="K155" s="1168"/>
      <c r="L155" s="1168"/>
      <c r="M155" s="1168"/>
      <c r="N155" s="1168"/>
      <c r="O155" s="427"/>
      <c r="P155" s="427"/>
      <c r="Q155" s="427"/>
      <c r="R155" s="427"/>
      <c r="S155" s="459"/>
      <c r="T155" s="460"/>
      <c r="U155" s="427"/>
      <c r="V155" s="634"/>
    </row>
    <row r="156" spans="1:22" ht="15" customHeight="1" x14ac:dyDescent="0.25">
      <c r="A156" s="567"/>
      <c r="B156" s="564"/>
      <c r="C156" s="553"/>
      <c r="D156" s="553"/>
      <c r="E156" s="553"/>
      <c r="F156" s="553"/>
      <c r="G156" s="596" t="s">
        <v>1756</v>
      </c>
      <c r="H156" s="596" t="s">
        <v>1757</v>
      </c>
      <c r="I156" s="596" t="s">
        <v>1800</v>
      </c>
      <c r="J156" s="286"/>
      <c r="K156" s="286">
        <v>0.1</v>
      </c>
      <c r="L156" s="302"/>
      <c r="M156" s="590"/>
      <c r="N156" s="302"/>
      <c r="O156" s="596"/>
      <c r="P156" s="596"/>
      <c r="Q156" s="596"/>
      <c r="R156" s="596"/>
      <c r="S156" s="286"/>
      <c r="T156" s="302"/>
      <c r="U156" s="596"/>
      <c r="V156" s="303"/>
    </row>
    <row r="157" spans="1:22" ht="15" customHeight="1" x14ac:dyDescent="0.25">
      <c r="A157" s="567"/>
      <c r="B157" s="564"/>
      <c r="C157" s="553"/>
      <c r="D157" s="553"/>
      <c r="E157" s="553"/>
      <c r="F157" s="553"/>
      <c r="G157" s="1163" t="s">
        <v>14933</v>
      </c>
      <c r="H157" s="1163"/>
      <c r="I157" s="1163"/>
      <c r="J157" s="1163"/>
      <c r="K157" s="1163"/>
      <c r="L157" s="1163"/>
      <c r="M157" s="1163"/>
      <c r="N157" s="1163"/>
      <c r="O157" s="596"/>
      <c r="P157" s="596"/>
      <c r="Q157" s="596"/>
      <c r="R157" s="596"/>
      <c r="S157" s="286"/>
      <c r="T157" s="302"/>
      <c r="U157" s="596"/>
      <c r="V157" s="303"/>
    </row>
    <row r="158" spans="1:22" ht="15" customHeight="1" x14ac:dyDescent="0.25">
      <c r="A158" s="567"/>
      <c r="B158" s="564"/>
      <c r="C158" s="553"/>
      <c r="D158" s="553"/>
      <c r="E158" s="553"/>
      <c r="F158" s="553"/>
      <c r="G158" s="596" t="s">
        <v>14930</v>
      </c>
      <c r="H158" s="596" t="s">
        <v>14931</v>
      </c>
      <c r="I158" s="596" t="s">
        <v>14941</v>
      </c>
      <c r="J158" s="286"/>
      <c r="K158" s="286">
        <f>0.3*0.9</f>
        <v>0.27</v>
      </c>
      <c r="L158" s="302"/>
      <c r="M158" s="590"/>
      <c r="N158" s="302"/>
      <c r="O158" s="596"/>
      <c r="P158" s="596"/>
      <c r="Q158" s="596"/>
      <c r="R158" s="596"/>
      <c r="S158" s="286"/>
      <c r="T158" s="302"/>
      <c r="U158" s="596"/>
      <c r="V158" s="303"/>
    </row>
    <row r="159" spans="1:22" ht="15" customHeight="1" x14ac:dyDescent="0.25">
      <c r="A159" s="567"/>
      <c r="B159" s="564"/>
      <c r="C159" s="553"/>
      <c r="D159" s="553"/>
      <c r="E159" s="553"/>
      <c r="F159" s="553"/>
      <c r="G159" s="1163" t="s">
        <v>18518</v>
      </c>
      <c r="H159" s="1163"/>
      <c r="I159" s="1163"/>
      <c r="J159" s="1163"/>
      <c r="K159" s="1163"/>
      <c r="L159" s="1163"/>
      <c r="M159" s="1163"/>
      <c r="N159" s="1163"/>
      <c r="O159" s="600"/>
      <c r="P159" s="600"/>
      <c r="Q159" s="600"/>
      <c r="R159" s="600"/>
      <c r="S159" s="640"/>
      <c r="T159" s="307"/>
      <c r="U159" s="600"/>
      <c r="V159" s="305"/>
    </row>
    <row r="160" spans="1:22" ht="15" customHeight="1" x14ac:dyDescent="0.25">
      <c r="A160" s="567"/>
      <c r="B160" s="564"/>
      <c r="C160" s="553"/>
      <c r="D160" s="553"/>
      <c r="E160" s="553"/>
      <c r="F160" s="553"/>
      <c r="G160" s="649" t="s">
        <v>18963</v>
      </c>
      <c r="H160" s="650" t="s">
        <v>18964</v>
      </c>
      <c r="I160" s="649">
        <v>41076632</v>
      </c>
      <c r="J160" s="651">
        <f>0.078*0.9</f>
        <v>7.0199999999999999E-2</v>
      </c>
      <c r="K160" s="651"/>
      <c r="L160" s="652"/>
      <c r="M160" s="290"/>
      <c r="N160" s="653"/>
      <c r="O160" s="600"/>
      <c r="P160" s="600"/>
      <c r="Q160" s="600"/>
      <c r="R160" s="600"/>
      <c r="S160" s="640"/>
      <c r="T160" s="307"/>
      <c r="U160" s="600"/>
      <c r="V160" s="305"/>
    </row>
    <row r="161" spans="1:22" ht="15" customHeight="1" x14ac:dyDescent="0.25">
      <c r="A161" s="567"/>
      <c r="B161" s="564"/>
      <c r="C161" s="553"/>
      <c r="D161" s="553"/>
      <c r="E161" s="553"/>
      <c r="F161" s="553"/>
      <c r="G161" s="1164" t="s">
        <v>2262</v>
      </c>
      <c r="H161" s="1164"/>
      <c r="I161" s="1164"/>
      <c r="J161" s="1165">
        <f>0.07*0.9*0.6</f>
        <v>3.7800000000000007E-2</v>
      </c>
      <c r="K161" s="1166"/>
      <c r="L161" s="307"/>
      <c r="M161" s="290"/>
      <c r="N161" s="307"/>
      <c r="O161" s="600"/>
      <c r="P161" s="600"/>
      <c r="Q161" s="600"/>
      <c r="R161" s="600"/>
      <c r="S161" s="640"/>
      <c r="T161" s="307"/>
      <c r="U161" s="600"/>
      <c r="V161" s="305"/>
    </row>
    <row r="162" spans="1:22" ht="15" customHeight="1" thickBot="1" x14ac:dyDescent="0.3">
      <c r="A162" s="242"/>
      <c r="B162" s="243"/>
      <c r="C162" s="244"/>
      <c r="D162" s="244"/>
      <c r="E162" s="244"/>
      <c r="F162" s="244"/>
      <c r="G162" s="1066" t="s">
        <v>1199</v>
      </c>
      <c r="H162" s="1066"/>
      <c r="I162" s="1066"/>
      <c r="J162" s="630"/>
      <c r="K162" s="456">
        <f>SUM(J158:K161)</f>
        <v>0.378</v>
      </c>
      <c r="L162" s="631"/>
      <c r="M162" s="632">
        <v>0.92</v>
      </c>
      <c r="N162" s="456">
        <f>K162/M162</f>
        <v>0.41086956521739126</v>
      </c>
      <c r="O162" s="1066" t="s">
        <v>1199</v>
      </c>
      <c r="P162" s="1066"/>
      <c r="Q162" s="1066"/>
      <c r="R162" s="554"/>
      <c r="S162" s="456">
        <f>SUM(S155:S155)</f>
        <v>0</v>
      </c>
      <c r="T162" s="631"/>
      <c r="U162" s="554">
        <v>0.92</v>
      </c>
      <c r="V162" s="633">
        <f>S162/U162</f>
        <v>0</v>
      </c>
    </row>
    <row r="163" spans="1:22" ht="15" customHeight="1" x14ac:dyDescent="0.25">
      <c r="A163" s="1092" t="str">
        <f>Итоговая!C303</f>
        <v>ПС  35/6 кВ Даниловская</v>
      </c>
      <c r="B163" s="1072">
        <f>Итоговая!D303</f>
        <v>2.5</v>
      </c>
      <c r="C163" s="1067" t="str">
        <f>Итоговая!E303</f>
        <v>+</v>
      </c>
      <c r="D163" s="1067">
        <f>Итоговая!F303</f>
        <v>6.3</v>
      </c>
      <c r="E163" s="552"/>
      <c r="F163" s="552"/>
      <c r="G163" s="1168" t="s">
        <v>1288</v>
      </c>
      <c r="H163" s="1168"/>
      <c r="I163" s="1168"/>
      <c r="J163" s="1168"/>
      <c r="K163" s="1168"/>
      <c r="L163" s="1168"/>
      <c r="M163" s="1168"/>
      <c r="N163" s="1168"/>
      <c r="O163" s="1168" t="s">
        <v>2011</v>
      </c>
      <c r="P163" s="1168"/>
      <c r="Q163" s="1168"/>
      <c r="R163" s="1168"/>
      <c r="S163" s="1168"/>
      <c r="T163" s="1168"/>
      <c r="U163" s="1168"/>
      <c r="V163" s="1169"/>
    </row>
    <row r="164" spans="1:22" ht="15" customHeight="1" x14ac:dyDescent="0.25">
      <c r="A164" s="1093"/>
      <c r="B164" s="1023"/>
      <c r="C164" s="1024"/>
      <c r="D164" s="1024"/>
      <c r="E164" s="553"/>
      <c r="F164" s="553"/>
      <c r="G164" s="590" t="s">
        <v>260</v>
      </c>
      <c r="H164" s="590" t="s">
        <v>261</v>
      </c>
      <c r="I164" s="590" t="s">
        <v>262</v>
      </c>
      <c r="J164" s="302"/>
      <c r="K164" s="286">
        <v>0.05</v>
      </c>
      <c r="L164" s="302"/>
      <c r="M164" s="590"/>
      <c r="N164" s="302"/>
      <c r="O164" s="600" t="s">
        <v>1579</v>
      </c>
      <c r="P164" s="600" t="s">
        <v>1580</v>
      </c>
      <c r="Q164" s="600" t="s">
        <v>2173</v>
      </c>
      <c r="R164" s="600"/>
      <c r="S164" s="640">
        <v>0.105</v>
      </c>
      <c r="T164" s="307"/>
      <c r="U164" s="290"/>
      <c r="V164" s="305"/>
    </row>
    <row r="165" spans="1:22" ht="15" customHeight="1" x14ac:dyDescent="0.25">
      <c r="A165" s="567"/>
      <c r="B165" s="564"/>
      <c r="C165" s="553"/>
      <c r="D165" s="553"/>
      <c r="E165" s="553"/>
      <c r="F165" s="553"/>
      <c r="G165" s="627" t="s">
        <v>263</v>
      </c>
      <c r="H165" s="627" t="s">
        <v>264</v>
      </c>
      <c r="I165" s="590" t="s">
        <v>265</v>
      </c>
      <c r="J165" s="302"/>
      <c r="K165" s="628">
        <v>0.35</v>
      </c>
      <c r="L165" s="302"/>
      <c r="M165" s="590"/>
      <c r="N165" s="302"/>
      <c r="O165" s="1163" t="s">
        <v>14933</v>
      </c>
      <c r="P165" s="1163"/>
      <c r="Q165" s="1163"/>
      <c r="R165" s="1163"/>
      <c r="S165" s="1163"/>
      <c r="T165" s="1163"/>
      <c r="U165" s="1163"/>
      <c r="V165" s="1198"/>
    </row>
    <row r="166" spans="1:22" ht="15" customHeight="1" x14ac:dyDescent="0.25">
      <c r="A166" s="567"/>
      <c r="B166" s="564"/>
      <c r="C166" s="553"/>
      <c r="D166" s="553"/>
      <c r="E166" s="553"/>
      <c r="F166" s="553"/>
      <c r="G166" s="1163" t="s">
        <v>1324</v>
      </c>
      <c r="H166" s="1163"/>
      <c r="I166" s="1163"/>
      <c r="J166" s="1163"/>
      <c r="K166" s="1163"/>
      <c r="L166" s="1163"/>
      <c r="M166" s="1163"/>
      <c r="N166" s="1163"/>
      <c r="O166" s="590" t="s">
        <v>18190</v>
      </c>
      <c r="P166" s="590" t="s">
        <v>18191</v>
      </c>
      <c r="Q166" s="590" t="s">
        <v>18192</v>
      </c>
      <c r="R166" s="590"/>
      <c r="S166" s="302">
        <v>6</v>
      </c>
      <c r="T166" s="302"/>
      <c r="U166" s="590"/>
      <c r="V166" s="303"/>
    </row>
    <row r="167" spans="1:22" ht="15" customHeight="1" x14ac:dyDescent="0.25">
      <c r="A167" s="567"/>
      <c r="B167" s="564"/>
      <c r="C167" s="553"/>
      <c r="D167" s="553"/>
      <c r="E167" s="553"/>
      <c r="F167" s="553"/>
      <c r="G167" s="596" t="s">
        <v>266</v>
      </c>
      <c r="H167" s="596" t="s">
        <v>267</v>
      </c>
      <c r="I167" s="596" t="s">
        <v>1480</v>
      </c>
      <c r="J167" s="286"/>
      <c r="K167" s="286">
        <v>0.2</v>
      </c>
      <c r="L167" s="302"/>
      <c r="M167" s="590"/>
      <c r="N167" s="302"/>
      <c r="O167" s="590"/>
      <c r="P167" s="590"/>
      <c r="Q167" s="590"/>
      <c r="R167" s="590"/>
      <c r="S167" s="302"/>
      <c r="T167" s="302"/>
      <c r="U167" s="590"/>
      <c r="V167" s="303"/>
    </row>
    <row r="168" spans="1:22" ht="15" customHeight="1" x14ac:dyDescent="0.25">
      <c r="A168" s="567"/>
      <c r="B168" s="564"/>
      <c r="C168" s="553"/>
      <c r="D168" s="553"/>
      <c r="E168" s="553"/>
      <c r="F168" s="553"/>
      <c r="G168" s="1163" t="s">
        <v>2011</v>
      </c>
      <c r="H168" s="1163"/>
      <c r="I168" s="1163"/>
      <c r="J168" s="1163"/>
      <c r="K168" s="1163"/>
      <c r="L168" s="1163"/>
      <c r="M168" s="1163"/>
      <c r="N168" s="1163"/>
      <c r="O168" s="590"/>
      <c r="P168" s="590"/>
      <c r="Q168" s="590"/>
      <c r="R168" s="590"/>
      <c r="S168" s="302"/>
      <c r="T168" s="302"/>
      <c r="U168" s="590"/>
      <c r="V168" s="303"/>
    </row>
    <row r="169" spans="1:22" ht="15" customHeight="1" x14ac:dyDescent="0.25">
      <c r="A169" s="567"/>
      <c r="B169" s="564"/>
      <c r="C169" s="553"/>
      <c r="D169" s="553"/>
      <c r="E169" s="553"/>
      <c r="F169" s="553"/>
      <c r="G169" s="596" t="s">
        <v>2233</v>
      </c>
      <c r="H169" s="596" t="s">
        <v>2178</v>
      </c>
      <c r="I169" s="590" t="s">
        <v>2234</v>
      </c>
      <c r="J169" s="302"/>
      <c r="K169" s="302">
        <f>1.7*0.9</f>
        <v>1.53</v>
      </c>
      <c r="L169" s="302"/>
      <c r="M169" s="590"/>
      <c r="N169" s="302"/>
      <c r="O169" s="590"/>
      <c r="P169" s="590"/>
      <c r="Q169" s="590"/>
      <c r="R169" s="590"/>
      <c r="S169" s="302"/>
      <c r="T169" s="302"/>
      <c r="U169" s="590"/>
      <c r="V169" s="303"/>
    </row>
    <row r="170" spans="1:22" ht="15" customHeight="1" x14ac:dyDescent="0.25">
      <c r="A170" s="567"/>
      <c r="B170" s="564"/>
      <c r="C170" s="553"/>
      <c r="D170" s="553"/>
      <c r="E170" s="553"/>
      <c r="F170" s="553"/>
      <c r="G170" s="1163" t="s">
        <v>2290</v>
      </c>
      <c r="H170" s="1163"/>
      <c r="I170" s="1163"/>
      <c r="J170" s="1163"/>
      <c r="K170" s="1163"/>
      <c r="L170" s="1163"/>
      <c r="M170" s="1163"/>
      <c r="N170" s="1163"/>
      <c r="O170" s="590"/>
      <c r="P170" s="590"/>
      <c r="Q170" s="590"/>
      <c r="R170" s="590"/>
      <c r="S170" s="302"/>
      <c r="T170" s="302"/>
      <c r="U170" s="590"/>
      <c r="V170" s="303"/>
    </row>
    <row r="171" spans="1:22" ht="15" customHeight="1" x14ac:dyDescent="0.25">
      <c r="A171" s="567"/>
      <c r="B171" s="564"/>
      <c r="C171" s="553"/>
      <c r="D171" s="553"/>
      <c r="E171" s="553"/>
      <c r="F171" s="553"/>
      <c r="G171" s="596" t="s">
        <v>2284</v>
      </c>
      <c r="H171" s="596" t="s">
        <v>2285</v>
      </c>
      <c r="I171" s="590" t="s">
        <v>2296</v>
      </c>
      <c r="J171" s="302"/>
      <c r="K171" s="302">
        <f>0.0472*0.9</f>
        <v>4.2479999999999997E-2</v>
      </c>
      <c r="L171" s="302"/>
      <c r="M171" s="590"/>
      <c r="N171" s="302"/>
      <c r="O171" s="590"/>
      <c r="P171" s="590"/>
      <c r="Q171" s="590"/>
      <c r="R171" s="590"/>
      <c r="S171" s="302"/>
      <c r="T171" s="302"/>
      <c r="U171" s="590"/>
      <c r="V171" s="303"/>
    </row>
    <row r="172" spans="1:22" ht="15" customHeight="1" x14ac:dyDescent="0.25">
      <c r="A172" s="567"/>
      <c r="B172" s="564"/>
      <c r="C172" s="553"/>
      <c r="D172" s="553"/>
      <c r="E172" s="553"/>
      <c r="F172" s="553"/>
      <c r="G172" s="596" t="s">
        <v>2225</v>
      </c>
      <c r="H172" s="596" t="s">
        <v>2226</v>
      </c>
      <c r="I172" s="590" t="s">
        <v>2326</v>
      </c>
      <c r="J172" s="302"/>
      <c r="K172" s="302">
        <f>0.06*0.9</f>
        <v>5.3999999999999999E-2</v>
      </c>
      <c r="L172" s="302"/>
      <c r="M172" s="590"/>
      <c r="N172" s="302"/>
      <c r="O172" s="590"/>
      <c r="P172" s="590"/>
      <c r="Q172" s="590"/>
      <c r="R172" s="590"/>
      <c r="S172" s="302"/>
      <c r="T172" s="302"/>
      <c r="U172" s="590"/>
      <c r="V172" s="303"/>
    </row>
    <row r="173" spans="1:22" ht="15" customHeight="1" x14ac:dyDescent="0.25">
      <c r="A173" s="567"/>
      <c r="B173" s="564"/>
      <c r="C173" s="553"/>
      <c r="D173" s="553"/>
      <c r="E173" s="553"/>
      <c r="F173" s="553"/>
      <c r="G173" s="596" t="s">
        <v>2313</v>
      </c>
      <c r="H173" s="596" t="s">
        <v>2361</v>
      </c>
      <c r="I173" s="590" t="s">
        <v>2420</v>
      </c>
      <c r="J173" s="302"/>
      <c r="K173" s="302">
        <f>0.1*0.9</f>
        <v>9.0000000000000011E-2</v>
      </c>
      <c r="L173" s="302"/>
      <c r="M173" s="590"/>
      <c r="N173" s="302"/>
      <c r="O173" s="590"/>
      <c r="P173" s="590"/>
      <c r="Q173" s="590"/>
      <c r="R173" s="590"/>
      <c r="S173" s="302"/>
      <c r="T173" s="302"/>
      <c r="U173" s="590"/>
      <c r="V173" s="303"/>
    </row>
    <row r="174" spans="1:22" ht="15" customHeight="1" x14ac:dyDescent="0.25">
      <c r="A174" s="567"/>
      <c r="B174" s="564"/>
      <c r="C174" s="553"/>
      <c r="D174" s="553"/>
      <c r="E174" s="553"/>
      <c r="F174" s="553"/>
      <c r="G174" s="590" t="s">
        <v>2313</v>
      </c>
      <c r="H174" s="590" t="s">
        <v>14803</v>
      </c>
      <c r="I174" s="590" t="s">
        <v>14820</v>
      </c>
      <c r="J174" s="302"/>
      <c r="K174" s="302">
        <f>0.28*0.75</f>
        <v>0.21000000000000002</v>
      </c>
      <c r="L174" s="302"/>
      <c r="M174" s="654"/>
      <c r="N174" s="655"/>
      <c r="O174" s="590"/>
      <c r="P174" s="590"/>
      <c r="Q174" s="590"/>
      <c r="R174" s="590"/>
      <c r="S174" s="302"/>
      <c r="T174" s="302"/>
      <c r="U174" s="590"/>
      <c r="V174" s="303"/>
    </row>
    <row r="175" spans="1:22" ht="15" customHeight="1" x14ac:dyDescent="0.25">
      <c r="A175" s="567"/>
      <c r="B175" s="564"/>
      <c r="C175" s="553"/>
      <c r="D175" s="553"/>
      <c r="E175" s="553"/>
      <c r="F175" s="553"/>
      <c r="G175" s="480" t="s">
        <v>2313</v>
      </c>
      <c r="H175" s="590" t="s">
        <v>14752</v>
      </c>
      <c r="I175" s="590" t="s">
        <v>14821</v>
      </c>
      <c r="J175" s="302"/>
      <c r="K175" s="302">
        <f>0.1*0.9</f>
        <v>9.0000000000000011E-2</v>
      </c>
      <c r="L175" s="302"/>
      <c r="M175" s="480"/>
      <c r="N175" s="481"/>
      <c r="O175" s="590"/>
      <c r="P175" s="590"/>
      <c r="Q175" s="590"/>
      <c r="R175" s="590"/>
      <c r="S175" s="302"/>
      <c r="T175" s="302"/>
      <c r="U175" s="590"/>
      <c r="V175" s="303"/>
    </row>
    <row r="176" spans="1:22" ht="15" customHeight="1" x14ac:dyDescent="0.25">
      <c r="A176" s="567"/>
      <c r="B176" s="564"/>
      <c r="C176" s="553"/>
      <c r="D176" s="553"/>
      <c r="E176" s="553"/>
      <c r="F176" s="553"/>
      <c r="G176" s="590" t="s">
        <v>2313</v>
      </c>
      <c r="H176" s="590" t="s">
        <v>14804</v>
      </c>
      <c r="I176" s="590" t="s">
        <v>14822</v>
      </c>
      <c r="J176" s="302"/>
      <c r="K176" s="302">
        <f>0.14*0.75</f>
        <v>0.10500000000000001</v>
      </c>
      <c r="L176" s="302"/>
      <c r="M176" s="480"/>
      <c r="N176" s="481"/>
      <c r="O176" s="590"/>
      <c r="P176" s="590"/>
      <c r="Q176" s="590"/>
      <c r="R176" s="590"/>
      <c r="S176" s="302"/>
      <c r="T176" s="302"/>
      <c r="U176" s="590"/>
      <c r="V176" s="303"/>
    </row>
    <row r="177" spans="1:22" ht="15" customHeight="1" x14ac:dyDescent="0.25">
      <c r="A177" s="567"/>
      <c r="B177" s="564"/>
      <c r="C177" s="553"/>
      <c r="D177" s="553"/>
      <c r="E177" s="553"/>
      <c r="F177" s="553"/>
      <c r="G177" s="480" t="s">
        <v>14753</v>
      </c>
      <c r="H177" s="590" t="s">
        <v>14754</v>
      </c>
      <c r="I177" s="590" t="s">
        <v>14823</v>
      </c>
      <c r="J177" s="302"/>
      <c r="K177" s="302">
        <f>0.2*0.9</f>
        <v>0.18000000000000002</v>
      </c>
      <c r="L177" s="302"/>
      <c r="M177" s="480"/>
      <c r="N177" s="481"/>
      <c r="O177" s="590"/>
      <c r="P177" s="590"/>
      <c r="Q177" s="590"/>
      <c r="R177" s="590"/>
      <c r="S177" s="302"/>
      <c r="T177" s="302"/>
      <c r="U177" s="590"/>
      <c r="V177" s="303"/>
    </row>
    <row r="178" spans="1:22" ht="15" customHeight="1" x14ac:dyDescent="0.25">
      <c r="A178" s="567"/>
      <c r="B178" s="564"/>
      <c r="C178" s="553"/>
      <c r="D178" s="553"/>
      <c r="E178" s="553"/>
      <c r="F178" s="553"/>
      <c r="G178" s="480" t="s">
        <v>14753</v>
      </c>
      <c r="H178" s="590" t="s">
        <v>14755</v>
      </c>
      <c r="I178" s="590" t="s">
        <v>14824</v>
      </c>
      <c r="J178" s="302"/>
      <c r="K178" s="302">
        <f>0.1*0.9</f>
        <v>9.0000000000000011E-2</v>
      </c>
      <c r="L178" s="302"/>
      <c r="M178" s="480"/>
      <c r="N178" s="481"/>
      <c r="O178" s="590"/>
      <c r="P178" s="590"/>
      <c r="Q178" s="590"/>
      <c r="R178" s="590"/>
      <c r="S178" s="302"/>
      <c r="T178" s="302"/>
      <c r="U178" s="590"/>
      <c r="V178" s="303"/>
    </row>
    <row r="179" spans="1:22" ht="15" customHeight="1" x14ac:dyDescent="0.25">
      <c r="A179" s="567"/>
      <c r="B179" s="564"/>
      <c r="C179" s="553"/>
      <c r="D179" s="553"/>
      <c r="E179" s="553"/>
      <c r="F179" s="553"/>
      <c r="G179" s="596" t="s">
        <v>2313</v>
      </c>
      <c r="H179" s="596" t="s">
        <v>14730</v>
      </c>
      <c r="I179" s="590" t="s">
        <v>14825</v>
      </c>
      <c r="J179" s="302"/>
      <c r="K179" s="302">
        <f>0.08*0.9</f>
        <v>7.2000000000000008E-2</v>
      </c>
      <c r="L179" s="302"/>
      <c r="M179" s="480"/>
      <c r="N179" s="481"/>
      <c r="O179" s="590"/>
      <c r="P179" s="590"/>
      <c r="Q179" s="590"/>
      <c r="R179" s="590"/>
      <c r="S179" s="302"/>
      <c r="T179" s="302"/>
      <c r="U179" s="590"/>
      <c r="V179" s="303"/>
    </row>
    <row r="180" spans="1:22" ht="15" customHeight="1" x14ac:dyDescent="0.25">
      <c r="A180" s="567"/>
      <c r="B180" s="564"/>
      <c r="C180" s="553"/>
      <c r="D180" s="553"/>
      <c r="E180" s="553"/>
      <c r="F180" s="553"/>
      <c r="G180" s="596" t="s">
        <v>14796</v>
      </c>
      <c r="H180" s="596" t="s">
        <v>14797</v>
      </c>
      <c r="I180" s="590" t="s">
        <v>14847</v>
      </c>
      <c r="J180" s="302"/>
      <c r="K180" s="302">
        <f>0.035*0.9</f>
        <v>3.1500000000000007E-2</v>
      </c>
      <c r="L180" s="302"/>
      <c r="M180" s="480"/>
      <c r="N180" s="481"/>
      <c r="O180" s="590"/>
      <c r="P180" s="590"/>
      <c r="Q180" s="590"/>
      <c r="R180" s="590"/>
      <c r="S180" s="302"/>
      <c r="T180" s="302"/>
      <c r="U180" s="590"/>
      <c r="V180" s="303"/>
    </row>
    <row r="181" spans="1:22" ht="15" customHeight="1" x14ac:dyDescent="0.25">
      <c r="A181" s="567"/>
      <c r="B181" s="564"/>
      <c r="C181" s="553"/>
      <c r="D181" s="553"/>
      <c r="E181" s="553"/>
      <c r="F181" s="553"/>
      <c r="G181" s="596" t="s">
        <v>14898</v>
      </c>
      <c r="H181" s="596" t="s">
        <v>14899</v>
      </c>
      <c r="I181" s="590" t="s">
        <v>14967</v>
      </c>
      <c r="J181" s="302"/>
      <c r="K181" s="302">
        <f>0.28*0.9</f>
        <v>0.25200000000000006</v>
      </c>
      <c r="L181" s="302"/>
      <c r="M181" s="480"/>
      <c r="N181" s="481"/>
      <c r="O181" s="590"/>
      <c r="P181" s="590"/>
      <c r="Q181" s="590"/>
      <c r="R181" s="590"/>
      <c r="S181" s="302"/>
      <c r="T181" s="302"/>
      <c r="U181" s="590"/>
      <c r="V181" s="303"/>
    </row>
    <row r="182" spans="1:22" ht="15" customHeight="1" x14ac:dyDescent="0.25">
      <c r="A182" s="567"/>
      <c r="B182" s="564"/>
      <c r="C182" s="553"/>
      <c r="D182" s="553"/>
      <c r="E182" s="553"/>
      <c r="F182" s="553"/>
      <c r="G182" s="1163" t="s">
        <v>14933</v>
      </c>
      <c r="H182" s="1163"/>
      <c r="I182" s="1163"/>
      <c r="J182" s="1163"/>
      <c r="K182" s="1163"/>
      <c r="L182" s="1163"/>
      <c r="M182" s="1163"/>
      <c r="N182" s="1163"/>
      <c r="O182" s="590"/>
      <c r="P182" s="590"/>
      <c r="Q182" s="590"/>
      <c r="R182" s="590"/>
      <c r="S182" s="302"/>
      <c r="T182" s="302"/>
      <c r="U182" s="590"/>
      <c r="V182" s="303"/>
    </row>
    <row r="183" spans="1:22" ht="15" customHeight="1" x14ac:dyDescent="0.25">
      <c r="A183" s="567"/>
      <c r="B183" s="564"/>
      <c r="C183" s="553"/>
      <c r="D183" s="553"/>
      <c r="E183" s="553"/>
      <c r="F183" s="553"/>
      <c r="G183" s="1164" t="s">
        <v>2265</v>
      </c>
      <c r="H183" s="1164"/>
      <c r="I183" s="1164"/>
      <c r="J183" s="1165">
        <f>0.5515*0.9</f>
        <v>0.49635000000000001</v>
      </c>
      <c r="K183" s="1166"/>
      <c r="L183" s="302"/>
      <c r="M183" s="480"/>
      <c r="N183" s="481"/>
      <c r="O183" s="590"/>
      <c r="P183" s="590"/>
      <c r="Q183" s="590"/>
      <c r="R183" s="590"/>
      <c r="S183" s="302"/>
      <c r="T183" s="302"/>
      <c r="U183" s="590"/>
      <c r="V183" s="303"/>
    </row>
    <row r="184" spans="1:22" ht="15" customHeight="1" x14ac:dyDescent="0.25">
      <c r="A184" s="567"/>
      <c r="B184" s="564"/>
      <c r="C184" s="553"/>
      <c r="D184" s="553"/>
      <c r="E184" s="553"/>
      <c r="F184" s="553"/>
      <c r="G184" s="1163" t="s">
        <v>18518</v>
      </c>
      <c r="H184" s="1163"/>
      <c r="I184" s="1163"/>
      <c r="J184" s="1163"/>
      <c r="K184" s="1163"/>
      <c r="L184" s="1163"/>
      <c r="M184" s="1163"/>
      <c r="N184" s="1163"/>
      <c r="O184" s="290"/>
      <c r="P184" s="290"/>
      <c r="Q184" s="290"/>
      <c r="R184" s="290"/>
      <c r="S184" s="307"/>
      <c r="T184" s="307"/>
      <c r="U184" s="290"/>
      <c r="V184" s="305"/>
    </row>
    <row r="185" spans="1:22" ht="15" customHeight="1" x14ac:dyDescent="0.25">
      <c r="A185" s="567"/>
      <c r="B185" s="564"/>
      <c r="C185" s="553"/>
      <c r="D185" s="553"/>
      <c r="E185" s="553"/>
      <c r="F185" s="553"/>
      <c r="G185" s="1164" t="s">
        <v>2265</v>
      </c>
      <c r="H185" s="1164"/>
      <c r="I185" s="1164"/>
      <c r="J185" s="1165">
        <f>1.857*0.9*0.6</f>
        <v>1.00278</v>
      </c>
      <c r="K185" s="1166"/>
      <c r="L185" s="302"/>
      <c r="M185" s="480"/>
      <c r="N185" s="481"/>
      <c r="O185" s="290"/>
      <c r="P185" s="290"/>
      <c r="Q185" s="290"/>
      <c r="R185" s="290"/>
      <c r="S185" s="307"/>
      <c r="T185" s="307"/>
      <c r="U185" s="290"/>
      <c r="V185" s="305"/>
    </row>
    <row r="186" spans="1:22" ht="15" customHeight="1" thickBot="1" x14ac:dyDescent="0.3">
      <c r="A186" s="565"/>
      <c r="B186" s="243"/>
      <c r="C186" s="244"/>
      <c r="D186" s="244"/>
      <c r="E186" s="244"/>
      <c r="F186" s="244"/>
      <c r="G186" s="554"/>
      <c r="H186" s="554"/>
      <c r="I186" s="554"/>
      <c r="J186" s="630"/>
      <c r="K186" s="456">
        <f>SUM(J183:K185)</f>
        <v>1.4991300000000001</v>
      </c>
      <c r="L186" s="631"/>
      <c r="M186" s="632">
        <v>0.92</v>
      </c>
      <c r="N186" s="456">
        <f>K186/M186</f>
        <v>1.6294891304347827</v>
      </c>
      <c r="O186" s="554"/>
      <c r="P186" s="554"/>
      <c r="Q186" s="554"/>
      <c r="R186" s="554"/>
      <c r="S186" s="456">
        <f>SUM(S164:S167)</f>
        <v>6.1050000000000004</v>
      </c>
      <c r="T186" s="631"/>
      <c r="U186" s="554">
        <v>0.92</v>
      </c>
      <c r="V186" s="633">
        <f>S186/U186</f>
        <v>6.6358695652173916</v>
      </c>
    </row>
    <row r="187" spans="1:22" ht="15" customHeight="1" x14ac:dyDescent="0.25">
      <c r="A187" s="566" t="str">
        <f>Итоговая!C304</f>
        <v>ПС 35/10 кВ Кушалино</v>
      </c>
      <c r="B187" s="563">
        <f>Итоговая!D304</f>
        <v>2.5</v>
      </c>
      <c r="C187" s="552" t="str">
        <f>Итоговая!E304</f>
        <v>+</v>
      </c>
      <c r="D187" s="552">
        <f>Итоговая!F304</f>
        <v>2.5</v>
      </c>
      <c r="E187" s="552"/>
      <c r="F187" s="552"/>
      <c r="G187" s="1168" t="s">
        <v>1286</v>
      </c>
      <c r="H187" s="1168"/>
      <c r="I187" s="1168"/>
      <c r="J187" s="1168"/>
      <c r="K187" s="1168"/>
      <c r="L187" s="1168"/>
      <c r="M187" s="1168"/>
      <c r="N187" s="1168"/>
      <c r="O187" s="1163" t="s">
        <v>2011</v>
      </c>
      <c r="P187" s="1163"/>
      <c r="Q187" s="1163"/>
      <c r="R187" s="1163"/>
      <c r="S187" s="1163"/>
      <c r="T187" s="1163"/>
      <c r="U187" s="1163"/>
      <c r="V187" s="1163"/>
    </row>
    <row r="188" spans="1:22" ht="15" customHeight="1" x14ac:dyDescent="0.25">
      <c r="A188" s="567"/>
      <c r="B188" s="564"/>
      <c r="C188" s="553"/>
      <c r="D188" s="553"/>
      <c r="E188" s="553"/>
      <c r="F188" s="553"/>
      <c r="G188" s="596" t="s">
        <v>498</v>
      </c>
      <c r="H188" s="596" t="s">
        <v>499</v>
      </c>
      <c r="I188" s="596" t="s">
        <v>1521</v>
      </c>
      <c r="J188" s="286"/>
      <c r="K188" s="286">
        <v>3.5000000000000003E-2</v>
      </c>
      <c r="L188" s="302"/>
      <c r="M188" s="590"/>
      <c r="N188" s="302"/>
      <c r="O188" s="725" t="s">
        <v>1962</v>
      </c>
      <c r="P188" s="725" t="s">
        <v>1963</v>
      </c>
      <c r="Q188" s="725" t="s">
        <v>2059</v>
      </c>
      <c r="R188" s="286"/>
      <c r="S188" s="286">
        <f>0.52034*0.75</f>
        <v>0.39025500000000002</v>
      </c>
      <c r="T188" s="302"/>
      <c r="U188" s="743"/>
      <c r="V188" s="302"/>
    </row>
    <row r="189" spans="1:22" ht="15" customHeight="1" x14ac:dyDescent="0.25">
      <c r="A189" s="567"/>
      <c r="B189" s="564"/>
      <c r="C189" s="553"/>
      <c r="D189" s="553"/>
      <c r="E189" s="553"/>
      <c r="F189" s="553"/>
      <c r="G189" s="1163" t="s">
        <v>1645</v>
      </c>
      <c r="H189" s="1163"/>
      <c r="I189" s="1163"/>
      <c r="J189" s="1163"/>
      <c r="K189" s="1163"/>
      <c r="L189" s="1163"/>
      <c r="M189" s="1163"/>
      <c r="N189" s="1163"/>
      <c r="O189" s="725" t="s">
        <v>2154</v>
      </c>
      <c r="P189" s="725" t="s">
        <v>2155</v>
      </c>
      <c r="Q189" s="725" t="s">
        <v>2197</v>
      </c>
      <c r="R189" s="286"/>
      <c r="S189" s="286">
        <f>0.06*0.9</f>
        <v>5.3999999999999999E-2</v>
      </c>
      <c r="T189" s="302"/>
      <c r="U189" s="743"/>
      <c r="V189" s="302"/>
    </row>
    <row r="190" spans="1:22" ht="15" customHeight="1" x14ac:dyDescent="0.25">
      <c r="A190" s="567"/>
      <c r="B190" s="564"/>
      <c r="C190" s="553"/>
      <c r="D190" s="553"/>
      <c r="E190" s="553"/>
      <c r="F190" s="553"/>
      <c r="G190" s="596" t="s">
        <v>1967</v>
      </c>
      <c r="H190" s="596" t="s">
        <v>1968</v>
      </c>
      <c r="I190" s="596" t="s">
        <v>2008</v>
      </c>
      <c r="J190" s="286"/>
      <c r="K190" s="286">
        <v>9.9000000000000005E-2</v>
      </c>
      <c r="L190" s="302"/>
      <c r="M190" s="590"/>
      <c r="N190" s="302"/>
      <c r="O190" s="725"/>
      <c r="P190" s="725"/>
      <c r="Q190" s="725"/>
      <c r="R190" s="286"/>
      <c r="S190" s="286"/>
      <c r="T190" s="302"/>
      <c r="U190" s="743"/>
      <c r="V190" s="302"/>
    </row>
    <row r="191" spans="1:22" ht="15" customHeight="1" x14ac:dyDescent="0.25">
      <c r="A191" s="567"/>
      <c r="B191" s="564"/>
      <c r="C191" s="553"/>
      <c r="D191" s="553"/>
      <c r="E191" s="553"/>
      <c r="F191" s="553"/>
      <c r="G191" s="1163" t="s">
        <v>2011</v>
      </c>
      <c r="H191" s="1163"/>
      <c r="I191" s="1163"/>
      <c r="J191" s="1163"/>
      <c r="K191" s="1163"/>
      <c r="L191" s="1163"/>
      <c r="M191" s="1163"/>
      <c r="N191" s="1163"/>
      <c r="O191" s="590"/>
      <c r="P191" s="590"/>
      <c r="Q191" s="590"/>
      <c r="R191" s="590"/>
      <c r="S191" s="302"/>
      <c r="T191" s="302"/>
      <c r="U191" s="590"/>
      <c r="V191" s="303"/>
    </row>
    <row r="192" spans="1:22" ht="15" customHeight="1" x14ac:dyDescent="0.25">
      <c r="A192" s="567"/>
      <c r="B192" s="564"/>
      <c r="C192" s="553"/>
      <c r="D192" s="553"/>
      <c r="E192" s="553"/>
      <c r="F192" s="553"/>
      <c r="G192" s="725" t="s">
        <v>1994</v>
      </c>
      <c r="H192" s="725" t="s">
        <v>1995</v>
      </c>
      <c r="I192" s="725" t="s">
        <v>2012</v>
      </c>
      <c r="J192" s="286"/>
      <c r="K192" s="286">
        <f>0.4*0.75</f>
        <v>0.30000000000000004</v>
      </c>
      <c r="L192" s="302"/>
      <c r="M192" s="743"/>
      <c r="N192" s="302"/>
      <c r="O192" s="590"/>
      <c r="P192" s="590"/>
      <c r="Q192" s="590"/>
      <c r="R192" s="590"/>
      <c r="S192" s="302"/>
      <c r="T192" s="302"/>
      <c r="U192" s="590"/>
      <c r="V192" s="303"/>
    </row>
    <row r="193" spans="1:22" ht="15" customHeight="1" x14ac:dyDescent="0.25">
      <c r="A193" s="567"/>
      <c r="B193" s="564"/>
      <c r="C193" s="553"/>
      <c r="D193" s="553"/>
      <c r="E193" s="553"/>
      <c r="F193" s="553"/>
      <c r="G193" s="1163" t="s">
        <v>18518</v>
      </c>
      <c r="H193" s="1163"/>
      <c r="I193" s="1163"/>
      <c r="J193" s="1163"/>
      <c r="K193" s="1163"/>
      <c r="L193" s="1163"/>
      <c r="M193" s="1163"/>
      <c r="N193" s="1163"/>
      <c r="O193" s="290"/>
      <c r="P193" s="290"/>
      <c r="Q193" s="290"/>
      <c r="R193" s="290"/>
      <c r="S193" s="307"/>
      <c r="T193" s="307"/>
      <c r="U193" s="290"/>
      <c r="V193" s="305"/>
    </row>
    <row r="194" spans="1:22" ht="15" customHeight="1" x14ac:dyDescent="0.25">
      <c r="A194" s="567"/>
      <c r="B194" s="564"/>
      <c r="C194" s="553"/>
      <c r="D194" s="553"/>
      <c r="E194" s="553"/>
      <c r="F194" s="553"/>
      <c r="G194" s="1164" t="s">
        <v>2265</v>
      </c>
      <c r="H194" s="1164"/>
      <c r="I194" s="1164"/>
      <c r="J194" s="1165">
        <f>0.557*0.9*0.6</f>
        <v>0.30078000000000005</v>
      </c>
      <c r="K194" s="1166"/>
      <c r="L194" s="302"/>
      <c r="M194" s="480"/>
      <c r="N194" s="481"/>
      <c r="O194" s="290"/>
      <c r="P194" s="290"/>
      <c r="Q194" s="290"/>
      <c r="R194" s="290"/>
      <c r="S194" s="307"/>
      <c r="T194" s="307"/>
      <c r="U194" s="290"/>
      <c r="V194" s="305"/>
    </row>
    <row r="195" spans="1:22" ht="15" customHeight="1" thickBot="1" x14ac:dyDescent="0.3">
      <c r="A195" s="242"/>
      <c r="B195" s="243"/>
      <c r="C195" s="244"/>
      <c r="D195" s="244"/>
      <c r="E195" s="244"/>
      <c r="F195" s="244"/>
      <c r="G195" s="1066" t="s">
        <v>1199</v>
      </c>
      <c r="H195" s="1066"/>
      <c r="I195" s="1066"/>
      <c r="J195" s="630"/>
      <c r="K195" s="456">
        <f>SUM(J194)</f>
        <v>0.30078000000000005</v>
      </c>
      <c r="L195" s="631"/>
      <c r="M195" s="632">
        <v>0.92</v>
      </c>
      <c r="N195" s="456">
        <f>K195/M195</f>
        <v>0.32693478260869568</v>
      </c>
      <c r="O195" s="1066" t="s">
        <v>1199</v>
      </c>
      <c r="P195" s="1066"/>
      <c r="Q195" s="1066"/>
      <c r="R195" s="554"/>
      <c r="S195" s="456">
        <f>SUM(S188:S188)</f>
        <v>0.39025500000000002</v>
      </c>
      <c r="T195" s="631"/>
      <c r="U195" s="554">
        <v>0.92</v>
      </c>
      <c r="V195" s="633">
        <f>S195/U195</f>
        <v>0.42419021739130436</v>
      </c>
    </row>
    <row r="196" spans="1:22" ht="15" customHeight="1" x14ac:dyDescent="0.25">
      <c r="A196" s="1092" t="str">
        <f>Итоговая!C305</f>
        <v xml:space="preserve">ПС 35/6 кВ №4 </v>
      </c>
      <c r="B196" s="1072">
        <f>Итоговая!D305</f>
        <v>5.6</v>
      </c>
      <c r="C196" s="1067" t="str">
        <f>Итоговая!E305</f>
        <v>+</v>
      </c>
      <c r="D196" s="1067">
        <f>Итоговая!F305</f>
        <v>5.6</v>
      </c>
      <c r="E196" s="552"/>
      <c r="F196" s="552"/>
      <c r="G196" s="1168" t="s">
        <v>1288</v>
      </c>
      <c r="H196" s="1168"/>
      <c r="I196" s="1168"/>
      <c r="J196" s="1168"/>
      <c r="K196" s="1168"/>
      <c r="L196" s="1168"/>
      <c r="M196" s="1168"/>
      <c r="N196" s="1168"/>
      <c r="O196" s="1181"/>
      <c r="P196" s="1181"/>
      <c r="Q196" s="1181"/>
      <c r="R196" s="1181"/>
      <c r="S196" s="1181"/>
      <c r="T196" s="1181"/>
      <c r="U196" s="1181"/>
      <c r="V196" s="1182"/>
    </row>
    <row r="197" spans="1:22" ht="15" customHeight="1" x14ac:dyDescent="0.25">
      <c r="A197" s="1093"/>
      <c r="B197" s="1023"/>
      <c r="C197" s="1024"/>
      <c r="D197" s="1024"/>
      <c r="E197" s="553"/>
      <c r="F197" s="553"/>
      <c r="G197" s="627" t="s">
        <v>421</v>
      </c>
      <c r="H197" s="627" t="s">
        <v>1070</v>
      </c>
      <c r="I197" s="627" t="s">
        <v>1071</v>
      </c>
      <c r="J197" s="628"/>
      <c r="K197" s="628">
        <v>0.77</v>
      </c>
      <c r="L197" s="302"/>
      <c r="M197" s="590"/>
      <c r="N197" s="302"/>
      <c r="O197" s="590"/>
      <c r="P197" s="590"/>
      <c r="Q197" s="590"/>
      <c r="R197" s="590"/>
      <c r="S197" s="302"/>
      <c r="T197" s="302"/>
      <c r="U197" s="590"/>
      <c r="V197" s="303"/>
    </row>
    <row r="198" spans="1:22" ht="15" customHeight="1" x14ac:dyDescent="0.25">
      <c r="A198" s="1093"/>
      <c r="B198" s="1023"/>
      <c r="C198" s="1024"/>
      <c r="D198" s="1024"/>
      <c r="E198" s="553"/>
      <c r="F198" s="553"/>
      <c r="G198" s="1163" t="s">
        <v>1286</v>
      </c>
      <c r="H198" s="1163"/>
      <c r="I198" s="1163"/>
      <c r="J198" s="1163"/>
      <c r="K198" s="1163"/>
      <c r="L198" s="1163"/>
      <c r="M198" s="1163"/>
      <c r="N198" s="1163"/>
      <c r="O198" s="1185"/>
      <c r="P198" s="1185"/>
      <c r="Q198" s="1185"/>
      <c r="R198" s="1185"/>
      <c r="S198" s="1185"/>
      <c r="T198" s="1185"/>
      <c r="U198" s="1185"/>
      <c r="V198" s="1186"/>
    </row>
    <row r="199" spans="1:22" ht="15" customHeight="1" x14ac:dyDescent="0.25">
      <c r="A199" s="567"/>
      <c r="B199" s="564"/>
      <c r="C199" s="553"/>
      <c r="D199" s="553"/>
      <c r="E199" s="553"/>
      <c r="F199" s="553"/>
      <c r="G199" s="432" t="s">
        <v>421</v>
      </c>
      <c r="H199" s="596" t="s">
        <v>967</v>
      </c>
      <c r="I199" s="596" t="s">
        <v>1538</v>
      </c>
      <c r="J199" s="286"/>
      <c r="K199" s="628">
        <v>0.2</v>
      </c>
      <c r="L199" s="302"/>
      <c r="M199" s="590"/>
      <c r="N199" s="302"/>
      <c r="O199" s="590"/>
      <c r="P199" s="590"/>
      <c r="Q199" s="590"/>
      <c r="R199" s="590"/>
      <c r="S199" s="302"/>
      <c r="T199" s="302"/>
      <c r="U199" s="590"/>
      <c r="V199" s="303"/>
    </row>
    <row r="200" spans="1:22" ht="15" customHeight="1" x14ac:dyDescent="0.25">
      <c r="A200" s="567"/>
      <c r="B200" s="564"/>
      <c r="C200" s="553"/>
      <c r="D200" s="553"/>
      <c r="E200" s="553"/>
      <c r="F200" s="553"/>
      <c r="G200" s="1163" t="s">
        <v>2011</v>
      </c>
      <c r="H200" s="1163"/>
      <c r="I200" s="1163"/>
      <c r="J200" s="1163"/>
      <c r="K200" s="1163"/>
      <c r="L200" s="1163"/>
      <c r="M200" s="1163"/>
      <c r="N200" s="1163"/>
      <c r="O200" s="590"/>
      <c r="P200" s="590"/>
      <c r="Q200" s="590"/>
      <c r="R200" s="590"/>
      <c r="S200" s="302"/>
      <c r="T200" s="302"/>
      <c r="U200" s="590"/>
      <c r="V200" s="303"/>
    </row>
    <row r="201" spans="1:22" ht="15" customHeight="1" x14ac:dyDescent="0.25">
      <c r="A201" s="567"/>
      <c r="B201" s="564"/>
      <c r="C201" s="553"/>
      <c r="D201" s="553"/>
      <c r="E201" s="553"/>
      <c r="F201" s="553"/>
      <c r="G201" s="596" t="s">
        <v>1972</v>
      </c>
      <c r="H201" s="596" t="s">
        <v>1973</v>
      </c>
      <c r="I201" s="596" t="s">
        <v>2047</v>
      </c>
      <c r="J201" s="286"/>
      <c r="K201" s="628">
        <f>0.5*0.9</f>
        <v>0.45</v>
      </c>
      <c r="L201" s="302"/>
      <c r="M201" s="590"/>
      <c r="N201" s="302"/>
      <c r="O201" s="590"/>
      <c r="P201" s="590"/>
      <c r="Q201" s="590"/>
      <c r="R201" s="590"/>
      <c r="S201" s="302"/>
      <c r="T201" s="302"/>
      <c r="U201" s="590"/>
      <c r="V201" s="303"/>
    </row>
    <row r="202" spans="1:22" ht="15" customHeight="1" x14ac:dyDescent="0.25">
      <c r="A202" s="567"/>
      <c r="B202" s="564"/>
      <c r="C202" s="553"/>
      <c r="D202" s="553"/>
      <c r="E202" s="553"/>
      <c r="F202" s="553"/>
      <c r="G202" s="1163" t="s">
        <v>2290</v>
      </c>
      <c r="H202" s="1163"/>
      <c r="I202" s="1163"/>
      <c r="J202" s="1163"/>
      <c r="K202" s="1163"/>
      <c r="L202" s="1163"/>
      <c r="M202" s="1163"/>
      <c r="N202" s="1163"/>
      <c r="O202" s="590"/>
      <c r="P202" s="590"/>
      <c r="Q202" s="590"/>
      <c r="R202" s="590"/>
      <c r="S202" s="302"/>
      <c r="T202" s="302"/>
      <c r="U202" s="590"/>
      <c r="V202" s="303"/>
    </row>
    <row r="203" spans="1:22" ht="15" customHeight="1" x14ac:dyDescent="0.25">
      <c r="A203" s="567"/>
      <c r="B203" s="564"/>
      <c r="C203" s="553"/>
      <c r="D203" s="553"/>
      <c r="E203" s="553"/>
      <c r="F203" s="553"/>
      <c r="G203" s="596" t="s">
        <v>1888</v>
      </c>
      <c r="H203" s="596" t="s">
        <v>2032</v>
      </c>
      <c r="I203" s="596" t="s">
        <v>14831</v>
      </c>
      <c r="J203" s="286"/>
      <c r="K203" s="286">
        <f>(0.75-0.533)*0.9</f>
        <v>0.19529999999999997</v>
      </c>
      <c r="L203" s="302"/>
      <c r="M203" s="590"/>
      <c r="N203" s="302"/>
      <c r="O203" s="590"/>
      <c r="P203" s="590"/>
      <c r="Q203" s="590"/>
      <c r="R203" s="590"/>
      <c r="S203" s="302"/>
      <c r="T203" s="302"/>
      <c r="U203" s="590"/>
      <c r="V203" s="303"/>
    </row>
    <row r="204" spans="1:22" ht="15" customHeight="1" thickBot="1" x14ac:dyDescent="0.3">
      <c r="A204" s="242"/>
      <c r="B204" s="243"/>
      <c r="C204" s="244"/>
      <c r="D204" s="244"/>
      <c r="E204" s="244"/>
      <c r="F204" s="244"/>
      <c r="G204" s="1066" t="s">
        <v>1199</v>
      </c>
      <c r="H204" s="1066"/>
      <c r="I204" s="1066"/>
      <c r="J204" s="630"/>
      <c r="K204" s="456">
        <f>SUM(0)</f>
        <v>0</v>
      </c>
      <c r="L204" s="631"/>
      <c r="M204" s="632">
        <v>0.92</v>
      </c>
      <c r="N204" s="456">
        <f>K204/M204</f>
        <v>0</v>
      </c>
      <c r="O204" s="1176" t="s">
        <v>1199</v>
      </c>
      <c r="P204" s="1176"/>
      <c r="Q204" s="1176"/>
      <c r="R204" s="600"/>
      <c r="S204" s="656">
        <f>SUM(S199:S199)</f>
        <v>0</v>
      </c>
      <c r="T204" s="307"/>
      <c r="U204" s="600">
        <v>0.92</v>
      </c>
      <c r="V204" s="657">
        <f>S204/U204</f>
        <v>0</v>
      </c>
    </row>
    <row r="205" spans="1:22" ht="15" customHeight="1" x14ac:dyDescent="0.25">
      <c r="A205" s="1092" t="str">
        <f>Итоговая!C306</f>
        <v>ПС  35/6 кВ №13</v>
      </c>
      <c r="B205" s="1072">
        <f>Итоговая!D306</f>
        <v>3.2</v>
      </c>
      <c r="C205" s="1067" t="str">
        <f>Итоговая!E306</f>
        <v>+</v>
      </c>
      <c r="D205" s="1067">
        <f>Итоговая!F306</f>
        <v>3.2</v>
      </c>
      <c r="E205" s="552"/>
      <c r="F205" s="552"/>
      <c r="G205" s="1168" t="s">
        <v>1286</v>
      </c>
      <c r="H205" s="1168"/>
      <c r="I205" s="1168"/>
      <c r="J205" s="1168"/>
      <c r="K205" s="1168"/>
      <c r="L205" s="1168"/>
      <c r="M205" s="1168"/>
      <c r="N205" s="1168"/>
      <c r="O205" s="477"/>
      <c r="P205" s="477"/>
      <c r="Q205" s="477"/>
      <c r="R205" s="477"/>
      <c r="S205" s="477"/>
      <c r="T205" s="477"/>
      <c r="U205" s="477"/>
      <c r="V205" s="658"/>
    </row>
    <row r="206" spans="1:22" ht="15" customHeight="1" thickBot="1" x14ac:dyDescent="0.3">
      <c r="A206" s="1093"/>
      <c r="B206" s="1023"/>
      <c r="C206" s="1024"/>
      <c r="D206" s="1024"/>
      <c r="E206" s="553"/>
      <c r="F206" s="553"/>
      <c r="G206" s="596" t="s">
        <v>1072</v>
      </c>
      <c r="H206" s="596" t="s">
        <v>1073</v>
      </c>
      <c r="I206" s="596" t="s">
        <v>1295</v>
      </c>
      <c r="J206" s="286"/>
      <c r="K206" s="286">
        <v>0.06</v>
      </c>
      <c r="L206" s="302"/>
      <c r="M206" s="590"/>
      <c r="N206" s="302"/>
      <c r="O206" s="480"/>
      <c r="P206" s="480"/>
      <c r="Q206" s="480"/>
      <c r="R206" s="480"/>
      <c r="S206" s="480"/>
      <c r="T206" s="480"/>
      <c r="U206" s="480"/>
      <c r="V206" s="638"/>
    </row>
    <row r="207" spans="1:22" ht="15" customHeight="1" x14ac:dyDescent="0.25">
      <c r="A207" s="567"/>
      <c r="B207" s="564"/>
      <c r="C207" s="553"/>
      <c r="D207" s="553"/>
      <c r="E207" s="553"/>
      <c r="F207" s="553"/>
      <c r="G207" s="1168" t="s">
        <v>18518</v>
      </c>
      <c r="H207" s="1168"/>
      <c r="I207" s="1168"/>
      <c r="J207" s="1168"/>
      <c r="K207" s="1168"/>
      <c r="L207" s="1168"/>
      <c r="M207" s="1168"/>
      <c r="N207" s="1168"/>
      <c r="O207" s="483"/>
      <c r="P207" s="483"/>
      <c r="Q207" s="483"/>
      <c r="R207" s="483"/>
      <c r="S207" s="483"/>
      <c r="T207" s="483"/>
      <c r="U207" s="483"/>
      <c r="V207" s="639"/>
    </row>
    <row r="208" spans="1:22" ht="15" customHeight="1" x14ac:dyDescent="0.25">
      <c r="A208" s="567"/>
      <c r="B208" s="564"/>
      <c r="C208" s="553"/>
      <c r="D208" s="553"/>
      <c r="E208" s="553"/>
      <c r="F208" s="553"/>
      <c r="G208" s="1164" t="s">
        <v>2262</v>
      </c>
      <c r="H208" s="1164"/>
      <c r="I208" s="1164"/>
      <c r="J208" s="1165">
        <f>0.028*0.9*0.6</f>
        <v>1.512E-2</v>
      </c>
      <c r="K208" s="1166"/>
      <c r="L208" s="307"/>
      <c r="M208" s="290"/>
      <c r="N208" s="307"/>
      <c r="O208" s="483"/>
      <c r="P208" s="483"/>
      <c r="Q208" s="483"/>
      <c r="R208" s="483"/>
      <c r="S208" s="483"/>
      <c r="T208" s="483"/>
      <c r="U208" s="483"/>
      <c r="V208" s="639"/>
    </row>
    <row r="209" spans="1:22" ht="15" customHeight="1" thickBot="1" x14ac:dyDescent="0.3">
      <c r="A209" s="242"/>
      <c r="B209" s="243"/>
      <c r="C209" s="244"/>
      <c r="D209" s="244"/>
      <c r="E209" s="244"/>
      <c r="F209" s="244"/>
      <c r="G209" s="1066" t="s">
        <v>1199</v>
      </c>
      <c r="H209" s="1066"/>
      <c r="I209" s="1066"/>
      <c r="J209" s="630"/>
      <c r="K209" s="456">
        <f>SUM(J208)</f>
        <v>1.512E-2</v>
      </c>
      <c r="L209" s="631"/>
      <c r="M209" s="632">
        <v>0.92</v>
      </c>
      <c r="N209" s="456">
        <f>K209/M209</f>
        <v>1.6434782608695651E-2</v>
      </c>
      <c r="O209" s="1066" t="s">
        <v>1199</v>
      </c>
      <c r="P209" s="1066"/>
      <c r="Q209" s="1066"/>
      <c r="R209" s="554"/>
      <c r="S209" s="456">
        <f>SUM(S205:S206)</f>
        <v>0</v>
      </c>
      <c r="T209" s="631"/>
      <c r="U209" s="554">
        <v>0.92</v>
      </c>
      <c r="V209" s="633">
        <f>S209/U209</f>
        <v>0</v>
      </c>
    </row>
    <row r="210" spans="1:22" ht="15" customHeight="1" x14ac:dyDescent="0.25">
      <c r="A210" s="1092" t="str">
        <f>Итоговая!C307</f>
        <v xml:space="preserve">ПС 35/6 кВ №27 </v>
      </c>
      <c r="B210" s="1072">
        <f>Итоговая!D307</f>
        <v>10</v>
      </c>
      <c r="C210" s="1067" t="str">
        <f>Итоговая!E307</f>
        <v>+</v>
      </c>
      <c r="D210" s="1067">
        <f>Итоговая!F307</f>
        <v>10</v>
      </c>
      <c r="E210" s="552"/>
      <c r="F210" s="552"/>
      <c r="G210" s="1168" t="s">
        <v>1288</v>
      </c>
      <c r="H210" s="1168"/>
      <c r="I210" s="1168"/>
      <c r="J210" s="1168"/>
      <c r="K210" s="1168"/>
      <c r="L210" s="1168"/>
      <c r="M210" s="1168"/>
      <c r="N210" s="1168"/>
      <c r="O210" s="1168" t="s">
        <v>14933</v>
      </c>
      <c r="P210" s="1168"/>
      <c r="Q210" s="1168"/>
      <c r="R210" s="1168"/>
      <c r="S210" s="1168"/>
      <c r="T210" s="1168"/>
      <c r="U210" s="1168"/>
      <c r="V210" s="1169"/>
    </row>
    <row r="211" spans="1:22" ht="15" customHeight="1" x14ac:dyDescent="0.25">
      <c r="A211" s="1093"/>
      <c r="B211" s="1023"/>
      <c r="C211" s="1024"/>
      <c r="D211" s="1024"/>
      <c r="E211" s="553"/>
      <c r="F211" s="553"/>
      <c r="G211" s="596" t="s">
        <v>731</v>
      </c>
      <c r="H211" s="596" t="s">
        <v>732</v>
      </c>
      <c r="I211" s="596" t="s">
        <v>733</v>
      </c>
      <c r="J211" s="286"/>
      <c r="K211" s="286">
        <v>0.02</v>
      </c>
      <c r="L211" s="302"/>
      <c r="M211" s="590"/>
      <c r="N211" s="302"/>
      <c r="O211" s="590" t="s">
        <v>729</v>
      </c>
      <c r="P211" s="590" t="s">
        <v>730</v>
      </c>
      <c r="Q211" s="590" t="s">
        <v>17429</v>
      </c>
      <c r="R211" s="590"/>
      <c r="S211" s="302">
        <v>3.1E-2</v>
      </c>
      <c r="T211" s="302"/>
      <c r="U211" s="590"/>
      <c r="V211" s="303"/>
    </row>
    <row r="212" spans="1:22" ht="15" customHeight="1" thickBot="1" x14ac:dyDescent="0.3">
      <c r="A212" s="242"/>
      <c r="B212" s="243"/>
      <c r="C212" s="244"/>
      <c r="D212" s="244"/>
      <c r="E212" s="244"/>
      <c r="F212" s="244"/>
      <c r="G212" s="1066" t="s">
        <v>1199</v>
      </c>
      <c r="H212" s="1066"/>
      <c r="I212" s="1066"/>
      <c r="J212" s="630"/>
      <c r="K212" s="456">
        <f>SUM(0)</f>
        <v>0</v>
      </c>
      <c r="L212" s="631"/>
      <c r="M212" s="632">
        <v>0.92</v>
      </c>
      <c r="N212" s="456">
        <f>K212/M212</f>
        <v>0</v>
      </c>
      <c r="O212" s="1066" t="s">
        <v>1199</v>
      </c>
      <c r="P212" s="1066"/>
      <c r="Q212" s="1066"/>
      <c r="R212" s="554"/>
      <c r="S212" s="456">
        <f>SUM(S211:S211)</f>
        <v>3.1E-2</v>
      </c>
      <c r="T212" s="631"/>
      <c r="U212" s="554">
        <v>0.92</v>
      </c>
      <c r="V212" s="633">
        <f>S212/U212</f>
        <v>3.3695652173913043E-2</v>
      </c>
    </row>
    <row r="213" spans="1:22" ht="15" customHeight="1" x14ac:dyDescent="0.25">
      <c r="A213" s="1092" t="str">
        <f>Итоговая!C308</f>
        <v xml:space="preserve">ПС 35/6 кВ Вагжановская </v>
      </c>
      <c r="B213" s="1072">
        <f>Итоговая!D308</f>
        <v>16</v>
      </c>
      <c r="C213" s="1067" t="str">
        <f>Итоговая!E308</f>
        <v>+</v>
      </c>
      <c r="D213" s="1067">
        <f>Итоговая!F308</f>
        <v>16</v>
      </c>
      <c r="E213" s="552"/>
      <c r="F213" s="552"/>
      <c r="G213" s="1168" t="s">
        <v>1288</v>
      </c>
      <c r="H213" s="1168"/>
      <c r="I213" s="1168"/>
      <c r="J213" s="1168"/>
      <c r="K213" s="1168"/>
      <c r="L213" s="1168"/>
      <c r="M213" s="1168"/>
      <c r="N213" s="1168"/>
      <c r="O213" s="1181"/>
      <c r="P213" s="1181"/>
      <c r="Q213" s="1181"/>
      <c r="R213" s="1181"/>
      <c r="S213" s="1181"/>
      <c r="T213" s="1181"/>
      <c r="U213" s="1181"/>
      <c r="V213" s="1182"/>
    </row>
    <row r="214" spans="1:22" ht="15" customHeight="1" x14ac:dyDescent="0.25">
      <c r="A214" s="1093"/>
      <c r="B214" s="1023"/>
      <c r="C214" s="1024"/>
      <c r="D214" s="1024"/>
      <c r="E214" s="553"/>
      <c r="F214" s="553"/>
      <c r="G214" s="590" t="s">
        <v>734</v>
      </c>
      <c r="H214" s="590" t="s">
        <v>735</v>
      </c>
      <c r="I214" s="590" t="s">
        <v>736</v>
      </c>
      <c r="J214" s="302"/>
      <c r="K214" s="302">
        <v>0.02</v>
      </c>
      <c r="L214" s="302"/>
      <c r="M214" s="590"/>
      <c r="N214" s="302"/>
      <c r="O214" s="590"/>
      <c r="P214" s="590"/>
      <c r="Q214" s="590"/>
      <c r="R214" s="590"/>
      <c r="S214" s="302"/>
      <c r="T214" s="302"/>
      <c r="U214" s="590"/>
      <c r="V214" s="303"/>
    </row>
    <row r="215" spans="1:22" ht="15" customHeight="1" x14ac:dyDescent="0.25">
      <c r="A215" s="1093"/>
      <c r="B215" s="1023"/>
      <c r="C215" s="1024"/>
      <c r="D215" s="1024"/>
      <c r="E215" s="553"/>
      <c r="F215" s="553"/>
      <c r="G215" s="1163" t="s">
        <v>1287</v>
      </c>
      <c r="H215" s="1163"/>
      <c r="I215" s="1163"/>
      <c r="J215" s="1163"/>
      <c r="K215" s="1163"/>
      <c r="L215" s="1163"/>
      <c r="M215" s="1163"/>
      <c r="N215" s="1163"/>
      <c r="O215" s="1185"/>
      <c r="P215" s="1185"/>
      <c r="Q215" s="1185"/>
      <c r="R215" s="1185"/>
      <c r="S215" s="1185"/>
      <c r="T215" s="1185"/>
      <c r="U215" s="1185"/>
      <c r="V215" s="1186"/>
    </row>
    <row r="216" spans="1:22" ht="15" customHeight="1" x14ac:dyDescent="0.25">
      <c r="A216" s="1093"/>
      <c r="B216" s="1023"/>
      <c r="C216" s="1024"/>
      <c r="D216" s="1024"/>
      <c r="E216" s="553"/>
      <c r="F216" s="553"/>
      <c r="G216" s="590" t="s">
        <v>737</v>
      </c>
      <c r="H216" s="590" t="s">
        <v>738</v>
      </c>
      <c r="I216" s="590" t="s">
        <v>739</v>
      </c>
      <c r="J216" s="302"/>
      <c r="K216" s="302">
        <v>0.05</v>
      </c>
      <c r="L216" s="302"/>
      <c r="M216" s="590"/>
      <c r="N216" s="302"/>
      <c r="O216" s="590"/>
      <c r="P216" s="590"/>
      <c r="Q216" s="590"/>
      <c r="R216" s="590"/>
      <c r="S216" s="302"/>
      <c r="T216" s="302"/>
      <c r="U216" s="590"/>
      <c r="V216" s="303"/>
    </row>
    <row r="217" spans="1:22" ht="15" customHeight="1" x14ac:dyDescent="0.25">
      <c r="A217" s="1093"/>
      <c r="B217" s="1023"/>
      <c r="C217" s="1024"/>
      <c r="D217" s="1024"/>
      <c r="E217" s="553"/>
      <c r="F217" s="553"/>
      <c r="G217" s="1163" t="s">
        <v>1286</v>
      </c>
      <c r="H217" s="1163"/>
      <c r="I217" s="1163"/>
      <c r="J217" s="1163"/>
      <c r="K217" s="1163"/>
      <c r="L217" s="1163"/>
      <c r="M217" s="1163"/>
      <c r="N217" s="1163"/>
      <c r="O217" s="1185"/>
      <c r="P217" s="1185"/>
      <c r="Q217" s="1185"/>
      <c r="R217" s="1185"/>
      <c r="S217" s="1185"/>
      <c r="T217" s="1185"/>
      <c r="U217" s="1185"/>
      <c r="V217" s="1186"/>
    </row>
    <row r="218" spans="1:22" ht="15" customHeight="1" x14ac:dyDescent="0.25">
      <c r="A218" s="1093"/>
      <c r="B218" s="1023"/>
      <c r="C218" s="1024"/>
      <c r="D218" s="1024"/>
      <c r="E218" s="553"/>
      <c r="F218" s="553"/>
      <c r="G218" s="596" t="s">
        <v>1533</v>
      </c>
      <c r="H218" s="596" t="s">
        <v>740</v>
      </c>
      <c r="I218" s="596" t="s">
        <v>1534</v>
      </c>
      <c r="J218" s="286"/>
      <c r="K218" s="302">
        <v>0.05</v>
      </c>
      <c r="L218" s="302"/>
      <c r="M218" s="590"/>
      <c r="N218" s="302"/>
      <c r="O218" s="590"/>
      <c r="P218" s="590"/>
      <c r="Q218" s="590"/>
      <c r="R218" s="590"/>
      <c r="S218" s="302"/>
      <c r="T218" s="302"/>
      <c r="U218" s="590"/>
      <c r="V218" s="303"/>
    </row>
    <row r="219" spans="1:22" ht="15" customHeight="1" x14ac:dyDescent="0.25">
      <c r="A219" s="1093"/>
      <c r="B219" s="1023"/>
      <c r="C219" s="1024"/>
      <c r="D219" s="1024"/>
      <c r="E219" s="553"/>
      <c r="F219" s="553"/>
      <c r="G219" s="596" t="s">
        <v>1106</v>
      </c>
      <c r="H219" s="596" t="s">
        <v>1417</v>
      </c>
      <c r="I219" s="596" t="s">
        <v>1742</v>
      </c>
      <c r="J219" s="286"/>
      <c r="K219" s="286">
        <v>0.25</v>
      </c>
      <c r="L219" s="302"/>
      <c r="M219" s="590"/>
      <c r="N219" s="302"/>
      <c r="O219" s="590"/>
      <c r="P219" s="590"/>
      <c r="Q219" s="590"/>
      <c r="R219" s="590"/>
      <c r="S219" s="302"/>
      <c r="T219" s="302"/>
      <c r="U219" s="590"/>
      <c r="V219" s="303"/>
    </row>
    <row r="220" spans="1:22" ht="15" customHeight="1" thickBot="1" x14ac:dyDescent="0.3">
      <c r="A220" s="242"/>
      <c r="B220" s="243"/>
      <c r="C220" s="244"/>
      <c r="D220" s="244"/>
      <c r="E220" s="244"/>
      <c r="F220" s="244"/>
      <c r="G220" s="1066" t="s">
        <v>1199</v>
      </c>
      <c r="H220" s="1066"/>
      <c r="I220" s="1066"/>
      <c r="J220" s="630"/>
      <c r="K220" s="456">
        <f>SUM(0)</f>
        <v>0</v>
      </c>
      <c r="L220" s="631"/>
      <c r="M220" s="632">
        <v>0.92</v>
      </c>
      <c r="N220" s="456">
        <f>K220/M220</f>
        <v>0</v>
      </c>
      <c r="O220" s="1066" t="s">
        <v>1199</v>
      </c>
      <c r="P220" s="1066"/>
      <c r="Q220" s="1066"/>
      <c r="R220" s="554"/>
      <c r="S220" s="456">
        <f>SUM(S216:S219)</f>
        <v>0</v>
      </c>
      <c r="T220" s="631"/>
      <c r="U220" s="554">
        <v>0.92</v>
      </c>
      <c r="V220" s="633">
        <f>S220/U220</f>
        <v>0</v>
      </c>
    </row>
    <row r="221" spans="1:22" ht="15" customHeight="1" x14ac:dyDescent="0.25">
      <c r="A221" s="1092" t="str">
        <f>Итоговая!C309</f>
        <v>ПС  35/6 кВ Завод 1 Мая</v>
      </c>
      <c r="B221" s="1072">
        <f>Итоговая!D309</f>
        <v>10</v>
      </c>
      <c r="C221" s="1067" t="str">
        <f>Итоговая!E309</f>
        <v>+</v>
      </c>
      <c r="D221" s="1067">
        <f>Итоговая!F309</f>
        <v>10</v>
      </c>
      <c r="E221" s="552"/>
      <c r="F221" s="552"/>
      <c r="G221" s="427"/>
      <c r="H221" s="427"/>
      <c r="I221" s="427"/>
      <c r="J221" s="459"/>
      <c r="K221" s="459"/>
      <c r="L221" s="460"/>
      <c r="M221" s="588"/>
      <c r="N221" s="460"/>
      <c r="O221" s="588"/>
      <c r="P221" s="588"/>
      <c r="Q221" s="588"/>
      <c r="R221" s="588"/>
      <c r="S221" s="460"/>
      <c r="T221" s="460"/>
      <c r="U221" s="588"/>
      <c r="V221" s="634"/>
    </row>
    <row r="222" spans="1:22" ht="15" customHeight="1" x14ac:dyDescent="0.25">
      <c r="A222" s="1093"/>
      <c r="B222" s="1023"/>
      <c r="C222" s="1024"/>
      <c r="D222" s="1024"/>
      <c r="E222" s="553"/>
      <c r="F222" s="553"/>
      <c r="G222" s="1163" t="s">
        <v>1287</v>
      </c>
      <c r="H222" s="1163"/>
      <c r="I222" s="1163"/>
      <c r="J222" s="1163"/>
      <c r="K222" s="1163"/>
      <c r="L222" s="1163"/>
      <c r="M222" s="1163"/>
      <c r="N222" s="1163"/>
      <c r="O222" s="1185"/>
      <c r="P222" s="1185"/>
      <c r="Q222" s="1185"/>
      <c r="R222" s="1185"/>
      <c r="S222" s="1185"/>
      <c r="T222" s="1185"/>
      <c r="U222" s="1185"/>
      <c r="V222" s="1186"/>
    </row>
    <row r="223" spans="1:22" ht="15" customHeight="1" x14ac:dyDescent="0.25">
      <c r="A223" s="1093"/>
      <c r="B223" s="1023"/>
      <c r="C223" s="1024"/>
      <c r="D223" s="1024"/>
      <c r="E223" s="553"/>
      <c r="F223" s="553"/>
      <c r="G223" s="596" t="s">
        <v>741</v>
      </c>
      <c r="H223" s="596" t="s">
        <v>742</v>
      </c>
      <c r="I223" s="596" t="s">
        <v>743</v>
      </c>
      <c r="J223" s="286"/>
      <c r="K223" s="286">
        <v>2.0670000000000002</v>
      </c>
      <c r="L223" s="302"/>
      <c r="M223" s="590"/>
      <c r="N223" s="302"/>
      <c r="O223" s="590"/>
      <c r="P223" s="590"/>
      <c r="Q223" s="590"/>
      <c r="R223" s="590"/>
      <c r="S223" s="302"/>
      <c r="T223" s="302"/>
      <c r="U223" s="590"/>
      <c r="V223" s="303"/>
    </row>
    <row r="224" spans="1:22" ht="15" customHeight="1" thickBot="1" x14ac:dyDescent="0.3">
      <c r="A224" s="242"/>
      <c r="B224" s="243"/>
      <c r="C224" s="244"/>
      <c r="D224" s="244"/>
      <c r="E224" s="244"/>
      <c r="F224" s="244"/>
      <c r="G224" s="1066" t="s">
        <v>1199</v>
      </c>
      <c r="H224" s="1066"/>
      <c r="I224" s="1066"/>
      <c r="J224" s="630"/>
      <c r="K224" s="456">
        <f>SUM(0)</f>
        <v>0</v>
      </c>
      <c r="L224" s="631"/>
      <c r="M224" s="632">
        <v>0.92</v>
      </c>
      <c r="N224" s="456">
        <f>K224/M224</f>
        <v>0</v>
      </c>
      <c r="O224" s="1066" t="s">
        <v>1199</v>
      </c>
      <c r="P224" s="1066"/>
      <c r="Q224" s="1066"/>
      <c r="R224" s="554"/>
      <c r="S224" s="456">
        <f>SUM(S221:S223)</f>
        <v>0</v>
      </c>
      <c r="T224" s="631"/>
      <c r="U224" s="554">
        <v>0.92</v>
      </c>
      <c r="V224" s="633">
        <f>S224/U224</f>
        <v>0</v>
      </c>
    </row>
    <row r="225" spans="1:22" ht="15" customHeight="1" x14ac:dyDescent="0.25">
      <c r="A225" s="566"/>
      <c r="B225" s="563"/>
      <c r="C225" s="552"/>
      <c r="D225" s="552"/>
      <c r="E225" s="552"/>
      <c r="F225" s="552"/>
      <c r="G225" s="1168" t="s">
        <v>1287</v>
      </c>
      <c r="H225" s="1168"/>
      <c r="I225" s="1168"/>
      <c r="J225" s="1168"/>
      <c r="K225" s="1168"/>
      <c r="L225" s="1168"/>
      <c r="M225" s="1168"/>
      <c r="N225" s="1168"/>
      <c r="O225" s="1181"/>
      <c r="P225" s="1181"/>
      <c r="Q225" s="1181"/>
      <c r="R225" s="1181"/>
      <c r="S225" s="1181"/>
      <c r="T225" s="1181"/>
      <c r="U225" s="1181"/>
      <c r="V225" s="1182"/>
    </row>
    <row r="226" spans="1:22" ht="15" customHeight="1" x14ac:dyDescent="0.25">
      <c r="A226" s="1093" t="str">
        <f>Итоговая!C310</f>
        <v xml:space="preserve">ПС 35/6 кВ Стекловолокно </v>
      </c>
      <c r="B226" s="1023">
        <f>Итоговая!D310</f>
        <v>10</v>
      </c>
      <c r="C226" s="1024" t="str">
        <f>Итоговая!E310</f>
        <v>+</v>
      </c>
      <c r="D226" s="1024">
        <f>Итоговая!F310</f>
        <v>10</v>
      </c>
      <c r="E226" s="553"/>
      <c r="F226" s="553"/>
      <c r="G226" s="627" t="s">
        <v>744</v>
      </c>
      <c r="H226" s="627" t="s">
        <v>745</v>
      </c>
      <c r="I226" s="627" t="s">
        <v>746</v>
      </c>
      <c r="J226" s="628"/>
      <c r="K226" s="659">
        <v>8.3000000000000004E-2</v>
      </c>
      <c r="L226" s="646"/>
      <c r="M226" s="590"/>
      <c r="N226" s="302"/>
      <c r="O226" s="590"/>
      <c r="P226" s="590"/>
      <c r="Q226" s="590"/>
      <c r="R226" s="590"/>
      <c r="S226" s="646"/>
      <c r="T226" s="646"/>
      <c r="U226" s="590"/>
      <c r="V226" s="303"/>
    </row>
    <row r="227" spans="1:22" ht="15" customHeight="1" x14ac:dyDescent="0.25">
      <c r="A227" s="1093"/>
      <c r="B227" s="1023"/>
      <c r="C227" s="1024"/>
      <c r="D227" s="1024"/>
      <c r="E227" s="553"/>
      <c r="F227" s="553"/>
      <c r="G227" s="627" t="s">
        <v>748</v>
      </c>
      <c r="H227" s="627" t="s">
        <v>749</v>
      </c>
      <c r="I227" s="627" t="s">
        <v>750</v>
      </c>
      <c r="J227" s="628"/>
      <c r="K227" s="628">
        <v>0.16</v>
      </c>
      <c r="L227" s="302"/>
      <c r="M227" s="590"/>
      <c r="N227" s="302"/>
      <c r="O227" s="590"/>
      <c r="P227" s="590"/>
      <c r="Q227" s="590"/>
      <c r="R227" s="590"/>
      <c r="S227" s="302"/>
      <c r="T227" s="302"/>
      <c r="U227" s="590"/>
      <c r="V227" s="303"/>
    </row>
    <row r="228" spans="1:22" ht="15" customHeight="1" x14ac:dyDescent="0.25">
      <c r="A228" s="1093"/>
      <c r="B228" s="1023"/>
      <c r="C228" s="1024"/>
      <c r="D228" s="1024"/>
      <c r="E228" s="553"/>
      <c r="F228" s="553"/>
      <c r="G228" s="1163" t="s">
        <v>1286</v>
      </c>
      <c r="H228" s="1163"/>
      <c r="I228" s="1163"/>
      <c r="J228" s="1163"/>
      <c r="K228" s="1163"/>
      <c r="L228" s="1163"/>
      <c r="M228" s="1163"/>
      <c r="N228" s="1163"/>
      <c r="O228" s="1185"/>
      <c r="P228" s="1185"/>
      <c r="Q228" s="1185"/>
      <c r="R228" s="1185"/>
      <c r="S228" s="1185"/>
      <c r="T228" s="1185"/>
      <c r="U228" s="1185"/>
      <c r="V228" s="1186"/>
    </row>
    <row r="229" spans="1:22" ht="15" customHeight="1" x14ac:dyDescent="0.25">
      <c r="A229" s="1093"/>
      <c r="B229" s="1023"/>
      <c r="C229" s="1024"/>
      <c r="D229" s="1024"/>
      <c r="E229" s="553"/>
      <c r="F229" s="553"/>
      <c r="G229" s="596" t="s">
        <v>751</v>
      </c>
      <c r="H229" s="596" t="s">
        <v>752</v>
      </c>
      <c r="I229" s="627" t="s">
        <v>753</v>
      </c>
      <c r="J229" s="628"/>
      <c r="K229" s="628">
        <v>0.03</v>
      </c>
      <c r="L229" s="302"/>
      <c r="M229" s="590"/>
      <c r="N229" s="302"/>
      <c r="O229" s="590"/>
      <c r="P229" s="590"/>
      <c r="Q229" s="590"/>
      <c r="R229" s="590"/>
      <c r="S229" s="302"/>
      <c r="T229" s="302"/>
      <c r="U229" s="590"/>
      <c r="V229" s="303"/>
    </row>
    <row r="230" spans="1:22" ht="15" customHeight="1" x14ac:dyDescent="0.25">
      <c r="A230" s="567"/>
      <c r="B230" s="564"/>
      <c r="C230" s="553"/>
      <c r="D230" s="553"/>
      <c r="E230" s="553"/>
      <c r="F230" s="553"/>
      <c r="G230" s="1163" t="s">
        <v>1324</v>
      </c>
      <c r="H230" s="1163"/>
      <c r="I230" s="1163"/>
      <c r="J230" s="1163"/>
      <c r="K230" s="1163"/>
      <c r="L230" s="1163"/>
      <c r="M230" s="1163"/>
      <c r="N230" s="1163"/>
      <c r="O230" s="1185"/>
      <c r="P230" s="1185"/>
      <c r="Q230" s="1185"/>
      <c r="R230" s="1185"/>
      <c r="S230" s="1185"/>
      <c r="T230" s="1185"/>
      <c r="U230" s="1185"/>
      <c r="V230" s="1186"/>
    </row>
    <row r="231" spans="1:22" ht="15" customHeight="1" x14ac:dyDescent="0.25">
      <c r="A231" s="567"/>
      <c r="B231" s="564"/>
      <c r="C231" s="553"/>
      <c r="D231" s="553"/>
      <c r="E231" s="553"/>
      <c r="F231" s="553"/>
      <c r="G231" s="627" t="s">
        <v>747</v>
      </c>
      <c r="H231" s="627" t="s">
        <v>895</v>
      </c>
      <c r="I231" s="596" t="s">
        <v>1462</v>
      </c>
      <c r="J231" s="286"/>
      <c r="K231" s="659">
        <v>1</v>
      </c>
      <c r="L231" s="646"/>
      <c r="M231" s="590"/>
      <c r="N231" s="302"/>
      <c r="O231" s="590"/>
      <c r="P231" s="590"/>
      <c r="Q231" s="590"/>
      <c r="R231" s="590"/>
      <c r="S231" s="646"/>
      <c r="T231" s="646"/>
      <c r="U231" s="590"/>
      <c r="V231" s="303"/>
    </row>
    <row r="232" spans="1:22" ht="15" customHeight="1" x14ac:dyDescent="0.25">
      <c r="A232" s="567"/>
      <c r="B232" s="564"/>
      <c r="C232" s="553"/>
      <c r="D232" s="553"/>
      <c r="E232" s="553"/>
      <c r="F232" s="553"/>
      <c r="G232" s="627" t="s">
        <v>747</v>
      </c>
      <c r="H232" s="627" t="s">
        <v>895</v>
      </c>
      <c r="I232" s="660" t="s">
        <v>1463</v>
      </c>
      <c r="J232" s="659"/>
      <c r="K232" s="659">
        <v>1</v>
      </c>
      <c r="L232" s="646"/>
      <c r="M232" s="590"/>
      <c r="N232" s="302"/>
      <c r="O232" s="590"/>
      <c r="P232" s="590"/>
      <c r="Q232" s="467"/>
      <c r="R232" s="467"/>
      <c r="S232" s="646"/>
      <c r="T232" s="646"/>
      <c r="U232" s="590"/>
      <c r="V232" s="303"/>
    </row>
    <row r="233" spans="1:22" ht="15" customHeight="1" x14ac:dyDescent="0.25">
      <c r="A233" s="567"/>
      <c r="B233" s="564"/>
      <c r="C233" s="553"/>
      <c r="D233" s="553"/>
      <c r="E233" s="553"/>
      <c r="F233" s="553"/>
      <c r="G233" s="627" t="s">
        <v>1394</v>
      </c>
      <c r="H233" s="627" t="s">
        <v>1395</v>
      </c>
      <c r="I233" s="277" t="s">
        <v>1506</v>
      </c>
      <c r="J233" s="279"/>
      <c r="K233" s="659">
        <v>0.75</v>
      </c>
      <c r="L233" s="646"/>
      <c r="M233" s="590"/>
      <c r="N233" s="302"/>
      <c r="O233" s="590"/>
      <c r="P233" s="590"/>
      <c r="Q233" s="278"/>
      <c r="R233" s="278"/>
      <c r="S233" s="646"/>
      <c r="T233" s="646"/>
      <c r="U233" s="590"/>
      <c r="V233" s="303"/>
    </row>
    <row r="234" spans="1:22" ht="15" customHeight="1" x14ac:dyDescent="0.25">
      <c r="A234" s="567"/>
      <c r="B234" s="564"/>
      <c r="C234" s="553"/>
      <c r="D234" s="553"/>
      <c r="E234" s="553"/>
      <c r="F234" s="553"/>
      <c r="G234" s="596" t="s">
        <v>1572</v>
      </c>
      <c r="H234" s="596" t="s">
        <v>1573</v>
      </c>
      <c r="I234" s="596" t="s">
        <v>1595</v>
      </c>
      <c r="J234" s="286"/>
      <c r="K234" s="659">
        <v>0.03</v>
      </c>
      <c r="L234" s="646"/>
      <c r="M234" s="590"/>
      <c r="N234" s="302"/>
      <c r="O234" s="590"/>
      <c r="P234" s="590"/>
      <c r="Q234" s="590"/>
      <c r="R234" s="590"/>
      <c r="S234" s="646"/>
      <c r="T234" s="646"/>
      <c r="U234" s="590"/>
      <c r="V234" s="303"/>
    </row>
    <row r="235" spans="1:22" ht="15" customHeight="1" x14ac:dyDescent="0.25">
      <c r="A235" s="567"/>
      <c r="B235" s="564"/>
      <c r="C235" s="553"/>
      <c r="D235" s="553"/>
      <c r="E235" s="553"/>
      <c r="F235" s="553"/>
      <c r="G235" s="627" t="s">
        <v>1220</v>
      </c>
      <c r="H235" s="627" t="s">
        <v>1328</v>
      </c>
      <c r="I235" s="596" t="s">
        <v>1618</v>
      </c>
      <c r="J235" s="286"/>
      <c r="K235" s="659">
        <v>2.3E-2</v>
      </c>
      <c r="L235" s="646"/>
      <c r="M235" s="590"/>
      <c r="N235" s="302"/>
      <c r="O235" s="590"/>
      <c r="P235" s="590"/>
      <c r="Q235" s="590"/>
      <c r="R235" s="590"/>
      <c r="S235" s="646"/>
      <c r="T235" s="646"/>
      <c r="U235" s="590"/>
      <c r="V235" s="303"/>
    </row>
    <row r="236" spans="1:22" ht="15" customHeight="1" x14ac:dyDescent="0.25">
      <c r="A236" s="567"/>
      <c r="B236" s="564"/>
      <c r="C236" s="553"/>
      <c r="D236" s="553"/>
      <c r="E236" s="553"/>
      <c r="F236" s="553"/>
      <c r="G236" s="627" t="s">
        <v>1220</v>
      </c>
      <c r="H236" s="627" t="s">
        <v>1329</v>
      </c>
      <c r="I236" s="596" t="s">
        <v>1619</v>
      </c>
      <c r="J236" s="286"/>
      <c r="K236" s="628">
        <v>2.2499999999999999E-2</v>
      </c>
      <c r="L236" s="302"/>
      <c r="M236" s="590"/>
      <c r="N236" s="302"/>
      <c r="O236" s="590"/>
      <c r="P236" s="590"/>
      <c r="Q236" s="590"/>
      <c r="R236" s="590"/>
      <c r="S236" s="302"/>
      <c r="T236" s="302"/>
      <c r="U236" s="590"/>
      <c r="V236" s="303"/>
    </row>
    <row r="237" spans="1:22" ht="15" customHeight="1" x14ac:dyDescent="0.25">
      <c r="A237" s="567"/>
      <c r="B237" s="564"/>
      <c r="C237" s="553"/>
      <c r="D237" s="553"/>
      <c r="E237" s="553"/>
      <c r="F237" s="553"/>
      <c r="G237" s="596" t="s">
        <v>525</v>
      </c>
      <c r="H237" s="596" t="s">
        <v>1606</v>
      </c>
      <c r="I237" s="596" t="s">
        <v>1630</v>
      </c>
      <c r="J237" s="286"/>
      <c r="K237" s="628">
        <v>0.64300000000000002</v>
      </c>
      <c r="L237" s="302"/>
      <c r="M237" s="590"/>
      <c r="N237" s="302"/>
      <c r="O237" s="590"/>
      <c r="P237" s="590"/>
      <c r="Q237" s="590"/>
      <c r="R237" s="590"/>
      <c r="S237" s="302"/>
      <c r="T237" s="302"/>
      <c r="U237" s="590"/>
      <c r="V237" s="303"/>
    </row>
    <row r="238" spans="1:22" ht="15" customHeight="1" x14ac:dyDescent="0.25">
      <c r="A238" s="567"/>
      <c r="B238" s="564"/>
      <c r="C238" s="553"/>
      <c r="D238" s="553"/>
      <c r="E238" s="553"/>
      <c r="F238" s="553"/>
      <c r="G238" s="1163" t="s">
        <v>2011</v>
      </c>
      <c r="H238" s="1163"/>
      <c r="I238" s="1163"/>
      <c r="J238" s="1163"/>
      <c r="K238" s="1163"/>
      <c r="L238" s="1163"/>
      <c r="M238" s="1163"/>
      <c r="N238" s="1163"/>
      <c r="O238" s="590"/>
      <c r="P238" s="590"/>
      <c r="Q238" s="590"/>
      <c r="R238" s="590"/>
      <c r="S238" s="302"/>
      <c r="T238" s="302"/>
      <c r="U238" s="590"/>
      <c r="V238" s="303"/>
    </row>
    <row r="239" spans="1:22" ht="15" customHeight="1" x14ac:dyDescent="0.25">
      <c r="A239" s="567"/>
      <c r="B239" s="564"/>
      <c r="C239" s="553"/>
      <c r="D239" s="553"/>
      <c r="E239" s="553"/>
      <c r="F239" s="553"/>
      <c r="G239" s="596" t="s">
        <v>1106</v>
      </c>
      <c r="H239" s="596" t="s">
        <v>2102</v>
      </c>
      <c r="I239" s="596" t="s">
        <v>2103</v>
      </c>
      <c r="J239" s="286"/>
      <c r="K239" s="628">
        <f>0.894*0.9</f>
        <v>0.80459999999999998</v>
      </c>
      <c r="L239" s="302"/>
      <c r="M239" s="590"/>
      <c r="N239" s="302"/>
      <c r="O239" s="590"/>
      <c r="P239" s="590"/>
      <c r="Q239" s="590"/>
      <c r="R239" s="590"/>
      <c r="S239" s="302"/>
      <c r="T239" s="302"/>
      <c r="U239" s="590"/>
      <c r="V239" s="303"/>
    </row>
    <row r="240" spans="1:22" ht="15" customHeight="1" x14ac:dyDescent="0.25">
      <c r="A240" s="567"/>
      <c r="B240" s="564"/>
      <c r="C240" s="553"/>
      <c r="D240" s="553"/>
      <c r="E240" s="553"/>
      <c r="F240" s="553"/>
      <c r="G240" s="590" t="s">
        <v>1721</v>
      </c>
      <c r="H240" s="590" t="s">
        <v>2073</v>
      </c>
      <c r="I240" s="596" t="s">
        <v>2086</v>
      </c>
      <c r="J240" s="286"/>
      <c r="K240" s="286">
        <f>(0.08-0.0242)*0.5</f>
        <v>2.7900000000000001E-2</v>
      </c>
      <c r="L240" s="302"/>
      <c r="M240" s="590"/>
      <c r="N240" s="302"/>
      <c r="O240" s="590"/>
      <c r="P240" s="590"/>
      <c r="Q240" s="590"/>
      <c r="R240" s="590"/>
      <c r="S240" s="302"/>
      <c r="T240" s="302"/>
      <c r="U240" s="590"/>
      <c r="V240" s="303"/>
    </row>
    <row r="241" spans="1:22" ht="15" customHeight="1" x14ac:dyDescent="0.25">
      <c r="A241" s="567"/>
      <c r="B241" s="564"/>
      <c r="C241" s="553"/>
      <c r="D241" s="553"/>
      <c r="E241" s="553"/>
      <c r="F241" s="553"/>
      <c r="G241" s="1163" t="s">
        <v>2290</v>
      </c>
      <c r="H241" s="1163"/>
      <c r="I241" s="1163"/>
      <c r="J241" s="1163"/>
      <c r="K241" s="1163"/>
      <c r="L241" s="1163"/>
      <c r="M241" s="1163"/>
      <c r="N241" s="1163"/>
      <c r="O241" s="590"/>
      <c r="P241" s="590"/>
      <c r="Q241" s="590"/>
      <c r="R241" s="590"/>
      <c r="S241" s="302"/>
      <c r="T241" s="302"/>
      <c r="U241" s="590"/>
      <c r="V241" s="303"/>
    </row>
    <row r="242" spans="1:22" ht="15" customHeight="1" x14ac:dyDescent="0.25">
      <c r="A242" s="567"/>
      <c r="B242" s="564"/>
      <c r="C242" s="553"/>
      <c r="D242" s="553"/>
      <c r="E242" s="553"/>
      <c r="F242" s="553"/>
      <c r="G242" s="627" t="s">
        <v>2372</v>
      </c>
      <c r="H242" s="627" t="s">
        <v>2373</v>
      </c>
      <c r="I242" s="596" t="s">
        <v>14703</v>
      </c>
      <c r="J242" s="286"/>
      <c r="K242" s="628">
        <f>0.1*0.15</f>
        <v>1.4999999999999999E-2</v>
      </c>
      <c r="L242" s="302"/>
      <c r="M242" s="590"/>
      <c r="N242" s="302"/>
      <c r="O242" s="590"/>
      <c r="P242" s="590"/>
      <c r="Q242" s="590"/>
      <c r="R242" s="590"/>
      <c r="S242" s="302"/>
      <c r="T242" s="302"/>
      <c r="U242" s="590"/>
      <c r="V242" s="303"/>
    </row>
    <row r="243" spans="1:22" ht="15" customHeight="1" x14ac:dyDescent="0.25">
      <c r="A243" s="567"/>
      <c r="B243" s="564"/>
      <c r="C243" s="553"/>
      <c r="D243" s="553"/>
      <c r="E243" s="553"/>
      <c r="F243" s="553"/>
      <c r="G243" s="627" t="s">
        <v>2158</v>
      </c>
      <c r="H243" s="627" t="s">
        <v>2396</v>
      </c>
      <c r="I243" s="596" t="s">
        <v>14759</v>
      </c>
      <c r="J243" s="286"/>
      <c r="K243" s="628">
        <f>0.3*0.75</f>
        <v>0.22499999999999998</v>
      </c>
      <c r="L243" s="302"/>
      <c r="M243" s="590"/>
      <c r="N243" s="302"/>
      <c r="O243" s="590"/>
      <c r="P243" s="590"/>
      <c r="Q243" s="590"/>
      <c r="R243" s="590"/>
      <c r="S243" s="302"/>
      <c r="T243" s="302"/>
      <c r="U243" s="590"/>
      <c r="V243" s="303"/>
    </row>
    <row r="244" spans="1:22" ht="15" customHeight="1" x14ac:dyDescent="0.25">
      <c r="A244" s="567"/>
      <c r="B244" s="564"/>
      <c r="C244" s="553"/>
      <c r="D244" s="553"/>
      <c r="E244" s="553"/>
      <c r="F244" s="553"/>
      <c r="G244" s="627" t="s">
        <v>14756</v>
      </c>
      <c r="H244" s="627" t="s">
        <v>14757</v>
      </c>
      <c r="I244" s="596" t="s">
        <v>14760</v>
      </c>
      <c r="J244" s="286"/>
      <c r="K244" s="628">
        <f>0.65*0.9</f>
        <v>0.58500000000000008</v>
      </c>
      <c r="L244" s="302"/>
      <c r="M244" s="590"/>
      <c r="N244" s="302"/>
      <c r="O244" s="590"/>
      <c r="P244" s="590"/>
      <c r="Q244" s="590"/>
      <c r="R244" s="590"/>
      <c r="S244" s="302"/>
      <c r="T244" s="302"/>
      <c r="U244" s="590"/>
      <c r="V244" s="303"/>
    </row>
    <row r="245" spans="1:22" ht="15" customHeight="1" x14ac:dyDescent="0.25">
      <c r="A245" s="567"/>
      <c r="B245" s="564"/>
      <c r="C245" s="553"/>
      <c r="D245" s="553"/>
      <c r="E245" s="553"/>
      <c r="F245" s="553"/>
      <c r="G245" s="1163" t="s">
        <v>14933</v>
      </c>
      <c r="H245" s="1163"/>
      <c r="I245" s="1163"/>
      <c r="J245" s="1163"/>
      <c r="K245" s="1163"/>
      <c r="L245" s="1163"/>
      <c r="M245" s="1163"/>
      <c r="N245" s="1163"/>
      <c r="O245" s="590"/>
      <c r="P245" s="590"/>
      <c r="Q245" s="590"/>
      <c r="R245" s="590"/>
      <c r="S245" s="302"/>
      <c r="T245" s="302"/>
      <c r="U245" s="590"/>
      <c r="V245" s="303"/>
    </row>
    <row r="246" spans="1:22" ht="15" customHeight="1" x14ac:dyDescent="0.25">
      <c r="A246" s="567"/>
      <c r="B246" s="564"/>
      <c r="C246" s="553"/>
      <c r="D246" s="553"/>
      <c r="E246" s="553"/>
      <c r="F246" s="553"/>
      <c r="G246" s="590" t="s">
        <v>14973</v>
      </c>
      <c r="H246" s="590" t="s">
        <v>14974</v>
      </c>
      <c r="I246" s="590" t="s">
        <v>17234</v>
      </c>
      <c r="J246" s="302"/>
      <c r="K246" s="302">
        <f>0.15*0.15</f>
        <v>2.2499999999999999E-2</v>
      </c>
      <c r="L246" s="302"/>
      <c r="M246" s="590"/>
      <c r="N246" s="302"/>
      <c r="O246" s="590"/>
      <c r="P246" s="590"/>
      <c r="Q246" s="590"/>
      <c r="R246" s="590"/>
      <c r="S246" s="302"/>
      <c r="T246" s="302"/>
      <c r="U246" s="590"/>
      <c r="V246" s="303"/>
    </row>
    <row r="247" spans="1:22" ht="15" customHeight="1" x14ac:dyDescent="0.25">
      <c r="A247" s="567"/>
      <c r="B247" s="564"/>
      <c r="C247" s="553"/>
      <c r="D247" s="553"/>
      <c r="E247" s="553"/>
      <c r="F247" s="553"/>
      <c r="G247" s="1164" t="s">
        <v>2262</v>
      </c>
      <c r="H247" s="1164"/>
      <c r="I247" s="1164"/>
      <c r="J247" s="1165">
        <f>0.182*0.9</f>
        <v>0.1638</v>
      </c>
      <c r="K247" s="1166"/>
      <c r="L247" s="302"/>
      <c r="M247" s="590"/>
      <c r="N247" s="302"/>
      <c r="O247" s="590"/>
      <c r="P247" s="590"/>
      <c r="Q247" s="590"/>
      <c r="R247" s="590"/>
      <c r="S247" s="302"/>
      <c r="T247" s="302"/>
      <c r="U247" s="590"/>
      <c r="V247" s="303"/>
    </row>
    <row r="248" spans="1:22" ht="15" customHeight="1" x14ac:dyDescent="0.25">
      <c r="A248" s="567"/>
      <c r="B248" s="564"/>
      <c r="C248" s="553"/>
      <c r="D248" s="553"/>
      <c r="E248" s="553"/>
      <c r="F248" s="553"/>
      <c r="G248" s="1163" t="s">
        <v>18518</v>
      </c>
      <c r="H248" s="1163"/>
      <c r="I248" s="1163"/>
      <c r="J248" s="1163"/>
      <c r="K248" s="1163"/>
      <c r="L248" s="1163"/>
      <c r="M248" s="1163"/>
      <c r="N248" s="1163"/>
      <c r="O248" s="290"/>
      <c r="P248" s="290"/>
      <c r="Q248" s="290"/>
      <c r="R248" s="290"/>
      <c r="S248" s="307"/>
      <c r="T248" s="307"/>
      <c r="U248" s="290"/>
      <c r="V248" s="305"/>
    </row>
    <row r="249" spans="1:22" ht="15" customHeight="1" x14ac:dyDescent="0.25">
      <c r="A249" s="567"/>
      <c r="B249" s="564"/>
      <c r="C249" s="553"/>
      <c r="D249" s="553"/>
      <c r="E249" s="553"/>
      <c r="F249" s="553"/>
      <c r="G249" s="1164" t="s">
        <v>2262</v>
      </c>
      <c r="H249" s="1164"/>
      <c r="I249" s="1164"/>
      <c r="J249" s="1165">
        <f>0.364*0.9*0.6</f>
        <v>0.19655999999999998</v>
      </c>
      <c r="K249" s="1166"/>
      <c r="L249" s="307"/>
      <c r="M249" s="290"/>
      <c r="N249" s="307"/>
      <c r="O249" s="290"/>
      <c r="P249" s="290"/>
      <c r="Q249" s="290"/>
      <c r="R249" s="290"/>
      <c r="S249" s="307"/>
      <c r="T249" s="307"/>
      <c r="U249" s="290"/>
      <c r="V249" s="305"/>
    </row>
    <row r="250" spans="1:22" ht="15" customHeight="1" thickBot="1" x14ac:dyDescent="0.3">
      <c r="A250" s="242"/>
      <c r="B250" s="243"/>
      <c r="C250" s="244"/>
      <c r="D250" s="244"/>
      <c r="E250" s="244"/>
      <c r="F250" s="244"/>
      <c r="G250" s="1066" t="s">
        <v>1199</v>
      </c>
      <c r="H250" s="1066"/>
      <c r="I250" s="1066"/>
      <c r="J250" s="630"/>
      <c r="K250" s="456">
        <f>SUM(J246:K249)</f>
        <v>0.38285999999999998</v>
      </c>
      <c r="L250" s="631"/>
      <c r="M250" s="632">
        <v>0.92</v>
      </c>
      <c r="N250" s="456">
        <f>K250/M250</f>
        <v>0.41615217391304343</v>
      </c>
      <c r="O250" s="1066" t="s">
        <v>1199</v>
      </c>
      <c r="P250" s="1066"/>
      <c r="Q250" s="1066"/>
      <c r="R250" s="554"/>
      <c r="S250" s="456">
        <f>SUM(S226:S227,S229:S237)</f>
        <v>0</v>
      </c>
      <c r="T250" s="631"/>
      <c r="U250" s="554">
        <v>0.92</v>
      </c>
      <c r="V250" s="633">
        <f>S250/U250</f>
        <v>0</v>
      </c>
    </row>
    <row r="251" spans="1:22" ht="15" customHeight="1" x14ac:dyDescent="0.25">
      <c r="A251" s="1092" t="str">
        <f>Итоговая!C311</f>
        <v xml:space="preserve">ПС 35/10 кВ Соминка </v>
      </c>
      <c r="B251" s="1072">
        <f>Итоговая!D311</f>
        <v>16</v>
      </c>
      <c r="C251" s="1067" t="str">
        <f>Итоговая!E311</f>
        <v>+</v>
      </c>
      <c r="D251" s="1067">
        <f>Итоговая!F311</f>
        <v>16</v>
      </c>
      <c r="E251" s="552"/>
      <c r="F251" s="552"/>
      <c r="G251" s="1168" t="s">
        <v>1286</v>
      </c>
      <c r="H251" s="1168"/>
      <c r="I251" s="1168"/>
      <c r="J251" s="1168"/>
      <c r="K251" s="1168"/>
      <c r="L251" s="1168"/>
      <c r="M251" s="1168"/>
      <c r="N251" s="1168"/>
      <c r="O251" s="1181"/>
      <c r="P251" s="1181"/>
      <c r="Q251" s="1181"/>
      <c r="R251" s="1181"/>
      <c r="S251" s="1181"/>
      <c r="T251" s="1181"/>
      <c r="U251" s="1181"/>
      <c r="V251" s="1182"/>
    </row>
    <row r="252" spans="1:22" ht="15" customHeight="1" x14ac:dyDescent="0.25">
      <c r="A252" s="1093"/>
      <c r="B252" s="1023"/>
      <c r="C252" s="1024"/>
      <c r="D252" s="1024"/>
      <c r="E252" s="553"/>
      <c r="F252" s="553"/>
      <c r="G252" s="627" t="s">
        <v>754</v>
      </c>
      <c r="H252" s="627" t="s">
        <v>755</v>
      </c>
      <c r="I252" s="596" t="s">
        <v>756</v>
      </c>
      <c r="J252" s="286"/>
      <c r="K252" s="628">
        <v>3.3000000000000002E-2</v>
      </c>
      <c r="L252" s="302"/>
      <c r="M252" s="590"/>
      <c r="N252" s="302"/>
      <c r="O252" s="590"/>
      <c r="P252" s="590"/>
      <c r="Q252" s="590"/>
      <c r="R252" s="590"/>
      <c r="S252" s="302"/>
      <c r="T252" s="302"/>
      <c r="U252" s="590"/>
      <c r="V252" s="303"/>
    </row>
    <row r="253" spans="1:22" ht="15" customHeight="1" x14ac:dyDescent="0.25">
      <c r="A253" s="1093"/>
      <c r="B253" s="1023"/>
      <c r="C253" s="1024"/>
      <c r="D253" s="1024"/>
      <c r="E253" s="553"/>
      <c r="F253" s="553"/>
      <c r="G253" s="627" t="s">
        <v>754</v>
      </c>
      <c r="H253" s="627" t="s">
        <v>893</v>
      </c>
      <c r="I253" s="596" t="s">
        <v>894</v>
      </c>
      <c r="J253" s="286"/>
      <c r="K253" s="628">
        <v>3.6999999999999998E-2</v>
      </c>
      <c r="L253" s="302"/>
      <c r="M253" s="590"/>
      <c r="N253" s="302"/>
      <c r="O253" s="590"/>
      <c r="P253" s="590"/>
      <c r="Q253" s="590"/>
      <c r="R253" s="590"/>
      <c r="S253" s="302"/>
      <c r="T253" s="302"/>
      <c r="U253" s="590"/>
      <c r="V253" s="303"/>
    </row>
    <row r="254" spans="1:22" ht="15" customHeight="1" x14ac:dyDescent="0.25">
      <c r="A254" s="1093"/>
      <c r="B254" s="1023"/>
      <c r="C254" s="1024"/>
      <c r="D254" s="1024"/>
      <c r="E254" s="553"/>
      <c r="F254" s="553"/>
      <c r="G254" s="596" t="s">
        <v>421</v>
      </c>
      <c r="H254" s="596" t="s">
        <v>757</v>
      </c>
      <c r="I254" s="596" t="s">
        <v>1525</v>
      </c>
      <c r="J254" s="286"/>
      <c r="K254" s="286">
        <v>0.115</v>
      </c>
      <c r="L254" s="302"/>
      <c r="M254" s="590"/>
      <c r="N254" s="302"/>
      <c r="O254" s="590"/>
      <c r="P254" s="590"/>
      <c r="Q254" s="590"/>
      <c r="R254" s="590"/>
      <c r="S254" s="302"/>
      <c r="T254" s="302"/>
      <c r="U254" s="590"/>
      <c r="V254" s="303"/>
    </row>
    <row r="255" spans="1:22" ht="15" customHeight="1" x14ac:dyDescent="0.25">
      <c r="A255" s="1093"/>
      <c r="B255" s="1023"/>
      <c r="C255" s="1024"/>
      <c r="D255" s="1024"/>
      <c r="E255" s="553"/>
      <c r="F255" s="553"/>
      <c r="G255" s="1163" t="s">
        <v>2290</v>
      </c>
      <c r="H255" s="1163"/>
      <c r="I255" s="1163"/>
      <c r="J255" s="1163"/>
      <c r="K255" s="1163"/>
      <c r="L255" s="1163"/>
      <c r="M255" s="1163"/>
      <c r="N255" s="1163"/>
      <c r="O255" s="590"/>
      <c r="P255" s="590"/>
      <c r="Q255" s="590"/>
      <c r="R255" s="590"/>
      <c r="S255" s="302"/>
      <c r="T255" s="302"/>
      <c r="U255" s="590"/>
      <c r="V255" s="303"/>
    </row>
    <row r="256" spans="1:22" ht="15" customHeight="1" x14ac:dyDescent="0.25">
      <c r="A256" s="567"/>
      <c r="B256" s="564"/>
      <c r="C256" s="553"/>
      <c r="D256" s="553"/>
      <c r="E256" s="553"/>
      <c r="F256" s="553"/>
      <c r="G256" s="596" t="s">
        <v>2345</v>
      </c>
      <c r="H256" s="596" t="s">
        <v>2347</v>
      </c>
      <c r="I256" s="596" t="s">
        <v>13382</v>
      </c>
      <c r="J256" s="286"/>
      <c r="K256" s="286">
        <f>(1.05-0.65)*0.9</f>
        <v>0.36000000000000004</v>
      </c>
      <c r="L256" s="302"/>
      <c r="M256" s="590"/>
      <c r="N256" s="302"/>
      <c r="O256" s="590"/>
      <c r="P256" s="590"/>
      <c r="Q256" s="590"/>
      <c r="R256" s="590"/>
      <c r="S256" s="302"/>
      <c r="T256" s="302"/>
      <c r="U256" s="590"/>
      <c r="V256" s="303"/>
    </row>
    <row r="257" spans="1:22" ht="15" customHeight="1" x14ac:dyDescent="0.25">
      <c r="A257" s="567"/>
      <c r="B257" s="564"/>
      <c r="C257" s="553"/>
      <c r="D257" s="553"/>
      <c r="E257" s="553"/>
      <c r="F257" s="553"/>
      <c r="G257" s="1163" t="s">
        <v>14933</v>
      </c>
      <c r="H257" s="1163"/>
      <c r="I257" s="1163"/>
      <c r="J257" s="1163"/>
      <c r="K257" s="1163"/>
      <c r="L257" s="1163"/>
      <c r="M257" s="1163"/>
      <c r="N257" s="1163"/>
      <c r="O257" s="590"/>
      <c r="P257" s="590"/>
      <c r="Q257" s="590"/>
      <c r="R257" s="590"/>
      <c r="S257" s="302"/>
      <c r="T257" s="302"/>
      <c r="U257" s="590"/>
      <c r="V257" s="303"/>
    </row>
    <row r="258" spans="1:22" ht="15" customHeight="1" x14ac:dyDescent="0.25">
      <c r="A258" s="567"/>
      <c r="B258" s="564"/>
      <c r="C258" s="553"/>
      <c r="D258" s="553"/>
      <c r="E258" s="553"/>
      <c r="F258" s="553"/>
      <c r="G258" s="596" t="s">
        <v>17505</v>
      </c>
      <c r="H258" s="596" t="s">
        <v>17506</v>
      </c>
      <c r="I258" s="596" t="s">
        <v>17507</v>
      </c>
      <c r="J258" s="286"/>
      <c r="K258" s="286">
        <f>0.3*0.75</f>
        <v>0.22499999999999998</v>
      </c>
      <c r="L258" s="302"/>
      <c r="M258" s="590"/>
      <c r="N258" s="302"/>
      <c r="O258" s="590"/>
      <c r="P258" s="590"/>
      <c r="Q258" s="590"/>
      <c r="R258" s="590"/>
      <c r="S258" s="302"/>
      <c r="T258" s="302"/>
      <c r="U258" s="590"/>
      <c r="V258" s="303"/>
    </row>
    <row r="259" spans="1:22" ht="15" customHeight="1" x14ac:dyDescent="0.25">
      <c r="A259" s="567"/>
      <c r="B259" s="564"/>
      <c r="C259" s="553"/>
      <c r="D259" s="553"/>
      <c r="E259" s="553"/>
      <c r="F259" s="553"/>
      <c r="G259" s="1163" t="s">
        <v>18518</v>
      </c>
      <c r="H259" s="1163"/>
      <c r="I259" s="1163"/>
      <c r="J259" s="1163"/>
      <c r="K259" s="1163"/>
      <c r="L259" s="1163"/>
      <c r="M259" s="1163"/>
      <c r="N259" s="1163"/>
      <c r="O259" s="290"/>
      <c r="P259" s="290"/>
      <c r="Q259" s="290"/>
      <c r="R259" s="290"/>
      <c r="S259" s="307"/>
      <c r="T259" s="307"/>
      <c r="U259" s="290"/>
      <c r="V259" s="305"/>
    </row>
    <row r="260" spans="1:22" ht="15" customHeight="1" x14ac:dyDescent="0.25">
      <c r="A260" s="567"/>
      <c r="B260" s="564"/>
      <c r="C260" s="553"/>
      <c r="D260" s="553"/>
      <c r="E260" s="553"/>
      <c r="F260" s="553"/>
      <c r="G260" s="600" t="s">
        <v>19205</v>
      </c>
      <c r="H260" s="600" t="s">
        <v>19206</v>
      </c>
      <c r="I260" s="600" t="s">
        <v>19616</v>
      </c>
      <c r="J260" s="640">
        <f>0.8365*0.9</f>
        <v>0.75285000000000002</v>
      </c>
      <c r="K260" s="640">
        <f>0.8365*0.9</f>
        <v>0.75285000000000002</v>
      </c>
      <c r="L260" s="307"/>
      <c r="M260" s="290"/>
      <c r="N260" s="307"/>
      <c r="O260" s="290"/>
      <c r="P260" s="290"/>
      <c r="Q260" s="290"/>
      <c r="R260" s="290"/>
      <c r="S260" s="307"/>
      <c r="T260" s="307"/>
      <c r="U260" s="290"/>
      <c r="V260" s="305"/>
    </row>
    <row r="261" spans="1:22" ht="15" customHeight="1" x14ac:dyDescent="0.25">
      <c r="A261" s="730"/>
      <c r="B261" s="720"/>
      <c r="C261" s="721"/>
      <c r="D261" s="721"/>
      <c r="E261" s="721"/>
      <c r="F261" s="721"/>
      <c r="G261" s="1164" t="s">
        <v>2262</v>
      </c>
      <c r="H261" s="1164"/>
      <c r="I261" s="1164"/>
      <c r="J261" s="1165">
        <f>0.04*0.9*0.6</f>
        <v>2.1600000000000001E-2</v>
      </c>
      <c r="K261" s="1166"/>
      <c r="L261" s="744"/>
      <c r="M261" s="290"/>
      <c r="N261" s="744"/>
      <c r="O261" s="290"/>
      <c r="P261" s="290"/>
      <c r="Q261" s="290"/>
      <c r="R261" s="290"/>
      <c r="S261" s="744"/>
      <c r="T261" s="744"/>
      <c r="U261" s="290"/>
      <c r="V261" s="305"/>
    </row>
    <row r="262" spans="1:22" ht="15" customHeight="1" thickBot="1" x14ac:dyDescent="0.3">
      <c r="A262" s="242"/>
      <c r="B262" s="243"/>
      <c r="C262" s="244"/>
      <c r="D262" s="244"/>
      <c r="E262" s="244"/>
      <c r="F262" s="244"/>
      <c r="G262" s="1066" t="s">
        <v>1199</v>
      </c>
      <c r="H262" s="1066"/>
      <c r="I262" s="1066"/>
      <c r="J262" s="630"/>
      <c r="K262" s="456">
        <f>SUM(J258:K260)</f>
        <v>1.7307000000000001</v>
      </c>
      <c r="L262" s="631"/>
      <c r="M262" s="632">
        <v>0.92</v>
      </c>
      <c r="N262" s="456">
        <f>K262/M262</f>
        <v>1.881195652173913</v>
      </c>
      <c r="O262" s="1066" t="s">
        <v>1199</v>
      </c>
      <c r="P262" s="1066"/>
      <c r="Q262" s="1066"/>
      <c r="R262" s="554"/>
      <c r="S262" s="456">
        <f>SUM(S252:S255)</f>
        <v>0</v>
      </c>
      <c r="T262" s="631"/>
      <c r="U262" s="554">
        <v>0.92</v>
      </c>
      <c r="V262" s="633">
        <f>S262/U262</f>
        <v>0</v>
      </c>
    </row>
    <row r="263" spans="1:22" ht="15" customHeight="1" x14ac:dyDescent="0.25">
      <c r="A263" s="566" t="str">
        <f>Итоговая!C312</f>
        <v>ПС  35/6 кВ Заволжская</v>
      </c>
      <c r="B263" s="563">
        <f>Итоговая!D312</f>
        <v>7.5</v>
      </c>
      <c r="C263" s="552" t="str">
        <f>Итоговая!E312</f>
        <v>+</v>
      </c>
      <c r="D263" s="552">
        <f>Итоговая!F312</f>
        <v>10</v>
      </c>
      <c r="E263" s="552"/>
      <c r="F263" s="552"/>
      <c r="G263" s="1168" t="s">
        <v>2011</v>
      </c>
      <c r="H263" s="1168"/>
      <c r="I263" s="1168"/>
      <c r="J263" s="1168"/>
      <c r="K263" s="1168"/>
      <c r="L263" s="1168"/>
      <c r="M263" s="1168"/>
      <c r="N263" s="1168"/>
      <c r="O263" s="427"/>
      <c r="P263" s="427"/>
      <c r="Q263" s="427"/>
      <c r="R263" s="427"/>
      <c r="S263" s="459"/>
      <c r="T263" s="460"/>
      <c r="U263" s="427"/>
      <c r="V263" s="634"/>
    </row>
    <row r="264" spans="1:22" ht="15" customHeight="1" x14ac:dyDescent="0.25">
      <c r="A264" s="567"/>
      <c r="B264" s="564"/>
      <c r="C264" s="553"/>
      <c r="D264" s="553"/>
      <c r="E264" s="553"/>
      <c r="F264" s="553"/>
      <c r="G264" s="596" t="s">
        <v>252</v>
      </c>
      <c r="H264" s="596" t="s">
        <v>2168</v>
      </c>
      <c r="I264" s="596" t="s">
        <v>2196</v>
      </c>
      <c r="J264" s="286"/>
      <c r="K264" s="286">
        <f>0.075*0.9</f>
        <v>6.7500000000000004E-2</v>
      </c>
      <c r="L264" s="302"/>
      <c r="M264" s="590"/>
      <c r="N264" s="302"/>
      <c r="O264" s="596"/>
      <c r="P264" s="596"/>
      <c r="Q264" s="596"/>
      <c r="R264" s="596"/>
      <c r="S264" s="286"/>
      <c r="T264" s="302"/>
      <c r="U264" s="596"/>
      <c r="V264" s="303"/>
    </row>
    <row r="265" spans="1:22" ht="15" customHeight="1" thickBot="1" x14ac:dyDescent="0.3">
      <c r="A265" s="242"/>
      <c r="B265" s="243"/>
      <c r="C265" s="244"/>
      <c r="D265" s="244"/>
      <c r="E265" s="244"/>
      <c r="F265" s="244"/>
      <c r="G265" s="1066" t="s">
        <v>1199</v>
      </c>
      <c r="H265" s="1066"/>
      <c r="I265" s="1066"/>
      <c r="J265" s="630"/>
      <c r="K265" s="456">
        <f>SUM(0)</f>
        <v>0</v>
      </c>
      <c r="L265" s="631"/>
      <c r="M265" s="632">
        <v>0.92</v>
      </c>
      <c r="N265" s="456">
        <f>K265/M265</f>
        <v>0</v>
      </c>
      <c r="O265" s="1066" t="s">
        <v>1199</v>
      </c>
      <c r="P265" s="1066"/>
      <c r="Q265" s="1066"/>
      <c r="R265" s="554"/>
      <c r="S265" s="456">
        <f>SUM(S263:S263)</f>
        <v>0</v>
      </c>
      <c r="T265" s="631"/>
      <c r="U265" s="554">
        <v>0.92</v>
      </c>
      <c r="V265" s="633">
        <f>S265/U265</f>
        <v>0</v>
      </c>
    </row>
    <row r="266" spans="1:22" ht="15" customHeight="1" x14ac:dyDescent="0.25">
      <c r="A266" s="1092" t="str">
        <f>Итоговая!C313</f>
        <v xml:space="preserve">ПС 35/10 кВ Капошвар </v>
      </c>
      <c r="B266" s="1072">
        <f>Итоговая!D313</f>
        <v>10</v>
      </c>
      <c r="C266" s="1067" t="str">
        <f>Итоговая!E313</f>
        <v>+</v>
      </c>
      <c r="D266" s="1067">
        <f>Итоговая!F313</f>
        <v>10</v>
      </c>
      <c r="E266" s="552"/>
      <c r="F266" s="552"/>
      <c r="G266" s="1168" t="s">
        <v>1288</v>
      </c>
      <c r="H266" s="1168"/>
      <c r="I266" s="1168"/>
      <c r="J266" s="1168"/>
      <c r="K266" s="1168"/>
      <c r="L266" s="1168"/>
      <c r="M266" s="1168"/>
      <c r="N266" s="1168"/>
      <c r="O266" s="1181"/>
      <c r="P266" s="1181"/>
      <c r="Q266" s="1181"/>
      <c r="R266" s="1181"/>
      <c r="S266" s="1181"/>
      <c r="T266" s="1181"/>
      <c r="U266" s="1181"/>
      <c r="V266" s="1182"/>
    </row>
    <row r="267" spans="1:22" ht="15" customHeight="1" x14ac:dyDescent="0.25">
      <c r="A267" s="1093"/>
      <c r="B267" s="1023"/>
      <c r="C267" s="1024"/>
      <c r="D267" s="1024"/>
      <c r="E267" s="553"/>
      <c r="F267" s="553"/>
      <c r="G267" s="590" t="s">
        <v>760</v>
      </c>
      <c r="H267" s="590" t="s">
        <v>761</v>
      </c>
      <c r="I267" s="590" t="s">
        <v>762</v>
      </c>
      <c r="J267" s="302"/>
      <c r="K267" s="302">
        <v>0.6</v>
      </c>
      <c r="L267" s="302"/>
      <c r="M267" s="590"/>
      <c r="N267" s="302"/>
      <c r="O267" s="590"/>
      <c r="P267" s="590"/>
      <c r="Q267" s="590"/>
      <c r="R267" s="590"/>
      <c r="S267" s="302"/>
      <c r="T267" s="302"/>
      <c r="U267" s="590"/>
      <c r="V267" s="303"/>
    </row>
    <row r="268" spans="1:22" ht="15" customHeight="1" x14ac:dyDescent="0.25">
      <c r="A268" s="1093"/>
      <c r="B268" s="1023"/>
      <c r="C268" s="1024"/>
      <c r="D268" s="1024"/>
      <c r="E268" s="553"/>
      <c r="F268" s="553"/>
      <c r="G268" s="590" t="s">
        <v>763</v>
      </c>
      <c r="H268" s="590" t="s">
        <v>764</v>
      </c>
      <c r="I268" s="590" t="s">
        <v>765</v>
      </c>
      <c r="J268" s="302"/>
      <c r="K268" s="302">
        <v>2</v>
      </c>
      <c r="L268" s="302"/>
      <c r="M268" s="590"/>
      <c r="N268" s="302"/>
      <c r="O268" s="590"/>
      <c r="P268" s="590"/>
      <c r="Q268" s="590"/>
      <c r="R268" s="590"/>
      <c r="S268" s="302"/>
      <c r="T268" s="302"/>
      <c r="U268" s="590"/>
      <c r="V268" s="303"/>
    </row>
    <row r="269" spans="1:22" ht="15" customHeight="1" x14ac:dyDescent="0.25">
      <c r="A269" s="1093"/>
      <c r="B269" s="1023"/>
      <c r="C269" s="1024"/>
      <c r="D269" s="1024"/>
      <c r="E269" s="553"/>
      <c r="F269" s="553"/>
      <c r="G269" s="590" t="s">
        <v>768</v>
      </c>
      <c r="H269" s="590" t="s">
        <v>769</v>
      </c>
      <c r="I269" s="590" t="s">
        <v>770</v>
      </c>
      <c r="J269" s="302"/>
      <c r="K269" s="302">
        <v>0.4</v>
      </c>
      <c r="L269" s="302"/>
      <c r="M269" s="590"/>
      <c r="N269" s="302"/>
      <c r="O269" s="590"/>
      <c r="P269" s="590"/>
      <c r="Q269" s="590"/>
      <c r="R269" s="590"/>
      <c r="S269" s="302"/>
      <c r="T269" s="302"/>
      <c r="U269" s="590"/>
      <c r="V269" s="303"/>
    </row>
    <row r="270" spans="1:22" ht="15" customHeight="1" x14ac:dyDescent="0.25">
      <c r="A270" s="1093"/>
      <c r="B270" s="1023"/>
      <c r="C270" s="1024"/>
      <c r="D270" s="1024"/>
      <c r="E270" s="553"/>
      <c r="F270" s="553"/>
      <c r="G270" s="590" t="s">
        <v>771</v>
      </c>
      <c r="H270" s="590" t="s">
        <v>772</v>
      </c>
      <c r="I270" s="590" t="s">
        <v>773</v>
      </c>
      <c r="J270" s="302"/>
      <c r="K270" s="302">
        <v>5.5E-2</v>
      </c>
      <c r="L270" s="302"/>
      <c r="M270" s="590"/>
      <c r="N270" s="302"/>
      <c r="O270" s="590"/>
      <c r="P270" s="590"/>
      <c r="Q270" s="590"/>
      <c r="R270" s="590"/>
      <c r="S270" s="302"/>
      <c r="T270" s="302"/>
      <c r="U270" s="590"/>
      <c r="V270" s="303"/>
    </row>
    <row r="271" spans="1:22" ht="15" customHeight="1" x14ac:dyDescent="0.25">
      <c r="A271" s="1093"/>
      <c r="B271" s="1023"/>
      <c r="C271" s="1024"/>
      <c r="D271" s="1024"/>
      <c r="E271" s="553"/>
      <c r="F271" s="553"/>
      <c r="G271" s="1163" t="s">
        <v>1286</v>
      </c>
      <c r="H271" s="1163"/>
      <c r="I271" s="1163"/>
      <c r="J271" s="1163"/>
      <c r="K271" s="1163"/>
      <c r="L271" s="1163"/>
      <c r="M271" s="1163"/>
      <c r="N271" s="1163"/>
      <c r="O271" s="1185"/>
      <c r="P271" s="1185"/>
      <c r="Q271" s="1185"/>
      <c r="R271" s="1185"/>
      <c r="S271" s="1185"/>
      <c r="T271" s="1185"/>
      <c r="U271" s="1185"/>
      <c r="V271" s="1186"/>
    </row>
    <row r="272" spans="1:22" ht="15" customHeight="1" x14ac:dyDescent="0.25">
      <c r="A272" s="1093"/>
      <c r="B272" s="1023"/>
      <c r="C272" s="1024"/>
      <c r="D272" s="1024"/>
      <c r="E272" s="553"/>
      <c r="F272" s="553"/>
      <c r="G272" s="596" t="s">
        <v>774</v>
      </c>
      <c r="H272" s="596" t="s">
        <v>775</v>
      </c>
      <c r="I272" s="590" t="s">
        <v>776</v>
      </c>
      <c r="J272" s="302"/>
      <c r="K272" s="628">
        <f>0.06-0.0045</f>
        <v>5.5500000000000001E-2</v>
      </c>
      <c r="L272" s="302"/>
      <c r="M272" s="590"/>
      <c r="N272" s="302"/>
      <c r="O272" s="590"/>
      <c r="P272" s="590"/>
      <c r="Q272" s="590"/>
      <c r="R272" s="590"/>
      <c r="S272" s="302"/>
      <c r="T272" s="302"/>
      <c r="U272" s="590"/>
      <c r="V272" s="303"/>
    </row>
    <row r="273" spans="1:22" ht="15" customHeight="1" x14ac:dyDescent="0.25">
      <c r="A273" s="1093"/>
      <c r="B273" s="1023"/>
      <c r="C273" s="1024"/>
      <c r="D273" s="1024"/>
      <c r="E273" s="553"/>
      <c r="F273" s="553"/>
      <c r="G273" s="590" t="s">
        <v>779</v>
      </c>
      <c r="H273" s="590" t="s">
        <v>780</v>
      </c>
      <c r="I273" s="590" t="s">
        <v>957</v>
      </c>
      <c r="J273" s="302"/>
      <c r="K273" s="302">
        <v>0.17549999999999999</v>
      </c>
      <c r="L273" s="302"/>
      <c r="M273" s="590"/>
      <c r="N273" s="302"/>
      <c r="O273" s="590"/>
      <c r="P273" s="590"/>
      <c r="Q273" s="590"/>
      <c r="R273" s="590"/>
      <c r="S273" s="302"/>
      <c r="T273" s="302"/>
      <c r="U273" s="590"/>
      <c r="V273" s="303"/>
    </row>
    <row r="274" spans="1:22" ht="15" customHeight="1" x14ac:dyDescent="0.25">
      <c r="A274" s="1093"/>
      <c r="B274" s="1023"/>
      <c r="C274" s="1024"/>
      <c r="D274" s="1024"/>
      <c r="E274" s="553"/>
      <c r="F274" s="553"/>
      <c r="G274" s="596" t="s">
        <v>777</v>
      </c>
      <c r="H274" s="596" t="s">
        <v>778</v>
      </c>
      <c r="I274" s="590" t="s">
        <v>1296</v>
      </c>
      <c r="J274" s="302"/>
      <c r="K274" s="286">
        <v>0.25</v>
      </c>
      <c r="L274" s="302"/>
      <c r="M274" s="590"/>
      <c r="N274" s="302"/>
      <c r="O274" s="590"/>
      <c r="P274" s="590"/>
      <c r="Q274" s="590"/>
      <c r="R274" s="590"/>
      <c r="S274" s="302"/>
      <c r="T274" s="302"/>
      <c r="U274" s="590"/>
      <c r="V274" s="303"/>
    </row>
    <row r="275" spans="1:22" ht="15" customHeight="1" x14ac:dyDescent="0.25">
      <c r="A275" s="1093"/>
      <c r="B275" s="1023"/>
      <c r="C275" s="1024"/>
      <c r="D275" s="1024"/>
      <c r="E275" s="553"/>
      <c r="F275" s="553"/>
      <c r="G275" s="1163" t="s">
        <v>1324</v>
      </c>
      <c r="H275" s="1163"/>
      <c r="I275" s="1163"/>
      <c r="J275" s="1163"/>
      <c r="K275" s="1163"/>
      <c r="L275" s="1163"/>
      <c r="M275" s="1163"/>
      <c r="N275" s="1163"/>
      <c r="O275" s="1185"/>
      <c r="P275" s="1185"/>
      <c r="Q275" s="1185"/>
      <c r="R275" s="1185"/>
      <c r="S275" s="1185"/>
      <c r="T275" s="1185"/>
      <c r="U275" s="1185"/>
      <c r="V275" s="1186"/>
    </row>
    <row r="276" spans="1:22" ht="15" customHeight="1" x14ac:dyDescent="0.25">
      <c r="A276" s="1093"/>
      <c r="B276" s="1023"/>
      <c r="C276" s="1024"/>
      <c r="D276" s="1024"/>
      <c r="E276" s="553"/>
      <c r="F276" s="553"/>
      <c r="G276" s="590" t="s">
        <v>766</v>
      </c>
      <c r="H276" s="590" t="s">
        <v>767</v>
      </c>
      <c r="I276" s="636" t="s">
        <v>1551</v>
      </c>
      <c r="J276" s="302"/>
      <c r="K276" s="302">
        <v>0.17549999999999999</v>
      </c>
      <c r="L276" s="302"/>
      <c r="M276" s="590"/>
      <c r="N276" s="302"/>
      <c r="O276" s="590"/>
      <c r="P276" s="590"/>
      <c r="Q276" s="636"/>
      <c r="R276" s="636"/>
      <c r="S276" s="302"/>
      <c r="T276" s="302"/>
      <c r="U276" s="590"/>
      <c r="V276" s="303"/>
    </row>
    <row r="277" spans="1:22" ht="15" customHeight="1" x14ac:dyDescent="0.25">
      <c r="A277" s="1093"/>
      <c r="B277" s="1023"/>
      <c r="C277" s="1024"/>
      <c r="D277" s="1024"/>
      <c r="E277" s="553"/>
      <c r="F277" s="553"/>
      <c r="G277" s="1163" t="s">
        <v>2290</v>
      </c>
      <c r="H277" s="1163"/>
      <c r="I277" s="1163"/>
      <c r="J277" s="1163"/>
      <c r="K277" s="1163"/>
      <c r="L277" s="1163"/>
      <c r="M277" s="1163"/>
      <c r="N277" s="1163"/>
      <c r="O277" s="548"/>
      <c r="P277" s="548"/>
      <c r="Q277" s="548"/>
      <c r="R277" s="548"/>
      <c r="S277" s="519"/>
      <c r="T277" s="519"/>
      <c r="U277" s="590"/>
      <c r="V277" s="303"/>
    </row>
    <row r="278" spans="1:22" ht="15" customHeight="1" x14ac:dyDescent="0.25">
      <c r="A278" s="1093"/>
      <c r="B278" s="1023"/>
      <c r="C278" s="1024"/>
      <c r="D278" s="1024"/>
      <c r="E278" s="553"/>
      <c r="F278" s="553"/>
      <c r="G278" s="590" t="s">
        <v>14805</v>
      </c>
      <c r="H278" s="590" t="s">
        <v>14806</v>
      </c>
      <c r="I278" s="590" t="s">
        <v>14961</v>
      </c>
      <c r="J278" s="302"/>
      <c r="K278" s="302">
        <f>(0.184-0.044)*0.75</f>
        <v>0.10500000000000001</v>
      </c>
      <c r="L278" s="302"/>
      <c r="M278" s="590"/>
      <c r="N278" s="302"/>
      <c r="O278" s="590"/>
      <c r="P278" s="590"/>
      <c r="Q278" s="590"/>
      <c r="R278" s="590"/>
      <c r="S278" s="302"/>
      <c r="T278" s="302"/>
      <c r="U278" s="590"/>
      <c r="V278" s="303"/>
    </row>
    <row r="279" spans="1:22" ht="15" customHeight="1" x14ac:dyDescent="0.25">
      <c r="A279" s="1093"/>
      <c r="B279" s="1023"/>
      <c r="C279" s="1024"/>
      <c r="D279" s="1024"/>
      <c r="E279" s="553"/>
      <c r="F279" s="553"/>
      <c r="G279" s="1163" t="s">
        <v>14933</v>
      </c>
      <c r="H279" s="1163"/>
      <c r="I279" s="1163"/>
      <c r="J279" s="1163"/>
      <c r="K279" s="1163"/>
      <c r="L279" s="1163"/>
      <c r="M279" s="1163"/>
      <c r="N279" s="1163"/>
      <c r="O279" s="590"/>
      <c r="P279" s="590"/>
      <c r="Q279" s="590"/>
      <c r="R279" s="590"/>
      <c r="S279" s="302"/>
      <c r="T279" s="302"/>
      <c r="U279" s="590"/>
      <c r="V279" s="303"/>
    </row>
    <row r="280" spans="1:22" ht="15" customHeight="1" x14ac:dyDescent="0.25">
      <c r="A280" s="567"/>
      <c r="B280" s="564"/>
      <c r="C280" s="553"/>
      <c r="D280" s="553"/>
      <c r="E280" s="553"/>
      <c r="F280" s="553"/>
      <c r="G280" s="590" t="s">
        <v>2332</v>
      </c>
      <c r="H280" s="590" t="s">
        <v>17212</v>
      </c>
      <c r="I280" s="590" t="s">
        <v>17213</v>
      </c>
      <c r="J280" s="302"/>
      <c r="K280" s="302">
        <f>0.075*0.75</f>
        <v>5.6249999999999994E-2</v>
      </c>
      <c r="L280" s="302"/>
      <c r="M280" s="590"/>
      <c r="N280" s="302"/>
      <c r="O280" s="590"/>
      <c r="P280" s="590"/>
      <c r="Q280" s="590"/>
      <c r="R280" s="590"/>
      <c r="S280" s="302"/>
      <c r="T280" s="302"/>
      <c r="U280" s="590"/>
      <c r="V280" s="303"/>
    </row>
    <row r="281" spans="1:22" ht="15" customHeight="1" x14ac:dyDescent="0.25">
      <c r="A281" s="567"/>
      <c r="B281" s="564"/>
      <c r="C281" s="553"/>
      <c r="D281" s="553"/>
      <c r="E281" s="553"/>
      <c r="F281" s="553"/>
      <c r="G281" s="590" t="s">
        <v>17631</v>
      </c>
      <c r="H281" s="590" t="s">
        <v>17632</v>
      </c>
      <c r="I281" s="590" t="s">
        <v>17633</v>
      </c>
      <c r="J281" s="302"/>
      <c r="K281" s="302">
        <f>0.3*0.75</f>
        <v>0.22499999999999998</v>
      </c>
      <c r="L281" s="302"/>
      <c r="M281" s="590"/>
      <c r="N281" s="302"/>
      <c r="O281" s="590"/>
      <c r="P281" s="590"/>
      <c r="Q281" s="590"/>
      <c r="R281" s="590"/>
      <c r="S281" s="302"/>
      <c r="T281" s="302"/>
      <c r="U281" s="590"/>
      <c r="V281" s="303"/>
    </row>
    <row r="282" spans="1:22" ht="15" customHeight="1" x14ac:dyDescent="0.25">
      <c r="A282" s="567"/>
      <c r="B282" s="564"/>
      <c r="C282" s="553"/>
      <c r="D282" s="553"/>
      <c r="E282" s="553"/>
      <c r="F282" s="553"/>
      <c r="G282" s="1163" t="s">
        <v>18518</v>
      </c>
      <c r="H282" s="1163"/>
      <c r="I282" s="1163"/>
      <c r="J282" s="1163"/>
      <c r="K282" s="1163"/>
      <c r="L282" s="1163"/>
      <c r="M282" s="1163"/>
      <c r="N282" s="1163"/>
      <c r="O282" s="290"/>
      <c r="P282" s="290"/>
      <c r="Q282" s="290"/>
      <c r="R282" s="290"/>
      <c r="S282" s="307"/>
      <c r="T282" s="307"/>
      <c r="U282" s="290"/>
      <c r="V282" s="305"/>
    </row>
    <row r="283" spans="1:22" ht="15" customHeight="1" x14ac:dyDescent="0.25">
      <c r="A283" s="567"/>
      <c r="B283" s="564"/>
      <c r="C283" s="553"/>
      <c r="D283" s="553"/>
      <c r="E283" s="553"/>
      <c r="F283" s="553"/>
      <c r="G283" s="290" t="s">
        <v>18901</v>
      </c>
      <c r="H283" s="290" t="s">
        <v>18902</v>
      </c>
      <c r="I283" s="290" t="s">
        <v>18903</v>
      </c>
      <c r="J283" s="307"/>
      <c r="K283" s="307">
        <f>0.015*0.75</f>
        <v>1.125E-2</v>
      </c>
      <c r="L283" s="307"/>
      <c r="M283" s="290"/>
      <c r="N283" s="307"/>
      <c r="O283" s="290"/>
      <c r="P283" s="290"/>
      <c r="Q283" s="290"/>
      <c r="R283" s="290"/>
      <c r="S283" s="307"/>
      <c r="T283" s="307"/>
      <c r="U283" s="290"/>
      <c r="V283" s="305"/>
    </row>
    <row r="284" spans="1:22" ht="15" customHeight="1" x14ac:dyDescent="0.25">
      <c r="A284" s="567"/>
      <c r="B284" s="564"/>
      <c r="C284" s="553"/>
      <c r="D284" s="553"/>
      <c r="E284" s="553"/>
      <c r="F284" s="553"/>
      <c r="G284" s="1164" t="s">
        <v>2262</v>
      </c>
      <c r="H284" s="1164"/>
      <c r="I284" s="1164"/>
      <c r="J284" s="1165">
        <f>0.015*0.9</f>
        <v>1.35E-2</v>
      </c>
      <c r="K284" s="1166"/>
      <c r="L284" s="307"/>
      <c r="M284" s="290"/>
      <c r="N284" s="307"/>
      <c r="O284" s="290"/>
      <c r="P284" s="290"/>
      <c r="Q284" s="290"/>
      <c r="R284" s="290"/>
      <c r="S284" s="307"/>
      <c r="T284" s="307"/>
      <c r="U284" s="290"/>
      <c r="V284" s="305"/>
    </row>
    <row r="285" spans="1:22" ht="15" customHeight="1" thickBot="1" x14ac:dyDescent="0.3">
      <c r="A285" s="242"/>
      <c r="B285" s="243"/>
      <c r="C285" s="244"/>
      <c r="D285" s="244"/>
      <c r="E285" s="244"/>
      <c r="F285" s="244"/>
      <c r="G285" s="1066" t="s">
        <v>1199</v>
      </c>
      <c r="H285" s="1066"/>
      <c r="I285" s="1066"/>
      <c r="J285" s="630"/>
      <c r="K285" s="456">
        <f>SUM(J280:K284)</f>
        <v>0.30599999999999999</v>
      </c>
      <c r="L285" s="631"/>
      <c r="M285" s="632">
        <v>0.92</v>
      </c>
      <c r="N285" s="456">
        <f>K285/M285</f>
        <v>0.33260869565217388</v>
      </c>
      <c r="O285" s="1066" t="s">
        <v>1199</v>
      </c>
      <c r="P285" s="1066"/>
      <c r="Q285" s="1066"/>
      <c r="R285" s="554"/>
      <c r="S285" s="456">
        <f>SUM(S272:S279)</f>
        <v>0</v>
      </c>
      <c r="T285" s="631"/>
      <c r="U285" s="554">
        <v>0.92</v>
      </c>
      <c r="V285" s="633">
        <f>S285/U285</f>
        <v>0</v>
      </c>
    </row>
    <row r="286" spans="1:22" ht="15" customHeight="1" x14ac:dyDescent="0.25">
      <c r="A286" s="1070" t="str">
        <f>Итоговая!C314</f>
        <v>ПС 110/10 кВ Лебедево</v>
      </c>
      <c r="B286" s="1072">
        <f>Итоговая!D314</f>
        <v>25</v>
      </c>
      <c r="C286" s="1067" t="str">
        <f>Итоговая!E314</f>
        <v>+</v>
      </c>
      <c r="D286" s="1067">
        <f>Итоговая!F314</f>
        <v>25</v>
      </c>
      <c r="E286" s="1005">
        <f>Итоговая!G314</f>
        <v>0</v>
      </c>
      <c r="F286" s="1005">
        <f>Итоговая!H314</f>
        <v>0</v>
      </c>
      <c r="G286" s="1168" t="s">
        <v>1645</v>
      </c>
      <c r="H286" s="1168"/>
      <c r="I286" s="1168"/>
      <c r="J286" s="1168"/>
      <c r="K286" s="1168"/>
      <c r="L286" s="1168"/>
      <c r="M286" s="1168"/>
      <c r="N286" s="1168"/>
      <c r="O286" s="588"/>
      <c r="P286" s="588"/>
      <c r="Q286" s="588"/>
      <c r="R286" s="588"/>
      <c r="S286" s="460"/>
      <c r="T286" s="460"/>
      <c r="U286" s="588"/>
      <c r="V286" s="634"/>
    </row>
    <row r="287" spans="1:22" ht="15" customHeight="1" x14ac:dyDescent="0.25">
      <c r="A287" s="1071"/>
      <c r="B287" s="1023"/>
      <c r="C287" s="1024"/>
      <c r="D287" s="1024"/>
      <c r="E287" s="1000"/>
      <c r="F287" s="1000"/>
      <c r="G287" s="596" t="s">
        <v>1646</v>
      </c>
      <c r="H287" s="596" t="s">
        <v>17552</v>
      </c>
      <c r="I287" s="590" t="s">
        <v>17553</v>
      </c>
      <c r="J287" s="302"/>
      <c r="K287" s="628">
        <f>8.7*0.85</f>
        <v>7.3949999999999996</v>
      </c>
      <c r="L287" s="302"/>
      <c r="M287" s="590"/>
      <c r="N287" s="302"/>
      <c r="O287" s="590"/>
      <c r="P287" s="590"/>
      <c r="Q287" s="590"/>
      <c r="R287" s="590"/>
      <c r="S287" s="302"/>
      <c r="T287" s="302"/>
      <c r="U287" s="590"/>
      <c r="V287" s="303"/>
    </row>
    <row r="288" spans="1:22" ht="15" customHeight="1" x14ac:dyDescent="0.25">
      <c r="A288" s="1071"/>
      <c r="B288" s="1023"/>
      <c r="C288" s="1024"/>
      <c r="D288" s="1024"/>
      <c r="E288" s="1000"/>
      <c r="F288" s="1000"/>
      <c r="G288" s="596" t="s">
        <v>1646</v>
      </c>
      <c r="H288" s="596" t="s">
        <v>17554</v>
      </c>
      <c r="I288" s="590" t="s">
        <v>17555</v>
      </c>
      <c r="J288" s="302"/>
      <c r="K288" s="628">
        <f>6.3*0.85</f>
        <v>5.3549999999999995</v>
      </c>
      <c r="L288" s="302"/>
      <c r="M288" s="590"/>
      <c r="N288" s="302"/>
      <c r="O288" s="590"/>
      <c r="P288" s="590"/>
      <c r="Q288" s="590"/>
      <c r="R288" s="590"/>
      <c r="S288" s="302"/>
      <c r="T288" s="302"/>
      <c r="U288" s="590"/>
      <c r="V288" s="303"/>
    </row>
    <row r="289" spans="1:22" ht="15" customHeight="1" x14ac:dyDescent="0.25">
      <c r="A289" s="1071"/>
      <c r="B289" s="1023"/>
      <c r="C289" s="1024"/>
      <c r="D289" s="1024"/>
      <c r="E289" s="1000"/>
      <c r="F289" s="1000"/>
      <c r="G289" s="1163" t="s">
        <v>2290</v>
      </c>
      <c r="H289" s="1163"/>
      <c r="I289" s="1163"/>
      <c r="J289" s="1163"/>
      <c r="K289" s="1163"/>
      <c r="L289" s="1163"/>
      <c r="M289" s="1163"/>
      <c r="N289" s="1163"/>
      <c r="O289" s="590"/>
      <c r="P289" s="590"/>
      <c r="Q289" s="590"/>
      <c r="R289" s="590"/>
      <c r="S289" s="302"/>
      <c r="T289" s="302"/>
      <c r="U289" s="590"/>
      <c r="V289" s="303"/>
    </row>
    <row r="290" spans="1:22" ht="15" customHeight="1" x14ac:dyDescent="0.25">
      <c r="A290" s="1071"/>
      <c r="B290" s="1023"/>
      <c r="C290" s="1024"/>
      <c r="D290" s="1024"/>
      <c r="E290" s="1000"/>
      <c r="F290" s="1000"/>
      <c r="G290" s="596" t="s">
        <v>1646</v>
      </c>
      <c r="H290" s="596" t="s">
        <v>17350</v>
      </c>
      <c r="I290" s="590" t="s">
        <v>17351</v>
      </c>
      <c r="J290" s="302"/>
      <c r="K290" s="628">
        <f>5*0.85</f>
        <v>4.25</v>
      </c>
      <c r="L290" s="302"/>
      <c r="M290" s="590"/>
      <c r="N290" s="302"/>
      <c r="O290" s="590"/>
      <c r="P290" s="590"/>
      <c r="Q290" s="590"/>
      <c r="R290" s="590"/>
      <c r="S290" s="302"/>
      <c r="T290" s="302"/>
      <c r="U290" s="590"/>
      <c r="V290" s="303"/>
    </row>
    <row r="291" spans="1:22" ht="15" customHeight="1" x14ac:dyDescent="0.25">
      <c r="A291" s="1071"/>
      <c r="B291" s="1023"/>
      <c r="C291" s="1024"/>
      <c r="D291" s="1024"/>
      <c r="E291" s="1000"/>
      <c r="F291" s="1000"/>
      <c r="G291" s="596" t="s">
        <v>14740</v>
      </c>
      <c r="H291" s="596" t="s">
        <v>17352</v>
      </c>
      <c r="I291" s="590" t="s">
        <v>14828</v>
      </c>
      <c r="J291" s="302"/>
      <c r="K291" s="628">
        <f>4*0.85</f>
        <v>3.4</v>
      </c>
      <c r="L291" s="302"/>
      <c r="M291" s="590"/>
      <c r="N291" s="302"/>
      <c r="O291" s="590"/>
      <c r="P291" s="590"/>
      <c r="Q291" s="590"/>
      <c r="R291" s="590"/>
      <c r="S291" s="302"/>
      <c r="T291" s="302"/>
      <c r="U291" s="590"/>
      <c r="V291" s="303"/>
    </row>
    <row r="292" spans="1:22" ht="15" customHeight="1" x14ac:dyDescent="0.25">
      <c r="A292" s="1071"/>
      <c r="B292" s="1023"/>
      <c r="C292" s="1024"/>
      <c r="D292" s="1024"/>
      <c r="E292" s="1000"/>
      <c r="F292" s="1000"/>
      <c r="G292" s="1163" t="s">
        <v>14933</v>
      </c>
      <c r="H292" s="1163"/>
      <c r="I292" s="1163"/>
      <c r="J292" s="1163"/>
      <c r="K292" s="1163"/>
      <c r="L292" s="1163"/>
      <c r="M292" s="1163"/>
      <c r="N292" s="1163"/>
      <c r="O292" s="590"/>
      <c r="P292" s="590"/>
      <c r="Q292" s="590"/>
      <c r="R292" s="590"/>
      <c r="S292" s="302"/>
      <c r="T292" s="302"/>
      <c r="U292" s="590"/>
      <c r="V292" s="303"/>
    </row>
    <row r="293" spans="1:22" ht="15" customHeight="1" x14ac:dyDescent="0.25">
      <c r="A293" s="1071"/>
      <c r="B293" s="1023"/>
      <c r="C293" s="1024"/>
      <c r="D293" s="1024"/>
      <c r="E293" s="1000"/>
      <c r="F293" s="1000"/>
      <c r="G293" s="596" t="s">
        <v>17355</v>
      </c>
      <c r="H293" s="596" t="s">
        <v>17356</v>
      </c>
      <c r="I293" s="590" t="s">
        <v>17357</v>
      </c>
      <c r="J293" s="302"/>
      <c r="K293" s="628">
        <f>1*0.75</f>
        <v>0.75</v>
      </c>
      <c r="L293" s="302"/>
      <c r="M293" s="590"/>
      <c r="N293" s="302"/>
      <c r="O293" s="590"/>
      <c r="P293" s="590"/>
      <c r="Q293" s="590"/>
      <c r="R293" s="590"/>
      <c r="S293" s="302"/>
      <c r="T293" s="302"/>
      <c r="U293" s="590"/>
      <c r="V293" s="303"/>
    </row>
    <row r="294" spans="1:22" ht="15" customHeight="1" x14ac:dyDescent="0.25">
      <c r="A294" s="1071"/>
      <c r="B294" s="1023"/>
      <c r="C294" s="1024"/>
      <c r="D294" s="1024"/>
      <c r="E294" s="1000"/>
      <c r="F294" s="1000"/>
      <c r="G294" s="596" t="s">
        <v>17353</v>
      </c>
      <c r="H294" s="596" t="s">
        <v>17352</v>
      </c>
      <c r="I294" s="590" t="s">
        <v>17354</v>
      </c>
      <c r="J294" s="302"/>
      <c r="K294" s="628">
        <f>1*0.85</f>
        <v>0.85</v>
      </c>
      <c r="L294" s="302"/>
      <c r="M294" s="590"/>
      <c r="N294" s="302"/>
      <c r="O294" s="590"/>
      <c r="P294" s="590"/>
      <c r="Q294" s="590"/>
      <c r="R294" s="590"/>
      <c r="S294" s="302"/>
      <c r="T294" s="302"/>
      <c r="U294" s="590"/>
      <c r="V294" s="303"/>
    </row>
    <row r="295" spans="1:22" ht="15" customHeight="1" thickBot="1" x14ac:dyDescent="0.3">
      <c r="A295" s="1212"/>
      <c r="B295" s="1213"/>
      <c r="C295" s="1214"/>
      <c r="D295" s="1214"/>
      <c r="E295" s="1001"/>
      <c r="F295" s="1001"/>
      <c r="G295" s="1066" t="s">
        <v>1199</v>
      </c>
      <c r="H295" s="1066"/>
      <c r="I295" s="1066"/>
      <c r="J295" s="630"/>
      <c r="K295" s="456">
        <f>SUM(K293:K294)</f>
        <v>1.6</v>
      </c>
      <c r="L295" s="631"/>
      <c r="M295" s="632">
        <v>0.92</v>
      </c>
      <c r="N295" s="456">
        <f>K295/M295</f>
        <v>1.7391304347826086</v>
      </c>
      <c r="O295" s="1066" t="s">
        <v>1199</v>
      </c>
      <c r="P295" s="1066"/>
      <c r="Q295" s="1066"/>
      <c r="R295" s="554"/>
      <c r="S295" s="456">
        <f>SUM(S290:S294)</f>
        <v>0</v>
      </c>
      <c r="T295" s="631"/>
      <c r="U295" s="554">
        <v>0.92</v>
      </c>
      <c r="V295" s="633">
        <f>S295/U295</f>
        <v>0</v>
      </c>
    </row>
    <row r="296" spans="1:22" ht="15" customHeight="1" x14ac:dyDescent="0.25">
      <c r="A296" s="1092" t="str">
        <f>Итоговая!C315</f>
        <v>ПС  110/10 кВ Мамулино</v>
      </c>
      <c r="B296" s="1072">
        <f>Итоговая!D315</f>
        <v>6.3</v>
      </c>
      <c r="C296" s="1067" t="str">
        <f>Итоговая!E315</f>
        <v>+</v>
      </c>
      <c r="D296" s="1067">
        <f>Итоговая!F315</f>
        <v>6.3</v>
      </c>
      <c r="E296" s="552"/>
      <c r="F296" s="552"/>
      <c r="G296" s="1168" t="s">
        <v>1290</v>
      </c>
      <c r="H296" s="1168"/>
      <c r="I296" s="1168"/>
      <c r="J296" s="1168"/>
      <c r="K296" s="1168"/>
      <c r="L296" s="1168"/>
      <c r="M296" s="1168"/>
      <c r="N296" s="1168"/>
      <c r="O296" s="1168" t="s">
        <v>1324</v>
      </c>
      <c r="P296" s="1168"/>
      <c r="Q296" s="1168"/>
      <c r="R296" s="1168"/>
      <c r="S296" s="1168"/>
      <c r="T296" s="1168"/>
      <c r="U296" s="1168"/>
      <c r="V296" s="1169"/>
    </row>
    <row r="297" spans="1:22" ht="15" customHeight="1" x14ac:dyDescent="0.25">
      <c r="A297" s="1093"/>
      <c r="B297" s="1023"/>
      <c r="C297" s="1024"/>
      <c r="D297" s="1024"/>
      <c r="E297" s="553"/>
      <c r="F297" s="553"/>
      <c r="G297" s="627" t="s">
        <v>781</v>
      </c>
      <c r="H297" s="627" t="s">
        <v>782</v>
      </c>
      <c r="I297" s="627" t="s">
        <v>783</v>
      </c>
      <c r="J297" s="628"/>
      <c r="K297" s="628">
        <v>0.8</v>
      </c>
      <c r="L297" s="302"/>
      <c r="M297" s="590"/>
      <c r="N297" s="302"/>
      <c r="O297" s="596" t="s">
        <v>525</v>
      </c>
      <c r="P297" s="596" t="s">
        <v>526</v>
      </c>
      <c r="Q297" s="596" t="s">
        <v>1481</v>
      </c>
      <c r="R297" s="596"/>
      <c r="S297" s="286">
        <v>0.28999999999999998</v>
      </c>
      <c r="T297" s="302"/>
      <c r="U297" s="590"/>
      <c r="V297" s="303"/>
    </row>
    <row r="298" spans="1:22" ht="15" customHeight="1" x14ac:dyDescent="0.25">
      <c r="A298" s="567"/>
      <c r="B298" s="644"/>
      <c r="C298" s="661"/>
      <c r="D298" s="661"/>
      <c r="E298" s="661"/>
      <c r="F298" s="661"/>
      <c r="G298" s="1163" t="s">
        <v>1288</v>
      </c>
      <c r="H298" s="1163"/>
      <c r="I298" s="1163"/>
      <c r="J298" s="1163"/>
      <c r="K298" s="1163"/>
      <c r="L298" s="1163"/>
      <c r="M298" s="1163"/>
      <c r="N298" s="1163"/>
      <c r="O298" s="1163" t="s">
        <v>2290</v>
      </c>
      <c r="P298" s="1163"/>
      <c r="Q298" s="1163"/>
      <c r="R298" s="1163"/>
      <c r="S298" s="1163"/>
      <c r="T298" s="1163"/>
      <c r="U298" s="1163"/>
      <c r="V298" s="1198"/>
    </row>
    <row r="299" spans="1:22" ht="15" customHeight="1" x14ac:dyDescent="0.25">
      <c r="A299" s="567"/>
      <c r="B299" s="644"/>
      <c r="C299" s="661"/>
      <c r="D299" s="661"/>
      <c r="E299" s="661"/>
      <c r="F299" s="661"/>
      <c r="G299" s="627" t="s">
        <v>784</v>
      </c>
      <c r="H299" s="627" t="s">
        <v>785</v>
      </c>
      <c r="I299" s="627" t="s">
        <v>786</v>
      </c>
      <c r="J299" s="628"/>
      <c r="K299" s="628">
        <v>0.2</v>
      </c>
      <c r="L299" s="302"/>
      <c r="M299" s="590"/>
      <c r="N299" s="302"/>
      <c r="O299" s="596" t="s">
        <v>796</v>
      </c>
      <c r="P299" s="596" t="s">
        <v>797</v>
      </c>
      <c r="Q299" s="596" t="s">
        <v>14773</v>
      </c>
      <c r="R299" s="596"/>
      <c r="S299" s="286">
        <v>3.5000000000000003E-2</v>
      </c>
      <c r="T299" s="302"/>
      <c r="U299" s="590"/>
      <c r="V299" s="303"/>
    </row>
    <row r="300" spans="1:22" ht="15" customHeight="1" x14ac:dyDescent="0.25">
      <c r="A300" s="567"/>
      <c r="B300" s="644"/>
      <c r="C300" s="661"/>
      <c r="D300" s="661"/>
      <c r="E300" s="661"/>
      <c r="F300" s="661"/>
      <c r="G300" s="596" t="s">
        <v>790</v>
      </c>
      <c r="H300" s="596" t="s">
        <v>799</v>
      </c>
      <c r="I300" s="596" t="s">
        <v>792</v>
      </c>
      <c r="J300" s="286"/>
      <c r="K300" s="286">
        <v>2.5</v>
      </c>
      <c r="L300" s="302"/>
      <c r="M300" s="590"/>
      <c r="N300" s="302"/>
      <c r="O300" s="1163" t="s">
        <v>14933</v>
      </c>
      <c r="P300" s="1163"/>
      <c r="Q300" s="1163"/>
      <c r="R300" s="1163"/>
      <c r="S300" s="1163"/>
      <c r="T300" s="1163"/>
      <c r="U300" s="1163"/>
      <c r="V300" s="1198"/>
    </row>
    <row r="301" spans="1:22" ht="15" customHeight="1" x14ac:dyDescent="0.25">
      <c r="A301" s="567"/>
      <c r="B301" s="644"/>
      <c r="C301" s="661"/>
      <c r="D301" s="661"/>
      <c r="E301" s="661"/>
      <c r="F301" s="661"/>
      <c r="G301" s="596" t="s">
        <v>787</v>
      </c>
      <c r="H301" s="596" t="s">
        <v>788</v>
      </c>
      <c r="I301" s="627" t="s">
        <v>789</v>
      </c>
      <c r="J301" s="628"/>
      <c r="K301" s="286">
        <v>0.2</v>
      </c>
      <c r="L301" s="302"/>
      <c r="M301" s="590"/>
      <c r="N301" s="302"/>
      <c r="O301" s="596" t="s">
        <v>790</v>
      </c>
      <c r="P301" s="596" t="s">
        <v>794</v>
      </c>
      <c r="Q301" s="596" t="s">
        <v>18168</v>
      </c>
      <c r="R301" s="596"/>
      <c r="S301" s="286">
        <v>0.5</v>
      </c>
      <c r="T301" s="302"/>
      <c r="U301" s="590"/>
      <c r="V301" s="303"/>
    </row>
    <row r="302" spans="1:22" ht="15" customHeight="1" x14ac:dyDescent="0.25">
      <c r="A302" s="567"/>
      <c r="B302" s="644"/>
      <c r="C302" s="661"/>
      <c r="D302" s="661"/>
      <c r="E302" s="661"/>
      <c r="F302" s="661"/>
      <c r="G302" s="596" t="s">
        <v>790</v>
      </c>
      <c r="H302" s="596" t="s">
        <v>791</v>
      </c>
      <c r="I302" s="627" t="s">
        <v>792</v>
      </c>
      <c r="J302" s="628"/>
      <c r="K302" s="286">
        <v>2.5</v>
      </c>
      <c r="L302" s="302"/>
      <c r="M302" s="590"/>
      <c r="N302" s="302"/>
      <c r="O302" s="596" t="s">
        <v>14887</v>
      </c>
      <c r="P302" s="596" t="s">
        <v>14888</v>
      </c>
      <c r="Q302" s="596" t="s">
        <v>18175</v>
      </c>
      <c r="R302" s="596"/>
      <c r="S302" s="302">
        <f>0.0594*0.9</f>
        <v>5.3460000000000001E-2</v>
      </c>
      <c r="T302" s="302"/>
      <c r="U302" s="590"/>
      <c r="V302" s="303"/>
    </row>
    <row r="303" spans="1:22" ht="15" customHeight="1" x14ac:dyDescent="0.25">
      <c r="A303" s="567"/>
      <c r="B303" s="644"/>
      <c r="C303" s="661"/>
      <c r="D303" s="661"/>
      <c r="E303" s="661"/>
      <c r="F303" s="661"/>
      <c r="G303" s="1163" t="s">
        <v>1287</v>
      </c>
      <c r="H303" s="1163"/>
      <c r="I303" s="1163"/>
      <c r="J303" s="1163"/>
      <c r="K303" s="1163"/>
      <c r="L303" s="1163"/>
      <c r="M303" s="1163"/>
      <c r="N303" s="1163"/>
      <c r="O303" s="596" t="s">
        <v>14887</v>
      </c>
      <c r="P303" s="596" t="s">
        <v>14889</v>
      </c>
      <c r="Q303" s="596" t="s">
        <v>18176</v>
      </c>
      <c r="R303" s="596"/>
      <c r="S303" s="302">
        <f>0.09*0.9</f>
        <v>8.1000000000000003E-2</v>
      </c>
      <c r="T303" s="302"/>
      <c r="U303" s="590"/>
      <c r="V303" s="303"/>
    </row>
    <row r="304" spans="1:22" ht="15" customHeight="1" x14ac:dyDescent="0.25">
      <c r="A304" s="567"/>
      <c r="B304" s="644"/>
      <c r="C304" s="661"/>
      <c r="D304" s="661"/>
      <c r="E304" s="661"/>
      <c r="F304" s="661"/>
      <c r="G304" s="596" t="s">
        <v>790</v>
      </c>
      <c r="H304" s="596" t="s">
        <v>794</v>
      </c>
      <c r="I304" s="596" t="s">
        <v>795</v>
      </c>
      <c r="J304" s="286"/>
      <c r="K304" s="286">
        <v>0.5</v>
      </c>
      <c r="L304" s="302"/>
      <c r="M304" s="590"/>
      <c r="N304" s="302"/>
      <c r="O304" s="596" t="s">
        <v>14887</v>
      </c>
      <c r="P304" s="596" t="s">
        <v>14907</v>
      </c>
      <c r="Q304" s="596" t="s">
        <v>18177</v>
      </c>
      <c r="R304" s="596"/>
      <c r="S304" s="302">
        <f>0.297*0.9</f>
        <v>0.26729999999999998</v>
      </c>
      <c r="T304" s="302"/>
      <c r="U304" s="590"/>
      <c r="V304" s="303"/>
    </row>
    <row r="305" spans="1:22" ht="15" customHeight="1" x14ac:dyDescent="0.25">
      <c r="A305" s="567"/>
      <c r="B305" s="644"/>
      <c r="C305" s="661"/>
      <c r="D305" s="661"/>
      <c r="E305" s="661"/>
      <c r="F305" s="661"/>
      <c r="G305" s="1163" t="s">
        <v>1286</v>
      </c>
      <c r="H305" s="1163"/>
      <c r="I305" s="1163"/>
      <c r="J305" s="1163"/>
      <c r="K305" s="1163"/>
      <c r="L305" s="1163"/>
      <c r="M305" s="1163"/>
      <c r="N305" s="1163"/>
      <c r="O305" s="596" t="s">
        <v>14887</v>
      </c>
      <c r="P305" s="596" t="s">
        <v>14912</v>
      </c>
      <c r="Q305" s="596" t="s">
        <v>18179</v>
      </c>
      <c r="R305" s="596"/>
      <c r="S305" s="302">
        <f>0.2673*0.9</f>
        <v>0.24056999999999998</v>
      </c>
      <c r="T305" s="302"/>
      <c r="U305" s="590"/>
      <c r="V305" s="303"/>
    </row>
    <row r="306" spans="1:22" ht="15" customHeight="1" x14ac:dyDescent="0.25">
      <c r="A306" s="567"/>
      <c r="B306" s="644"/>
      <c r="C306" s="661"/>
      <c r="D306" s="661"/>
      <c r="E306" s="661"/>
      <c r="F306" s="661"/>
      <c r="G306" s="596" t="s">
        <v>800</v>
      </c>
      <c r="H306" s="596" t="s">
        <v>801</v>
      </c>
      <c r="I306" s="596" t="s">
        <v>1524</v>
      </c>
      <c r="J306" s="286"/>
      <c r="K306" s="286">
        <v>0.09</v>
      </c>
      <c r="L306" s="302"/>
      <c r="M306" s="590"/>
      <c r="N306" s="302"/>
      <c r="O306" s="596" t="s">
        <v>14887</v>
      </c>
      <c r="P306" s="596" t="s">
        <v>14913</v>
      </c>
      <c r="Q306" s="596" t="s">
        <v>18178</v>
      </c>
      <c r="R306" s="596"/>
      <c r="S306" s="302">
        <f>0.2673*0.9</f>
        <v>0.24056999999999998</v>
      </c>
      <c r="T306" s="302"/>
      <c r="U306" s="590"/>
      <c r="V306" s="303"/>
    </row>
    <row r="307" spans="1:22" ht="15" customHeight="1" x14ac:dyDescent="0.25">
      <c r="A307" s="567"/>
      <c r="B307" s="644"/>
      <c r="C307" s="661"/>
      <c r="D307" s="661"/>
      <c r="E307" s="661"/>
      <c r="F307" s="661"/>
      <c r="G307" s="596" t="s">
        <v>806</v>
      </c>
      <c r="H307" s="596" t="s">
        <v>807</v>
      </c>
      <c r="I307" s="662" t="s">
        <v>1523</v>
      </c>
      <c r="J307" s="663"/>
      <c r="K307" s="286">
        <v>0.02</v>
      </c>
      <c r="L307" s="302"/>
      <c r="M307" s="590"/>
      <c r="N307" s="302"/>
      <c r="O307" s="596" t="s">
        <v>793</v>
      </c>
      <c r="P307" s="596" t="s">
        <v>794</v>
      </c>
      <c r="Q307" s="627" t="s">
        <v>17432</v>
      </c>
      <c r="R307" s="627"/>
      <c r="S307" s="286">
        <v>0.5</v>
      </c>
      <c r="T307" s="302"/>
      <c r="U307" s="590"/>
      <c r="V307" s="303"/>
    </row>
    <row r="308" spans="1:22" ht="15" customHeight="1" x14ac:dyDescent="0.25">
      <c r="A308" s="567"/>
      <c r="B308" s="644"/>
      <c r="C308" s="661"/>
      <c r="D308" s="661"/>
      <c r="E308" s="661"/>
      <c r="F308" s="661"/>
      <c r="G308" s="1163" t="s">
        <v>1324</v>
      </c>
      <c r="H308" s="1163"/>
      <c r="I308" s="1163"/>
      <c r="J308" s="1163"/>
      <c r="K308" s="1163"/>
      <c r="L308" s="1163"/>
      <c r="M308" s="1163"/>
      <c r="N308" s="1163"/>
      <c r="O308" s="1185"/>
      <c r="P308" s="1185"/>
      <c r="Q308" s="1185"/>
      <c r="R308" s="1185"/>
      <c r="S308" s="1185"/>
      <c r="T308" s="1185"/>
      <c r="U308" s="1185"/>
      <c r="V308" s="1186"/>
    </row>
    <row r="309" spans="1:22" ht="15" customHeight="1" x14ac:dyDescent="0.25">
      <c r="A309" s="567"/>
      <c r="B309" s="644"/>
      <c r="C309" s="661"/>
      <c r="D309" s="661"/>
      <c r="E309" s="661"/>
      <c r="F309" s="661"/>
      <c r="G309" s="596" t="s">
        <v>1437</v>
      </c>
      <c r="H309" s="596" t="s">
        <v>808</v>
      </c>
      <c r="I309" s="596" t="s">
        <v>1458</v>
      </c>
      <c r="J309" s="286"/>
      <c r="K309" s="286">
        <v>0.1</v>
      </c>
      <c r="L309" s="302"/>
      <c r="M309" s="590"/>
      <c r="N309" s="302"/>
      <c r="O309" s="590"/>
      <c r="P309" s="590"/>
      <c r="Q309" s="590"/>
      <c r="R309" s="590"/>
      <c r="S309" s="302"/>
      <c r="T309" s="302"/>
      <c r="U309" s="590"/>
      <c r="V309" s="303"/>
    </row>
    <row r="310" spans="1:22" ht="15" customHeight="1" x14ac:dyDescent="0.25">
      <c r="A310" s="567"/>
      <c r="B310" s="644"/>
      <c r="C310" s="661"/>
      <c r="D310" s="661"/>
      <c r="E310" s="661"/>
      <c r="F310" s="661"/>
      <c r="G310" s="596" t="s">
        <v>802</v>
      </c>
      <c r="H310" s="596" t="s">
        <v>803</v>
      </c>
      <c r="I310" s="596" t="s">
        <v>1457</v>
      </c>
      <c r="J310" s="286"/>
      <c r="K310" s="286">
        <v>0.1</v>
      </c>
      <c r="L310" s="302"/>
      <c r="M310" s="590"/>
      <c r="N310" s="302"/>
      <c r="O310" s="590"/>
      <c r="P310" s="590"/>
      <c r="Q310" s="590"/>
      <c r="R310" s="590"/>
      <c r="S310" s="302"/>
      <c r="T310" s="302"/>
      <c r="U310" s="590"/>
      <c r="V310" s="303"/>
    </row>
    <row r="311" spans="1:22" ht="15" customHeight="1" x14ac:dyDescent="0.25">
      <c r="A311" s="567"/>
      <c r="B311" s="644"/>
      <c r="C311" s="661"/>
      <c r="D311" s="661"/>
      <c r="E311" s="661"/>
      <c r="F311" s="661"/>
      <c r="G311" s="596" t="s">
        <v>1398</v>
      </c>
      <c r="H311" s="596" t="s">
        <v>1399</v>
      </c>
      <c r="I311" s="596" t="s">
        <v>1511</v>
      </c>
      <c r="J311" s="286"/>
      <c r="K311" s="286">
        <v>9.8000000000000004E-2</v>
      </c>
      <c r="L311" s="302"/>
      <c r="M311" s="590"/>
      <c r="N311" s="302"/>
      <c r="O311" s="590"/>
      <c r="P311" s="590"/>
      <c r="Q311" s="590"/>
      <c r="R311" s="590"/>
      <c r="S311" s="302"/>
      <c r="T311" s="302"/>
      <c r="U311" s="590"/>
      <c r="V311" s="303"/>
    </row>
    <row r="312" spans="1:22" ht="15" customHeight="1" x14ac:dyDescent="0.25">
      <c r="A312" s="567"/>
      <c r="B312" s="644"/>
      <c r="C312" s="661"/>
      <c r="D312" s="661"/>
      <c r="E312" s="661"/>
      <c r="F312" s="661"/>
      <c r="G312" s="596" t="s">
        <v>804</v>
      </c>
      <c r="H312" s="596" t="s">
        <v>805</v>
      </c>
      <c r="I312" s="596" t="s">
        <v>1479</v>
      </c>
      <c r="J312" s="286"/>
      <c r="K312" s="286">
        <v>0.03</v>
      </c>
      <c r="L312" s="302"/>
      <c r="M312" s="590"/>
      <c r="N312" s="302"/>
      <c r="O312" s="543"/>
      <c r="P312" s="543"/>
      <c r="Q312" s="543"/>
      <c r="R312" s="543"/>
      <c r="S312" s="543"/>
      <c r="T312" s="548"/>
      <c r="U312" s="543"/>
      <c r="V312" s="664"/>
    </row>
    <row r="313" spans="1:22" ht="15" customHeight="1" x14ac:dyDescent="0.25">
      <c r="A313" s="567"/>
      <c r="B313" s="644"/>
      <c r="C313" s="661"/>
      <c r="D313" s="661"/>
      <c r="E313" s="661"/>
      <c r="F313" s="661"/>
      <c r="G313" s="596" t="s">
        <v>1415</v>
      </c>
      <c r="H313" s="596" t="s">
        <v>1416</v>
      </c>
      <c r="I313" s="596" t="s">
        <v>1509</v>
      </c>
      <c r="J313" s="286"/>
      <c r="K313" s="286">
        <v>0.1</v>
      </c>
      <c r="L313" s="302"/>
      <c r="M313" s="590"/>
      <c r="N313" s="302"/>
      <c r="O313" s="543"/>
      <c r="P313" s="543"/>
      <c r="Q313" s="543"/>
      <c r="R313" s="543"/>
      <c r="S313" s="543"/>
      <c r="T313" s="548"/>
      <c r="U313" s="543"/>
      <c r="V313" s="664"/>
    </row>
    <row r="314" spans="1:22" ht="15" customHeight="1" x14ac:dyDescent="0.25">
      <c r="A314" s="567"/>
      <c r="B314" s="644"/>
      <c r="C314" s="661"/>
      <c r="D314" s="661"/>
      <c r="E314" s="661"/>
      <c r="F314" s="661"/>
      <c r="G314" s="596" t="s">
        <v>1570</v>
      </c>
      <c r="H314" s="596" t="s">
        <v>1571</v>
      </c>
      <c r="I314" s="596" t="s">
        <v>1589</v>
      </c>
      <c r="J314" s="286"/>
      <c r="K314" s="286">
        <v>7.4999999999999997E-2</v>
      </c>
      <c r="L314" s="302"/>
      <c r="M314" s="590"/>
      <c r="N314" s="302"/>
      <c r="O314" s="548"/>
      <c r="P314" s="548"/>
      <c r="Q314" s="548"/>
      <c r="R314" s="548"/>
      <c r="S314" s="548"/>
      <c r="T314" s="548"/>
      <c r="U314" s="548"/>
      <c r="V314" s="560"/>
    </row>
    <row r="315" spans="1:22" ht="15" customHeight="1" x14ac:dyDescent="0.25">
      <c r="A315" s="567"/>
      <c r="B315" s="644"/>
      <c r="C315" s="661"/>
      <c r="D315" s="661"/>
      <c r="E315" s="661"/>
      <c r="F315" s="661"/>
      <c r="G315" s="596" t="s">
        <v>1555</v>
      </c>
      <c r="H315" s="596" t="s">
        <v>1569</v>
      </c>
      <c r="I315" s="596" t="s">
        <v>1590</v>
      </c>
      <c r="J315" s="286"/>
      <c r="K315" s="286">
        <v>0.15</v>
      </c>
      <c r="L315" s="302"/>
      <c r="M315" s="590"/>
      <c r="N315" s="302"/>
      <c r="O315" s="548"/>
      <c r="P315" s="548"/>
      <c r="Q315" s="548"/>
      <c r="R315" s="548"/>
      <c r="S315" s="548"/>
      <c r="T315" s="548"/>
      <c r="U315" s="548"/>
      <c r="V315" s="560"/>
    </row>
    <row r="316" spans="1:22" ht="15" customHeight="1" x14ac:dyDescent="0.25">
      <c r="A316" s="567"/>
      <c r="B316" s="644"/>
      <c r="C316" s="661"/>
      <c r="D316" s="661"/>
      <c r="E316" s="661"/>
      <c r="F316" s="661"/>
      <c r="G316" s="596" t="s">
        <v>1555</v>
      </c>
      <c r="H316" s="596" t="s">
        <v>1556</v>
      </c>
      <c r="I316" s="596" t="s">
        <v>1763</v>
      </c>
      <c r="J316" s="286"/>
      <c r="K316" s="286">
        <v>0.15</v>
      </c>
      <c r="L316" s="302"/>
      <c r="M316" s="590"/>
      <c r="N316" s="302"/>
      <c r="O316" s="548"/>
      <c r="P316" s="548"/>
      <c r="Q316" s="548"/>
      <c r="R316" s="548"/>
      <c r="S316" s="548"/>
      <c r="T316" s="548"/>
      <c r="U316" s="548"/>
      <c r="V316" s="560"/>
    </row>
    <row r="317" spans="1:22" ht="15" customHeight="1" x14ac:dyDescent="0.25">
      <c r="A317" s="567"/>
      <c r="B317" s="644"/>
      <c r="C317" s="661"/>
      <c r="D317" s="661"/>
      <c r="E317" s="661"/>
      <c r="F317" s="661"/>
      <c r="G317" s="1163" t="s">
        <v>1645</v>
      </c>
      <c r="H317" s="1163"/>
      <c r="I317" s="1163"/>
      <c r="J317" s="1163"/>
      <c r="K317" s="1163"/>
      <c r="L317" s="1163"/>
      <c r="M317" s="1163"/>
      <c r="N317" s="1163"/>
      <c r="O317" s="548"/>
      <c r="P317" s="548"/>
      <c r="Q317" s="548"/>
      <c r="R317" s="548"/>
      <c r="S317" s="548"/>
      <c r="T317" s="548"/>
      <c r="U317" s="548"/>
      <c r="V317" s="560"/>
    </row>
    <row r="318" spans="1:22" ht="15" customHeight="1" x14ac:dyDescent="0.25">
      <c r="A318" s="567"/>
      <c r="B318" s="644"/>
      <c r="C318" s="661"/>
      <c r="D318" s="661"/>
      <c r="E318" s="661"/>
      <c r="F318" s="661"/>
      <c r="G318" s="596" t="s">
        <v>1086</v>
      </c>
      <c r="H318" s="596" t="s">
        <v>1762</v>
      </c>
      <c r="I318" s="596" t="s">
        <v>1764</v>
      </c>
      <c r="J318" s="286"/>
      <c r="K318" s="286">
        <f>0.027-0.012</f>
        <v>1.4999999999999999E-2</v>
      </c>
      <c r="L318" s="302"/>
      <c r="M318" s="590"/>
      <c r="N318" s="302"/>
      <c r="O318" s="548"/>
      <c r="P318" s="548"/>
      <c r="Q318" s="548"/>
      <c r="R318" s="548"/>
      <c r="S318" s="548"/>
      <c r="T318" s="548"/>
      <c r="U318" s="548"/>
      <c r="V318" s="560"/>
    </row>
    <row r="319" spans="1:22" ht="15" customHeight="1" x14ac:dyDescent="0.25">
      <c r="A319" s="567"/>
      <c r="B319" s="644"/>
      <c r="C319" s="661"/>
      <c r="D319" s="661"/>
      <c r="E319" s="661"/>
      <c r="F319" s="661"/>
      <c r="G319" s="1163" t="s">
        <v>2011</v>
      </c>
      <c r="H319" s="1163"/>
      <c r="I319" s="1163"/>
      <c r="J319" s="1163"/>
      <c r="K319" s="1163"/>
      <c r="L319" s="1163"/>
      <c r="M319" s="1163"/>
      <c r="N319" s="1163"/>
      <c r="O319" s="1185"/>
      <c r="P319" s="1185"/>
      <c r="Q319" s="1185"/>
      <c r="R319" s="1185"/>
      <c r="S319" s="1185"/>
      <c r="T319" s="1185"/>
      <c r="U319" s="1185"/>
      <c r="V319" s="1186"/>
    </row>
    <row r="320" spans="1:22" ht="15" customHeight="1" x14ac:dyDescent="0.25">
      <c r="A320" s="567"/>
      <c r="B320" s="644"/>
      <c r="C320" s="661"/>
      <c r="D320" s="661"/>
      <c r="E320" s="661"/>
      <c r="F320" s="661"/>
      <c r="G320" s="596" t="s">
        <v>1989</v>
      </c>
      <c r="H320" s="596" t="s">
        <v>1990</v>
      </c>
      <c r="I320" s="596" t="s">
        <v>13377</v>
      </c>
      <c r="J320" s="286"/>
      <c r="K320" s="286">
        <f>0.12*0.9</f>
        <v>0.108</v>
      </c>
      <c r="L320" s="302"/>
      <c r="M320" s="590"/>
      <c r="N320" s="302"/>
      <c r="O320" s="590"/>
      <c r="P320" s="590"/>
      <c r="Q320" s="590"/>
      <c r="R320" s="590"/>
      <c r="S320" s="302"/>
      <c r="T320" s="302"/>
      <c r="U320" s="590"/>
      <c r="V320" s="303"/>
    </row>
    <row r="321" spans="1:22" ht="15" customHeight="1" x14ac:dyDescent="0.25">
      <c r="A321" s="567"/>
      <c r="B321" s="644"/>
      <c r="C321" s="661"/>
      <c r="D321" s="661"/>
      <c r="E321" s="661"/>
      <c r="F321" s="661"/>
      <c r="G321" s="596" t="s">
        <v>1935</v>
      </c>
      <c r="H321" s="596" t="s">
        <v>2095</v>
      </c>
      <c r="I321" s="596" t="s">
        <v>2108</v>
      </c>
      <c r="J321" s="286"/>
      <c r="K321" s="286">
        <v>7.0000000000000007E-2</v>
      </c>
      <c r="L321" s="302"/>
      <c r="M321" s="590"/>
      <c r="N321" s="302"/>
      <c r="O321" s="590"/>
      <c r="P321" s="590"/>
      <c r="Q321" s="590"/>
      <c r="R321" s="590"/>
      <c r="S321" s="302"/>
      <c r="T321" s="302"/>
      <c r="U321" s="590"/>
      <c r="V321" s="303"/>
    </row>
    <row r="322" spans="1:22" ht="15" customHeight="1" x14ac:dyDescent="0.25">
      <c r="A322" s="567"/>
      <c r="B322" s="644"/>
      <c r="C322" s="661"/>
      <c r="D322" s="661"/>
      <c r="E322" s="661"/>
      <c r="F322" s="661"/>
      <c r="G322" s="596" t="s">
        <v>1086</v>
      </c>
      <c r="H322" s="596" t="s">
        <v>2124</v>
      </c>
      <c r="I322" s="596" t="s">
        <v>2151</v>
      </c>
      <c r="J322" s="286"/>
      <c r="K322" s="286">
        <f>(0.1-0.027)*0.9</f>
        <v>6.5700000000000008E-2</v>
      </c>
      <c r="L322" s="302"/>
      <c r="M322" s="590"/>
      <c r="N322" s="302"/>
      <c r="O322" s="590"/>
      <c r="P322" s="590"/>
      <c r="Q322" s="590"/>
      <c r="R322" s="590"/>
      <c r="S322" s="302"/>
      <c r="T322" s="302"/>
      <c r="U322" s="590"/>
      <c r="V322" s="303"/>
    </row>
    <row r="323" spans="1:22" ht="15" customHeight="1" x14ac:dyDescent="0.25">
      <c r="A323" s="567"/>
      <c r="B323" s="644"/>
      <c r="C323" s="661"/>
      <c r="D323" s="661"/>
      <c r="E323" s="661"/>
      <c r="F323" s="661"/>
      <c r="G323" s="596" t="s">
        <v>1603</v>
      </c>
      <c r="H323" s="596" t="s">
        <v>2164</v>
      </c>
      <c r="I323" s="596" t="s">
        <v>2165</v>
      </c>
      <c r="J323" s="286"/>
      <c r="K323" s="286">
        <f>0.04575*0.9</f>
        <v>4.1175000000000003E-2</v>
      </c>
      <c r="L323" s="302"/>
      <c r="M323" s="590"/>
      <c r="N323" s="302"/>
      <c r="O323" s="590"/>
      <c r="P323" s="590"/>
      <c r="Q323" s="590"/>
      <c r="R323" s="590"/>
      <c r="S323" s="302"/>
      <c r="T323" s="302"/>
      <c r="U323" s="590"/>
      <c r="V323" s="303"/>
    </row>
    <row r="324" spans="1:22" ht="15" customHeight="1" x14ac:dyDescent="0.25">
      <c r="A324" s="567"/>
      <c r="B324" s="644"/>
      <c r="C324" s="661"/>
      <c r="D324" s="661"/>
      <c r="E324" s="661"/>
      <c r="F324" s="661"/>
      <c r="G324" s="596" t="s">
        <v>2117</v>
      </c>
      <c r="H324" s="596" t="s">
        <v>2156</v>
      </c>
      <c r="I324" s="596" t="s">
        <v>2175</v>
      </c>
      <c r="J324" s="286"/>
      <c r="K324" s="286">
        <f>0.02*0.75</f>
        <v>1.4999999999999999E-2</v>
      </c>
      <c r="L324" s="302"/>
      <c r="M324" s="590"/>
      <c r="N324" s="302"/>
      <c r="O324" s="590"/>
      <c r="P324" s="590"/>
      <c r="Q324" s="590"/>
      <c r="R324" s="590"/>
      <c r="S324" s="302"/>
      <c r="T324" s="302"/>
      <c r="U324" s="590"/>
      <c r="V324" s="303"/>
    </row>
    <row r="325" spans="1:22" ht="15" customHeight="1" x14ac:dyDescent="0.25">
      <c r="A325" s="567"/>
      <c r="B325" s="644"/>
      <c r="C325" s="661"/>
      <c r="D325" s="661"/>
      <c r="E325" s="661"/>
      <c r="F325" s="661"/>
      <c r="G325" s="596" t="s">
        <v>2208</v>
      </c>
      <c r="H325" s="596" t="s">
        <v>2209</v>
      </c>
      <c r="I325" s="596" t="s">
        <v>2256</v>
      </c>
      <c r="J325" s="286"/>
      <c r="K325" s="286">
        <f>0.05*0.75</f>
        <v>3.7500000000000006E-2</v>
      </c>
      <c r="L325" s="302"/>
      <c r="M325" s="590"/>
      <c r="N325" s="302"/>
      <c r="O325" s="590"/>
      <c r="P325" s="590"/>
      <c r="Q325" s="590"/>
      <c r="R325" s="590"/>
      <c r="S325" s="302"/>
      <c r="T325" s="302"/>
      <c r="U325" s="590"/>
      <c r="V325" s="303"/>
    </row>
    <row r="326" spans="1:22" ht="15" customHeight="1" x14ac:dyDescent="0.25">
      <c r="A326" s="567"/>
      <c r="B326" s="644"/>
      <c r="C326" s="661"/>
      <c r="D326" s="661"/>
      <c r="E326" s="661"/>
      <c r="F326" s="661"/>
      <c r="G326" s="1163" t="s">
        <v>2290</v>
      </c>
      <c r="H326" s="1163"/>
      <c r="I326" s="1163"/>
      <c r="J326" s="1163"/>
      <c r="K326" s="1163"/>
      <c r="L326" s="1163"/>
      <c r="M326" s="1163"/>
      <c r="N326" s="1163"/>
      <c r="O326" s="590"/>
      <c r="P326" s="590"/>
      <c r="Q326" s="590"/>
      <c r="R326" s="590"/>
      <c r="S326" s="302"/>
      <c r="T326" s="302"/>
      <c r="U326" s="590"/>
      <c r="V326" s="303"/>
    </row>
    <row r="327" spans="1:22" ht="15" customHeight="1" x14ac:dyDescent="0.25">
      <c r="A327" s="567"/>
      <c r="B327" s="644"/>
      <c r="C327" s="661"/>
      <c r="D327" s="661"/>
      <c r="E327" s="661"/>
      <c r="F327" s="661"/>
      <c r="G327" s="596" t="s">
        <v>2278</v>
      </c>
      <c r="H327" s="596" t="s">
        <v>2279</v>
      </c>
      <c r="I327" s="596" t="s">
        <v>2314</v>
      </c>
      <c r="J327" s="286"/>
      <c r="K327" s="286">
        <f>0.165*0.15</f>
        <v>2.4750000000000001E-2</v>
      </c>
      <c r="L327" s="302"/>
      <c r="M327" s="590"/>
      <c r="N327" s="302"/>
      <c r="O327" s="590"/>
      <c r="P327" s="590"/>
      <c r="Q327" s="590"/>
      <c r="R327" s="590"/>
      <c r="S327" s="302"/>
      <c r="T327" s="302"/>
      <c r="U327" s="590"/>
      <c r="V327" s="303"/>
    </row>
    <row r="328" spans="1:22" ht="15" customHeight="1" x14ac:dyDescent="0.25">
      <c r="A328" s="567"/>
      <c r="B328" s="644"/>
      <c r="C328" s="661"/>
      <c r="D328" s="661"/>
      <c r="E328" s="661"/>
      <c r="F328" s="661"/>
      <c r="G328" s="432" t="s">
        <v>2306</v>
      </c>
      <c r="H328" s="432" t="s">
        <v>2307</v>
      </c>
      <c r="I328" s="432" t="s">
        <v>2320</v>
      </c>
      <c r="J328" s="357"/>
      <c r="K328" s="357">
        <f>0.065*0.75</f>
        <v>4.8750000000000002E-2</v>
      </c>
      <c r="L328" s="302"/>
      <c r="M328" s="590"/>
      <c r="N328" s="302"/>
      <c r="O328" s="590"/>
      <c r="P328" s="590"/>
      <c r="Q328" s="590"/>
      <c r="R328" s="590"/>
      <c r="S328" s="302"/>
      <c r="T328" s="302"/>
      <c r="U328" s="590"/>
      <c r="V328" s="303"/>
    </row>
    <row r="329" spans="1:22" ht="15" customHeight="1" x14ac:dyDescent="0.25">
      <c r="A329" s="567"/>
      <c r="B329" s="644"/>
      <c r="C329" s="661"/>
      <c r="D329" s="661"/>
      <c r="E329" s="661"/>
      <c r="F329" s="661"/>
      <c r="G329" s="596" t="s">
        <v>2298</v>
      </c>
      <c r="H329" s="596" t="s">
        <v>2299</v>
      </c>
      <c r="I329" s="432" t="s">
        <v>2321</v>
      </c>
      <c r="J329" s="357"/>
      <c r="K329" s="357">
        <f>0.26*0.75</f>
        <v>0.19500000000000001</v>
      </c>
      <c r="L329" s="302"/>
      <c r="M329" s="590"/>
      <c r="N329" s="357"/>
      <c r="O329" s="590"/>
      <c r="P329" s="590"/>
      <c r="Q329" s="590"/>
      <c r="R329" s="590"/>
      <c r="S329" s="302"/>
      <c r="T329" s="302"/>
      <c r="U329" s="590"/>
      <c r="V329" s="303"/>
    </row>
    <row r="330" spans="1:22" ht="15" customHeight="1" x14ac:dyDescent="0.25">
      <c r="A330" s="567"/>
      <c r="B330" s="644"/>
      <c r="C330" s="661"/>
      <c r="D330" s="661"/>
      <c r="E330" s="661"/>
      <c r="F330" s="661"/>
      <c r="G330" s="596" t="s">
        <v>2380</v>
      </c>
      <c r="H330" s="596" t="s">
        <v>2381</v>
      </c>
      <c r="I330" s="432" t="s">
        <v>2382</v>
      </c>
      <c r="J330" s="357"/>
      <c r="K330" s="357">
        <f>(0.25-0.099)*0.9</f>
        <v>0.13589999999999999</v>
      </c>
      <c r="L330" s="302"/>
      <c r="M330" s="590"/>
      <c r="N330" s="357"/>
      <c r="O330" s="590"/>
      <c r="P330" s="590"/>
      <c r="Q330" s="590"/>
      <c r="R330" s="590"/>
      <c r="S330" s="302"/>
      <c r="T330" s="302"/>
      <c r="U330" s="590"/>
      <c r="V330" s="303"/>
    </row>
    <row r="331" spans="1:22" ht="15" customHeight="1" x14ac:dyDescent="0.25">
      <c r="A331" s="567"/>
      <c r="B331" s="644"/>
      <c r="C331" s="661"/>
      <c r="D331" s="661"/>
      <c r="E331" s="661"/>
      <c r="F331" s="661"/>
      <c r="G331" s="596" t="s">
        <v>2337</v>
      </c>
      <c r="H331" s="596" t="s">
        <v>2338</v>
      </c>
      <c r="I331" s="432" t="s">
        <v>2384</v>
      </c>
      <c r="J331" s="357"/>
      <c r="K331" s="357">
        <f>0.45*0.9</f>
        <v>0.40500000000000003</v>
      </c>
      <c r="L331" s="302"/>
      <c r="M331" s="590"/>
      <c r="N331" s="357"/>
      <c r="O331" s="590"/>
      <c r="P331" s="590"/>
      <c r="Q331" s="590"/>
      <c r="R331" s="590"/>
      <c r="S331" s="302"/>
      <c r="T331" s="302"/>
      <c r="U331" s="590"/>
      <c r="V331" s="303"/>
    </row>
    <row r="332" spans="1:22" ht="15" customHeight="1" x14ac:dyDescent="0.25">
      <c r="A332" s="567"/>
      <c r="B332" s="644"/>
      <c r="C332" s="661"/>
      <c r="D332" s="661"/>
      <c r="E332" s="661"/>
      <c r="F332" s="661"/>
      <c r="G332" s="596" t="s">
        <v>2364</v>
      </c>
      <c r="H332" s="596" t="s">
        <v>2365</v>
      </c>
      <c r="I332" s="432" t="s">
        <v>2413</v>
      </c>
      <c r="J332" s="357"/>
      <c r="K332" s="357">
        <f>0.26*0.75</f>
        <v>0.19500000000000001</v>
      </c>
      <c r="L332" s="302"/>
      <c r="M332" s="590"/>
      <c r="N332" s="357"/>
      <c r="O332" s="590"/>
      <c r="P332" s="590"/>
      <c r="Q332" s="590"/>
      <c r="R332" s="590"/>
      <c r="S332" s="302"/>
      <c r="T332" s="302"/>
      <c r="U332" s="590"/>
      <c r="V332" s="303"/>
    </row>
    <row r="333" spans="1:22" ht="15" customHeight="1" x14ac:dyDescent="0.25">
      <c r="A333" s="567"/>
      <c r="B333" s="644"/>
      <c r="C333" s="661"/>
      <c r="D333" s="661"/>
      <c r="E333" s="661"/>
      <c r="F333" s="661"/>
      <c r="G333" s="596" t="s">
        <v>1090</v>
      </c>
      <c r="H333" s="596" t="s">
        <v>2360</v>
      </c>
      <c r="I333" s="432" t="s">
        <v>2426</v>
      </c>
      <c r="J333" s="357"/>
      <c r="K333" s="357">
        <f>0.1*0.15</f>
        <v>1.4999999999999999E-2</v>
      </c>
      <c r="L333" s="302"/>
      <c r="M333" s="590"/>
      <c r="N333" s="357"/>
      <c r="O333" s="590"/>
      <c r="P333" s="590"/>
      <c r="Q333" s="590"/>
      <c r="R333" s="590"/>
      <c r="S333" s="302"/>
      <c r="T333" s="302"/>
      <c r="U333" s="590"/>
      <c r="V333" s="303"/>
    </row>
    <row r="334" spans="1:22" ht="15" customHeight="1" x14ac:dyDescent="0.25">
      <c r="A334" s="567"/>
      <c r="B334" s="644"/>
      <c r="C334" s="661"/>
      <c r="D334" s="661"/>
      <c r="E334" s="661"/>
      <c r="F334" s="661"/>
      <c r="G334" s="596" t="s">
        <v>2393</v>
      </c>
      <c r="H334" s="596" t="s">
        <v>2394</v>
      </c>
      <c r="I334" s="432" t="s">
        <v>14707</v>
      </c>
      <c r="J334" s="357"/>
      <c r="K334" s="357">
        <f>0.64*0.15</f>
        <v>9.6000000000000002E-2</v>
      </c>
      <c r="L334" s="302"/>
      <c r="M334" s="590"/>
      <c r="N334" s="357"/>
      <c r="O334" s="590"/>
      <c r="P334" s="590"/>
      <c r="Q334" s="590"/>
      <c r="R334" s="590"/>
      <c r="S334" s="302"/>
      <c r="T334" s="302"/>
      <c r="U334" s="590"/>
      <c r="V334" s="303"/>
    </row>
    <row r="335" spans="1:22" ht="15" customHeight="1" x14ac:dyDescent="0.25">
      <c r="A335" s="567"/>
      <c r="B335" s="644"/>
      <c r="C335" s="661"/>
      <c r="D335" s="661"/>
      <c r="E335" s="661"/>
      <c r="F335" s="661"/>
      <c r="G335" s="596" t="s">
        <v>13417</v>
      </c>
      <c r="H335" s="596" t="s">
        <v>13418</v>
      </c>
      <c r="I335" s="432" t="s">
        <v>18159</v>
      </c>
      <c r="J335" s="357"/>
      <c r="K335" s="357">
        <f>0.5*0.75</f>
        <v>0.375</v>
      </c>
      <c r="L335" s="302"/>
      <c r="M335" s="590"/>
      <c r="N335" s="357"/>
      <c r="O335" s="590"/>
      <c r="P335" s="590"/>
      <c r="Q335" s="590"/>
      <c r="R335" s="590"/>
      <c r="S335" s="302"/>
      <c r="T335" s="302"/>
      <c r="U335" s="590"/>
      <c r="V335" s="303"/>
    </row>
    <row r="336" spans="1:22" ht="15" customHeight="1" x14ac:dyDescent="0.25">
      <c r="A336" s="567"/>
      <c r="B336" s="644"/>
      <c r="C336" s="661"/>
      <c r="D336" s="661"/>
      <c r="E336" s="661"/>
      <c r="F336" s="661"/>
      <c r="G336" s="596" t="s">
        <v>14801</v>
      </c>
      <c r="H336" s="596" t="s">
        <v>14802</v>
      </c>
      <c r="I336" s="596" t="s">
        <v>14857</v>
      </c>
      <c r="J336" s="286"/>
      <c r="K336" s="302">
        <f>0.15*0.9</f>
        <v>0.13500000000000001</v>
      </c>
      <c r="L336" s="302"/>
      <c r="M336" s="590"/>
      <c r="N336" s="302"/>
      <c r="O336" s="590"/>
      <c r="P336" s="590"/>
      <c r="Q336" s="590"/>
      <c r="R336" s="590"/>
      <c r="S336" s="302"/>
      <c r="T336" s="302"/>
      <c r="U336" s="590"/>
      <c r="V336" s="303"/>
    </row>
    <row r="337" spans="1:22" ht="15" customHeight="1" x14ac:dyDescent="0.25">
      <c r="A337" s="567"/>
      <c r="B337" s="644"/>
      <c r="C337" s="661"/>
      <c r="D337" s="661"/>
      <c r="E337" s="661"/>
      <c r="F337" s="661"/>
      <c r="G337" s="596" t="s">
        <v>13416</v>
      </c>
      <c r="H337" s="596" t="s">
        <v>14858</v>
      </c>
      <c r="I337" s="596" t="s">
        <v>14859</v>
      </c>
      <c r="J337" s="286"/>
      <c r="K337" s="302">
        <f>0.15*0.75</f>
        <v>0.11249999999999999</v>
      </c>
      <c r="L337" s="302"/>
      <c r="M337" s="590"/>
      <c r="N337" s="302"/>
      <c r="O337" s="590"/>
      <c r="P337" s="590"/>
      <c r="Q337" s="590"/>
      <c r="R337" s="590"/>
      <c r="S337" s="302"/>
      <c r="T337" s="302"/>
      <c r="U337" s="590"/>
      <c r="V337" s="303"/>
    </row>
    <row r="338" spans="1:22" ht="15" customHeight="1" x14ac:dyDescent="0.25">
      <c r="A338" s="567"/>
      <c r="B338" s="644"/>
      <c r="C338" s="661"/>
      <c r="D338" s="661"/>
      <c r="E338" s="661"/>
      <c r="F338" s="661"/>
      <c r="G338" s="596" t="s">
        <v>14866</v>
      </c>
      <c r="H338" s="596" t="s">
        <v>14723</v>
      </c>
      <c r="I338" s="596" t="s">
        <v>14867</v>
      </c>
      <c r="J338" s="286"/>
      <c r="K338" s="302">
        <f>0.4*0.75</f>
        <v>0.30000000000000004</v>
      </c>
      <c r="L338" s="302"/>
      <c r="M338" s="590"/>
      <c r="N338" s="302"/>
      <c r="O338" s="590"/>
      <c r="P338" s="590"/>
      <c r="Q338" s="590"/>
      <c r="R338" s="590"/>
      <c r="S338" s="302"/>
      <c r="T338" s="302"/>
      <c r="U338" s="590"/>
      <c r="V338" s="303"/>
    </row>
    <row r="339" spans="1:22" ht="15" customHeight="1" x14ac:dyDescent="0.25">
      <c r="A339" s="567"/>
      <c r="B339" s="644"/>
      <c r="C339" s="661"/>
      <c r="D339" s="661"/>
      <c r="E339" s="661"/>
      <c r="F339" s="661"/>
      <c r="G339" s="1163" t="s">
        <v>14933</v>
      </c>
      <c r="H339" s="1163"/>
      <c r="I339" s="1163"/>
      <c r="J339" s="1163"/>
      <c r="K339" s="1163"/>
      <c r="L339" s="1163"/>
      <c r="M339" s="1163"/>
      <c r="N339" s="1163"/>
      <c r="O339" s="590"/>
      <c r="P339" s="590"/>
      <c r="Q339" s="590"/>
      <c r="R339" s="590"/>
      <c r="S339" s="302"/>
      <c r="T339" s="302"/>
      <c r="U339" s="590"/>
      <c r="V339" s="303"/>
    </row>
    <row r="340" spans="1:22" ht="15" customHeight="1" x14ac:dyDescent="0.25">
      <c r="A340" s="567"/>
      <c r="B340" s="644"/>
      <c r="C340" s="661"/>
      <c r="D340" s="661"/>
      <c r="E340" s="661"/>
      <c r="F340" s="661"/>
      <c r="G340" s="596" t="s">
        <v>13416</v>
      </c>
      <c r="H340" s="596" t="s">
        <v>14735</v>
      </c>
      <c r="I340" s="596" t="s">
        <v>14936</v>
      </c>
      <c r="J340" s="286"/>
      <c r="K340" s="286">
        <f>0.5*0.75</f>
        <v>0.375</v>
      </c>
      <c r="L340" s="302"/>
      <c r="M340" s="590"/>
      <c r="N340" s="302"/>
      <c r="O340" s="590"/>
      <c r="P340" s="590"/>
      <c r="Q340" s="590"/>
      <c r="R340" s="590"/>
      <c r="S340" s="302"/>
      <c r="T340" s="302"/>
      <c r="U340" s="590"/>
      <c r="V340" s="303"/>
    </row>
    <row r="341" spans="1:22" ht="15" customHeight="1" x14ac:dyDescent="0.25">
      <c r="A341" s="567"/>
      <c r="B341" s="644"/>
      <c r="C341" s="661"/>
      <c r="D341" s="661"/>
      <c r="E341" s="661"/>
      <c r="F341" s="661"/>
      <c r="G341" s="596" t="s">
        <v>1603</v>
      </c>
      <c r="H341" s="596" t="s">
        <v>17243</v>
      </c>
      <c r="I341" s="596" t="s">
        <v>17244</v>
      </c>
      <c r="J341" s="286"/>
      <c r="K341" s="302">
        <f>(0.09575-0.04575)*0.15</f>
        <v>7.4999999999999997E-3</v>
      </c>
      <c r="L341" s="302"/>
      <c r="M341" s="590"/>
      <c r="N341" s="302"/>
      <c r="O341" s="590"/>
      <c r="P341" s="590"/>
      <c r="Q341" s="590"/>
      <c r="R341" s="590"/>
      <c r="S341" s="302"/>
      <c r="T341" s="302"/>
      <c r="U341" s="590"/>
      <c r="V341" s="303"/>
    </row>
    <row r="342" spans="1:22" ht="15" customHeight="1" x14ac:dyDescent="0.25">
      <c r="A342" s="567"/>
      <c r="B342" s="644"/>
      <c r="C342" s="661"/>
      <c r="D342" s="661"/>
      <c r="E342" s="661"/>
      <c r="F342" s="661"/>
      <c r="G342" s="596" t="s">
        <v>17305</v>
      </c>
      <c r="H342" s="596" t="s">
        <v>17306</v>
      </c>
      <c r="I342" s="596" t="s">
        <v>17307</v>
      </c>
      <c r="J342" s="286"/>
      <c r="K342" s="302">
        <f>0.6*0.75</f>
        <v>0.44999999999999996</v>
      </c>
      <c r="L342" s="302"/>
      <c r="M342" s="590"/>
      <c r="N342" s="302"/>
      <c r="O342" s="590"/>
      <c r="P342" s="590"/>
      <c r="Q342" s="590"/>
      <c r="R342" s="590"/>
      <c r="S342" s="302"/>
      <c r="T342" s="302"/>
      <c r="U342" s="590"/>
      <c r="V342" s="303"/>
    </row>
    <row r="343" spans="1:22" ht="15" customHeight="1" x14ac:dyDescent="0.25">
      <c r="A343" s="567"/>
      <c r="B343" s="644"/>
      <c r="C343" s="661"/>
      <c r="D343" s="661"/>
      <c r="E343" s="661"/>
      <c r="F343" s="661"/>
      <c r="G343" s="596" t="s">
        <v>17364</v>
      </c>
      <c r="H343" s="596" t="s">
        <v>17365</v>
      </c>
      <c r="I343" s="596" t="s">
        <v>18160</v>
      </c>
      <c r="J343" s="286"/>
      <c r="K343" s="302">
        <f>0.03*0.9</f>
        <v>2.7E-2</v>
      </c>
      <c r="L343" s="302"/>
      <c r="M343" s="590"/>
      <c r="N343" s="302"/>
      <c r="O343" s="590"/>
      <c r="P343" s="590"/>
      <c r="Q343" s="590"/>
      <c r="R343" s="590"/>
      <c r="S343" s="302"/>
      <c r="T343" s="302"/>
      <c r="U343" s="590"/>
      <c r="V343" s="303"/>
    </row>
    <row r="344" spans="1:22" ht="15" customHeight="1" x14ac:dyDescent="0.25">
      <c r="A344" s="567"/>
      <c r="B344" s="644"/>
      <c r="C344" s="661"/>
      <c r="D344" s="661"/>
      <c r="E344" s="661"/>
      <c r="F344" s="661"/>
      <c r="G344" s="1164" t="s">
        <v>2262</v>
      </c>
      <c r="H344" s="1164"/>
      <c r="I344" s="1164"/>
      <c r="J344" s="1165">
        <f>0.315*0.9</f>
        <v>0.28350000000000003</v>
      </c>
      <c r="K344" s="1166"/>
      <c r="L344" s="302"/>
      <c r="M344" s="590"/>
      <c r="N344" s="302"/>
      <c r="O344" s="590"/>
      <c r="P344" s="590"/>
      <c r="Q344" s="590"/>
      <c r="R344" s="590"/>
      <c r="S344" s="302"/>
      <c r="T344" s="302"/>
      <c r="U344" s="590"/>
      <c r="V344" s="303"/>
    </row>
    <row r="345" spans="1:22" ht="15" customHeight="1" x14ac:dyDescent="0.25">
      <c r="A345" s="567"/>
      <c r="B345" s="644"/>
      <c r="C345" s="661"/>
      <c r="D345" s="661"/>
      <c r="E345" s="661"/>
      <c r="F345" s="661"/>
      <c r="G345" s="590" t="s">
        <v>790</v>
      </c>
      <c r="H345" s="590" t="s">
        <v>17477</v>
      </c>
      <c r="I345" s="590" t="s">
        <v>17478</v>
      </c>
      <c r="J345" s="302"/>
      <c r="K345" s="302">
        <f>0.445*0.75</f>
        <v>0.33374999999999999</v>
      </c>
      <c r="L345" s="302"/>
      <c r="M345" s="590"/>
      <c r="N345" s="302"/>
      <c r="O345" s="590"/>
      <c r="P345" s="590"/>
      <c r="Q345" s="590"/>
      <c r="R345" s="590"/>
      <c r="S345" s="302"/>
      <c r="T345" s="302"/>
      <c r="U345" s="590"/>
      <c r="V345" s="303"/>
    </row>
    <row r="346" spans="1:22" ht="15" customHeight="1" x14ac:dyDescent="0.25">
      <c r="A346" s="567"/>
      <c r="B346" s="644"/>
      <c r="C346" s="661"/>
      <c r="D346" s="661"/>
      <c r="E346" s="661"/>
      <c r="F346" s="661"/>
      <c r="G346" s="590" t="s">
        <v>17479</v>
      </c>
      <c r="H346" s="590" t="s">
        <v>17480</v>
      </c>
      <c r="I346" s="590" t="s">
        <v>17481</v>
      </c>
      <c r="J346" s="302"/>
      <c r="K346" s="302">
        <f>0.35*0.75</f>
        <v>0.26249999999999996</v>
      </c>
      <c r="L346" s="302"/>
      <c r="M346" s="590"/>
      <c r="N346" s="302"/>
      <c r="O346" s="590"/>
      <c r="P346" s="590"/>
      <c r="Q346" s="590"/>
      <c r="R346" s="590"/>
      <c r="S346" s="302"/>
      <c r="T346" s="302"/>
      <c r="U346" s="590"/>
      <c r="V346" s="303"/>
    </row>
    <row r="347" spans="1:22" ht="15" customHeight="1" x14ac:dyDescent="0.25">
      <c r="A347" s="567"/>
      <c r="B347" s="644"/>
      <c r="C347" s="661"/>
      <c r="D347" s="661"/>
      <c r="E347" s="661"/>
      <c r="F347" s="661"/>
      <c r="G347" s="1163" t="s">
        <v>18518</v>
      </c>
      <c r="H347" s="1163"/>
      <c r="I347" s="1163"/>
      <c r="J347" s="1163"/>
      <c r="K347" s="1163"/>
      <c r="L347" s="1163"/>
      <c r="M347" s="1163"/>
      <c r="N347" s="1163"/>
      <c r="O347" s="290"/>
      <c r="P347" s="290"/>
      <c r="Q347" s="290"/>
      <c r="R347" s="290"/>
      <c r="S347" s="307"/>
      <c r="T347" s="307"/>
      <c r="U347" s="290"/>
      <c r="V347" s="305"/>
    </row>
    <row r="348" spans="1:22" ht="15" customHeight="1" x14ac:dyDescent="0.25">
      <c r="A348" s="567"/>
      <c r="B348" s="644"/>
      <c r="C348" s="661"/>
      <c r="D348" s="661"/>
      <c r="E348" s="661"/>
      <c r="F348" s="661"/>
      <c r="G348" s="650" t="s">
        <v>18955</v>
      </c>
      <c r="H348" s="650" t="s">
        <v>18956</v>
      </c>
      <c r="I348" s="650" t="s">
        <v>19576</v>
      </c>
      <c r="J348" s="651">
        <f>0.25*0.9</f>
        <v>0.22500000000000001</v>
      </c>
      <c r="K348" s="651"/>
      <c r="L348" s="652"/>
      <c r="M348" s="290"/>
      <c r="N348" s="653"/>
      <c r="O348" s="290"/>
      <c r="P348" s="290"/>
      <c r="Q348" s="290"/>
      <c r="R348" s="290"/>
      <c r="S348" s="307"/>
      <c r="T348" s="307"/>
      <c r="U348" s="290"/>
      <c r="V348" s="305"/>
    </row>
    <row r="349" spans="1:22" ht="15" customHeight="1" x14ac:dyDescent="0.25">
      <c r="A349" s="567"/>
      <c r="B349" s="644"/>
      <c r="C349" s="661"/>
      <c r="D349" s="661"/>
      <c r="E349" s="661"/>
      <c r="F349" s="661"/>
      <c r="G349" s="650" t="s">
        <v>18959</v>
      </c>
      <c r="H349" s="650" t="s">
        <v>18960</v>
      </c>
      <c r="I349" s="650" t="s">
        <v>19577</v>
      </c>
      <c r="J349" s="651"/>
      <c r="K349" s="651">
        <f>0.07*0.15</f>
        <v>1.0500000000000001E-2</v>
      </c>
      <c r="L349" s="652"/>
      <c r="M349" s="290"/>
      <c r="N349" s="653"/>
      <c r="O349" s="290"/>
      <c r="P349" s="290"/>
      <c r="Q349" s="290"/>
      <c r="R349" s="290"/>
      <c r="S349" s="307"/>
      <c r="T349" s="307"/>
      <c r="U349" s="290"/>
      <c r="V349" s="305"/>
    </row>
    <row r="350" spans="1:22" ht="15" customHeight="1" x14ac:dyDescent="0.25">
      <c r="A350" s="567"/>
      <c r="B350" s="644"/>
      <c r="C350" s="661"/>
      <c r="D350" s="661"/>
      <c r="E350" s="661"/>
      <c r="F350" s="661"/>
      <c r="G350" s="650" t="s">
        <v>18992</v>
      </c>
      <c r="H350" s="650" t="s">
        <v>18993</v>
      </c>
      <c r="I350" s="650" t="s">
        <v>19578</v>
      </c>
      <c r="J350" s="651"/>
      <c r="K350" s="651">
        <f>0.1*0.15</f>
        <v>1.4999999999999999E-2</v>
      </c>
      <c r="L350" s="652"/>
      <c r="M350" s="290"/>
      <c r="N350" s="653"/>
      <c r="O350" s="290"/>
      <c r="P350" s="290"/>
      <c r="Q350" s="290"/>
      <c r="R350" s="290"/>
      <c r="S350" s="307"/>
      <c r="T350" s="307"/>
      <c r="U350" s="290"/>
      <c r="V350" s="305"/>
    </row>
    <row r="351" spans="1:22" ht="15" customHeight="1" x14ac:dyDescent="0.25">
      <c r="A351" s="567"/>
      <c r="B351" s="644"/>
      <c r="C351" s="661"/>
      <c r="D351" s="661"/>
      <c r="E351" s="661"/>
      <c r="F351" s="661"/>
      <c r="G351" s="650" t="s">
        <v>19246</v>
      </c>
      <c r="H351" s="650" t="s">
        <v>19247</v>
      </c>
      <c r="I351" s="650" t="s">
        <v>19579</v>
      </c>
      <c r="J351" s="651">
        <f>0.07*0.9</f>
        <v>6.3000000000000014E-2</v>
      </c>
      <c r="K351" s="651"/>
      <c r="L351" s="652"/>
      <c r="M351" s="290"/>
      <c r="N351" s="653"/>
      <c r="O351" s="290"/>
      <c r="P351" s="290"/>
      <c r="Q351" s="290"/>
      <c r="R351" s="290"/>
      <c r="S351" s="307"/>
      <c r="T351" s="307"/>
      <c r="U351" s="290"/>
      <c r="V351" s="305"/>
    </row>
    <row r="352" spans="1:22" ht="15" customHeight="1" x14ac:dyDescent="0.25">
      <c r="A352" s="567"/>
      <c r="B352" s="644"/>
      <c r="C352" s="661"/>
      <c r="D352" s="661"/>
      <c r="E352" s="661"/>
      <c r="F352" s="661"/>
      <c r="G352" s="650" t="s">
        <v>19285</v>
      </c>
      <c r="H352" s="650" t="s">
        <v>19286</v>
      </c>
      <c r="I352" s="650" t="s">
        <v>19580</v>
      </c>
      <c r="J352" s="651">
        <f>0.06*0.9</f>
        <v>5.3999999999999999E-2</v>
      </c>
      <c r="K352" s="651"/>
      <c r="L352" s="652"/>
      <c r="M352" s="290"/>
      <c r="N352" s="653"/>
      <c r="O352" s="290"/>
      <c r="P352" s="290"/>
      <c r="Q352" s="290"/>
      <c r="R352" s="290"/>
      <c r="S352" s="307"/>
      <c r="T352" s="307"/>
      <c r="U352" s="290"/>
      <c r="V352" s="305"/>
    </row>
    <row r="353" spans="1:22" ht="15" customHeight="1" x14ac:dyDescent="0.25">
      <c r="A353" s="567"/>
      <c r="B353" s="644"/>
      <c r="C353" s="661"/>
      <c r="D353" s="661"/>
      <c r="E353" s="661"/>
      <c r="F353" s="661"/>
      <c r="G353" s="1164" t="s">
        <v>2262</v>
      </c>
      <c r="H353" s="1164"/>
      <c r="I353" s="1164"/>
      <c r="J353" s="1165">
        <f>2.033*0.9*0.6</f>
        <v>1.0978199999999998</v>
      </c>
      <c r="K353" s="1166"/>
      <c r="L353" s="307"/>
      <c r="M353" s="290"/>
      <c r="N353" s="307"/>
      <c r="O353" s="290"/>
      <c r="P353" s="290"/>
      <c r="Q353" s="290"/>
      <c r="R353" s="290"/>
      <c r="S353" s="307"/>
      <c r="T353" s="307"/>
      <c r="U353" s="290"/>
      <c r="V353" s="305"/>
    </row>
    <row r="354" spans="1:22" ht="15" customHeight="1" thickBot="1" x14ac:dyDescent="0.3">
      <c r="A354" s="242"/>
      <c r="B354" s="243"/>
      <c r="C354" s="244"/>
      <c r="D354" s="244"/>
      <c r="E354" s="244"/>
      <c r="F354" s="244"/>
      <c r="G354" s="1066" t="s">
        <v>1199</v>
      </c>
      <c r="H354" s="1066"/>
      <c r="I354" s="1066"/>
      <c r="J354" s="630"/>
      <c r="K354" s="456">
        <f>SUM(J340:K353)</f>
        <v>3.2045699999999995</v>
      </c>
      <c r="L354" s="631"/>
      <c r="M354" s="632">
        <v>0.92</v>
      </c>
      <c r="N354" s="456">
        <f>K354/M354</f>
        <v>3.4832282608695646</v>
      </c>
      <c r="O354" s="1066" t="s">
        <v>1199</v>
      </c>
      <c r="P354" s="1066"/>
      <c r="Q354" s="1066"/>
      <c r="R354" s="554"/>
      <c r="S354" s="456">
        <f>SUM(S298:S324)</f>
        <v>1.9178999999999999</v>
      </c>
      <c r="T354" s="631"/>
      <c r="U354" s="554">
        <v>0.92</v>
      </c>
      <c r="V354" s="633">
        <f>S354/U354</f>
        <v>2.0846739130434782</v>
      </c>
    </row>
    <row r="355" spans="1:22" ht="15" customHeight="1" x14ac:dyDescent="0.25">
      <c r="A355" s="1210" t="str">
        <f>Итоговая!C316</f>
        <v xml:space="preserve">ПС 110/10 кВ Глазково </v>
      </c>
      <c r="B355" s="1072">
        <f>Итоговая!D316</f>
        <v>6.3</v>
      </c>
      <c r="C355" s="1067" t="str">
        <f>Итоговая!E316</f>
        <v>+</v>
      </c>
      <c r="D355" s="1067">
        <f>Итоговая!F316</f>
        <v>6.3</v>
      </c>
      <c r="E355" s="552"/>
      <c r="F355" s="552"/>
      <c r="G355" s="1168" t="s">
        <v>1286</v>
      </c>
      <c r="H355" s="1168"/>
      <c r="I355" s="1168"/>
      <c r="J355" s="1168"/>
      <c r="K355" s="1168"/>
      <c r="L355" s="1168"/>
      <c r="M355" s="1168"/>
      <c r="N355" s="1168"/>
      <c r="O355" s="1163" t="s">
        <v>18518</v>
      </c>
      <c r="P355" s="1163"/>
      <c r="Q355" s="1163"/>
      <c r="R355" s="1163"/>
      <c r="S355" s="1163"/>
      <c r="T355" s="1163"/>
      <c r="U355" s="1163"/>
      <c r="V355" s="1163"/>
    </row>
    <row r="356" spans="1:22" ht="15" customHeight="1" x14ac:dyDescent="0.25">
      <c r="A356" s="1211"/>
      <c r="B356" s="1023"/>
      <c r="C356" s="1024"/>
      <c r="D356" s="1024"/>
      <c r="E356" s="553"/>
      <c r="F356" s="553"/>
      <c r="G356" s="596" t="s">
        <v>809</v>
      </c>
      <c r="H356" s="596" t="s">
        <v>810</v>
      </c>
      <c r="I356" s="596" t="s">
        <v>811</v>
      </c>
      <c r="J356" s="286"/>
      <c r="K356" s="286">
        <v>0.38</v>
      </c>
      <c r="L356" s="302"/>
      <c r="M356" s="590"/>
      <c r="N356" s="302"/>
      <c r="O356" s="590" t="s">
        <v>1914</v>
      </c>
      <c r="P356" s="590" t="s">
        <v>17678</v>
      </c>
      <c r="Q356" s="590" t="s">
        <v>17679</v>
      </c>
      <c r="R356" s="590"/>
      <c r="S356" s="302">
        <f>(0.8712-0.7612)*0.9</f>
        <v>9.8999999999999991E-2</v>
      </c>
      <c r="T356" s="302"/>
      <c r="U356" s="590"/>
      <c r="V356" s="302"/>
    </row>
    <row r="357" spans="1:22" ht="15" customHeight="1" x14ac:dyDescent="0.25">
      <c r="A357" s="1211"/>
      <c r="B357" s="1023"/>
      <c r="C357" s="1024"/>
      <c r="D357" s="1024"/>
      <c r="E357" s="553"/>
      <c r="F357" s="553"/>
      <c r="G357" s="596" t="s">
        <v>809</v>
      </c>
      <c r="H357" s="596" t="s">
        <v>812</v>
      </c>
      <c r="I357" s="596" t="s">
        <v>813</v>
      </c>
      <c r="J357" s="286"/>
      <c r="K357" s="286">
        <v>0.1142</v>
      </c>
      <c r="L357" s="302"/>
      <c r="M357" s="590"/>
      <c r="N357" s="302"/>
      <c r="O357" s="590" t="s">
        <v>18870</v>
      </c>
      <c r="P357" s="590" t="s">
        <v>18871</v>
      </c>
      <c r="Q357" s="590" t="s">
        <v>18872</v>
      </c>
      <c r="R357" s="590"/>
      <c r="S357" s="302">
        <f>0.309132*0.9</f>
        <v>0.27821880000000004</v>
      </c>
      <c r="T357" s="302"/>
      <c r="U357" s="590"/>
      <c r="V357" s="303"/>
    </row>
    <row r="358" spans="1:22" ht="15" customHeight="1" x14ac:dyDescent="0.25">
      <c r="A358" s="1211"/>
      <c r="B358" s="1023"/>
      <c r="C358" s="1024"/>
      <c r="D358" s="1024"/>
      <c r="E358" s="553"/>
      <c r="F358" s="553"/>
      <c r="G358" s="1163" t="s">
        <v>2011</v>
      </c>
      <c r="H358" s="1163"/>
      <c r="I358" s="1163"/>
      <c r="J358" s="1163"/>
      <c r="K358" s="1163"/>
      <c r="L358" s="1163"/>
      <c r="M358" s="1163"/>
      <c r="N358" s="1163"/>
      <c r="O358" s="548"/>
      <c r="P358" s="548"/>
      <c r="Q358" s="548"/>
      <c r="R358" s="548"/>
      <c r="S358" s="519"/>
      <c r="T358" s="519"/>
      <c r="U358" s="590"/>
      <c r="V358" s="303"/>
    </row>
    <row r="359" spans="1:22" ht="15" customHeight="1" x14ac:dyDescent="0.25">
      <c r="A359" s="1211"/>
      <c r="B359" s="1023"/>
      <c r="C359" s="1024"/>
      <c r="D359" s="1024"/>
      <c r="E359" s="553"/>
      <c r="F359" s="553"/>
      <c r="G359" s="627" t="s">
        <v>2097</v>
      </c>
      <c r="H359" s="627" t="s">
        <v>2098</v>
      </c>
      <c r="I359" s="596" t="s">
        <v>2107</v>
      </c>
      <c r="J359" s="286"/>
      <c r="K359" s="286">
        <f>0.1*0.75</f>
        <v>7.5000000000000011E-2</v>
      </c>
      <c r="L359" s="302"/>
      <c r="M359" s="590"/>
      <c r="N359" s="302"/>
      <c r="O359" s="590"/>
      <c r="P359" s="590"/>
      <c r="Q359" s="590"/>
      <c r="R359" s="590"/>
      <c r="S359" s="302"/>
      <c r="T359" s="302"/>
      <c r="U359" s="590"/>
      <c r="V359" s="303"/>
    </row>
    <row r="360" spans="1:22" ht="15" customHeight="1" x14ac:dyDescent="0.25">
      <c r="A360" s="1211"/>
      <c r="B360" s="1023"/>
      <c r="C360" s="1024"/>
      <c r="D360" s="1024"/>
      <c r="E360" s="553"/>
      <c r="F360" s="553"/>
      <c r="G360" s="1163" t="s">
        <v>2290</v>
      </c>
      <c r="H360" s="1163"/>
      <c r="I360" s="1163"/>
      <c r="J360" s="1163"/>
      <c r="K360" s="1163"/>
      <c r="L360" s="1163"/>
      <c r="M360" s="1163"/>
      <c r="N360" s="1163"/>
      <c r="O360" s="590"/>
      <c r="P360" s="590"/>
      <c r="Q360" s="590"/>
      <c r="R360" s="590"/>
      <c r="S360" s="302"/>
      <c r="T360" s="302"/>
      <c r="U360" s="590"/>
      <c r="V360" s="303"/>
    </row>
    <row r="361" spans="1:22" ht="15" customHeight="1" x14ac:dyDescent="0.25">
      <c r="A361" s="567"/>
      <c r="B361" s="564"/>
      <c r="C361" s="553"/>
      <c r="D361" s="553"/>
      <c r="E361" s="553"/>
      <c r="F361" s="553"/>
      <c r="G361" s="627" t="s">
        <v>1914</v>
      </c>
      <c r="H361" s="627" t="s">
        <v>2366</v>
      </c>
      <c r="I361" s="596" t="s">
        <v>2415</v>
      </c>
      <c r="J361" s="286"/>
      <c r="K361" s="286">
        <f>(0.7612-0.4942)*0.9</f>
        <v>0.24030000000000001</v>
      </c>
      <c r="L361" s="302"/>
      <c r="M361" s="590"/>
      <c r="N361" s="302"/>
      <c r="O361" s="590"/>
      <c r="P361" s="590"/>
      <c r="Q361" s="590"/>
      <c r="R361" s="590"/>
      <c r="S361" s="302"/>
      <c r="T361" s="302"/>
      <c r="U361" s="590"/>
      <c r="V361" s="303"/>
    </row>
    <row r="362" spans="1:22" ht="15" customHeight="1" x14ac:dyDescent="0.25">
      <c r="A362" s="567"/>
      <c r="B362" s="564"/>
      <c r="C362" s="553"/>
      <c r="D362" s="553"/>
      <c r="E362" s="553"/>
      <c r="F362" s="553"/>
      <c r="G362" s="627" t="s">
        <v>2345</v>
      </c>
      <c r="H362" s="627" t="s">
        <v>2346</v>
      </c>
      <c r="I362" s="596" t="s">
        <v>13381</v>
      </c>
      <c r="J362" s="286"/>
      <c r="K362" s="286">
        <v>0</v>
      </c>
      <c r="L362" s="302"/>
      <c r="M362" s="590"/>
      <c r="N362" s="302"/>
      <c r="O362" s="590"/>
      <c r="P362" s="590"/>
      <c r="Q362" s="590"/>
      <c r="R362" s="590"/>
      <c r="S362" s="302"/>
      <c r="T362" s="302"/>
      <c r="U362" s="590"/>
      <c r="V362" s="303"/>
    </row>
    <row r="363" spans="1:22" ht="15" customHeight="1" x14ac:dyDescent="0.25">
      <c r="A363" s="567"/>
      <c r="B363" s="564"/>
      <c r="C363" s="553"/>
      <c r="D363" s="553"/>
      <c r="E363" s="553"/>
      <c r="F363" s="553"/>
      <c r="G363" s="1163" t="s">
        <v>14933</v>
      </c>
      <c r="H363" s="1163"/>
      <c r="I363" s="1163"/>
      <c r="J363" s="1163"/>
      <c r="K363" s="1163"/>
      <c r="L363" s="1163"/>
      <c r="M363" s="1163"/>
      <c r="N363" s="1163"/>
      <c r="O363" s="590"/>
      <c r="P363" s="590"/>
      <c r="Q363" s="590"/>
      <c r="R363" s="590"/>
      <c r="S363" s="302"/>
      <c r="T363" s="302"/>
      <c r="U363" s="590"/>
      <c r="V363" s="303"/>
    </row>
    <row r="364" spans="1:22" ht="15" customHeight="1" x14ac:dyDescent="0.25">
      <c r="A364" s="567"/>
      <c r="B364" s="564"/>
      <c r="C364" s="553"/>
      <c r="D364" s="553"/>
      <c r="E364" s="553"/>
      <c r="F364" s="553"/>
      <c r="G364" s="596" t="s">
        <v>14724</v>
      </c>
      <c r="H364" s="596" t="s">
        <v>17323</v>
      </c>
      <c r="I364" s="596" t="s">
        <v>17324</v>
      </c>
      <c r="J364" s="286"/>
      <c r="K364" s="286">
        <f>0.35*0.75</f>
        <v>0.26249999999999996</v>
      </c>
      <c r="L364" s="302"/>
      <c r="M364" s="590"/>
      <c r="N364" s="302"/>
      <c r="O364" s="590"/>
      <c r="P364" s="590"/>
      <c r="Q364" s="590"/>
      <c r="R364" s="590"/>
      <c r="S364" s="302"/>
      <c r="T364" s="302"/>
      <c r="U364" s="590"/>
      <c r="V364" s="303"/>
    </row>
    <row r="365" spans="1:22" ht="15" customHeight="1" x14ac:dyDescent="0.25">
      <c r="A365" s="567"/>
      <c r="B365" s="564"/>
      <c r="C365" s="553"/>
      <c r="D365" s="553"/>
      <c r="E365" s="553"/>
      <c r="F365" s="553"/>
      <c r="G365" s="596" t="s">
        <v>1699</v>
      </c>
      <c r="H365" s="596" t="s">
        <v>17424</v>
      </c>
      <c r="I365" s="596" t="s">
        <v>17425</v>
      </c>
      <c r="J365" s="286"/>
      <c r="K365" s="286">
        <f>0.06*0.75</f>
        <v>4.4999999999999998E-2</v>
      </c>
      <c r="L365" s="302"/>
      <c r="M365" s="590"/>
      <c r="N365" s="302"/>
      <c r="O365" s="590"/>
      <c r="P365" s="590"/>
      <c r="Q365" s="590"/>
      <c r="R365" s="590"/>
      <c r="S365" s="302"/>
      <c r="T365" s="302"/>
      <c r="U365" s="590"/>
      <c r="V365" s="303"/>
    </row>
    <row r="366" spans="1:22" ht="15" customHeight="1" x14ac:dyDescent="0.25">
      <c r="A366" s="567"/>
      <c r="B366" s="564"/>
      <c r="C366" s="553"/>
      <c r="D366" s="553"/>
      <c r="E366" s="553"/>
      <c r="F366" s="553"/>
      <c r="G366" s="1164" t="s">
        <v>2262</v>
      </c>
      <c r="H366" s="1164"/>
      <c r="I366" s="1164"/>
      <c r="J366" s="1165">
        <f>0.153*0.9</f>
        <v>0.13769999999999999</v>
      </c>
      <c r="K366" s="1166"/>
      <c r="L366" s="302"/>
      <c r="M366" s="590"/>
      <c r="N366" s="302"/>
      <c r="O366" s="590"/>
      <c r="P366" s="590"/>
      <c r="Q366" s="590"/>
      <c r="R366" s="590"/>
      <c r="S366" s="302"/>
      <c r="T366" s="302"/>
      <c r="U366" s="590"/>
      <c r="V366" s="303"/>
    </row>
    <row r="367" spans="1:22" ht="15" customHeight="1" x14ac:dyDescent="0.25">
      <c r="A367" s="567"/>
      <c r="B367" s="564"/>
      <c r="C367" s="553"/>
      <c r="D367" s="553"/>
      <c r="E367" s="553"/>
      <c r="F367" s="553"/>
      <c r="G367" s="590"/>
      <c r="H367" s="590"/>
      <c r="I367" s="590"/>
      <c r="J367" s="302"/>
      <c r="K367" s="302"/>
      <c r="L367" s="302"/>
      <c r="M367" s="590"/>
      <c r="N367" s="302"/>
      <c r="O367" s="590"/>
      <c r="P367" s="590"/>
      <c r="Q367" s="590"/>
      <c r="R367" s="590"/>
      <c r="S367" s="302"/>
      <c r="T367" s="302"/>
      <c r="U367" s="590"/>
      <c r="V367" s="303"/>
    </row>
    <row r="368" spans="1:22" ht="15" customHeight="1" x14ac:dyDescent="0.25">
      <c r="A368" s="567"/>
      <c r="B368" s="564"/>
      <c r="C368" s="553"/>
      <c r="D368" s="553"/>
      <c r="E368" s="553"/>
      <c r="F368" s="553"/>
      <c r="G368" s="1163" t="s">
        <v>18518</v>
      </c>
      <c r="H368" s="1163"/>
      <c r="I368" s="1163"/>
      <c r="J368" s="1163"/>
      <c r="K368" s="1163"/>
      <c r="L368" s="1163"/>
      <c r="M368" s="1163"/>
      <c r="N368" s="1163"/>
      <c r="O368" s="290"/>
      <c r="P368" s="290"/>
      <c r="Q368" s="290"/>
      <c r="R368" s="290"/>
      <c r="S368" s="307"/>
      <c r="T368" s="307"/>
      <c r="U368" s="290"/>
      <c r="V368" s="305"/>
    </row>
    <row r="369" spans="1:22" ht="15" customHeight="1" x14ac:dyDescent="0.25">
      <c r="A369" s="567"/>
      <c r="B369" s="564"/>
      <c r="C369" s="553"/>
      <c r="D369" s="553"/>
      <c r="E369" s="553"/>
      <c r="F369" s="553"/>
      <c r="G369" s="290" t="s">
        <v>19569</v>
      </c>
      <c r="H369" s="290" t="s">
        <v>19570</v>
      </c>
      <c r="I369" s="290" t="s">
        <v>19571</v>
      </c>
      <c r="J369" s="307">
        <f>0.10515*0.9</f>
        <v>9.4634999999999997E-2</v>
      </c>
      <c r="K369" s="307">
        <f>0.10515*0.9</f>
        <v>9.4634999999999997E-2</v>
      </c>
      <c r="L369" s="307"/>
      <c r="M369" s="290"/>
      <c r="N369" s="307"/>
      <c r="O369" s="290"/>
      <c r="P369" s="290"/>
      <c r="Q369" s="290"/>
      <c r="R369" s="290"/>
      <c r="S369" s="307"/>
      <c r="T369" s="307"/>
      <c r="U369" s="290"/>
      <c r="V369" s="305"/>
    </row>
    <row r="370" spans="1:22" ht="15" customHeight="1" x14ac:dyDescent="0.25">
      <c r="A370" s="567"/>
      <c r="B370" s="564"/>
      <c r="C370" s="553"/>
      <c r="D370" s="553"/>
      <c r="E370" s="553"/>
      <c r="F370" s="553"/>
      <c r="G370" s="290" t="s">
        <v>19283</v>
      </c>
      <c r="H370" s="290" t="s">
        <v>19284</v>
      </c>
      <c r="I370" s="290" t="s">
        <v>19572</v>
      </c>
      <c r="J370" s="307"/>
      <c r="K370" s="307">
        <f>0.02*0.15</f>
        <v>3.0000000000000001E-3</v>
      </c>
      <c r="L370" s="307"/>
      <c r="M370" s="290"/>
      <c r="N370" s="307"/>
      <c r="O370" s="290"/>
      <c r="P370" s="290"/>
      <c r="Q370" s="290"/>
      <c r="R370" s="290"/>
      <c r="S370" s="307"/>
      <c r="T370" s="307"/>
      <c r="U370" s="290"/>
      <c r="V370" s="305"/>
    </row>
    <row r="371" spans="1:22" ht="15" customHeight="1" x14ac:dyDescent="0.25">
      <c r="A371" s="567"/>
      <c r="B371" s="564"/>
      <c r="C371" s="553"/>
      <c r="D371" s="553"/>
      <c r="E371" s="553"/>
      <c r="F371" s="553"/>
      <c r="G371" s="290" t="s">
        <v>19573</v>
      </c>
      <c r="H371" s="290" t="s">
        <v>19574</v>
      </c>
      <c r="I371" s="290" t="s">
        <v>19575</v>
      </c>
      <c r="J371" s="307"/>
      <c r="K371" s="307">
        <f>0.63*0.9</f>
        <v>0.56700000000000006</v>
      </c>
      <c r="L371" s="307"/>
      <c r="M371" s="290"/>
      <c r="N371" s="307"/>
      <c r="O371" s="290"/>
      <c r="P371" s="290"/>
      <c r="Q371" s="290"/>
      <c r="R371" s="290"/>
      <c r="S371" s="307"/>
      <c r="T371" s="307"/>
      <c r="U371" s="290"/>
      <c r="V371" s="305"/>
    </row>
    <row r="372" spans="1:22" ht="15" customHeight="1" x14ac:dyDescent="0.25">
      <c r="A372" s="567"/>
      <c r="B372" s="564"/>
      <c r="C372" s="553"/>
      <c r="D372" s="553"/>
      <c r="E372" s="553"/>
      <c r="F372" s="553"/>
      <c r="G372" s="1164" t="s">
        <v>2262</v>
      </c>
      <c r="H372" s="1164"/>
      <c r="I372" s="1164"/>
      <c r="J372" s="1165">
        <f>1.235*0.9*0.6</f>
        <v>0.66690000000000005</v>
      </c>
      <c r="K372" s="1166"/>
      <c r="L372" s="307"/>
      <c r="M372" s="290"/>
      <c r="N372" s="307"/>
      <c r="O372" s="290"/>
      <c r="P372" s="290"/>
      <c r="Q372" s="290"/>
      <c r="R372" s="290"/>
      <c r="S372" s="307"/>
      <c r="T372" s="307"/>
      <c r="U372" s="290"/>
      <c r="V372" s="305"/>
    </row>
    <row r="373" spans="1:22" ht="15" customHeight="1" thickBot="1" x14ac:dyDescent="0.3">
      <c r="A373" s="567"/>
      <c r="B373" s="564"/>
      <c r="C373" s="553"/>
      <c r="D373" s="553"/>
      <c r="E373" s="553"/>
      <c r="F373" s="553"/>
      <c r="G373" s="1066" t="s">
        <v>1199</v>
      </c>
      <c r="H373" s="1066"/>
      <c r="I373" s="1066"/>
      <c r="J373" s="630"/>
      <c r="K373" s="456">
        <f>SUM(J364:K372)</f>
        <v>1.8713700000000002</v>
      </c>
      <c r="L373" s="631"/>
      <c r="M373" s="632">
        <v>0.92</v>
      </c>
      <c r="N373" s="456">
        <f>K373/M373</f>
        <v>2.0340978260869567</v>
      </c>
      <c r="O373" s="1066" t="s">
        <v>1199</v>
      </c>
      <c r="P373" s="1066"/>
      <c r="Q373" s="1066"/>
      <c r="R373" s="554"/>
      <c r="S373" s="456">
        <f>SUM(S356:S360)</f>
        <v>0.37721880000000002</v>
      </c>
      <c r="T373" s="631"/>
      <c r="U373" s="554">
        <v>0.92</v>
      </c>
      <c r="V373" s="633">
        <f>S373/U373</f>
        <v>0.41002043478260869</v>
      </c>
    </row>
    <row r="374" spans="1:22" s="475" customFormat="1" ht="15" customHeight="1" x14ac:dyDescent="0.25">
      <c r="A374" s="665" t="str">
        <f>Итоговая!C317</f>
        <v xml:space="preserve">ПС 110/10 кВ Пролетарская </v>
      </c>
      <c r="B374" s="666">
        <f>Итоговая!D317</f>
        <v>16</v>
      </c>
      <c r="C374" s="667" t="str">
        <f>Итоговая!E317</f>
        <v>+</v>
      </c>
      <c r="D374" s="667">
        <f>Итоговая!F317</f>
        <v>16</v>
      </c>
      <c r="E374" s="667"/>
      <c r="F374" s="668"/>
      <c r="G374" s="1229" t="s">
        <v>1288</v>
      </c>
      <c r="H374" s="1168"/>
      <c r="I374" s="1168"/>
      <c r="J374" s="1168"/>
      <c r="K374" s="1168"/>
      <c r="L374" s="1168"/>
      <c r="M374" s="1168"/>
      <c r="N374" s="1168"/>
      <c r="O374" s="1181"/>
      <c r="P374" s="1181"/>
      <c r="Q374" s="1181"/>
      <c r="R374" s="1181"/>
      <c r="S374" s="1181"/>
      <c r="T374" s="1181"/>
      <c r="U374" s="1181"/>
      <c r="V374" s="1182"/>
    </row>
    <row r="375" spans="1:22" ht="15" customHeight="1" x14ac:dyDescent="0.25">
      <c r="A375" s="1093"/>
      <c r="B375" s="1023"/>
      <c r="C375" s="1024"/>
      <c r="D375" s="1024"/>
      <c r="E375" s="553"/>
      <c r="F375" s="556"/>
      <c r="G375" s="669" t="s">
        <v>66</v>
      </c>
      <c r="H375" s="627" t="s">
        <v>67</v>
      </c>
      <c r="I375" s="627" t="s">
        <v>68</v>
      </c>
      <c r="J375" s="628"/>
      <c r="K375" s="628">
        <v>5.6000000000000001E-2</v>
      </c>
      <c r="L375" s="302"/>
      <c r="M375" s="590"/>
      <c r="N375" s="302"/>
      <c r="O375" s="590"/>
      <c r="P375" s="590"/>
      <c r="Q375" s="590"/>
      <c r="R375" s="590"/>
      <c r="S375" s="302"/>
      <c r="T375" s="302"/>
      <c r="U375" s="590"/>
      <c r="V375" s="303"/>
    </row>
    <row r="376" spans="1:22" ht="15" customHeight="1" x14ac:dyDescent="0.25">
      <c r="A376" s="1093"/>
      <c r="B376" s="1023"/>
      <c r="C376" s="1024"/>
      <c r="D376" s="1024"/>
      <c r="E376" s="553"/>
      <c r="F376" s="556"/>
      <c r="G376" s="669" t="s">
        <v>815</v>
      </c>
      <c r="H376" s="627" t="s">
        <v>816</v>
      </c>
      <c r="I376" s="627" t="s">
        <v>817</v>
      </c>
      <c r="J376" s="628"/>
      <c r="K376" s="628">
        <v>0.32</v>
      </c>
      <c r="L376" s="302"/>
      <c r="M376" s="590"/>
      <c r="N376" s="302"/>
      <c r="O376" s="590"/>
      <c r="P376" s="590"/>
      <c r="Q376" s="590"/>
      <c r="R376" s="590"/>
      <c r="S376" s="302"/>
      <c r="T376" s="302"/>
      <c r="U376" s="590"/>
      <c r="V376" s="303"/>
    </row>
    <row r="377" spans="1:22" ht="15" customHeight="1" x14ac:dyDescent="0.25">
      <c r="A377" s="1093"/>
      <c r="B377" s="1023"/>
      <c r="C377" s="1024"/>
      <c r="D377" s="1024"/>
      <c r="E377" s="553"/>
      <c r="F377" s="556"/>
      <c r="G377" s="669" t="s">
        <v>818</v>
      </c>
      <c r="H377" s="627" t="s">
        <v>819</v>
      </c>
      <c r="I377" s="627" t="s">
        <v>820</v>
      </c>
      <c r="J377" s="628"/>
      <c r="K377" s="628">
        <v>0.46800000000000003</v>
      </c>
      <c r="L377" s="302"/>
      <c r="M377" s="590"/>
      <c r="N377" s="302"/>
      <c r="O377" s="590"/>
      <c r="P377" s="590"/>
      <c r="Q377" s="590"/>
      <c r="R377" s="590"/>
      <c r="S377" s="302"/>
      <c r="T377" s="302"/>
      <c r="U377" s="590"/>
      <c r="V377" s="303"/>
    </row>
    <row r="378" spans="1:22" ht="15" customHeight="1" x14ac:dyDescent="0.25">
      <c r="A378" s="1093"/>
      <c r="B378" s="1023"/>
      <c r="C378" s="1024"/>
      <c r="D378" s="1024"/>
      <c r="E378" s="553"/>
      <c r="F378" s="556"/>
      <c r="G378" s="1191" t="s">
        <v>2290</v>
      </c>
      <c r="H378" s="1163"/>
      <c r="I378" s="1163"/>
      <c r="J378" s="1163"/>
      <c r="K378" s="1163"/>
      <c r="L378" s="1163"/>
      <c r="M378" s="1163"/>
      <c r="N378" s="1163"/>
      <c r="O378" s="590"/>
      <c r="P378" s="590"/>
      <c r="Q378" s="590"/>
      <c r="R378" s="590"/>
      <c r="S378" s="302"/>
      <c r="T378" s="302"/>
      <c r="U378" s="590"/>
      <c r="V378" s="303"/>
    </row>
    <row r="379" spans="1:22" ht="15" customHeight="1" x14ac:dyDescent="0.25">
      <c r="A379" s="1093"/>
      <c r="B379" s="1023"/>
      <c r="C379" s="1024"/>
      <c r="D379" s="1024"/>
      <c r="E379" s="553"/>
      <c r="F379" s="556"/>
      <c r="G379" s="670" t="s">
        <v>758</v>
      </c>
      <c r="H379" s="590" t="s">
        <v>814</v>
      </c>
      <c r="I379" s="596" t="s">
        <v>2421</v>
      </c>
      <c r="J379" s="286"/>
      <c r="K379" s="286">
        <f>(3.024-1.218)*0.9</f>
        <v>1.6254000000000002</v>
      </c>
      <c r="L379" s="302"/>
      <c r="M379" s="590"/>
      <c r="N379" s="302"/>
      <c r="O379" s="590"/>
      <c r="P379" s="590"/>
      <c r="Q379" s="590"/>
      <c r="R379" s="590"/>
      <c r="S379" s="302"/>
      <c r="T379" s="302"/>
      <c r="U379" s="590"/>
      <c r="V379" s="303"/>
    </row>
    <row r="380" spans="1:22" ht="15" customHeight="1" x14ac:dyDescent="0.25">
      <c r="A380" s="1093"/>
      <c r="B380" s="1023"/>
      <c r="C380" s="1024"/>
      <c r="D380" s="1024"/>
      <c r="E380" s="553"/>
      <c r="F380" s="556"/>
      <c r="G380" s="671" t="s">
        <v>2270</v>
      </c>
      <c r="H380" s="596" t="s">
        <v>2355</v>
      </c>
      <c r="I380" s="627" t="s">
        <v>14704</v>
      </c>
      <c r="J380" s="628"/>
      <c r="K380" s="628">
        <f>0.36*0.9</f>
        <v>0.32400000000000001</v>
      </c>
      <c r="L380" s="302"/>
      <c r="M380" s="590"/>
      <c r="N380" s="302"/>
      <c r="O380" s="590"/>
      <c r="P380" s="590"/>
      <c r="Q380" s="590"/>
      <c r="R380" s="590"/>
      <c r="S380" s="302"/>
      <c r="T380" s="302"/>
      <c r="U380" s="590"/>
      <c r="V380" s="303"/>
    </row>
    <row r="381" spans="1:22" ht="15" customHeight="1" x14ac:dyDescent="0.25">
      <c r="A381" s="567"/>
      <c r="B381" s="564"/>
      <c r="C381" s="553"/>
      <c r="D381" s="553"/>
      <c r="E381" s="553"/>
      <c r="F381" s="556"/>
      <c r="G381" s="671" t="s">
        <v>14785</v>
      </c>
      <c r="H381" s="596" t="s">
        <v>14786</v>
      </c>
      <c r="I381" s="627" t="s">
        <v>14864</v>
      </c>
      <c r="J381" s="628"/>
      <c r="K381" s="628">
        <f>3*0.9</f>
        <v>2.7</v>
      </c>
      <c r="L381" s="302"/>
      <c r="M381" s="590"/>
      <c r="N381" s="302"/>
      <c r="O381" s="590"/>
      <c r="P381" s="590"/>
      <c r="Q381" s="590"/>
      <c r="R381" s="590"/>
      <c r="S381" s="302"/>
      <c r="T381" s="302"/>
      <c r="U381" s="590"/>
      <c r="V381" s="303"/>
    </row>
    <row r="382" spans="1:22" ht="15" customHeight="1" x14ac:dyDescent="0.25">
      <c r="A382" s="567"/>
      <c r="B382" s="564"/>
      <c r="C382" s="553"/>
      <c r="D382" s="553"/>
      <c r="E382" s="553"/>
      <c r="F382" s="556"/>
      <c r="G382" s="1191" t="s">
        <v>14933</v>
      </c>
      <c r="H382" s="1163"/>
      <c r="I382" s="1163"/>
      <c r="J382" s="1163"/>
      <c r="K382" s="1163"/>
      <c r="L382" s="1163"/>
      <c r="M382" s="1163"/>
      <c r="N382" s="1163"/>
      <c r="O382" s="590"/>
      <c r="P382" s="590"/>
      <c r="Q382" s="590"/>
      <c r="R382" s="590"/>
      <c r="S382" s="302"/>
      <c r="T382" s="302"/>
      <c r="U382" s="590"/>
      <c r="V382" s="303"/>
    </row>
    <row r="383" spans="1:22" ht="15" customHeight="1" x14ac:dyDescent="0.25">
      <c r="A383" s="567"/>
      <c r="B383" s="564"/>
      <c r="C383" s="553"/>
      <c r="D383" s="553"/>
      <c r="E383" s="553"/>
      <c r="F383" s="556"/>
      <c r="G383" s="669" t="s">
        <v>17531</v>
      </c>
      <c r="H383" s="627" t="s">
        <v>17532</v>
      </c>
      <c r="I383" s="627" t="s">
        <v>17533</v>
      </c>
      <c r="J383" s="628"/>
      <c r="K383" s="628">
        <f>1*0.9</f>
        <v>0.9</v>
      </c>
      <c r="L383" s="302"/>
      <c r="M383" s="590"/>
      <c r="N383" s="302"/>
      <c r="O383" s="590"/>
      <c r="P383" s="590"/>
      <c r="Q383" s="590"/>
      <c r="R383" s="590"/>
      <c r="S383" s="302"/>
      <c r="T383" s="302"/>
      <c r="U383" s="590"/>
      <c r="V383" s="303"/>
    </row>
    <row r="384" spans="1:22" ht="15" customHeight="1" x14ac:dyDescent="0.25">
      <c r="A384" s="567"/>
      <c r="B384" s="564"/>
      <c r="C384" s="553"/>
      <c r="D384" s="553"/>
      <c r="E384" s="553"/>
      <c r="F384" s="556"/>
      <c r="G384" s="1163" t="s">
        <v>18518</v>
      </c>
      <c r="H384" s="1163"/>
      <c r="I384" s="1163"/>
      <c r="J384" s="1163"/>
      <c r="K384" s="1163"/>
      <c r="L384" s="1163"/>
      <c r="M384" s="1163"/>
      <c r="N384" s="1163"/>
      <c r="O384" s="290"/>
      <c r="P384" s="290"/>
      <c r="Q384" s="290"/>
      <c r="R384" s="290"/>
      <c r="S384" s="307"/>
      <c r="T384" s="307"/>
      <c r="U384" s="290"/>
      <c r="V384" s="305"/>
    </row>
    <row r="385" spans="1:22" ht="15" customHeight="1" x14ac:dyDescent="0.25">
      <c r="A385" s="567"/>
      <c r="B385" s="564"/>
      <c r="C385" s="553"/>
      <c r="D385" s="553"/>
      <c r="E385" s="553"/>
      <c r="F385" s="556"/>
      <c r="G385" s="672" t="s">
        <v>19027</v>
      </c>
      <c r="H385" s="673" t="s">
        <v>19028</v>
      </c>
      <c r="I385" s="673" t="s">
        <v>19581</v>
      </c>
      <c r="J385" s="674">
        <f>0.06*0.9</f>
        <v>5.3999999999999999E-2</v>
      </c>
      <c r="K385" s="674"/>
      <c r="L385" s="307"/>
      <c r="M385" s="290"/>
      <c r="N385" s="307"/>
      <c r="O385" s="290"/>
      <c r="P385" s="290"/>
      <c r="Q385" s="290"/>
      <c r="R385" s="290"/>
      <c r="S385" s="307"/>
      <c r="T385" s="307"/>
      <c r="U385" s="290"/>
      <c r="V385" s="305"/>
    </row>
    <row r="386" spans="1:22" ht="15" customHeight="1" x14ac:dyDescent="0.25">
      <c r="A386" s="567"/>
      <c r="B386" s="564"/>
      <c r="C386" s="553"/>
      <c r="D386" s="553"/>
      <c r="E386" s="553"/>
      <c r="F386" s="556"/>
      <c r="G386" s="672" t="s">
        <v>19244</v>
      </c>
      <c r="H386" s="673" t="s">
        <v>19245</v>
      </c>
      <c r="I386" s="673" t="s">
        <v>19582</v>
      </c>
      <c r="J386" s="674">
        <f>0.056*0.15</f>
        <v>8.3999999999999995E-3</v>
      </c>
      <c r="K386" s="674">
        <f>0.056*0.15</f>
        <v>8.3999999999999995E-3</v>
      </c>
      <c r="L386" s="307"/>
      <c r="M386" s="290"/>
      <c r="N386" s="307"/>
      <c r="O386" s="290"/>
      <c r="P386" s="290"/>
      <c r="Q386" s="290"/>
      <c r="R386" s="290"/>
      <c r="S386" s="307"/>
      <c r="T386" s="307"/>
      <c r="U386" s="290"/>
      <c r="V386" s="305"/>
    </row>
    <row r="387" spans="1:22" ht="15" customHeight="1" thickBot="1" x14ac:dyDescent="0.3">
      <c r="A387" s="675"/>
      <c r="B387" s="676"/>
      <c r="C387" s="677"/>
      <c r="D387" s="677"/>
      <c r="E387" s="677"/>
      <c r="F387" s="678"/>
      <c r="G387" s="1215" t="s">
        <v>1199</v>
      </c>
      <c r="H387" s="1066"/>
      <c r="I387" s="1066"/>
      <c r="J387" s="630"/>
      <c r="K387" s="456">
        <f>SUM(J383:K386)</f>
        <v>0.9708</v>
      </c>
      <c r="L387" s="631"/>
      <c r="M387" s="632">
        <v>0.92</v>
      </c>
      <c r="N387" s="456">
        <f>K387/M387</f>
        <v>1.0552173913043479</v>
      </c>
      <c r="O387" s="1066" t="s">
        <v>1199</v>
      </c>
      <c r="P387" s="1066"/>
      <c r="Q387" s="1066"/>
      <c r="R387" s="554"/>
      <c r="S387" s="456">
        <f>SUM(S378:S380)</f>
        <v>0</v>
      </c>
      <c r="T387" s="631"/>
      <c r="U387" s="554">
        <v>0.92</v>
      </c>
      <c r="V387" s="633">
        <f>S387/U387</f>
        <v>0</v>
      </c>
    </row>
    <row r="388" spans="1:22" ht="15" customHeight="1" x14ac:dyDescent="0.25">
      <c r="A388" s="567" t="str">
        <f>Итоговая!C318</f>
        <v xml:space="preserve">ПС 35/10 кВ Тургиново </v>
      </c>
      <c r="B388" s="564">
        <f>Итоговая!D318</f>
        <v>6.3</v>
      </c>
      <c r="C388" s="553" t="str">
        <f>Итоговая!E318</f>
        <v>+</v>
      </c>
      <c r="D388" s="553">
        <f>Итоговая!F318</f>
        <v>6.3</v>
      </c>
      <c r="E388" s="553"/>
      <c r="F388" s="553"/>
      <c r="G388" s="1168" t="s">
        <v>1288</v>
      </c>
      <c r="H388" s="1168"/>
      <c r="I388" s="1168"/>
      <c r="J388" s="1168"/>
      <c r="K388" s="1168"/>
      <c r="L388" s="1168"/>
      <c r="M388" s="1168"/>
      <c r="N388" s="1168"/>
      <c r="O388" s="1163" t="s">
        <v>1645</v>
      </c>
      <c r="P388" s="1163"/>
      <c r="Q388" s="1163"/>
      <c r="R388" s="1163"/>
      <c r="S388" s="1163"/>
      <c r="T388" s="1163"/>
      <c r="U388" s="1163"/>
      <c r="V388" s="1163"/>
    </row>
    <row r="389" spans="1:22" ht="15" customHeight="1" x14ac:dyDescent="0.25">
      <c r="A389" s="567"/>
      <c r="B389" s="564"/>
      <c r="C389" s="553"/>
      <c r="D389" s="553"/>
      <c r="E389" s="553"/>
      <c r="F389" s="553"/>
      <c r="G389" s="627" t="s">
        <v>276</v>
      </c>
      <c r="H389" s="627" t="s">
        <v>277</v>
      </c>
      <c r="I389" s="627" t="s">
        <v>278</v>
      </c>
      <c r="J389" s="628"/>
      <c r="K389" s="628">
        <v>1.7500000000000002E-2</v>
      </c>
      <c r="L389" s="302"/>
      <c r="M389" s="590"/>
      <c r="N389" s="302"/>
      <c r="O389" s="627" t="s">
        <v>19717</v>
      </c>
      <c r="P389" s="627" t="s">
        <v>19718</v>
      </c>
      <c r="Q389" s="432">
        <v>40439052</v>
      </c>
      <c r="R389" s="432"/>
      <c r="S389" s="628">
        <f>0.01*0.9</f>
        <v>9.0000000000000011E-3</v>
      </c>
      <c r="T389" s="302"/>
      <c r="U389" s="743"/>
      <c r="V389" s="302"/>
    </row>
    <row r="390" spans="1:22" ht="15" customHeight="1" x14ac:dyDescent="0.25">
      <c r="A390" s="567"/>
      <c r="B390" s="564"/>
      <c r="C390" s="553"/>
      <c r="D390" s="553"/>
      <c r="E390" s="553"/>
      <c r="F390" s="553"/>
      <c r="G390" s="627" t="s">
        <v>279</v>
      </c>
      <c r="H390" s="627" t="s">
        <v>280</v>
      </c>
      <c r="I390" s="627" t="s">
        <v>281</v>
      </c>
      <c r="J390" s="628"/>
      <c r="K390" s="628">
        <v>0.06</v>
      </c>
      <c r="L390" s="302"/>
      <c r="M390" s="590"/>
      <c r="N390" s="302"/>
      <c r="O390" s="1163" t="s">
        <v>2290</v>
      </c>
      <c r="P390" s="1163"/>
      <c r="Q390" s="1163"/>
      <c r="R390" s="1163"/>
      <c r="S390" s="1163"/>
      <c r="T390" s="1163"/>
      <c r="U390" s="1163"/>
      <c r="V390" s="1163"/>
    </row>
    <row r="391" spans="1:22" ht="15" customHeight="1" x14ac:dyDescent="0.25">
      <c r="A391" s="567"/>
      <c r="B391" s="564"/>
      <c r="C391" s="553"/>
      <c r="D391" s="553"/>
      <c r="E391" s="553"/>
      <c r="F391" s="553"/>
      <c r="G391" s="1163" t="s">
        <v>1645</v>
      </c>
      <c r="H391" s="1163"/>
      <c r="I391" s="1163"/>
      <c r="J391" s="1163"/>
      <c r="K391" s="1163"/>
      <c r="L391" s="1163"/>
      <c r="M391" s="1163"/>
      <c r="N391" s="1163"/>
      <c r="O391" s="627" t="s">
        <v>2223</v>
      </c>
      <c r="P391" s="627" t="s">
        <v>2224</v>
      </c>
      <c r="Q391" s="432" t="s">
        <v>2295</v>
      </c>
      <c r="R391" s="432"/>
      <c r="S391" s="628">
        <f>0.03*0.75</f>
        <v>2.2499999999999999E-2</v>
      </c>
      <c r="T391" s="302"/>
      <c r="U391" s="743"/>
      <c r="V391" s="302"/>
    </row>
    <row r="392" spans="1:22" ht="15" customHeight="1" x14ac:dyDescent="0.25">
      <c r="A392" s="567"/>
      <c r="B392" s="564"/>
      <c r="C392" s="553"/>
      <c r="D392" s="553"/>
      <c r="E392" s="553"/>
      <c r="F392" s="553"/>
      <c r="G392" s="627" t="s">
        <v>1788</v>
      </c>
      <c r="H392" s="627" t="s">
        <v>1789</v>
      </c>
      <c r="I392" s="627" t="s">
        <v>1803</v>
      </c>
      <c r="J392" s="628"/>
      <c r="K392" s="628">
        <f>0.45</f>
        <v>0.45</v>
      </c>
      <c r="L392" s="302"/>
      <c r="M392" s="590"/>
      <c r="N392" s="302"/>
      <c r="O392" s="590"/>
      <c r="P392" s="590"/>
      <c r="Q392" s="590"/>
      <c r="R392" s="590"/>
      <c r="S392" s="302"/>
      <c r="T392" s="302"/>
      <c r="U392" s="590"/>
      <c r="V392" s="303"/>
    </row>
    <row r="393" spans="1:22" ht="15" customHeight="1" x14ac:dyDescent="0.25">
      <c r="A393" s="567"/>
      <c r="B393" s="564"/>
      <c r="C393" s="553"/>
      <c r="D393" s="553"/>
      <c r="E393" s="553"/>
      <c r="F393" s="553"/>
      <c r="G393" s="627" t="s">
        <v>1777</v>
      </c>
      <c r="H393" s="627" t="s">
        <v>1778</v>
      </c>
      <c r="I393" s="627" t="s">
        <v>1804</v>
      </c>
      <c r="J393" s="628"/>
      <c r="K393" s="628">
        <v>0.4</v>
      </c>
      <c r="L393" s="302"/>
      <c r="M393" s="590"/>
      <c r="N393" s="302"/>
      <c r="O393" s="590"/>
      <c r="P393" s="590"/>
      <c r="Q393" s="590"/>
      <c r="R393" s="590"/>
      <c r="S393" s="302"/>
      <c r="T393" s="302"/>
      <c r="U393" s="590"/>
      <c r="V393" s="303"/>
    </row>
    <row r="394" spans="1:22" ht="15" customHeight="1" x14ac:dyDescent="0.25">
      <c r="A394" s="567"/>
      <c r="B394" s="564"/>
      <c r="C394" s="553"/>
      <c r="D394" s="553"/>
      <c r="E394" s="553"/>
      <c r="F394" s="553"/>
      <c r="G394" s="627" t="s">
        <v>1841</v>
      </c>
      <c r="H394" s="627" t="s">
        <v>1842</v>
      </c>
      <c r="I394" s="627" t="s">
        <v>1868</v>
      </c>
      <c r="J394" s="628"/>
      <c r="K394" s="628">
        <v>0.15</v>
      </c>
      <c r="L394" s="302"/>
      <c r="M394" s="590"/>
      <c r="N394" s="302"/>
      <c r="O394" s="590"/>
      <c r="P394" s="590"/>
      <c r="Q394" s="590"/>
      <c r="R394" s="590"/>
      <c r="S394" s="302"/>
      <c r="T394" s="302"/>
      <c r="U394" s="590"/>
      <c r="V394" s="303"/>
    </row>
    <row r="395" spans="1:22" ht="15" customHeight="1" x14ac:dyDescent="0.25">
      <c r="A395" s="567"/>
      <c r="B395" s="564"/>
      <c r="C395" s="553"/>
      <c r="D395" s="553"/>
      <c r="E395" s="553"/>
      <c r="F395" s="553"/>
      <c r="G395" s="627" t="s">
        <v>1926</v>
      </c>
      <c r="H395" s="627" t="s">
        <v>1938</v>
      </c>
      <c r="I395" s="627" t="s">
        <v>1952</v>
      </c>
      <c r="J395" s="628"/>
      <c r="K395" s="628">
        <v>0.1</v>
      </c>
      <c r="L395" s="302"/>
      <c r="M395" s="590"/>
      <c r="N395" s="302"/>
      <c r="O395" s="590"/>
      <c r="P395" s="590"/>
      <c r="Q395" s="590"/>
      <c r="R395" s="590"/>
      <c r="S395" s="302"/>
      <c r="T395" s="302"/>
      <c r="U395" s="590"/>
      <c r="V395" s="303"/>
    </row>
    <row r="396" spans="1:22" ht="15" customHeight="1" x14ac:dyDescent="0.25">
      <c r="A396" s="567"/>
      <c r="B396" s="564"/>
      <c r="C396" s="553"/>
      <c r="D396" s="553"/>
      <c r="E396" s="553"/>
      <c r="F396" s="553"/>
      <c r="G396" s="1163" t="s">
        <v>2266</v>
      </c>
      <c r="H396" s="1163"/>
      <c r="I396" s="1163"/>
      <c r="J396" s="1163"/>
      <c r="K396" s="1163"/>
      <c r="L396" s="1163"/>
      <c r="M396" s="1163"/>
      <c r="N396" s="1163"/>
      <c r="O396" s="590"/>
      <c r="P396" s="590"/>
      <c r="Q396" s="590"/>
      <c r="R396" s="590"/>
      <c r="S396" s="302"/>
      <c r="T396" s="302"/>
      <c r="U396" s="590"/>
      <c r="V396" s="303"/>
    </row>
    <row r="397" spans="1:22" ht="15" customHeight="1" x14ac:dyDescent="0.25">
      <c r="A397" s="567"/>
      <c r="B397" s="564"/>
      <c r="C397" s="553"/>
      <c r="D397" s="553"/>
      <c r="E397" s="553"/>
      <c r="F397" s="553"/>
      <c r="G397" s="627" t="s">
        <v>14731</v>
      </c>
      <c r="H397" s="627" t="s">
        <v>14732</v>
      </c>
      <c r="I397" s="590" t="s">
        <v>14843</v>
      </c>
      <c r="J397" s="302"/>
      <c r="K397" s="302">
        <f>0.3*0.9</f>
        <v>0.27</v>
      </c>
      <c r="L397" s="302"/>
      <c r="M397" s="590"/>
      <c r="N397" s="302"/>
      <c r="O397" s="590"/>
      <c r="P397" s="590"/>
      <c r="Q397" s="590"/>
      <c r="R397" s="590"/>
      <c r="S397" s="302"/>
      <c r="T397" s="302"/>
      <c r="U397" s="590"/>
      <c r="V397" s="303"/>
    </row>
    <row r="398" spans="1:22" ht="15" customHeight="1" x14ac:dyDescent="0.25">
      <c r="A398" s="567"/>
      <c r="B398" s="564"/>
      <c r="C398" s="553"/>
      <c r="D398" s="553"/>
      <c r="E398" s="553"/>
      <c r="F398" s="553"/>
      <c r="G398" s="627" t="s">
        <v>14790</v>
      </c>
      <c r="H398" s="627" t="s">
        <v>14791</v>
      </c>
      <c r="I398" s="590" t="s">
        <v>14865</v>
      </c>
      <c r="J398" s="302"/>
      <c r="K398" s="302">
        <f>(0.25-0.06)*0.75</f>
        <v>0.14250000000000002</v>
      </c>
      <c r="L398" s="302"/>
      <c r="M398" s="590"/>
      <c r="N398" s="302"/>
      <c r="O398" s="590"/>
      <c r="P398" s="590"/>
      <c r="Q398" s="590"/>
      <c r="R398" s="590"/>
      <c r="S398" s="302"/>
      <c r="T398" s="302"/>
      <c r="U398" s="590"/>
      <c r="V398" s="303"/>
    </row>
    <row r="399" spans="1:22" ht="15" customHeight="1" x14ac:dyDescent="0.25">
      <c r="A399" s="567"/>
      <c r="B399" s="564"/>
      <c r="C399" s="553"/>
      <c r="D399" s="553"/>
      <c r="E399" s="553"/>
      <c r="F399" s="553"/>
      <c r="G399" s="627" t="s">
        <v>1841</v>
      </c>
      <c r="H399" s="627" t="s">
        <v>14897</v>
      </c>
      <c r="I399" s="590" t="s">
        <v>14970</v>
      </c>
      <c r="J399" s="302"/>
      <c r="K399" s="302">
        <f>0.09*0.75</f>
        <v>6.7500000000000004E-2</v>
      </c>
      <c r="L399" s="302"/>
      <c r="M399" s="590"/>
      <c r="N399" s="302"/>
      <c r="O399" s="590"/>
      <c r="P399" s="590"/>
      <c r="Q399" s="590"/>
      <c r="R399" s="590"/>
      <c r="S399" s="302"/>
      <c r="T399" s="302"/>
      <c r="U399" s="590"/>
      <c r="V399" s="303"/>
    </row>
    <row r="400" spans="1:22" ht="15" customHeight="1" x14ac:dyDescent="0.25">
      <c r="A400" s="567"/>
      <c r="B400" s="564"/>
      <c r="C400" s="553"/>
      <c r="D400" s="553"/>
      <c r="E400" s="553"/>
      <c r="F400" s="553"/>
      <c r="G400" s="1163" t="s">
        <v>14978</v>
      </c>
      <c r="H400" s="1163"/>
      <c r="I400" s="1163"/>
      <c r="J400" s="1163"/>
      <c r="K400" s="1163"/>
      <c r="L400" s="1163"/>
      <c r="M400" s="1163"/>
      <c r="N400" s="1163"/>
      <c r="O400" s="590"/>
      <c r="P400" s="590"/>
      <c r="Q400" s="590"/>
      <c r="R400" s="590"/>
      <c r="S400" s="302"/>
      <c r="T400" s="302"/>
      <c r="U400" s="590"/>
      <c r="V400" s="303"/>
    </row>
    <row r="401" spans="1:22" ht="15" customHeight="1" x14ac:dyDescent="0.25">
      <c r="A401" s="567"/>
      <c r="B401" s="564"/>
      <c r="C401" s="553"/>
      <c r="D401" s="553"/>
      <c r="E401" s="553"/>
      <c r="F401" s="553"/>
      <c r="G401" s="627" t="s">
        <v>17514</v>
      </c>
      <c r="H401" s="627" t="s">
        <v>17515</v>
      </c>
      <c r="I401" s="590" t="s">
        <v>17516</v>
      </c>
      <c r="J401" s="302"/>
      <c r="K401" s="302">
        <f>(0.4-0.09)*0.75</f>
        <v>0.23250000000000004</v>
      </c>
      <c r="L401" s="302"/>
      <c r="M401" s="590"/>
      <c r="N401" s="302"/>
      <c r="O401" s="590"/>
      <c r="P401" s="590"/>
      <c r="Q401" s="590"/>
      <c r="R401" s="590"/>
      <c r="S401" s="302"/>
      <c r="T401" s="302"/>
      <c r="U401" s="590"/>
      <c r="V401" s="303"/>
    </row>
    <row r="402" spans="1:22" ht="15" customHeight="1" x14ac:dyDescent="0.25">
      <c r="A402" s="567"/>
      <c r="B402" s="564"/>
      <c r="C402" s="553"/>
      <c r="D402" s="553"/>
      <c r="E402" s="553"/>
      <c r="F402" s="553"/>
      <c r="G402" s="1164" t="s">
        <v>2262</v>
      </c>
      <c r="H402" s="1164"/>
      <c r="I402" s="1164"/>
      <c r="J402" s="1165">
        <f>0.666*0.9*0.6</f>
        <v>0.35964000000000002</v>
      </c>
      <c r="K402" s="1166"/>
      <c r="L402" s="302"/>
      <c r="M402" s="590"/>
      <c r="N402" s="302"/>
      <c r="O402" s="590"/>
      <c r="P402" s="590"/>
      <c r="Q402" s="590"/>
      <c r="R402" s="590"/>
      <c r="S402" s="302"/>
      <c r="T402" s="302"/>
      <c r="U402" s="590"/>
      <c r="V402" s="303"/>
    </row>
    <row r="403" spans="1:22" ht="15" customHeight="1" x14ac:dyDescent="0.25">
      <c r="A403" s="567"/>
      <c r="B403" s="564"/>
      <c r="C403" s="553"/>
      <c r="D403" s="553"/>
      <c r="E403" s="553"/>
      <c r="F403" s="553"/>
      <c r="G403" s="1163" t="s">
        <v>18518</v>
      </c>
      <c r="H403" s="1163"/>
      <c r="I403" s="1163"/>
      <c r="J403" s="1163"/>
      <c r="K403" s="1163"/>
      <c r="L403" s="1163"/>
      <c r="M403" s="1163"/>
      <c r="N403" s="1163"/>
      <c r="O403" s="290"/>
      <c r="P403" s="290"/>
      <c r="Q403" s="290"/>
      <c r="R403" s="290"/>
      <c r="S403" s="307"/>
      <c r="T403" s="307"/>
      <c r="U403" s="290"/>
      <c r="V403" s="305"/>
    </row>
    <row r="404" spans="1:22" ht="15" customHeight="1" x14ac:dyDescent="0.25">
      <c r="A404" s="567"/>
      <c r="B404" s="564"/>
      <c r="C404" s="553"/>
      <c r="D404" s="553"/>
      <c r="E404" s="553"/>
      <c r="F404" s="553"/>
      <c r="G404" s="1164" t="s">
        <v>2262</v>
      </c>
      <c r="H404" s="1164"/>
      <c r="I404" s="1164"/>
      <c r="J404" s="1165">
        <f>1.579*0.9*0.6</f>
        <v>0.85265999999999997</v>
      </c>
      <c r="K404" s="1166"/>
      <c r="L404" s="307"/>
      <c r="M404" s="290"/>
      <c r="N404" s="744"/>
      <c r="O404" s="290"/>
      <c r="P404" s="290"/>
      <c r="Q404" s="290"/>
      <c r="R404" s="290"/>
      <c r="S404" s="307"/>
      <c r="T404" s="307"/>
      <c r="U404" s="290"/>
      <c r="V404" s="305"/>
    </row>
    <row r="405" spans="1:22" ht="15" customHeight="1" x14ac:dyDescent="0.25">
      <c r="A405" s="776"/>
      <c r="B405" s="771"/>
      <c r="C405" s="772"/>
      <c r="D405" s="772"/>
      <c r="E405" s="772"/>
      <c r="F405" s="772"/>
      <c r="G405" s="1163" t="s">
        <v>19719</v>
      </c>
      <c r="H405" s="1163"/>
      <c r="I405" s="1163"/>
      <c r="J405" s="1163"/>
      <c r="K405" s="1163"/>
      <c r="L405" s="1163"/>
      <c r="M405" s="1163"/>
      <c r="N405" s="1163"/>
      <c r="O405" s="290"/>
      <c r="P405" s="290"/>
      <c r="Q405" s="290"/>
      <c r="R405" s="290"/>
      <c r="S405" s="786"/>
      <c r="T405" s="786"/>
      <c r="U405" s="290"/>
      <c r="V405" s="305"/>
    </row>
    <row r="406" spans="1:22" ht="15" customHeight="1" x14ac:dyDescent="0.25">
      <c r="A406" s="776"/>
      <c r="B406" s="771"/>
      <c r="C406" s="772"/>
      <c r="D406" s="772"/>
      <c r="E406" s="772"/>
      <c r="F406" s="772"/>
      <c r="G406" s="785" t="s">
        <v>19726</v>
      </c>
      <c r="H406" s="785" t="s">
        <v>19727</v>
      </c>
      <c r="I406" s="785" t="s">
        <v>19728</v>
      </c>
      <c r="J406" s="302"/>
      <c r="K406" s="302">
        <f>0.06*0.9</f>
        <v>5.3999999999999999E-2</v>
      </c>
      <c r="L406" s="786"/>
      <c r="M406" s="290"/>
      <c r="N406" s="786"/>
      <c r="O406" s="290"/>
      <c r="P406" s="290"/>
      <c r="Q406" s="290"/>
      <c r="R406" s="290"/>
      <c r="S406" s="786"/>
      <c r="T406" s="786"/>
      <c r="U406" s="290"/>
      <c r="V406" s="305"/>
    </row>
    <row r="407" spans="1:22" ht="15" customHeight="1" x14ac:dyDescent="0.25">
      <c r="A407" s="776"/>
      <c r="B407" s="771"/>
      <c r="C407" s="772"/>
      <c r="D407" s="772"/>
      <c r="E407" s="772"/>
      <c r="F407" s="772"/>
      <c r="G407" s="785" t="s">
        <v>19729</v>
      </c>
      <c r="H407" s="785" t="s">
        <v>19730</v>
      </c>
      <c r="I407" s="785" t="s">
        <v>19731</v>
      </c>
      <c r="J407" s="302"/>
      <c r="K407" s="302">
        <f>0.09*0.9</f>
        <v>8.1000000000000003E-2</v>
      </c>
      <c r="L407" s="786"/>
      <c r="M407" s="290"/>
      <c r="N407" s="786"/>
      <c r="O407" s="290"/>
      <c r="P407" s="290"/>
      <c r="Q407" s="290"/>
      <c r="R407" s="290"/>
      <c r="S407" s="786"/>
      <c r="T407" s="786"/>
      <c r="U407" s="290"/>
      <c r="V407" s="305"/>
    </row>
    <row r="408" spans="1:22" ht="15" customHeight="1" thickBot="1" x14ac:dyDescent="0.3">
      <c r="A408" s="242"/>
      <c r="B408" s="243"/>
      <c r="C408" s="244"/>
      <c r="D408" s="244"/>
      <c r="E408" s="244"/>
      <c r="F408" s="244"/>
      <c r="G408" s="1066" t="s">
        <v>1199</v>
      </c>
      <c r="H408" s="1066"/>
      <c r="I408" s="1066"/>
      <c r="J408" s="630"/>
      <c r="K408" s="456">
        <f>SUM(J401:K407)</f>
        <v>1.5798000000000001</v>
      </c>
      <c r="L408" s="631"/>
      <c r="M408" s="632">
        <v>0.92</v>
      </c>
      <c r="N408" s="456">
        <f>K408/M408</f>
        <v>1.7171739130434782</v>
      </c>
      <c r="O408" s="1066" t="s">
        <v>1199</v>
      </c>
      <c r="P408" s="1066"/>
      <c r="Q408" s="1066"/>
      <c r="R408" s="554"/>
      <c r="S408" s="456">
        <f>SUM(S389:S399)</f>
        <v>3.15E-2</v>
      </c>
      <c r="T408" s="631"/>
      <c r="U408" s="554">
        <v>0.92</v>
      </c>
      <c r="V408" s="633">
        <f>S408/U408</f>
        <v>3.4239130434782605E-2</v>
      </c>
    </row>
    <row r="409" spans="1:22" ht="15" customHeight="1" x14ac:dyDescent="0.25">
      <c r="A409" s="566" t="str">
        <f>Итоговая!C319</f>
        <v xml:space="preserve">ПС 35/10 кВ Сахарово </v>
      </c>
      <c r="B409" s="563">
        <f>Итоговая!D319</f>
        <v>4</v>
      </c>
      <c r="C409" s="552" t="str">
        <f>Итоговая!E319</f>
        <v>+</v>
      </c>
      <c r="D409" s="552">
        <f>Итоговая!F319</f>
        <v>4</v>
      </c>
      <c r="E409" s="552"/>
      <c r="F409" s="552"/>
      <c r="G409" s="1168" t="s">
        <v>1288</v>
      </c>
      <c r="H409" s="1168"/>
      <c r="I409" s="1168"/>
      <c r="J409" s="1168"/>
      <c r="K409" s="1168"/>
      <c r="L409" s="1168"/>
      <c r="M409" s="1168"/>
      <c r="N409" s="1168"/>
      <c r="O409" s="215"/>
      <c r="P409" s="215"/>
      <c r="Q409" s="215"/>
      <c r="R409" s="215"/>
      <c r="S409" s="215"/>
      <c r="T409" s="558"/>
      <c r="U409" s="215"/>
      <c r="V409" s="679"/>
    </row>
    <row r="410" spans="1:22" ht="15" customHeight="1" x14ac:dyDescent="0.25">
      <c r="A410" s="567"/>
      <c r="B410" s="564"/>
      <c r="C410" s="553"/>
      <c r="D410" s="553"/>
      <c r="E410" s="553"/>
      <c r="F410" s="553"/>
      <c r="G410" s="596" t="s">
        <v>282</v>
      </c>
      <c r="H410" s="596" t="s">
        <v>286</v>
      </c>
      <c r="I410" s="627" t="s">
        <v>594</v>
      </c>
      <c r="J410" s="628"/>
      <c r="K410" s="286">
        <v>0.45800000000000002</v>
      </c>
      <c r="L410" s="302"/>
      <c r="M410" s="590"/>
      <c r="N410" s="302"/>
      <c r="O410" s="1163" t="s">
        <v>1324</v>
      </c>
      <c r="P410" s="1163"/>
      <c r="Q410" s="1163"/>
      <c r="R410" s="1163"/>
      <c r="S410" s="1163"/>
      <c r="T410" s="1163"/>
      <c r="U410" s="1163"/>
      <c r="V410" s="1198"/>
    </row>
    <row r="411" spans="1:22" ht="15" customHeight="1" x14ac:dyDescent="0.25">
      <c r="A411" s="567"/>
      <c r="B411" s="564"/>
      <c r="C411" s="553"/>
      <c r="D411" s="553"/>
      <c r="E411" s="553"/>
      <c r="F411" s="553"/>
      <c r="G411" s="1163" t="s">
        <v>1287</v>
      </c>
      <c r="H411" s="1163"/>
      <c r="I411" s="1163"/>
      <c r="J411" s="1163"/>
      <c r="K411" s="1163"/>
      <c r="L411" s="1163"/>
      <c r="M411" s="1163"/>
      <c r="N411" s="1163"/>
      <c r="O411" s="277" t="s">
        <v>282</v>
      </c>
      <c r="P411" s="277" t="s">
        <v>283</v>
      </c>
      <c r="Q411" s="680" t="s">
        <v>1648</v>
      </c>
      <c r="R411" s="680"/>
      <c r="S411" s="279">
        <v>5.8299999999999998E-2</v>
      </c>
      <c r="T411" s="370"/>
      <c r="U411" s="277"/>
      <c r="V411" s="280"/>
    </row>
    <row r="412" spans="1:22" ht="15" customHeight="1" x14ac:dyDescent="0.25">
      <c r="A412" s="567"/>
      <c r="B412" s="564"/>
      <c r="C412" s="553"/>
      <c r="D412" s="553"/>
      <c r="E412" s="553"/>
      <c r="F412" s="553"/>
      <c r="G412" s="596" t="s">
        <v>287</v>
      </c>
      <c r="H412" s="596" t="s">
        <v>288</v>
      </c>
      <c r="I412" s="627" t="s">
        <v>289</v>
      </c>
      <c r="J412" s="628"/>
      <c r="K412" s="286">
        <v>0.05</v>
      </c>
      <c r="L412" s="302"/>
      <c r="M412" s="590"/>
      <c r="N412" s="302"/>
      <c r="O412" s="590"/>
      <c r="P412" s="590"/>
      <c r="Q412" s="590"/>
      <c r="R412" s="590"/>
      <c r="S412" s="302"/>
      <c r="T412" s="302"/>
      <c r="U412" s="590"/>
      <c r="V412" s="303"/>
    </row>
    <row r="413" spans="1:22" ht="15" customHeight="1" x14ac:dyDescent="0.25">
      <c r="A413" s="567"/>
      <c r="B413" s="564"/>
      <c r="C413" s="553"/>
      <c r="D413" s="553"/>
      <c r="E413" s="553"/>
      <c r="F413" s="553"/>
      <c r="G413" s="1163" t="s">
        <v>1286</v>
      </c>
      <c r="H413" s="1163"/>
      <c r="I413" s="1163"/>
      <c r="J413" s="1163"/>
      <c r="K413" s="1163"/>
      <c r="L413" s="1163"/>
      <c r="M413" s="1163"/>
      <c r="N413" s="1163"/>
      <c r="O413" s="480"/>
      <c r="P413" s="480"/>
      <c r="Q413" s="480"/>
      <c r="R413" s="480"/>
      <c r="S413" s="481"/>
      <c r="T413" s="481"/>
      <c r="U413" s="480"/>
      <c r="V413" s="482"/>
    </row>
    <row r="414" spans="1:22" ht="15" customHeight="1" x14ac:dyDescent="0.25">
      <c r="A414" s="567"/>
      <c r="B414" s="564"/>
      <c r="C414" s="553"/>
      <c r="D414" s="553"/>
      <c r="E414" s="553"/>
      <c r="F414" s="553"/>
      <c r="G414" s="596" t="s">
        <v>292</v>
      </c>
      <c r="H414" s="596" t="s">
        <v>293</v>
      </c>
      <c r="I414" s="627" t="s">
        <v>294</v>
      </c>
      <c r="J414" s="628"/>
      <c r="K414" s="286">
        <v>2.4E-2</v>
      </c>
      <c r="L414" s="302"/>
      <c r="M414" s="590"/>
      <c r="N414" s="286"/>
      <c r="O414" s="590"/>
      <c r="P414" s="590"/>
      <c r="Q414" s="590"/>
      <c r="R414" s="590"/>
      <c r="S414" s="302"/>
      <c r="T414" s="302"/>
      <c r="U414" s="590"/>
      <c r="V414" s="303"/>
    </row>
    <row r="415" spans="1:22" ht="15" customHeight="1" x14ac:dyDescent="0.25">
      <c r="A415" s="567"/>
      <c r="B415" s="564"/>
      <c r="C415" s="553"/>
      <c r="D415" s="553"/>
      <c r="E415" s="553"/>
      <c r="F415" s="553"/>
      <c r="G415" s="596" t="s">
        <v>284</v>
      </c>
      <c r="H415" s="596" t="s">
        <v>285</v>
      </c>
      <c r="I415" s="627" t="s">
        <v>972</v>
      </c>
      <c r="J415" s="628"/>
      <c r="K415" s="286">
        <v>0.06</v>
      </c>
      <c r="L415" s="302"/>
      <c r="M415" s="590"/>
      <c r="N415" s="286"/>
      <c r="O415" s="590"/>
      <c r="P415" s="590"/>
      <c r="Q415" s="590"/>
      <c r="R415" s="590"/>
      <c r="S415" s="302"/>
      <c r="T415" s="302"/>
      <c r="U415" s="590"/>
      <c r="V415" s="303"/>
    </row>
    <row r="416" spans="1:22" ht="15" customHeight="1" x14ac:dyDescent="0.25">
      <c r="A416" s="567"/>
      <c r="B416" s="564"/>
      <c r="C416" s="553"/>
      <c r="D416" s="553"/>
      <c r="E416" s="553"/>
      <c r="F416" s="553"/>
      <c r="G416" s="596" t="s">
        <v>1292</v>
      </c>
      <c r="H416" s="596" t="s">
        <v>1293</v>
      </c>
      <c r="I416" s="627" t="s">
        <v>1552</v>
      </c>
      <c r="J416" s="628"/>
      <c r="K416" s="286">
        <v>0.12</v>
      </c>
      <c r="L416" s="302"/>
      <c r="M416" s="590"/>
      <c r="N416" s="286"/>
      <c r="O416" s="590"/>
      <c r="P416" s="590"/>
      <c r="Q416" s="590"/>
      <c r="R416" s="590"/>
      <c r="S416" s="302"/>
      <c r="T416" s="302"/>
      <c r="U416" s="590"/>
      <c r="V416" s="303"/>
    </row>
    <row r="417" spans="1:22" ht="15" customHeight="1" x14ac:dyDescent="0.25">
      <c r="A417" s="567"/>
      <c r="B417" s="564"/>
      <c r="C417" s="553"/>
      <c r="D417" s="553"/>
      <c r="E417" s="553"/>
      <c r="F417" s="553"/>
      <c r="G417" s="1163" t="s">
        <v>1324</v>
      </c>
      <c r="H417" s="1163"/>
      <c r="I417" s="1163"/>
      <c r="J417" s="1163"/>
      <c r="K417" s="1163"/>
      <c r="L417" s="1163"/>
      <c r="M417" s="1163"/>
      <c r="N417" s="1163"/>
      <c r="O417" s="590"/>
      <c r="P417" s="590"/>
      <c r="Q417" s="590"/>
      <c r="R417" s="590"/>
      <c r="S417" s="302"/>
      <c r="T417" s="302"/>
      <c r="U417" s="590"/>
      <c r="V417" s="303"/>
    </row>
    <row r="418" spans="1:22" ht="15" customHeight="1" x14ac:dyDescent="0.25">
      <c r="A418" s="567"/>
      <c r="B418" s="564"/>
      <c r="C418" s="553"/>
      <c r="D418" s="553"/>
      <c r="E418" s="553"/>
      <c r="F418" s="553"/>
      <c r="G418" s="596" t="s">
        <v>290</v>
      </c>
      <c r="H418" s="596" t="s">
        <v>291</v>
      </c>
      <c r="I418" s="627" t="s">
        <v>1568</v>
      </c>
      <c r="J418" s="628"/>
      <c r="K418" s="286">
        <v>0.15</v>
      </c>
      <c r="L418" s="302"/>
      <c r="M418" s="590"/>
      <c r="N418" s="286"/>
      <c r="O418" s="590"/>
      <c r="P418" s="590"/>
      <c r="Q418" s="590"/>
      <c r="R418" s="590"/>
      <c r="S418" s="302"/>
      <c r="T418" s="302"/>
      <c r="U418" s="590"/>
      <c r="V418" s="303"/>
    </row>
    <row r="419" spans="1:22" ht="15" customHeight="1" x14ac:dyDescent="0.25">
      <c r="A419" s="567"/>
      <c r="B419" s="564"/>
      <c r="C419" s="553"/>
      <c r="D419" s="553"/>
      <c r="E419" s="553"/>
      <c r="F419" s="553"/>
      <c r="G419" s="1163" t="s">
        <v>1645</v>
      </c>
      <c r="H419" s="1163"/>
      <c r="I419" s="1163"/>
      <c r="J419" s="1163"/>
      <c r="K419" s="1163"/>
      <c r="L419" s="1163"/>
      <c r="M419" s="1163"/>
      <c r="N419" s="1163"/>
      <c r="O419" s="590"/>
      <c r="P419" s="590"/>
      <c r="Q419" s="590"/>
      <c r="R419" s="590"/>
      <c r="S419" s="302"/>
      <c r="T419" s="302"/>
      <c r="U419" s="590"/>
      <c r="V419" s="303"/>
    </row>
    <row r="420" spans="1:22" ht="15" customHeight="1" x14ac:dyDescent="0.25">
      <c r="A420" s="567"/>
      <c r="B420" s="564"/>
      <c r="C420" s="553"/>
      <c r="D420" s="553"/>
      <c r="E420" s="553"/>
      <c r="F420" s="553"/>
      <c r="G420" s="596" t="s">
        <v>287</v>
      </c>
      <c r="H420" s="596" t="s">
        <v>288</v>
      </c>
      <c r="I420" s="627" t="s">
        <v>1906</v>
      </c>
      <c r="J420" s="628"/>
      <c r="K420" s="286">
        <f>0.05*0.9</f>
        <v>4.5000000000000005E-2</v>
      </c>
      <c r="L420" s="302"/>
      <c r="M420" s="590"/>
      <c r="N420" s="286"/>
      <c r="O420" s="590"/>
      <c r="P420" s="590"/>
      <c r="Q420" s="590"/>
      <c r="R420" s="590"/>
      <c r="S420" s="302"/>
      <c r="T420" s="302"/>
      <c r="U420" s="590"/>
      <c r="V420" s="303"/>
    </row>
    <row r="421" spans="1:22" ht="15" customHeight="1" x14ac:dyDescent="0.25">
      <c r="A421" s="567"/>
      <c r="B421" s="564"/>
      <c r="C421" s="553"/>
      <c r="D421" s="553"/>
      <c r="E421" s="553"/>
      <c r="F421" s="553"/>
      <c r="G421" s="1163" t="s">
        <v>2011</v>
      </c>
      <c r="H421" s="1163"/>
      <c r="I421" s="1163"/>
      <c r="J421" s="1163"/>
      <c r="K421" s="1163"/>
      <c r="L421" s="1163"/>
      <c r="M421" s="1163"/>
      <c r="N421" s="1163"/>
      <c r="O421" s="590"/>
      <c r="P421" s="590"/>
      <c r="Q421" s="590"/>
      <c r="R421" s="590"/>
      <c r="S421" s="302"/>
      <c r="T421" s="302"/>
      <c r="U421" s="590"/>
      <c r="V421" s="303"/>
    </row>
    <row r="422" spans="1:22" ht="15" customHeight="1" x14ac:dyDescent="0.25">
      <c r="A422" s="567"/>
      <c r="B422" s="564"/>
      <c r="C422" s="553"/>
      <c r="D422" s="553"/>
      <c r="E422" s="553"/>
      <c r="F422" s="553"/>
      <c r="G422" s="596" t="s">
        <v>2074</v>
      </c>
      <c r="H422" s="596" t="s">
        <v>2075</v>
      </c>
      <c r="I422" s="627" t="s">
        <v>2087</v>
      </c>
      <c r="J422" s="628"/>
      <c r="K422" s="286">
        <f>0.1*0.9</f>
        <v>9.0000000000000011E-2</v>
      </c>
      <c r="L422" s="302"/>
      <c r="M422" s="590"/>
      <c r="N422" s="286"/>
      <c r="O422" s="590"/>
      <c r="P422" s="590"/>
      <c r="Q422" s="590"/>
      <c r="R422" s="590"/>
      <c r="S422" s="302"/>
      <c r="T422" s="302"/>
      <c r="U422" s="590"/>
      <c r="V422" s="303"/>
    </row>
    <row r="423" spans="1:22" ht="15" customHeight="1" x14ac:dyDescent="0.25">
      <c r="A423" s="567"/>
      <c r="B423" s="564"/>
      <c r="C423" s="553"/>
      <c r="D423" s="553"/>
      <c r="E423" s="553"/>
      <c r="F423" s="553"/>
      <c r="G423" s="1163" t="s">
        <v>14933</v>
      </c>
      <c r="H423" s="1163"/>
      <c r="I423" s="1163"/>
      <c r="J423" s="1163"/>
      <c r="K423" s="1163"/>
      <c r="L423" s="1163"/>
      <c r="M423" s="1163"/>
      <c r="N423" s="1163"/>
      <c r="O423" s="590"/>
      <c r="P423" s="590"/>
      <c r="Q423" s="590"/>
      <c r="R423" s="590"/>
      <c r="S423" s="302"/>
      <c r="T423" s="302"/>
      <c r="U423" s="590"/>
      <c r="V423" s="303"/>
    </row>
    <row r="424" spans="1:22" ht="15" customHeight="1" x14ac:dyDescent="0.25">
      <c r="A424" s="567"/>
      <c r="B424" s="564"/>
      <c r="C424" s="553"/>
      <c r="D424" s="553"/>
      <c r="E424" s="553"/>
      <c r="F424" s="553"/>
      <c r="G424" s="1164" t="s">
        <v>2262</v>
      </c>
      <c r="H424" s="1164"/>
      <c r="I424" s="1164"/>
      <c r="J424" s="1165">
        <f>0.19*0.9*0.6</f>
        <v>0.10260000000000001</v>
      </c>
      <c r="K424" s="1166"/>
      <c r="L424" s="302"/>
      <c r="M424" s="590"/>
      <c r="N424" s="286"/>
      <c r="O424" s="590"/>
      <c r="P424" s="590"/>
      <c r="Q424" s="590"/>
      <c r="R424" s="590"/>
      <c r="S424" s="302"/>
      <c r="T424" s="302"/>
      <c r="U424" s="590"/>
      <c r="V424" s="303"/>
    </row>
    <row r="425" spans="1:22" ht="15" customHeight="1" x14ac:dyDescent="0.25">
      <c r="A425" s="567"/>
      <c r="B425" s="564"/>
      <c r="C425" s="553"/>
      <c r="D425" s="553"/>
      <c r="E425" s="553"/>
      <c r="F425" s="553"/>
      <c r="G425" s="1163" t="s">
        <v>18518</v>
      </c>
      <c r="H425" s="1163"/>
      <c r="I425" s="1163"/>
      <c r="J425" s="1163"/>
      <c r="K425" s="1163"/>
      <c r="L425" s="1163"/>
      <c r="M425" s="1163"/>
      <c r="N425" s="1163"/>
      <c r="O425" s="290"/>
      <c r="P425" s="290"/>
      <c r="Q425" s="290"/>
      <c r="R425" s="290"/>
      <c r="S425" s="307"/>
      <c r="T425" s="307"/>
      <c r="U425" s="290"/>
      <c r="V425" s="305"/>
    </row>
    <row r="426" spans="1:22" ht="15" customHeight="1" x14ac:dyDescent="0.25">
      <c r="A426" s="567"/>
      <c r="B426" s="564"/>
      <c r="C426" s="553"/>
      <c r="D426" s="553"/>
      <c r="E426" s="553"/>
      <c r="F426" s="553"/>
      <c r="G426" s="1164" t="s">
        <v>2262</v>
      </c>
      <c r="H426" s="1164"/>
      <c r="I426" s="1164"/>
      <c r="J426" s="1165">
        <f>0.366*0.9*0.6</f>
        <v>0.19764000000000001</v>
      </c>
      <c r="K426" s="1166"/>
      <c r="L426" s="307"/>
      <c r="M426" s="290"/>
      <c r="N426" s="744"/>
      <c r="O426" s="290"/>
      <c r="P426" s="290"/>
      <c r="Q426" s="290"/>
      <c r="R426" s="290"/>
      <c r="S426" s="307"/>
      <c r="T426" s="307"/>
      <c r="U426" s="290"/>
      <c r="V426" s="305"/>
    </row>
    <row r="427" spans="1:22" ht="15" customHeight="1" thickBot="1" x14ac:dyDescent="0.3">
      <c r="A427" s="242"/>
      <c r="B427" s="243"/>
      <c r="C427" s="244"/>
      <c r="D427" s="244"/>
      <c r="E427" s="244"/>
      <c r="F427" s="244"/>
      <c r="G427" s="1066" t="s">
        <v>1199</v>
      </c>
      <c r="H427" s="1066"/>
      <c r="I427" s="1066"/>
      <c r="J427" s="630"/>
      <c r="K427" s="456">
        <f>SUM(J424:K426)</f>
        <v>0.30024000000000001</v>
      </c>
      <c r="L427" s="631"/>
      <c r="M427" s="632">
        <v>0.92</v>
      </c>
      <c r="N427" s="456">
        <f>K427/M427</f>
        <v>0.32634782608695651</v>
      </c>
      <c r="O427" s="1066" t="s">
        <v>1199</v>
      </c>
      <c r="P427" s="1066"/>
      <c r="Q427" s="1066"/>
      <c r="R427" s="554"/>
      <c r="S427" s="456">
        <f>SUM(S411)</f>
        <v>5.8299999999999998E-2</v>
      </c>
      <c r="T427" s="631"/>
      <c r="U427" s="554">
        <v>0.92</v>
      </c>
      <c r="V427" s="633">
        <f>S427/U427</f>
        <v>6.3369565217391302E-2</v>
      </c>
    </row>
    <row r="428" spans="1:22" ht="15" customHeight="1" x14ac:dyDescent="0.25">
      <c r="A428" s="1092" t="str">
        <f>Итоговая!C320</f>
        <v>ПС  35/10 кВ Головино</v>
      </c>
      <c r="B428" s="1072">
        <f>Итоговая!D320</f>
        <v>2.5</v>
      </c>
      <c r="C428" s="1067" t="str">
        <f>Итоговая!E320</f>
        <v>+</v>
      </c>
      <c r="D428" s="1067">
        <f>Итоговая!F320</f>
        <v>2.5</v>
      </c>
      <c r="E428" s="552"/>
      <c r="F428" s="552"/>
      <c r="G428" s="1168" t="s">
        <v>1286</v>
      </c>
      <c r="H428" s="1168"/>
      <c r="I428" s="1168"/>
      <c r="J428" s="1168"/>
      <c r="K428" s="1168"/>
      <c r="L428" s="1168"/>
      <c r="M428" s="1168"/>
      <c r="N428" s="1168"/>
      <c r="O428" s="1181"/>
      <c r="P428" s="1181"/>
      <c r="Q428" s="1181"/>
      <c r="R428" s="1181"/>
      <c r="S428" s="1181"/>
      <c r="T428" s="1181"/>
      <c r="U428" s="1181"/>
      <c r="V428" s="1182"/>
    </row>
    <row r="429" spans="1:22" ht="15" customHeight="1" x14ac:dyDescent="0.25">
      <c r="A429" s="1093"/>
      <c r="B429" s="1023"/>
      <c r="C429" s="1024"/>
      <c r="D429" s="1024"/>
      <c r="E429" s="553"/>
      <c r="F429" s="553"/>
      <c r="G429" s="596" t="s">
        <v>295</v>
      </c>
      <c r="H429" s="596" t="s">
        <v>296</v>
      </c>
      <c r="I429" s="627" t="s">
        <v>297</v>
      </c>
      <c r="J429" s="628"/>
      <c r="K429" s="286">
        <v>0.09</v>
      </c>
      <c r="L429" s="302"/>
      <c r="M429" s="590"/>
      <c r="N429" s="302"/>
      <c r="O429" s="590"/>
      <c r="P429" s="590"/>
      <c r="Q429" s="590"/>
      <c r="R429" s="590"/>
      <c r="S429" s="302"/>
      <c r="T429" s="302"/>
      <c r="U429" s="590"/>
      <c r="V429" s="303"/>
    </row>
    <row r="430" spans="1:22" ht="15" customHeight="1" x14ac:dyDescent="0.25">
      <c r="A430" s="567"/>
      <c r="B430" s="564"/>
      <c r="C430" s="553"/>
      <c r="D430" s="553"/>
      <c r="E430" s="553"/>
      <c r="F430" s="553"/>
      <c r="G430" s="596" t="s">
        <v>298</v>
      </c>
      <c r="H430" s="596" t="s">
        <v>299</v>
      </c>
      <c r="I430" s="627" t="s">
        <v>300</v>
      </c>
      <c r="J430" s="628"/>
      <c r="K430" s="286">
        <v>0.2</v>
      </c>
      <c r="L430" s="302"/>
      <c r="M430" s="590"/>
      <c r="N430" s="302"/>
      <c r="O430" s="590"/>
      <c r="P430" s="590"/>
      <c r="Q430" s="590"/>
      <c r="R430" s="590"/>
      <c r="S430" s="302"/>
      <c r="T430" s="302"/>
      <c r="U430" s="590"/>
      <c r="V430" s="303"/>
    </row>
    <row r="431" spans="1:22" ht="15" customHeight="1" x14ac:dyDescent="0.25">
      <c r="A431" s="567"/>
      <c r="B431" s="564"/>
      <c r="C431" s="553"/>
      <c r="D431" s="553"/>
      <c r="E431" s="553"/>
      <c r="F431" s="553"/>
      <c r="G431" s="1163" t="s">
        <v>1324</v>
      </c>
      <c r="H431" s="1163"/>
      <c r="I431" s="1163"/>
      <c r="J431" s="1163"/>
      <c r="K431" s="1163"/>
      <c r="L431" s="1163"/>
      <c r="M431" s="1163"/>
      <c r="N431" s="1163"/>
      <c r="O431" s="590"/>
      <c r="P431" s="590"/>
      <c r="Q431" s="590"/>
      <c r="R431" s="590"/>
      <c r="S431" s="302"/>
      <c r="T431" s="302"/>
      <c r="U431" s="590"/>
      <c r="V431" s="303"/>
    </row>
    <row r="432" spans="1:22" ht="15" customHeight="1" x14ac:dyDescent="0.25">
      <c r="A432" s="567"/>
      <c r="B432" s="564"/>
      <c r="C432" s="553"/>
      <c r="D432" s="553"/>
      <c r="E432" s="553"/>
      <c r="F432" s="553"/>
      <c r="G432" s="596" t="s">
        <v>1418</v>
      </c>
      <c r="H432" s="596" t="s">
        <v>1419</v>
      </c>
      <c r="I432" s="627" t="s">
        <v>1563</v>
      </c>
      <c r="J432" s="628"/>
      <c r="K432" s="286">
        <v>0.2</v>
      </c>
      <c r="L432" s="302"/>
      <c r="M432" s="590"/>
      <c r="N432" s="302"/>
      <c r="O432" s="590"/>
      <c r="P432" s="590"/>
      <c r="Q432" s="590"/>
      <c r="R432" s="590"/>
      <c r="S432" s="302"/>
      <c r="T432" s="302"/>
      <c r="U432" s="590"/>
      <c r="V432" s="303"/>
    </row>
    <row r="433" spans="1:22" ht="15" customHeight="1" x14ac:dyDescent="0.25">
      <c r="A433" s="567"/>
      <c r="B433" s="564"/>
      <c r="C433" s="553"/>
      <c r="D433" s="553"/>
      <c r="E433" s="553"/>
      <c r="F433" s="553"/>
      <c r="G433" s="1163" t="s">
        <v>1645</v>
      </c>
      <c r="H433" s="1163"/>
      <c r="I433" s="1163"/>
      <c r="J433" s="1163"/>
      <c r="K433" s="1163"/>
      <c r="L433" s="1163"/>
      <c r="M433" s="1163"/>
      <c r="N433" s="1163"/>
      <c r="O433" s="590"/>
      <c r="P433" s="590"/>
      <c r="Q433" s="590"/>
      <c r="R433" s="590"/>
      <c r="S433" s="302"/>
      <c r="T433" s="302"/>
      <c r="U433" s="590"/>
      <c r="V433" s="303"/>
    </row>
    <row r="434" spans="1:22" ht="15" customHeight="1" x14ac:dyDescent="0.25">
      <c r="A434" s="567"/>
      <c r="B434" s="564"/>
      <c r="C434" s="553"/>
      <c r="D434" s="553"/>
      <c r="E434" s="553"/>
      <c r="F434" s="553"/>
      <c r="G434" s="596" t="s">
        <v>951</v>
      </c>
      <c r="H434" s="596" t="s">
        <v>1677</v>
      </c>
      <c r="I434" s="627" t="s">
        <v>1687</v>
      </c>
      <c r="J434" s="628"/>
      <c r="K434" s="286">
        <v>0.06</v>
      </c>
      <c r="L434" s="302"/>
      <c r="M434" s="590"/>
      <c r="N434" s="302"/>
      <c r="O434" s="590"/>
      <c r="P434" s="590"/>
      <c r="Q434" s="590"/>
      <c r="R434" s="590"/>
      <c r="S434" s="302"/>
      <c r="T434" s="302"/>
      <c r="U434" s="590"/>
      <c r="V434" s="303"/>
    </row>
    <row r="435" spans="1:22" ht="15" customHeight="1" x14ac:dyDescent="0.25">
      <c r="A435" s="567"/>
      <c r="B435" s="564"/>
      <c r="C435" s="553"/>
      <c r="D435" s="553"/>
      <c r="E435" s="553"/>
      <c r="F435" s="553"/>
      <c r="G435" s="1163" t="s">
        <v>2011</v>
      </c>
      <c r="H435" s="1163"/>
      <c r="I435" s="1163"/>
      <c r="J435" s="1163"/>
      <c r="K435" s="1163"/>
      <c r="L435" s="1163"/>
      <c r="M435" s="1163"/>
      <c r="N435" s="1163"/>
      <c r="O435" s="590"/>
      <c r="P435" s="590"/>
      <c r="Q435" s="590"/>
      <c r="R435" s="590"/>
      <c r="S435" s="302"/>
      <c r="T435" s="302"/>
      <c r="U435" s="590"/>
      <c r="V435" s="303"/>
    </row>
    <row r="436" spans="1:22" ht="15" customHeight="1" x14ac:dyDescent="0.25">
      <c r="A436" s="567"/>
      <c r="B436" s="564"/>
      <c r="C436" s="553"/>
      <c r="D436" s="553"/>
      <c r="E436" s="553"/>
      <c r="F436" s="553"/>
      <c r="G436" s="1185"/>
      <c r="H436" s="1185"/>
      <c r="I436" s="1185"/>
      <c r="J436" s="302"/>
      <c r="K436" s="302"/>
      <c r="L436" s="302"/>
      <c r="M436" s="590"/>
      <c r="N436" s="302"/>
      <c r="O436" s="590"/>
      <c r="P436" s="590"/>
      <c r="Q436" s="590"/>
      <c r="R436" s="590"/>
      <c r="S436" s="302"/>
      <c r="T436" s="302"/>
      <c r="U436" s="590"/>
      <c r="V436" s="303"/>
    </row>
    <row r="437" spans="1:22" ht="15" customHeight="1" x14ac:dyDescent="0.25">
      <c r="A437" s="567"/>
      <c r="B437" s="564"/>
      <c r="C437" s="553"/>
      <c r="D437" s="553"/>
      <c r="E437" s="553"/>
      <c r="F437" s="553"/>
      <c r="G437" s="1163" t="s">
        <v>2290</v>
      </c>
      <c r="H437" s="1163"/>
      <c r="I437" s="1163"/>
      <c r="J437" s="1163"/>
      <c r="K437" s="1163"/>
      <c r="L437" s="1163"/>
      <c r="M437" s="1163"/>
      <c r="N437" s="1163"/>
      <c r="O437" s="590"/>
      <c r="P437" s="590"/>
      <c r="Q437" s="590"/>
      <c r="R437" s="590"/>
      <c r="S437" s="302"/>
      <c r="T437" s="302"/>
      <c r="U437" s="590"/>
      <c r="V437" s="303"/>
    </row>
    <row r="438" spans="1:22" ht="15" customHeight="1" x14ac:dyDescent="0.25">
      <c r="A438" s="567"/>
      <c r="B438" s="564"/>
      <c r="C438" s="553"/>
      <c r="D438" s="553"/>
      <c r="E438" s="553"/>
      <c r="F438" s="553"/>
      <c r="G438" s="590" t="s">
        <v>2356</v>
      </c>
      <c r="H438" s="590" t="s">
        <v>2357</v>
      </c>
      <c r="I438" s="590" t="s">
        <v>2383</v>
      </c>
      <c r="J438" s="302"/>
      <c r="K438" s="302">
        <f>0.1*0.75</f>
        <v>7.5000000000000011E-2</v>
      </c>
      <c r="L438" s="302"/>
      <c r="M438" s="590"/>
      <c r="N438" s="302"/>
      <c r="O438" s="590"/>
      <c r="P438" s="590"/>
      <c r="Q438" s="590"/>
      <c r="R438" s="590"/>
      <c r="S438" s="302"/>
      <c r="T438" s="302"/>
      <c r="U438" s="590"/>
      <c r="V438" s="303"/>
    </row>
    <row r="439" spans="1:22" ht="15" customHeight="1" x14ac:dyDescent="0.25">
      <c r="A439" s="567"/>
      <c r="B439" s="564"/>
      <c r="C439" s="553"/>
      <c r="D439" s="553"/>
      <c r="E439" s="553"/>
      <c r="F439" s="553"/>
      <c r="G439" s="1163" t="s">
        <v>14933</v>
      </c>
      <c r="H439" s="1163"/>
      <c r="I439" s="1163"/>
      <c r="J439" s="1163"/>
      <c r="K439" s="1163"/>
      <c r="L439" s="1163"/>
      <c r="M439" s="1163"/>
      <c r="N439" s="1163"/>
      <c r="O439" s="590"/>
      <c r="P439" s="590"/>
      <c r="Q439" s="590"/>
      <c r="R439" s="590"/>
      <c r="S439" s="302"/>
      <c r="T439" s="302"/>
      <c r="U439" s="590"/>
      <c r="V439" s="303"/>
    </row>
    <row r="440" spans="1:22" ht="15" customHeight="1" x14ac:dyDescent="0.25">
      <c r="A440" s="567"/>
      <c r="B440" s="564"/>
      <c r="C440" s="553"/>
      <c r="D440" s="553"/>
      <c r="E440" s="553"/>
      <c r="F440" s="553"/>
      <c r="G440" s="590" t="s">
        <v>17646</v>
      </c>
      <c r="H440" s="590" t="s">
        <v>17647</v>
      </c>
      <c r="I440" s="590" t="s">
        <v>17648</v>
      </c>
      <c r="J440" s="302"/>
      <c r="K440" s="302">
        <f>0.09*0.15</f>
        <v>1.35E-2</v>
      </c>
      <c r="L440" s="302"/>
      <c r="M440" s="590"/>
      <c r="N440" s="302"/>
      <c r="O440" s="590"/>
      <c r="P440" s="590"/>
      <c r="Q440" s="590"/>
      <c r="R440" s="590"/>
      <c r="S440" s="302"/>
      <c r="T440" s="302"/>
      <c r="U440" s="590"/>
      <c r="V440" s="303"/>
    </row>
    <row r="441" spans="1:22" ht="15" customHeight="1" x14ac:dyDescent="0.25">
      <c r="A441" s="567"/>
      <c r="B441" s="564"/>
      <c r="C441" s="553"/>
      <c r="D441" s="553"/>
      <c r="E441" s="553"/>
      <c r="F441" s="553"/>
      <c r="G441" s="1164" t="s">
        <v>2262</v>
      </c>
      <c r="H441" s="1164"/>
      <c r="I441" s="1164"/>
      <c r="J441" s="1165">
        <f>0.182*0.9*0.6</f>
        <v>9.8279999999999992E-2</v>
      </c>
      <c r="K441" s="1166"/>
      <c r="L441" s="302"/>
      <c r="M441" s="590"/>
      <c r="N441" s="302"/>
      <c r="O441" s="590"/>
      <c r="P441" s="590"/>
      <c r="Q441" s="590"/>
      <c r="R441" s="590"/>
      <c r="S441" s="302"/>
      <c r="T441" s="302"/>
      <c r="U441" s="590"/>
      <c r="V441" s="303"/>
    </row>
    <row r="442" spans="1:22" ht="15" customHeight="1" x14ac:dyDescent="0.25">
      <c r="A442" s="567"/>
      <c r="B442" s="564"/>
      <c r="C442" s="553"/>
      <c r="D442" s="553"/>
      <c r="E442" s="553"/>
      <c r="F442" s="553"/>
      <c r="G442" s="1163" t="s">
        <v>18518</v>
      </c>
      <c r="H442" s="1163"/>
      <c r="I442" s="1163"/>
      <c r="J442" s="1163"/>
      <c r="K442" s="1163"/>
      <c r="L442" s="1163"/>
      <c r="M442" s="1163"/>
      <c r="N442" s="1163"/>
      <c r="O442" s="290"/>
      <c r="P442" s="290"/>
      <c r="Q442" s="290"/>
      <c r="R442" s="290"/>
      <c r="S442" s="307"/>
      <c r="T442" s="307"/>
      <c r="U442" s="290"/>
      <c r="V442" s="305"/>
    </row>
    <row r="443" spans="1:22" ht="15" customHeight="1" x14ac:dyDescent="0.25">
      <c r="A443" s="567"/>
      <c r="B443" s="564"/>
      <c r="C443" s="553"/>
      <c r="D443" s="553"/>
      <c r="E443" s="553"/>
      <c r="F443" s="553"/>
      <c r="G443" s="1164" t="s">
        <v>2262</v>
      </c>
      <c r="H443" s="1164"/>
      <c r="I443" s="1164"/>
      <c r="J443" s="1165">
        <f>0.537*0.9*0.6</f>
        <v>0.28998000000000002</v>
      </c>
      <c r="K443" s="1166"/>
      <c r="L443" s="307"/>
      <c r="M443" s="290"/>
      <c r="N443" s="744"/>
      <c r="O443" s="290"/>
      <c r="P443" s="290"/>
      <c r="Q443" s="290"/>
      <c r="R443" s="290"/>
      <c r="S443" s="307"/>
      <c r="T443" s="307"/>
      <c r="U443" s="290"/>
      <c r="V443" s="305"/>
    </row>
    <row r="444" spans="1:22" ht="15" customHeight="1" thickBot="1" x14ac:dyDescent="0.3">
      <c r="A444" s="242"/>
      <c r="B444" s="243"/>
      <c r="C444" s="244"/>
      <c r="D444" s="244"/>
      <c r="E444" s="244"/>
      <c r="F444" s="244"/>
      <c r="G444" s="1066"/>
      <c r="H444" s="1066"/>
      <c r="I444" s="1066"/>
      <c r="J444" s="630"/>
      <c r="K444" s="456">
        <f>SUM(J440:K443)</f>
        <v>0.40176000000000001</v>
      </c>
      <c r="L444" s="631"/>
      <c r="M444" s="632">
        <v>0.92</v>
      </c>
      <c r="N444" s="456">
        <f>K444/M444</f>
        <v>0.43669565217391304</v>
      </c>
      <c r="O444" s="1066" t="s">
        <v>1199</v>
      </c>
      <c r="P444" s="1066"/>
      <c r="Q444" s="1066"/>
      <c r="R444" s="554"/>
      <c r="S444" s="456">
        <f>SUM(S429:S432)</f>
        <v>0</v>
      </c>
      <c r="T444" s="631"/>
      <c r="U444" s="554">
        <v>0.92</v>
      </c>
      <c r="V444" s="633">
        <f>S444/U444</f>
        <v>0</v>
      </c>
    </row>
    <row r="445" spans="1:22" ht="15" customHeight="1" x14ac:dyDescent="0.25">
      <c r="A445" s="1092" t="str">
        <f>Итоговая!C321</f>
        <v>ПС  35/6 кВ Каликино</v>
      </c>
      <c r="B445" s="1072">
        <f>Итоговая!D321</f>
        <v>10</v>
      </c>
      <c r="C445" s="1067" t="str">
        <f>Итоговая!E321</f>
        <v>+</v>
      </c>
      <c r="D445" s="1067">
        <f>Итоговая!F321</f>
        <v>3.2</v>
      </c>
      <c r="E445" s="552"/>
      <c r="F445" s="552"/>
      <c r="G445" s="1168" t="s">
        <v>1287</v>
      </c>
      <c r="H445" s="1168"/>
      <c r="I445" s="1168"/>
      <c r="J445" s="1168"/>
      <c r="K445" s="1168"/>
      <c r="L445" s="1168"/>
      <c r="M445" s="1168"/>
      <c r="N445" s="1168"/>
      <c r="O445" s="1168" t="s">
        <v>14933</v>
      </c>
      <c r="P445" s="1168"/>
      <c r="Q445" s="1168"/>
      <c r="R445" s="1168"/>
      <c r="S445" s="1168"/>
      <c r="T445" s="1168"/>
      <c r="U445" s="1168"/>
      <c r="V445" s="1169"/>
    </row>
    <row r="446" spans="1:22" ht="15" customHeight="1" x14ac:dyDescent="0.25">
      <c r="A446" s="1093"/>
      <c r="B446" s="1023"/>
      <c r="C446" s="1024"/>
      <c r="D446" s="1024"/>
      <c r="E446" s="553"/>
      <c r="F446" s="553"/>
      <c r="G446" s="596" t="s">
        <v>303</v>
      </c>
      <c r="H446" s="596" t="s">
        <v>304</v>
      </c>
      <c r="I446" s="596" t="s">
        <v>305</v>
      </c>
      <c r="J446" s="286"/>
      <c r="K446" s="286">
        <v>2.1000000000000001E-2</v>
      </c>
      <c r="L446" s="302"/>
      <c r="M446" s="590"/>
      <c r="N446" s="302"/>
      <c r="O446" s="596" t="s">
        <v>301</v>
      </c>
      <c r="P446" s="596" t="s">
        <v>302</v>
      </c>
      <c r="Q446" s="635" t="s">
        <v>18182</v>
      </c>
      <c r="R446" s="635"/>
      <c r="S446" s="286">
        <v>2.5000000000000001E-2</v>
      </c>
      <c r="T446" s="302"/>
      <c r="U446" s="596"/>
      <c r="V446" s="303"/>
    </row>
    <row r="447" spans="1:22" ht="15" customHeight="1" x14ac:dyDescent="0.25">
      <c r="A447" s="567"/>
      <c r="B447" s="564"/>
      <c r="C447" s="553"/>
      <c r="D447" s="553"/>
      <c r="E447" s="553"/>
      <c r="F447" s="553"/>
      <c r="G447" s="1163" t="s">
        <v>1645</v>
      </c>
      <c r="H447" s="1163"/>
      <c r="I447" s="1163"/>
      <c r="J447" s="1163"/>
      <c r="K447" s="1163"/>
      <c r="L447" s="1163"/>
      <c r="M447" s="1163"/>
      <c r="N447" s="1163"/>
      <c r="O447" s="590"/>
      <c r="P447" s="590"/>
      <c r="Q447" s="636"/>
      <c r="R447" s="636"/>
      <c r="S447" s="302"/>
      <c r="T447" s="302"/>
      <c r="U447" s="590"/>
      <c r="V447" s="303"/>
    </row>
    <row r="448" spans="1:22" ht="15" customHeight="1" x14ac:dyDescent="0.25">
      <c r="A448" s="567"/>
      <c r="B448" s="564"/>
      <c r="C448" s="553"/>
      <c r="D448" s="553"/>
      <c r="E448" s="553"/>
      <c r="F448" s="553"/>
      <c r="G448" s="596" t="s">
        <v>952</v>
      </c>
      <c r="H448" s="596" t="s">
        <v>1845</v>
      </c>
      <c r="I448" s="596" t="s">
        <v>1905</v>
      </c>
      <c r="J448" s="286"/>
      <c r="K448" s="286">
        <v>4.1050000000000004</v>
      </c>
      <c r="L448" s="302"/>
      <c r="M448" s="590"/>
      <c r="N448" s="302"/>
      <c r="O448" s="590"/>
      <c r="P448" s="590"/>
      <c r="Q448" s="590"/>
      <c r="R448" s="590"/>
      <c r="S448" s="302"/>
      <c r="T448" s="302"/>
      <c r="U448" s="590"/>
      <c r="V448" s="303"/>
    </row>
    <row r="449" spans="1:22" ht="15" customHeight="1" x14ac:dyDescent="0.25">
      <c r="A449" s="567"/>
      <c r="B449" s="564"/>
      <c r="C449" s="553"/>
      <c r="D449" s="553"/>
      <c r="E449" s="553"/>
      <c r="F449" s="553"/>
      <c r="G449" s="1163" t="s">
        <v>2011</v>
      </c>
      <c r="H449" s="1163"/>
      <c r="I449" s="1163"/>
      <c r="J449" s="1163"/>
      <c r="K449" s="1163"/>
      <c r="L449" s="1163"/>
      <c r="M449" s="1163"/>
      <c r="N449" s="1163"/>
      <c r="O449" s="590"/>
      <c r="P449" s="590"/>
      <c r="Q449" s="590"/>
      <c r="R449" s="590"/>
      <c r="S449" s="302"/>
      <c r="T449" s="302"/>
      <c r="U449" s="590"/>
      <c r="V449" s="303"/>
    </row>
    <row r="450" spans="1:22" ht="15" customHeight="1" x14ac:dyDescent="0.25">
      <c r="A450" s="567"/>
      <c r="B450" s="564"/>
      <c r="C450" s="553"/>
      <c r="D450" s="553"/>
      <c r="E450" s="553"/>
      <c r="F450" s="553"/>
      <c r="G450" s="590" t="s">
        <v>1721</v>
      </c>
      <c r="H450" s="590" t="s">
        <v>2073</v>
      </c>
      <c r="I450" s="596" t="s">
        <v>2086</v>
      </c>
      <c r="J450" s="286"/>
      <c r="K450" s="286">
        <f>(0.08-0.0242)*0.5</f>
        <v>2.7900000000000001E-2</v>
      </c>
      <c r="L450" s="302"/>
      <c r="M450" s="590"/>
      <c r="N450" s="302"/>
      <c r="O450" s="590"/>
      <c r="P450" s="590"/>
      <c r="Q450" s="590"/>
      <c r="R450" s="590"/>
      <c r="S450" s="302"/>
      <c r="T450" s="302"/>
      <c r="U450" s="590"/>
      <c r="V450" s="303"/>
    </row>
    <row r="451" spans="1:22" ht="15" customHeight="1" x14ac:dyDescent="0.25">
      <c r="A451" s="567"/>
      <c r="B451" s="564"/>
      <c r="C451" s="553"/>
      <c r="D451" s="553"/>
      <c r="E451" s="553"/>
      <c r="F451" s="553"/>
      <c r="G451" s="590" t="s">
        <v>2193</v>
      </c>
      <c r="H451" s="590" t="s">
        <v>2194</v>
      </c>
      <c r="I451" s="596" t="s">
        <v>2237</v>
      </c>
      <c r="J451" s="286"/>
      <c r="K451" s="286">
        <v>0</v>
      </c>
      <c r="L451" s="302"/>
      <c r="M451" s="590"/>
      <c r="N451" s="302"/>
      <c r="O451" s="590"/>
      <c r="P451" s="590"/>
      <c r="Q451" s="590"/>
      <c r="R451" s="590"/>
      <c r="S451" s="302"/>
      <c r="T451" s="302"/>
      <c r="U451" s="590"/>
      <c r="V451" s="303"/>
    </row>
    <row r="452" spans="1:22" ht="15" customHeight="1" x14ac:dyDescent="0.25">
      <c r="A452" s="567"/>
      <c r="B452" s="564"/>
      <c r="C452" s="553"/>
      <c r="D452" s="553"/>
      <c r="E452" s="553"/>
      <c r="F452" s="553"/>
      <c r="G452" s="1163" t="s">
        <v>2290</v>
      </c>
      <c r="H452" s="1163"/>
      <c r="I452" s="1163"/>
      <c r="J452" s="1163"/>
      <c r="K452" s="1163"/>
      <c r="L452" s="1163"/>
      <c r="M452" s="1163"/>
      <c r="N452" s="1163"/>
      <c r="O452" s="590"/>
      <c r="P452" s="590"/>
      <c r="Q452" s="590"/>
      <c r="R452" s="590"/>
      <c r="S452" s="302"/>
      <c r="T452" s="302"/>
      <c r="U452" s="590"/>
      <c r="V452" s="303"/>
    </row>
    <row r="453" spans="1:22" ht="15" customHeight="1" x14ac:dyDescent="0.25">
      <c r="A453" s="567"/>
      <c r="B453" s="564"/>
      <c r="C453" s="553"/>
      <c r="D453" s="553"/>
      <c r="E453" s="553"/>
      <c r="F453" s="553"/>
      <c r="G453" s="596" t="s">
        <v>14719</v>
      </c>
      <c r="H453" s="596" t="s">
        <v>14720</v>
      </c>
      <c r="I453" s="590" t="s">
        <v>14871</v>
      </c>
      <c r="J453" s="302"/>
      <c r="K453" s="302">
        <f>0.5*0.15</f>
        <v>7.4999999999999997E-2</v>
      </c>
      <c r="L453" s="302"/>
      <c r="M453" s="590"/>
      <c r="N453" s="302"/>
      <c r="O453" s="590"/>
      <c r="P453" s="590"/>
      <c r="Q453" s="590"/>
      <c r="R453" s="590"/>
      <c r="S453" s="302"/>
      <c r="T453" s="302"/>
      <c r="U453" s="590"/>
      <c r="V453" s="303"/>
    </row>
    <row r="454" spans="1:22" ht="15" customHeight="1" x14ac:dyDescent="0.25">
      <c r="A454" s="567"/>
      <c r="B454" s="564"/>
      <c r="C454" s="553"/>
      <c r="D454" s="553"/>
      <c r="E454" s="553"/>
      <c r="F454" s="553"/>
      <c r="G454" s="1163" t="s">
        <v>14933</v>
      </c>
      <c r="H454" s="1163"/>
      <c r="I454" s="1163"/>
      <c r="J454" s="1163"/>
      <c r="K454" s="1163"/>
      <c r="L454" s="1163"/>
      <c r="M454" s="1163"/>
      <c r="N454" s="1163"/>
      <c r="O454" s="590"/>
      <c r="P454" s="590"/>
      <c r="Q454" s="590"/>
      <c r="R454" s="590"/>
      <c r="S454" s="302"/>
      <c r="T454" s="302"/>
      <c r="U454" s="590"/>
      <c r="V454" s="303"/>
    </row>
    <row r="455" spans="1:22" ht="15" customHeight="1" x14ac:dyDescent="0.25">
      <c r="A455" s="567"/>
      <c r="B455" s="564"/>
      <c r="C455" s="553"/>
      <c r="D455" s="553"/>
      <c r="E455" s="553"/>
      <c r="F455" s="553"/>
      <c r="G455" s="596" t="s">
        <v>2339</v>
      </c>
      <c r="H455" s="596" t="s">
        <v>14800</v>
      </c>
      <c r="I455" s="590" t="s">
        <v>14934</v>
      </c>
      <c r="J455" s="302"/>
      <c r="K455" s="302">
        <f>0.05*0.75</f>
        <v>3.7500000000000006E-2</v>
      </c>
      <c r="L455" s="302"/>
      <c r="M455" s="590"/>
      <c r="N455" s="302"/>
      <c r="O455" s="590"/>
      <c r="P455" s="590"/>
      <c r="Q455" s="590"/>
      <c r="R455" s="590"/>
      <c r="S455" s="302"/>
      <c r="T455" s="302"/>
      <c r="U455" s="590"/>
      <c r="V455" s="303"/>
    </row>
    <row r="456" spans="1:22" ht="15" customHeight="1" x14ac:dyDescent="0.25">
      <c r="A456" s="567"/>
      <c r="B456" s="564"/>
      <c r="C456" s="553"/>
      <c r="D456" s="553"/>
      <c r="E456" s="553"/>
      <c r="F456" s="553"/>
      <c r="G456" s="1164" t="s">
        <v>2262</v>
      </c>
      <c r="H456" s="1164"/>
      <c r="I456" s="1164"/>
      <c r="J456" s="1165">
        <f>0.1152*0.9*0.6</f>
        <v>6.2207999999999992E-2</v>
      </c>
      <c r="K456" s="1166"/>
      <c r="L456" s="302"/>
      <c r="M456" s="590"/>
      <c r="N456" s="302"/>
      <c r="O456" s="590"/>
      <c r="P456" s="590"/>
      <c r="Q456" s="590"/>
      <c r="R456" s="590"/>
      <c r="S456" s="302"/>
      <c r="T456" s="302"/>
      <c r="U456" s="590"/>
      <c r="V456" s="303"/>
    </row>
    <row r="457" spans="1:22" ht="15" customHeight="1" x14ac:dyDescent="0.25">
      <c r="A457" s="567"/>
      <c r="B457" s="564"/>
      <c r="C457" s="553"/>
      <c r="D457" s="553"/>
      <c r="E457" s="553"/>
      <c r="F457" s="553"/>
      <c r="G457" s="1163" t="s">
        <v>18518</v>
      </c>
      <c r="H457" s="1163"/>
      <c r="I457" s="1163"/>
      <c r="J457" s="1163"/>
      <c r="K457" s="1163"/>
      <c r="L457" s="1163"/>
      <c r="M457" s="1163"/>
      <c r="N457" s="1163"/>
      <c r="O457" s="290"/>
      <c r="P457" s="290"/>
      <c r="Q457" s="290"/>
      <c r="R457" s="290"/>
      <c r="S457" s="307"/>
      <c r="T457" s="307"/>
      <c r="U457" s="290"/>
      <c r="V457" s="305"/>
    </row>
    <row r="458" spans="1:22" ht="15" customHeight="1" x14ac:dyDescent="0.25">
      <c r="A458" s="567"/>
      <c r="B458" s="564"/>
      <c r="C458" s="553"/>
      <c r="D458" s="553"/>
      <c r="E458" s="553"/>
      <c r="F458" s="553"/>
      <c r="G458" s="290" t="s">
        <v>18838</v>
      </c>
      <c r="H458" s="290" t="s">
        <v>18839</v>
      </c>
      <c r="I458" s="290" t="s">
        <v>18840</v>
      </c>
      <c r="J458" s="307"/>
      <c r="K458" s="307">
        <f>0.065*0.9</f>
        <v>5.8500000000000003E-2</v>
      </c>
      <c r="L458" s="307"/>
      <c r="M458" s="290"/>
      <c r="N458" s="307"/>
      <c r="O458" s="290"/>
      <c r="P458" s="290"/>
      <c r="Q458" s="290"/>
      <c r="R458" s="290"/>
      <c r="S458" s="307"/>
      <c r="T458" s="307"/>
      <c r="U458" s="290"/>
      <c r="V458" s="305"/>
    </row>
    <row r="459" spans="1:22" ht="15" customHeight="1" x14ac:dyDescent="0.25">
      <c r="A459" s="567"/>
      <c r="B459" s="564"/>
      <c r="C459" s="553"/>
      <c r="D459" s="553"/>
      <c r="E459" s="553"/>
      <c r="F459" s="553"/>
      <c r="G459" s="1164" t="s">
        <v>2262</v>
      </c>
      <c r="H459" s="1164"/>
      <c r="I459" s="1164"/>
      <c r="J459" s="1165">
        <f>1.003*0.9*0.6</f>
        <v>0.54161999999999999</v>
      </c>
      <c r="K459" s="1166"/>
      <c r="L459" s="302"/>
      <c r="M459" s="590"/>
      <c r="N459" s="302"/>
      <c r="O459" s="290"/>
      <c r="P459" s="290"/>
      <c r="Q459" s="290"/>
      <c r="R459" s="290"/>
      <c r="S459" s="307"/>
      <c r="T459" s="307"/>
      <c r="U459" s="290"/>
      <c r="V459" s="305"/>
    </row>
    <row r="460" spans="1:22" ht="15" customHeight="1" thickBot="1" x14ac:dyDescent="0.3">
      <c r="A460" s="242"/>
      <c r="B460" s="243"/>
      <c r="C460" s="244"/>
      <c r="D460" s="244"/>
      <c r="E460" s="244"/>
      <c r="F460" s="244"/>
      <c r="G460" s="1066" t="s">
        <v>1199</v>
      </c>
      <c r="H460" s="1066"/>
      <c r="I460" s="1066"/>
      <c r="J460" s="630"/>
      <c r="K460" s="456">
        <f>SUM(J455:K459)</f>
        <v>0.69982800000000001</v>
      </c>
      <c r="L460" s="631"/>
      <c r="M460" s="632">
        <v>0.92</v>
      </c>
      <c r="N460" s="456">
        <f>K460/M460</f>
        <v>0.76068260869565218</v>
      </c>
      <c r="O460" s="1066" t="s">
        <v>1199</v>
      </c>
      <c r="P460" s="1066"/>
      <c r="Q460" s="1066"/>
      <c r="R460" s="554"/>
      <c r="S460" s="456">
        <f>SUM(S446:S448)</f>
        <v>2.5000000000000001E-2</v>
      </c>
      <c r="T460" s="631"/>
      <c r="U460" s="554">
        <v>0.92</v>
      </c>
      <c r="V460" s="633">
        <f>S460/U460</f>
        <v>2.717391304347826E-2</v>
      </c>
    </row>
    <row r="461" spans="1:22" ht="15" customHeight="1" x14ac:dyDescent="0.25">
      <c r="A461" s="1092" t="str">
        <f>Итоговая!C322</f>
        <v>ПС 35/10 кВ Квакшино</v>
      </c>
      <c r="B461" s="1072">
        <f>Итоговая!D322</f>
        <v>4</v>
      </c>
      <c r="C461" s="1067" t="str">
        <f>Итоговая!E322</f>
        <v>+</v>
      </c>
      <c r="D461" s="1067">
        <f>Итоговая!F322</f>
        <v>4</v>
      </c>
      <c r="E461" s="552"/>
      <c r="F461" s="552"/>
      <c r="G461" s="1168" t="s">
        <v>1324</v>
      </c>
      <c r="H461" s="1168"/>
      <c r="I461" s="1168"/>
      <c r="J461" s="1168"/>
      <c r="K461" s="1168"/>
      <c r="L461" s="1168"/>
      <c r="M461" s="1168"/>
      <c r="N461" s="1168"/>
      <c r="O461" s="1181"/>
      <c r="P461" s="1181"/>
      <c r="Q461" s="1181"/>
      <c r="R461" s="1181"/>
      <c r="S461" s="1181"/>
      <c r="T461" s="1181"/>
      <c r="U461" s="1181"/>
      <c r="V461" s="1182"/>
    </row>
    <row r="462" spans="1:22" ht="15" customHeight="1" x14ac:dyDescent="0.25">
      <c r="A462" s="1093"/>
      <c r="B462" s="1023"/>
      <c r="C462" s="1024"/>
      <c r="D462" s="1024"/>
      <c r="E462" s="553"/>
      <c r="F462" s="553"/>
      <c r="G462" s="596" t="s">
        <v>955</v>
      </c>
      <c r="H462" s="596" t="s">
        <v>958</v>
      </c>
      <c r="I462" s="596" t="s">
        <v>1503</v>
      </c>
      <c r="J462" s="286"/>
      <c r="K462" s="286">
        <v>1.6E-2</v>
      </c>
      <c r="L462" s="302"/>
      <c r="M462" s="590"/>
      <c r="N462" s="302"/>
      <c r="O462" s="590"/>
      <c r="P462" s="590"/>
      <c r="Q462" s="590"/>
      <c r="R462" s="590"/>
      <c r="S462" s="302"/>
      <c r="T462" s="302"/>
      <c r="U462" s="590"/>
      <c r="V462" s="303"/>
    </row>
    <row r="463" spans="1:22" ht="15" customHeight="1" x14ac:dyDescent="0.25">
      <c r="A463" s="567"/>
      <c r="B463" s="564"/>
      <c r="C463" s="553"/>
      <c r="D463" s="553"/>
      <c r="E463" s="553"/>
      <c r="F463" s="553"/>
      <c r="G463" s="1163" t="s">
        <v>2290</v>
      </c>
      <c r="H463" s="1163"/>
      <c r="I463" s="1163"/>
      <c r="J463" s="1163"/>
      <c r="K463" s="1163"/>
      <c r="L463" s="1163"/>
      <c r="M463" s="1163"/>
      <c r="N463" s="1163"/>
      <c r="O463" s="590"/>
      <c r="P463" s="590"/>
      <c r="Q463" s="590"/>
      <c r="R463" s="590"/>
      <c r="S463" s="302"/>
      <c r="T463" s="302"/>
      <c r="U463" s="590"/>
      <c r="V463" s="303"/>
    </row>
    <row r="464" spans="1:22" ht="15" customHeight="1" x14ac:dyDescent="0.25">
      <c r="A464" s="567"/>
      <c r="B464" s="564"/>
      <c r="C464" s="553"/>
      <c r="D464" s="553"/>
      <c r="E464" s="553"/>
      <c r="F464" s="553"/>
      <c r="G464" s="590" t="s">
        <v>2309</v>
      </c>
      <c r="H464" s="590" t="s">
        <v>2310</v>
      </c>
      <c r="I464" s="432" t="s">
        <v>2319</v>
      </c>
      <c r="J464" s="357"/>
      <c r="K464" s="357">
        <f>0.085*0.75</f>
        <v>6.3750000000000001E-2</v>
      </c>
      <c r="L464" s="302"/>
      <c r="M464" s="590"/>
      <c r="N464" s="357"/>
      <c r="O464" s="590"/>
      <c r="P464" s="590"/>
      <c r="Q464" s="590"/>
      <c r="R464" s="590"/>
      <c r="S464" s="302"/>
      <c r="T464" s="302"/>
      <c r="U464" s="590"/>
      <c r="V464" s="303"/>
    </row>
    <row r="465" spans="1:22" ht="15" customHeight="1" x14ac:dyDescent="0.25">
      <c r="A465" s="567"/>
      <c r="B465" s="564"/>
      <c r="C465" s="553"/>
      <c r="D465" s="553"/>
      <c r="E465" s="553"/>
      <c r="F465" s="553"/>
      <c r="G465" s="1163" t="s">
        <v>14933</v>
      </c>
      <c r="H465" s="1163"/>
      <c r="I465" s="1163"/>
      <c r="J465" s="1163"/>
      <c r="K465" s="1163"/>
      <c r="L465" s="1163"/>
      <c r="M465" s="1163"/>
      <c r="N465" s="1163"/>
      <c r="O465" s="590"/>
      <c r="P465" s="590"/>
      <c r="Q465" s="590"/>
      <c r="R465" s="590"/>
      <c r="S465" s="302"/>
      <c r="T465" s="302"/>
      <c r="U465" s="590"/>
      <c r="V465" s="303"/>
    </row>
    <row r="466" spans="1:22" ht="15" customHeight="1" x14ac:dyDescent="0.25">
      <c r="A466" s="567"/>
      <c r="B466" s="564"/>
      <c r="C466" s="553"/>
      <c r="D466" s="553"/>
      <c r="E466" s="553"/>
      <c r="F466" s="553"/>
      <c r="G466" s="1164" t="s">
        <v>2262</v>
      </c>
      <c r="H466" s="1164"/>
      <c r="I466" s="1164"/>
      <c r="J466" s="339"/>
      <c r="K466" s="339">
        <f>0.147*0.9*0.6</f>
        <v>7.9379999999999992E-2</v>
      </c>
      <c r="L466" s="302"/>
      <c r="M466" s="590"/>
      <c r="N466" s="302"/>
      <c r="O466" s="461"/>
      <c r="P466" s="590"/>
      <c r="Q466" s="590"/>
      <c r="R466" s="590"/>
      <c r="S466" s="302"/>
      <c r="T466" s="302"/>
      <c r="U466" s="590"/>
      <c r="V466" s="303"/>
    </row>
    <row r="467" spans="1:22" ht="15" customHeight="1" x14ac:dyDescent="0.25">
      <c r="A467" s="567"/>
      <c r="B467" s="564"/>
      <c r="C467" s="553"/>
      <c r="D467" s="553"/>
      <c r="E467" s="553"/>
      <c r="F467" s="553"/>
      <c r="G467" s="480" t="s">
        <v>1996</v>
      </c>
      <c r="H467" s="480" t="s">
        <v>17469</v>
      </c>
      <c r="I467" s="480" t="s">
        <v>17470</v>
      </c>
      <c r="J467" s="481"/>
      <c r="K467" s="302">
        <f>0.05*0.75</f>
        <v>3.7500000000000006E-2</v>
      </c>
      <c r="L467" s="302"/>
      <c r="M467" s="590"/>
      <c r="N467" s="302"/>
      <c r="O467" s="461"/>
      <c r="P467" s="590"/>
      <c r="Q467" s="590"/>
      <c r="R467" s="590"/>
      <c r="S467" s="302"/>
      <c r="T467" s="302"/>
      <c r="U467" s="590"/>
      <c r="V467" s="303"/>
    </row>
    <row r="468" spans="1:22" ht="15" customHeight="1" x14ac:dyDescent="0.25">
      <c r="A468" s="567"/>
      <c r="B468" s="564"/>
      <c r="C468" s="553"/>
      <c r="D468" s="553"/>
      <c r="E468" s="553"/>
      <c r="F468" s="553"/>
      <c r="G468" s="480" t="s">
        <v>2033</v>
      </c>
      <c r="H468" s="480" t="s">
        <v>17550</v>
      </c>
      <c r="I468" s="480" t="s">
        <v>17551</v>
      </c>
      <c r="J468" s="481"/>
      <c r="K468" s="302">
        <f>0.2*0.75</f>
        <v>0.15000000000000002</v>
      </c>
      <c r="L468" s="302"/>
      <c r="M468" s="590"/>
      <c r="N468" s="302"/>
      <c r="O468" s="461"/>
      <c r="P468" s="590"/>
      <c r="Q468" s="590"/>
      <c r="R468" s="590"/>
      <c r="S468" s="302"/>
      <c r="T468" s="302"/>
      <c r="U468" s="590"/>
      <c r="V468" s="303"/>
    </row>
    <row r="469" spans="1:22" ht="15" customHeight="1" x14ac:dyDescent="0.25">
      <c r="A469" s="567"/>
      <c r="B469" s="564"/>
      <c r="C469" s="553"/>
      <c r="D469" s="553"/>
      <c r="E469" s="553"/>
      <c r="F469" s="553"/>
      <c r="G469" s="1163" t="s">
        <v>18518</v>
      </c>
      <c r="H469" s="1163"/>
      <c r="I469" s="1163"/>
      <c r="J469" s="1163"/>
      <c r="K469" s="1163"/>
      <c r="L469" s="1163"/>
      <c r="M469" s="1163"/>
      <c r="N469" s="1163"/>
      <c r="O469" s="681"/>
      <c r="P469" s="290"/>
      <c r="Q469" s="290"/>
      <c r="R469" s="290"/>
      <c r="S469" s="307"/>
      <c r="T469" s="307"/>
      <c r="U469" s="290"/>
      <c r="V469" s="305"/>
    </row>
    <row r="470" spans="1:22" ht="15" customHeight="1" x14ac:dyDescent="0.25">
      <c r="A470" s="567"/>
      <c r="B470" s="564"/>
      <c r="C470" s="553"/>
      <c r="D470" s="553"/>
      <c r="E470" s="553"/>
      <c r="F470" s="553"/>
      <c r="G470" s="590" t="s">
        <v>19240</v>
      </c>
      <c r="H470" s="590" t="s">
        <v>19594</v>
      </c>
      <c r="I470" s="590" t="s">
        <v>19595</v>
      </c>
      <c r="J470" s="302"/>
      <c r="K470" s="302">
        <f>0.5*0.75</f>
        <v>0.375</v>
      </c>
      <c r="L470" s="307"/>
      <c r="M470" s="290"/>
      <c r="N470" s="290"/>
      <c r="O470" s="681"/>
      <c r="P470" s="290"/>
      <c r="Q470" s="290"/>
      <c r="R470" s="290"/>
      <c r="S470" s="307"/>
      <c r="T470" s="307"/>
      <c r="U470" s="290"/>
      <c r="V470" s="305"/>
    </row>
    <row r="471" spans="1:22" ht="15" customHeight="1" x14ac:dyDescent="0.25">
      <c r="A471" s="567"/>
      <c r="B471" s="564"/>
      <c r="C471" s="553"/>
      <c r="D471" s="553"/>
      <c r="E471" s="553"/>
      <c r="F471" s="553"/>
      <c r="G471" s="590" t="s">
        <v>19240</v>
      </c>
      <c r="H471" s="590" t="s">
        <v>19241</v>
      </c>
      <c r="I471" s="590" t="s">
        <v>19596</v>
      </c>
      <c r="J471" s="302"/>
      <c r="K471" s="302">
        <f>0.14*0.75</f>
        <v>0.10500000000000001</v>
      </c>
      <c r="L471" s="307"/>
      <c r="M471" s="290"/>
      <c r="N471" s="290"/>
      <c r="O471" s="681"/>
      <c r="P471" s="290"/>
      <c r="Q471" s="290"/>
      <c r="R471" s="290"/>
      <c r="S471" s="307"/>
      <c r="T471" s="307"/>
      <c r="U471" s="290"/>
      <c r="V471" s="305"/>
    </row>
    <row r="472" spans="1:22" ht="15" customHeight="1" x14ac:dyDescent="0.25">
      <c r="A472" s="567"/>
      <c r="B472" s="564"/>
      <c r="C472" s="553"/>
      <c r="D472" s="553"/>
      <c r="E472" s="553"/>
      <c r="F472" s="553"/>
      <c r="G472" s="1164" t="s">
        <v>2262</v>
      </c>
      <c r="H472" s="1164"/>
      <c r="I472" s="1164"/>
      <c r="J472" s="339"/>
      <c r="K472" s="339">
        <f>0.271*0.9*0.6</f>
        <v>0.14634000000000003</v>
      </c>
      <c r="L472" s="307"/>
      <c r="M472" s="290"/>
      <c r="N472" s="307"/>
      <c r="O472" s="681"/>
      <c r="P472" s="290"/>
      <c r="Q472" s="290"/>
      <c r="R472" s="290"/>
      <c r="S472" s="307"/>
      <c r="T472" s="307"/>
      <c r="U472" s="290"/>
      <c r="V472" s="305"/>
    </row>
    <row r="473" spans="1:22" ht="15" customHeight="1" thickBot="1" x14ac:dyDescent="0.3">
      <c r="A473" s="242"/>
      <c r="B473" s="243"/>
      <c r="C473" s="244"/>
      <c r="D473" s="244"/>
      <c r="E473" s="244"/>
      <c r="F473" s="244"/>
      <c r="G473" s="1066" t="s">
        <v>1199</v>
      </c>
      <c r="H473" s="1066"/>
      <c r="I473" s="1066"/>
      <c r="J473" s="630"/>
      <c r="K473" s="456">
        <f>SUM(J466:K472)</f>
        <v>0.89322000000000001</v>
      </c>
      <c r="L473" s="631"/>
      <c r="M473" s="632">
        <v>0.92</v>
      </c>
      <c r="N473" s="456">
        <f>K473/M473</f>
        <v>0.97089130434782611</v>
      </c>
      <c r="O473" s="1066" t="s">
        <v>1199</v>
      </c>
      <c r="P473" s="1066"/>
      <c r="Q473" s="1066"/>
      <c r="R473" s="554"/>
      <c r="S473" s="456">
        <f>SUM(S462:S462)</f>
        <v>0</v>
      </c>
      <c r="T473" s="631"/>
      <c r="U473" s="554">
        <v>0.92</v>
      </c>
      <c r="V473" s="633">
        <f>S473/U473</f>
        <v>0</v>
      </c>
    </row>
    <row r="474" spans="1:22" ht="15" customHeight="1" x14ac:dyDescent="0.25">
      <c r="A474" s="1092" t="str">
        <f>Итоговая!C323</f>
        <v>ПС  35/10 кВ Городня</v>
      </c>
      <c r="B474" s="1072">
        <f>Итоговая!D323</f>
        <v>6.3</v>
      </c>
      <c r="C474" s="1067" t="str">
        <f>Итоговая!E323</f>
        <v>+</v>
      </c>
      <c r="D474" s="1067">
        <f>Итоговая!F323</f>
        <v>6.3</v>
      </c>
      <c r="E474" s="552"/>
      <c r="F474" s="552"/>
      <c r="G474" s="1168" t="s">
        <v>1290</v>
      </c>
      <c r="H474" s="1168"/>
      <c r="I474" s="1168"/>
      <c r="J474" s="1168"/>
      <c r="K474" s="1168"/>
      <c r="L474" s="1168"/>
      <c r="M474" s="1168"/>
      <c r="N474" s="1168"/>
      <c r="O474" s="1181"/>
      <c r="P474" s="1181"/>
      <c r="Q474" s="1181"/>
      <c r="R474" s="1181"/>
      <c r="S474" s="1181"/>
      <c r="T474" s="1181"/>
      <c r="U474" s="1181"/>
      <c r="V474" s="1182"/>
    </row>
    <row r="475" spans="1:22" ht="15" customHeight="1" x14ac:dyDescent="0.25">
      <c r="A475" s="1093"/>
      <c r="B475" s="1023"/>
      <c r="C475" s="1024"/>
      <c r="D475" s="1024"/>
      <c r="E475" s="553"/>
      <c r="F475" s="553"/>
      <c r="G475" s="627" t="s">
        <v>306</v>
      </c>
      <c r="H475" s="627" t="s">
        <v>307</v>
      </c>
      <c r="I475" s="627" t="s">
        <v>308</v>
      </c>
      <c r="J475" s="628"/>
      <c r="K475" s="286">
        <v>0.1066</v>
      </c>
      <c r="L475" s="302"/>
      <c r="M475" s="590"/>
      <c r="N475" s="302"/>
      <c r="O475" s="590"/>
      <c r="P475" s="590"/>
      <c r="Q475" s="590"/>
      <c r="R475" s="590"/>
      <c r="S475" s="302"/>
      <c r="T475" s="302"/>
      <c r="U475" s="590"/>
      <c r="V475" s="303"/>
    </row>
    <row r="476" spans="1:22" ht="15" customHeight="1" x14ac:dyDescent="0.25">
      <c r="A476" s="567"/>
      <c r="B476" s="564"/>
      <c r="C476" s="553"/>
      <c r="D476" s="553"/>
      <c r="E476" s="553"/>
      <c r="F476" s="553"/>
      <c r="G476" s="1163" t="s">
        <v>1287</v>
      </c>
      <c r="H476" s="1163"/>
      <c r="I476" s="1163"/>
      <c r="J476" s="1163"/>
      <c r="K476" s="1163"/>
      <c r="L476" s="1163"/>
      <c r="M476" s="1163"/>
      <c r="N476" s="1163"/>
      <c r="O476" s="1185"/>
      <c r="P476" s="1185"/>
      <c r="Q476" s="1185"/>
      <c r="R476" s="1185"/>
      <c r="S476" s="1185"/>
      <c r="T476" s="1185"/>
      <c r="U476" s="1185"/>
      <c r="V476" s="1186"/>
    </row>
    <row r="477" spans="1:22" ht="15" customHeight="1" x14ac:dyDescent="0.25">
      <c r="A477" s="567"/>
      <c r="B477" s="564"/>
      <c r="C477" s="553"/>
      <c r="D477" s="553"/>
      <c r="E477" s="553"/>
      <c r="F477" s="553"/>
      <c r="G477" s="596" t="s">
        <v>309</v>
      </c>
      <c r="H477" s="596" t="s">
        <v>310</v>
      </c>
      <c r="I477" s="627" t="s">
        <v>311</v>
      </c>
      <c r="J477" s="628"/>
      <c r="K477" s="286">
        <v>0.06</v>
      </c>
      <c r="L477" s="302"/>
      <c r="M477" s="590"/>
      <c r="N477" s="302"/>
      <c r="O477" s="590"/>
      <c r="P477" s="590"/>
      <c r="Q477" s="590"/>
      <c r="R477" s="590"/>
      <c r="S477" s="302"/>
      <c r="T477" s="302"/>
      <c r="U477" s="590"/>
      <c r="V477" s="303"/>
    </row>
    <row r="478" spans="1:22" ht="15" customHeight="1" x14ac:dyDescent="0.25">
      <c r="A478" s="567"/>
      <c r="B478" s="564"/>
      <c r="C478" s="553"/>
      <c r="D478" s="553"/>
      <c r="E478" s="553"/>
      <c r="F478" s="553"/>
      <c r="G478" s="1163" t="s">
        <v>1286</v>
      </c>
      <c r="H478" s="1163"/>
      <c r="I478" s="1163"/>
      <c r="J478" s="1163"/>
      <c r="K478" s="1163"/>
      <c r="L478" s="1163"/>
      <c r="M478" s="1163"/>
      <c r="N478" s="1163"/>
      <c r="O478" s="590"/>
      <c r="P478" s="590"/>
      <c r="Q478" s="590"/>
      <c r="R478" s="590"/>
      <c r="S478" s="302"/>
      <c r="T478" s="302"/>
      <c r="U478" s="590"/>
      <c r="V478" s="303"/>
    </row>
    <row r="479" spans="1:22" ht="15" customHeight="1" x14ac:dyDescent="0.25">
      <c r="A479" s="567"/>
      <c r="B479" s="564"/>
      <c r="C479" s="553"/>
      <c r="D479" s="553"/>
      <c r="E479" s="553"/>
      <c r="F479" s="553"/>
      <c r="G479" s="596" t="s">
        <v>1543</v>
      </c>
      <c r="H479" s="596" t="s">
        <v>1544</v>
      </c>
      <c r="I479" s="596" t="s">
        <v>1545</v>
      </c>
      <c r="J479" s="286"/>
      <c r="K479" s="286">
        <v>0.1</v>
      </c>
      <c r="L479" s="302"/>
      <c r="M479" s="590"/>
      <c r="N479" s="302"/>
      <c r="O479" s="590"/>
      <c r="P479" s="590"/>
      <c r="Q479" s="590"/>
      <c r="R479" s="590"/>
      <c r="S479" s="302"/>
      <c r="T479" s="302"/>
      <c r="U479" s="590"/>
      <c r="V479" s="303"/>
    </row>
    <row r="480" spans="1:22" ht="15" customHeight="1" x14ac:dyDescent="0.25">
      <c r="A480" s="567"/>
      <c r="B480" s="564"/>
      <c r="C480" s="553"/>
      <c r="D480" s="553"/>
      <c r="E480" s="553"/>
      <c r="F480" s="553"/>
      <c r="G480" s="1163" t="s">
        <v>1324</v>
      </c>
      <c r="H480" s="1163"/>
      <c r="I480" s="1163"/>
      <c r="J480" s="1163"/>
      <c r="K480" s="1163"/>
      <c r="L480" s="1163"/>
      <c r="M480" s="1163"/>
      <c r="N480" s="1163"/>
      <c r="O480" s="590"/>
      <c r="P480" s="590"/>
      <c r="Q480" s="590"/>
      <c r="R480" s="590"/>
      <c r="S480" s="302"/>
      <c r="T480" s="302"/>
      <c r="U480" s="590"/>
      <c r="V480" s="303"/>
    </row>
    <row r="481" spans="1:22" ht="15" customHeight="1" x14ac:dyDescent="0.25">
      <c r="A481" s="567"/>
      <c r="B481" s="564"/>
      <c r="C481" s="553"/>
      <c r="D481" s="553"/>
      <c r="E481" s="553"/>
      <c r="F481" s="553"/>
      <c r="G481" s="596" t="s">
        <v>952</v>
      </c>
      <c r="H481" s="596" t="s">
        <v>953</v>
      </c>
      <c r="I481" s="627" t="s">
        <v>1450</v>
      </c>
      <c r="J481" s="628"/>
      <c r="K481" s="286">
        <v>0.32</v>
      </c>
      <c r="L481" s="302"/>
      <c r="M481" s="590"/>
      <c r="N481" s="302"/>
      <c r="O481" s="590"/>
      <c r="P481" s="590"/>
      <c r="Q481" s="590"/>
      <c r="R481" s="590"/>
      <c r="S481" s="302"/>
      <c r="T481" s="302"/>
      <c r="U481" s="590"/>
      <c r="V481" s="303"/>
    </row>
    <row r="482" spans="1:22" ht="15" customHeight="1" x14ac:dyDescent="0.25">
      <c r="A482" s="567"/>
      <c r="B482" s="564"/>
      <c r="C482" s="553"/>
      <c r="D482" s="553"/>
      <c r="E482" s="553"/>
      <c r="F482" s="553"/>
      <c r="G482" s="596" t="s">
        <v>952</v>
      </c>
      <c r="H482" s="596" t="s">
        <v>954</v>
      </c>
      <c r="I482" s="596" t="s">
        <v>1451</v>
      </c>
      <c r="J482" s="286"/>
      <c r="K482" s="286">
        <v>0.32</v>
      </c>
      <c r="L482" s="302"/>
      <c r="M482" s="590"/>
      <c r="N482" s="302"/>
      <c r="O482" s="590"/>
      <c r="P482" s="590"/>
      <c r="Q482" s="590"/>
      <c r="R482" s="590"/>
      <c r="S482" s="302"/>
      <c r="T482" s="302"/>
      <c r="U482" s="590"/>
      <c r="V482" s="303"/>
    </row>
    <row r="483" spans="1:22" ht="15" customHeight="1" x14ac:dyDescent="0.25">
      <c r="A483" s="567"/>
      <c r="B483" s="564"/>
      <c r="C483" s="553"/>
      <c r="D483" s="553"/>
      <c r="E483" s="553"/>
      <c r="F483" s="553"/>
      <c r="G483" s="1163" t="s">
        <v>1645</v>
      </c>
      <c r="H483" s="1163"/>
      <c r="I483" s="1163"/>
      <c r="J483" s="1163"/>
      <c r="K483" s="1163"/>
      <c r="L483" s="1163"/>
      <c r="M483" s="1163"/>
      <c r="N483" s="1163"/>
      <c r="O483" s="590"/>
      <c r="P483" s="590"/>
      <c r="Q483" s="590"/>
      <c r="R483" s="590"/>
      <c r="S483" s="302"/>
      <c r="T483" s="302"/>
      <c r="U483" s="590"/>
      <c r="V483" s="303"/>
    </row>
    <row r="484" spans="1:22" ht="15" customHeight="1" x14ac:dyDescent="0.25">
      <c r="A484" s="567"/>
      <c r="B484" s="564"/>
      <c r="C484" s="553"/>
      <c r="D484" s="553"/>
      <c r="E484" s="553"/>
      <c r="F484" s="553"/>
      <c r="G484" s="596" t="s">
        <v>1935</v>
      </c>
      <c r="H484" s="596" t="s">
        <v>1974</v>
      </c>
      <c r="I484" s="596" t="s">
        <v>1975</v>
      </c>
      <c r="J484" s="286"/>
      <c r="K484" s="286">
        <v>6.0600000000000001E-2</v>
      </c>
      <c r="L484" s="302"/>
      <c r="M484" s="590"/>
      <c r="N484" s="302"/>
      <c r="O484" s="590"/>
      <c r="P484" s="590"/>
      <c r="Q484" s="590"/>
      <c r="R484" s="590"/>
      <c r="S484" s="302"/>
      <c r="T484" s="302"/>
      <c r="U484" s="590"/>
      <c r="V484" s="303"/>
    </row>
    <row r="485" spans="1:22" ht="15" customHeight="1" x14ac:dyDescent="0.25">
      <c r="A485" s="567"/>
      <c r="B485" s="564"/>
      <c r="C485" s="553"/>
      <c r="D485" s="553"/>
      <c r="E485" s="553"/>
      <c r="F485" s="553"/>
      <c r="G485" s="1163" t="s">
        <v>14933</v>
      </c>
      <c r="H485" s="1163"/>
      <c r="I485" s="1163"/>
      <c r="J485" s="1163"/>
      <c r="K485" s="1163"/>
      <c r="L485" s="1163"/>
      <c r="M485" s="1163"/>
      <c r="N485" s="1163"/>
      <c r="O485" s="590"/>
      <c r="P485" s="590"/>
      <c r="Q485" s="590"/>
      <c r="R485" s="590"/>
      <c r="S485" s="302"/>
      <c r="T485" s="302"/>
      <c r="U485" s="590"/>
      <c r="V485" s="303"/>
    </row>
    <row r="486" spans="1:22" ht="15" customHeight="1" x14ac:dyDescent="0.25">
      <c r="A486" s="567"/>
      <c r="B486" s="564"/>
      <c r="C486" s="553"/>
      <c r="D486" s="553"/>
      <c r="E486" s="553"/>
      <c r="F486" s="553"/>
      <c r="G486" s="1164" t="s">
        <v>2262</v>
      </c>
      <c r="H486" s="1164"/>
      <c r="I486" s="1164"/>
      <c r="J486" s="1165">
        <f>0.222*0.9*0.6</f>
        <v>0.11988</v>
      </c>
      <c r="K486" s="1166"/>
      <c r="L486" s="302"/>
      <c r="M486" s="590"/>
      <c r="N486" s="302"/>
      <c r="O486" s="590"/>
      <c r="P486" s="590"/>
      <c r="Q486" s="590"/>
      <c r="R486" s="590"/>
      <c r="S486" s="302"/>
      <c r="T486" s="302"/>
      <c r="U486" s="590"/>
      <c r="V486" s="303"/>
    </row>
    <row r="487" spans="1:22" ht="15" customHeight="1" x14ac:dyDescent="0.25">
      <c r="A487" s="567"/>
      <c r="B487" s="564"/>
      <c r="C487" s="553"/>
      <c r="D487" s="553"/>
      <c r="E487" s="553"/>
      <c r="F487" s="553"/>
      <c r="G487" s="590" t="s">
        <v>17508</v>
      </c>
      <c r="H487" s="590" t="s">
        <v>17509</v>
      </c>
      <c r="I487" s="590" t="s">
        <v>17510</v>
      </c>
      <c r="J487" s="302"/>
      <c r="K487" s="302">
        <f>0.2*0.9</f>
        <v>0.18000000000000002</v>
      </c>
      <c r="L487" s="302"/>
      <c r="M487" s="590"/>
      <c r="N487" s="302"/>
      <c r="O487" s="590"/>
      <c r="P487" s="590"/>
      <c r="Q487" s="590"/>
      <c r="R487" s="590"/>
      <c r="S487" s="302"/>
      <c r="T487" s="302"/>
      <c r="U487" s="590"/>
      <c r="V487" s="303"/>
    </row>
    <row r="488" spans="1:22" ht="15" customHeight="1" x14ac:dyDescent="0.25">
      <c r="A488" s="567"/>
      <c r="B488" s="564"/>
      <c r="C488" s="553"/>
      <c r="D488" s="553"/>
      <c r="E488" s="553"/>
      <c r="F488" s="553"/>
      <c r="G488" s="1163" t="s">
        <v>18518</v>
      </c>
      <c r="H488" s="1163"/>
      <c r="I488" s="1163"/>
      <c r="J488" s="1163"/>
      <c r="K488" s="1163"/>
      <c r="L488" s="1163"/>
      <c r="M488" s="1163"/>
      <c r="N488" s="1163"/>
      <c r="O488" s="290"/>
      <c r="P488" s="290"/>
      <c r="Q488" s="290"/>
      <c r="R488" s="290"/>
      <c r="S488" s="307"/>
      <c r="T488" s="307"/>
      <c r="U488" s="290"/>
      <c r="V488" s="305"/>
    </row>
    <row r="489" spans="1:22" ht="15" customHeight="1" x14ac:dyDescent="0.25">
      <c r="A489" s="567"/>
      <c r="B489" s="564"/>
      <c r="C489" s="553"/>
      <c r="D489" s="553"/>
      <c r="E489" s="553"/>
      <c r="F489" s="553"/>
      <c r="G489" s="590" t="s">
        <v>19518</v>
      </c>
      <c r="H489" s="590" t="s">
        <v>19519</v>
      </c>
      <c r="I489" s="590" t="s">
        <v>19520</v>
      </c>
      <c r="J489" s="302">
        <f>0.64*1</f>
        <v>0.64</v>
      </c>
      <c r="K489" s="302"/>
      <c r="L489" s="307"/>
      <c r="M489" s="290"/>
      <c r="N489" s="290"/>
      <c r="O489" s="290"/>
      <c r="P489" s="290"/>
      <c r="Q489" s="290"/>
      <c r="R489" s="290"/>
      <c r="S489" s="307"/>
      <c r="T489" s="307"/>
      <c r="U489" s="290"/>
      <c r="V489" s="305"/>
    </row>
    <row r="490" spans="1:22" ht="15" customHeight="1" x14ac:dyDescent="0.25">
      <c r="A490" s="567"/>
      <c r="B490" s="564"/>
      <c r="C490" s="553"/>
      <c r="D490" s="553"/>
      <c r="E490" s="553"/>
      <c r="F490" s="553"/>
      <c r="G490" s="1164" t="s">
        <v>2262</v>
      </c>
      <c r="H490" s="1164"/>
      <c r="I490" s="1164"/>
      <c r="J490" s="1165">
        <f>0.654*0.9*0.6</f>
        <v>0.35315999999999997</v>
      </c>
      <c r="K490" s="1166"/>
      <c r="L490" s="307"/>
      <c r="M490" s="290"/>
      <c r="N490" s="307"/>
      <c r="O490" s="290"/>
      <c r="P490" s="290"/>
      <c r="Q490" s="290"/>
      <c r="R490" s="290"/>
      <c r="S490" s="307"/>
      <c r="T490" s="307"/>
      <c r="U490" s="290"/>
      <c r="V490" s="305"/>
    </row>
    <row r="491" spans="1:22" ht="15" customHeight="1" thickBot="1" x14ac:dyDescent="0.3">
      <c r="A491" s="242"/>
      <c r="B491" s="243"/>
      <c r="C491" s="244"/>
      <c r="D491" s="244"/>
      <c r="E491" s="244"/>
      <c r="F491" s="244"/>
      <c r="G491" s="1066" t="s">
        <v>1199</v>
      </c>
      <c r="H491" s="1066"/>
      <c r="I491" s="1066"/>
      <c r="J491" s="630"/>
      <c r="K491" s="456">
        <f>SUM(J486:K490)</f>
        <v>1.29304</v>
      </c>
      <c r="L491" s="631"/>
      <c r="M491" s="632">
        <v>0.92</v>
      </c>
      <c r="N491" s="456">
        <f>K491/M491</f>
        <v>1.4054782608695651</v>
      </c>
      <c r="O491" s="1066" t="s">
        <v>1199</v>
      </c>
      <c r="P491" s="1066"/>
      <c r="Q491" s="1066"/>
      <c r="R491" s="554"/>
      <c r="S491" s="456">
        <f>SUM(S477:S479)</f>
        <v>0</v>
      </c>
      <c r="T491" s="631"/>
      <c r="U491" s="554">
        <v>0.92</v>
      </c>
      <c r="V491" s="633">
        <f>S491/U491</f>
        <v>0</v>
      </c>
    </row>
    <row r="492" spans="1:22" ht="15" customHeight="1" x14ac:dyDescent="0.25">
      <c r="A492" s="566" t="str">
        <f>Итоговая!C324</f>
        <v xml:space="preserve">ПС 35/10 кВ Рязаново </v>
      </c>
      <c r="B492" s="563">
        <f>Итоговая!D324</f>
        <v>4</v>
      </c>
      <c r="C492" s="552" t="str">
        <f>Итоговая!E324</f>
        <v>+</v>
      </c>
      <c r="D492" s="552">
        <f>Итоговая!F324</f>
        <v>4</v>
      </c>
      <c r="E492" s="552"/>
      <c r="F492" s="552"/>
      <c r="G492" s="1168" t="s">
        <v>14933</v>
      </c>
      <c r="H492" s="1168"/>
      <c r="I492" s="1168"/>
      <c r="J492" s="1168"/>
      <c r="K492" s="1168"/>
      <c r="L492" s="1168"/>
      <c r="M492" s="1168"/>
      <c r="N492" s="1168"/>
      <c r="O492" s="427"/>
      <c r="P492" s="427"/>
      <c r="Q492" s="427"/>
      <c r="R492" s="427"/>
      <c r="S492" s="459"/>
      <c r="T492" s="460"/>
      <c r="U492" s="427"/>
      <c r="V492" s="634"/>
    </row>
    <row r="493" spans="1:22" ht="15" customHeight="1" x14ac:dyDescent="0.25">
      <c r="A493" s="567"/>
      <c r="B493" s="564"/>
      <c r="C493" s="553"/>
      <c r="D493" s="553"/>
      <c r="E493" s="553"/>
      <c r="F493" s="553"/>
      <c r="G493" s="1164" t="s">
        <v>2262</v>
      </c>
      <c r="H493" s="1164"/>
      <c r="I493" s="1164"/>
      <c r="J493" s="1165">
        <f>0.45*0.9*0.6</f>
        <v>0.24299999999999999</v>
      </c>
      <c r="K493" s="1166"/>
      <c r="L493" s="302"/>
      <c r="M493" s="590"/>
      <c r="N493" s="302"/>
      <c r="O493" s="596"/>
      <c r="P493" s="596"/>
      <c r="Q493" s="596"/>
      <c r="R493" s="596"/>
      <c r="S493" s="286"/>
      <c r="T493" s="302"/>
      <c r="U493" s="596"/>
      <c r="V493" s="303"/>
    </row>
    <row r="494" spans="1:22" ht="15" customHeight="1" x14ac:dyDescent="0.25">
      <c r="A494" s="567"/>
      <c r="B494" s="564"/>
      <c r="C494" s="553"/>
      <c r="D494" s="553"/>
      <c r="E494" s="553"/>
      <c r="F494" s="553"/>
      <c r="G494" s="1163" t="s">
        <v>18518</v>
      </c>
      <c r="H494" s="1163"/>
      <c r="I494" s="1163"/>
      <c r="J494" s="1163"/>
      <c r="K494" s="1163"/>
      <c r="L494" s="1163"/>
      <c r="M494" s="1163"/>
      <c r="N494" s="1163"/>
      <c r="O494" s="600"/>
      <c r="P494" s="600"/>
      <c r="Q494" s="600"/>
      <c r="R494" s="600"/>
      <c r="S494" s="640"/>
      <c r="T494" s="307"/>
      <c r="U494" s="600"/>
      <c r="V494" s="305"/>
    </row>
    <row r="495" spans="1:22" ht="15" customHeight="1" x14ac:dyDescent="0.25">
      <c r="A495" s="567"/>
      <c r="B495" s="564"/>
      <c r="C495" s="553"/>
      <c r="D495" s="553"/>
      <c r="E495" s="553"/>
      <c r="F495" s="553"/>
      <c r="G495" s="1164" t="s">
        <v>2262</v>
      </c>
      <c r="H495" s="1164"/>
      <c r="I495" s="1164"/>
      <c r="J495" s="1165">
        <f>0.587*0.9*0.6</f>
        <v>0.31697999999999998</v>
      </c>
      <c r="K495" s="1166"/>
      <c r="L495" s="307"/>
      <c r="M495" s="290"/>
      <c r="N495" s="307"/>
      <c r="O495" s="600"/>
      <c r="P495" s="600"/>
      <c r="Q495" s="600"/>
      <c r="R495" s="600"/>
      <c r="S495" s="640"/>
      <c r="T495" s="307"/>
      <c r="U495" s="600"/>
      <c r="V495" s="305"/>
    </row>
    <row r="496" spans="1:22" ht="15" customHeight="1" thickBot="1" x14ac:dyDescent="0.3">
      <c r="A496" s="242"/>
      <c r="B496" s="243"/>
      <c r="C496" s="244"/>
      <c r="D496" s="244"/>
      <c r="E496" s="244"/>
      <c r="F496" s="244"/>
      <c r="G496" s="1066" t="s">
        <v>1199</v>
      </c>
      <c r="H496" s="1066"/>
      <c r="I496" s="1066"/>
      <c r="J496" s="630"/>
      <c r="K496" s="456">
        <f>SUM(J493:K495)</f>
        <v>0.55997999999999992</v>
      </c>
      <c r="L496" s="631"/>
      <c r="M496" s="632">
        <v>0.92</v>
      </c>
      <c r="N496" s="456">
        <f>K496/M496</f>
        <v>0.60867391304347818</v>
      </c>
      <c r="O496" s="1066" t="s">
        <v>1199</v>
      </c>
      <c r="P496" s="1066"/>
      <c r="Q496" s="1066"/>
      <c r="R496" s="554"/>
      <c r="S496" s="456">
        <f>SUM(S492:S493)</f>
        <v>0</v>
      </c>
      <c r="T496" s="631"/>
      <c r="U496" s="554">
        <v>0.92</v>
      </c>
      <c r="V496" s="633">
        <f>S496/U496</f>
        <v>0</v>
      </c>
    </row>
    <row r="497" spans="1:22" ht="15" customHeight="1" x14ac:dyDescent="0.25">
      <c r="A497" s="566" t="str">
        <f>Итоговая!C325</f>
        <v xml:space="preserve">ПС 35/10 кВ Савватьево </v>
      </c>
      <c r="B497" s="563">
        <f>Итоговая!D325</f>
        <v>4</v>
      </c>
      <c r="C497" s="552" t="str">
        <f>Итоговая!E325</f>
        <v>+</v>
      </c>
      <c r="D497" s="552">
        <f>Итоговая!F325</f>
        <v>2.5</v>
      </c>
      <c r="E497" s="552"/>
      <c r="F497" s="552"/>
      <c r="G497" s="1168" t="s">
        <v>2011</v>
      </c>
      <c r="H497" s="1168"/>
      <c r="I497" s="1168"/>
      <c r="J497" s="1168"/>
      <c r="K497" s="1168"/>
      <c r="L497" s="1168"/>
      <c r="M497" s="1168"/>
      <c r="N497" s="1168"/>
      <c r="O497" s="427"/>
      <c r="P497" s="682"/>
      <c r="Q497" s="683"/>
      <c r="R497" s="683"/>
      <c r="S497" s="684"/>
      <c r="T497" s="685"/>
      <c r="U497" s="427"/>
      <c r="V497" s="634"/>
    </row>
    <row r="498" spans="1:22" ht="15" customHeight="1" x14ac:dyDescent="0.25">
      <c r="A498" s="567"/>
      <c r="B498" s="564"/>
      <c r="C498" s="553"/>
      <c r="D498" s="553"/>
      <c r="E498" s="553"/>
      <c r="F498" s="553"/>
      <c r="G498" s="596" t="s">
        <v>1844</v>
      </c>
      <c r="H498" s="596" t="s">
        <v>2096</v>
      </c>
      <c r="I498" s="596" t="s">
        <v>2110</v>
      </c>
      <c r="J498" s="286"/>
      <c r="K498" s="286">
        <f>1.1*0.9</f>
        <v>0.9900000000000001</v>
      </c>
      <c r="L498" s="302"/>
      <c r="M498" s="590"/>
      <c r="N498" s="302"/>
      <c r="O498" s="596"/>
      <c r="P498" s="596"/>
      <c r="Q498" s="596"/>
      <c r="R498" s="596"/>
      <c r="S498" s="645"/>
      <c r="T498" s="646"/>
      <c r="U498" s="596"/>
      <c r="V498" s="303"/>
    </row>
    <row r="499" spans="1:22" ht="15" customHeight="1" x14ac:dyDescent="0.25">
      <c r="A499" s="567"/>
      <c r="B499" s="564"/>
      <c r="C499" s="553"/>
      <c r="D499" s="553"/>
      <c r="E499" s="553"/>
      <c r="F499" s="553"/>
      <c r="G499" s="1163" t="s">
        <v>2290</v>
      </c>
      <c r="H499" s="1163"/>
      <c r="I499" s="1163"/>
      <c r="J499" s="1163"/>
      <c r="K499" s="1163"/>
      <c r="L499" s="1163"/>
      <c r="M499" s="1163"/>
      <c r="N499" s="1163"/>
      <c r="O499" s="596"/>
      <c r="P499" s="596"/>
      <c r="Q499" s="596"/>
      <c r="R499" s="596"/>
      <c r="S499" s="645"/>
      <c r="T499" s="646"/>
      <c r="U499" s="596"/>
      <c r="V499" s="303"/>
    </row>
    <row r="500" spans="1:22" ht="15" customHeight="1" x14ac:dyDescent="0.25">
      <c r="A500" s="567"/>
      <c r="B500" s="564"/>
      <c r="C500" s="553"/>
      <c r="D500" s="553"/>
      <c r="E500" s="553"/>
      <c r="F500" s="553"/>
      <c r="G500" s="596" t="s">
        <v>13423</v>
      </c>
      <c r="H500" s="596" t="s">
        <v>13424</v>
      </c>
      <c r="I500" s="596" t="s">
        <v>14838</v>
      </c>
      <c r="J500" s="286"/>
      <c r="K500" s="286">
        <f>(0.17-0.074)*0.9</f>
        <v>8.6400000000000018E-2</v>
      </c>
      <c r="L500" s="302"/>
      <c r="M500" s="590"/>
      <c r="N500" s="302"/>
      <c r="O500" s="596"/>
      <c r="P500" s="596"/>
      <c r="Q500" s="596"/>
      <c r="R500" s="596"/>
      <c r="S500" s="645"/>
      <c r="T500" s="646"/>
      <c r="U500" s="596"/>
      <c r="V500" s="303"/>
    </row>
    <row r="501" spans="1:22" ht="15" customHeight="1" x14ac:dyDescent="0.25">
      <c r="A501" s="567"/>
      <c r="B501" s="564"/>
      <c r="C501" s="553"/>
      <c r="D501" s="553"/>
      <c r="E501" s="553"/>
      <c r="F501" s="553"/>
      <c r="G501" s="1163" t="s">
        <v>14933</v>
      </c>
      <c r="H501" s="1163"/>
      <c r="I501" s="1163"/>
      <c r="J501" s="1163"/>
      <c r="K501" s="1163"/>
      <c r="L501" s="1163"/>
      <c r="M501" s="1163"/>
      <c r="N501" s="1163"/>
      <c r="O501" s="596"/>
      <c r="P501" s="596"/>
      <c r="Q501" s="596"/>
      <c r="R501" s="596"/>
      <c r="S501" s="645"/>
      <c r="T501" s="646"/>
      <c r="U501" s="596"/>
      <c r="V501" s="303"/>
    </row>
    <row r="502" spans="1:22" ht="15" customHeight="1" x14ac:dyDescent="0.25">
      <c r="A502" s="567"/>
      <c r="B502" s="564"/>
      <c r="C502" s="553"/>
      <c r="D502" s="553"/>
      <c r="E502" s="553"/>
      <c r="F502" s="553"/>
      <c r="G502" s="1164" t="s">
        <v>2262</v>
      </c>
      <c r="H502" s="1164"/>
      <c r="I502" s="1164"/>
      <c r="J502" s="1165">
        <f>0.18*0.9*0.6</f>
        <v>9.7199999999999995E-2</v>
      </c>
      <c r="K502" s="1166"/>
      <c r="L502" s="302"/>
      <c r="M502" s="590"/>
      <c r="N502" s="302"/>
      <c r="O502" s="596"/>
      <c r="P502" s="596"/>
      <c r="Q502" s="596"/>
      <c r="R502" s="596"/>
      <c r="S502" s="645"/>
      <c r="T502" s="646"/>
      <c r="U502" s="596"/>
      <c r="V502" s="303"/>
    </row>
    <row r="503" spans="1:22" ht="15" customHeight="1" x14ac:dyDescent="0.25">
      <c r="A503" s="567"/>
      <c r="B503" s="564"/>
      <c r="C503" s="553"/>
      <c r="D503" s="553"/>
      <c r="E503" s="553"/>
      <c r="F503" s="553"/>
      <c r="G503" s="590" t="s">
        <v>17542</v>
      </c>
      <c r="H503" s="590" t="s">
        <v>17543</v>
      </c>
      <c r="I503" s="590" t="s">
        <v>17544</v>
      </c>
      <c r="J503" s="302"/>
      <c r="K503" s="302">
        <f>0.045*0.9</f>
        <v>4.0500000000000001E-2</v>
      </c>
      <c r="L503" s="302"/>
      <c r="M503" s="590"/>
      <c r="N503" s="302"/>
      <c r="O503" s="596"/>
      <c r="P503" s="596"/>
      <c r="Q503" s="596"/>
      <c r="R503" s="596"/>
      <c r="S503" s="645"/>
      <c r="T503" s="646"/>
      <c r="U503" s="596"/>
      <c r="V503" s="303"/>
    </row>
    <row r="504" spans="1:22" ht="15" customHeight="1" x14ac:dyDescent="0.25">
      <c r="A504" s="567"/>
      <c r="B504" s="564"/>
      <c r="C504" s="553"/>
      <c r="D504" s="553"/>
      <c r="E504" s="553"/>
      <c r="F504" s="553"/>
      <c r="G504" s="1163" t="s">
        <v>18518</v>
      </c>
      <c r="H504" s="1163"/>
      <c r="I504" s="1163"/>
      <c r="J504" s="1163"/>
      <c r="K504" s="1163"/>
      <c r="L504" s="1163"/>
      <c r="M504" s="1163"/>
      <c r="N504" s="1163"/>
      <c r="O504" s="600"/>
      <c r="P504" s="600"/>
      <c r="Q504" s="600"/>
      <c r="R504" s="600"/>
      <c r="S504" s="686"/>
      <c r="T504" s="687"/>
      <c r="U504" s="600"/>
      <c r="V504" s="305"/>
    </row>
    <row r="505" spans="1:22" ht="15" customHeight="1" x14ac:dyDescent="0.25">
      <c r="A505" s="567"/>
      <c r="B505" s="564"/>
      <c r="C505" s="553"/>
      <c r="D505" s="553"/>
      <c r="E505" s="553"/>
      <c r="F505" s="553"/>
      <c r="G505" s="1164" t="s">
        <v>2262</v>
      </c>
      <c r="H505" s="1164"/>
      <c r="I505" s="1164"/>
      <c r="J505" s="1165">
        <f>0.554*0.9*0.6</f>
        <v>0.29916000000000004</v>
      </c>
      <c r="K505" s="1166"/>
      <c r="L505" s="307"/>
      <c r="M505" s="290"/>
      <c r="N505" s="307"/>
      <c r="O505" s="600"/>
      <c r="P505" s="600"/>
      <c r="Q505" s="600"/>
      <c r="R505" s="600"/>
      <c r="S505" s="686"/>
      <c r="T505" s="687"/>
      <c r="U505" s="600"/>
      <c r="V505" s="305"/>
    </row>
    <row r="506" spans="1:22" ht="15" customHeight="1" thickBot="1" x14ac:dyDescent="0.3">
      <c r="A506" s="242"/>
      <c r="B506" s="243"/>
      <c r="C506" s="244"/>
      <c r="D506" s="244"/>
      <c r="E506" s="244"/>
      <c r="F506" s="244"/>
      <c r="G506" s="1066" t="s">
        <v>1199</v>
      </c>
      <c r="H506" s="1066"/>
      <c r="I506" s="1066"/>
      <c r="J506" s="630"/>
      <c r="K506" s="456">
        <f>SUM(J502:K505)</f>
        <v>0.43686000000000003</v>
      </c>
      <c r="L506" s="631"/>
      <c r="M506" s="632">
        <v>0.92</v>
      </c>
      <c r="N506" s="456">
        <f>K506/M506</f>
        <v>0.47484782608695653</v>
      </c>
      <c r="O506" s="1066" t="s">
        <v>1199</v>
      </c>
      <c r="P506" s="1066"/>
      <c r="Q506" s="1066"/>
      <c r="R506" s="554"/>
      <c r="S506" s="456">
        <f>SUM(S497:S498)</f>
        <v>0</v>
      </c>
      <c r="T506" s="631"/>
      <c r="U506" s="554">
        <v>0.92</v>
      </c>
      <c r="V506" s="633">
        <f>S506/U506</f>
        <v>0</v>
      </c>
    </row>
    <row r="507" spans="1:22" ht="15" customHeight="1" x14ac:dyDescent="0.25">
      <c r="A507" s="566" t="str">
        <f>Итоговая!C326</f>
        <v xml:space="preserve">ПС 35/10 кВ Беле-Кушаль </v>
      </c>
      <c r="B507" s="563">
        <f>Итоговая!D326</f>
        <v>1.6</v>
      </c>
      <c r="C507" s="552" t="str">
        <f>Итоговая!E326</f>
        <v>+</v>
      </c>
      <c r="D507" s="552">
        <f>Итоговая!F326</f>
        <v>2.5</v>
      </c>
      <c r="E507" s="552"/>
      <c r="F507" s="552"/>
      <c r="G507" s="1168" t="s">
        <v>1645</v>
      </c>
      <c r="H507" s="1168"/>
      <c r="I507" s="1168"/>
      <c r="J507" s="1168"/>
      <c r="K507" s="1168"/>
      <c r="L507" s="1168"/>
      <c r="M507" s="1168"/>
      <c r="N507" s="1168"/>
      <c r="O507" s="683"/>
      <c r="P507" s="683"/>
      <c r="Q507" s="683"/>
      <c r="R507" s="683"/>
      <c r="S507" s="688"/>
      <c r="T507" s="460"/>
      <c r="U507" s="427"/>
      <c r="V507" s="634"/>
    </row>
    <row r="508" spans="1:22" ht="15" customHeight="1" x14ac:dyDescent="0.25">
      <c r="A508" s="567"/>
      <c r="B508" s="564"/>
      <c r="C508" s="553"/>
      <c r="D508" s="553"/>
      <c r="E508" s="553"/>
      <c r="F508" s="553"/>
      <c r="G508" s="596" t="s">
        <v>1830</v>
      </c>
      <c r="H508" s="596" t="s">
        <v>1831</v>
      </c>
      <c r="I508" s="596" t="s">
        <v>1899</v>
      </c>
      <c r="J508" s="286"/>
      <c r="K508" s="286">
        <f>0.4-0.028</f>
        <v>0.372</v>
      </c>
      <c r="L508" s="302"/>
      <c r="M508" s="590"/>
      <c r="N508" s="302"/>
      <c r="O508" s="627"/>
      <c r="P508" s="627"/>
      <c r="Q508" s="627"/>
      <c r="R508" s="627"/>
      <c r="S508" s="628"/>
      <c r="T508" s="302"/>
      <c r="U508" s="596"/>
      <c r="V508" s="303"/>
    </row>
    <row r="509" spans="1:22" ht="15" customHeight="1" x14ac:dyDescent="0.25">
      <c r="A509" s="567"/>
      <c r="B509" s="564"/>
      <c r="C509" s="553"/>
      <c r="D509" s="553"/>
      <c r="E509" s="553"/>
      <c r="F509" s="553"/>
      <c r="G509" s="1163" t="s">
        <v>14933</v>
      </c>
      <c r="H509" s="1163"/>
      <c r="I509" s="1163"/>
      <c r="J509" s="1163"/>
      <c r="K509" s="1163"/>
      <c r="L509" s="1163"/>
      <c r="M509" s="1163"/>
      <c r="N509" s="1163"/>
      <c r="O509" s="627"/>
      <c r="P509" s="627"/>
      <c r="Q509" s="627"/>
      <c r="R509" s="627"/>
      <c r="S509" s="628"/>
      <c r="T509" s="302"/>
      <c r="U509" s="596"/>
      <c r="V509" s="303"/>
    </row>
    <row r="510" spans="1:22" ht="15" customHeight="1" x14ac:dyDescent="0.25">
      <c r="A510" s="567"/>
      <c r="B510" s="564"/>
      <c r="C510" s="553"/>
      <c r="D510" s="553"/>
      <c r="E510" s="553"/>
      <c r="F510" s="553"/>
      <c r="G510" s="1164" t="s">
        <v>2262</v>
      </c>
      <c r="H510" s="1164"/>
      <c r="I510" s="1164"/>
      <c r="J510" s="1165">
        <f>0.297*0.9*0.6</f>
        <v>0.16037999999999999</v>
      </c>
      <c r="K510" s="1166"/>
      <c r="L510" s="302"/>
      <c r="M510" s="590"/>
      <c r="N510" s="302"/>
      <c r="O510" s="627"/>
      <c r="P510" s="627"/>
      <c r="Q510" s="627"/>
      <c r="R510" s="627"/>
      <c r="S510" s="628"/>
      <c r="T510" s="302"/>
      <c r="U510" s="596"/>
      <c r="V510" s="303"/>
    </row>
    <row r="511" spans="1:22" ht="15" customHeight="1" x14ac:dyDescent="0.25">
      <c r="A511" s="567"/>
      <c r="B511" s="564"/>
      <c r="C511" s="553"/>
      <c r="D511" s="553"/>
      <c r="E511" s="553"/>
      <c r="F511" s="553"/>
      <c r="G511" s="1163" t="s">
        <v>18518</v>
      </c>
      <c r="H511" s="1163"/>
      <c r="I511" s="1163"/>
      <c r="J511" s="1163"/>
      <c r="K511" s="1163"/>
      <c r="L511" s="1163"/>
      <c r="M511" s="1163"/>
      <c r="N511" s="1163"/>
      <c r="O511" s="673"/>
      <c r="P511" s="673"/>
      <c r="Q511" s="673"/>
      <c r="R511" s="673"/>
      <c r="S511" s="674"/>
      <c r="T511" s="307"/>
      <c r="U511" s="600"/>
      <c r="V511" s="305"/>
    </row>
    <row r="512" spans="1:22" ht="15" customHeight="1" x14ac:dyDescent="0.25">
      <c r="A512" s="567"/>
      <c r="B512" s="564"/>
      <c r="C512" s="553"/>
      <c r="D512" s="553"/>
      <c r="E512" s="553"/>
      <c r="F512" s="553"/>
      <c r="G512" s="1164" t="s">
        <v>2262</v>
      </c>
      <c r="H512" s="1164"/>
      <c r="I512" s="1164"/>
      <c r="J512" s="1165">
        <f>0.436*0.9*0.6</f>
        <v>0.23544000000000001</v>
      </c>
      <c r="K512" s="1166"/>
      <c r="L512" s="302"/>
      <c r="M512" s="590"/>
      <c r="N512" s="302"/>
      <c r="O512" s="673"/>
      <c r="P512" s="673"/>
      <c r="Q512" s="673"/>
      <c r="R512" s="673"/>
      <c r="S512" s="674"/>
      <c r="T512" s="307"/>
      <c r="U512" s="600"/>
      <c r="V512" s="305"/>
    </row>
    <row r="513" spans="1:22" ht="15" customHeight="1" thickBot="1" x14ac:dyDescent="0.3">
      <c r="A513" s="242"/>
      <c r="B513" s="243"/>
      <c r="C513" s="244"/>
      <c r="D513" s="244"/>
      <c r="E513" s="244"/>
      <c r="F513" s="244"/>
      <c r="G513" s="1066" t="s">
        <v>1199</v>
      </c>
      <c r="H513" s="1066"/>
      <c r="I513" s="1066"/>
      <c r="J513" s="630"/>
      <c r="K513" s="456">
        <f>SUM(J510:K512)</f>
        <v>0.39582000000000001</v>
      </c>
      <c r="L513" s="631"/>
      <c r="M513" s="632">
        <v>0.93</v>
      </c>
      <c r="N513" s="456">
        <f>K513/M513</f>
        <v>0.42561290322580642</v>
      </c>
      <c r="O513" s="1066" t="s">
        <v>1199</v>
      </c>
      <c r="P513" s="1066"/>
      <c r="Q513" s="1066"/>
      <c r="R513" s="554"/>
      <c r="S513" s="456">
        <f>SUM(S507:S507)</f>
        <v>0</v>
      </c>
      <c r="T513" s="631"/>
      <c r="U513" s="554">
        <v>0.92</v>
      </c>
      <c r="V513" s="633">
        <f>S513/U513</f>
        <v>0</v>
      </c>
    </row>
    <row r="514" spans="1:22" ht="15" customHeight="1" x14ac:dyDescent="0.25">
      <c r="A514" s="566" t="str">
        <f>Итоговая!C327</f>
        <v xml:space="preserve">ПС 35/10 кВ Стеклозавод </v>
      </c>
      <c r="B514" s="563">
        <f>Итоговая!D327</f>
        <v>2.5</v>
      </c>
      <c r="C514" s="552" t="str">
        <f>Итоговая!E327</f>
        <v>+</v>
      </c>
      <c r="D514" s="552">
        <f>Итоговая!F327</f>
        <v>2.5</v>
      </c>
      <c r="E514" s="552"/>
      <c r="F514" s="552"/>
      <c r="G514" s="1168" t="s">
        <v>14933</v>
      </c>
      <c r="H514" s="1168"/>
      <c r="I514" s="1168"/>
      <c r="J514" s="1168"/>
      <c r="K514" s="1168"/>
      <c r="L514" s="1168"/>
      <c r="M514" s="1168"/>
      <c r="N514" s="1168"/>
      <c r="O514" s="427"/>
      <c r="P514" s="427"/>
      <c r="Q514" s="427"/>
      <c r="R514" s="427"/>
      <c r="S514" s="459"/>
      <c r="T514" s="460"/>
      <c r="U514" s="427"/>
      <c r="V514" s="634"/>
    </row>
    <row r="515" spans="1:22" ht="15" customHeight="1" x14ac:dyDescent="0.25">
      <c r="A515" s="567"/>
      <c r="B515" s="564"/>
      <c r="C515" s="553"/>
      <c r="D515" s="553"/>
      <c r="E515" s="553"/>
      <c r="F515" s="553"/>
      <c r="G515" s="596" t="s">
        <v>17257</v>
      </c>
      <c r="H515" s="596" t="s">
        <v>17258</v>
      </c>
      <c r="I515" s="596" t="s">
        <v>17259</v>
      </c>
      <c r="J515" s="286"/>
      <c r="K515" s="286">
        <f>0.07*0.9</f>
        <v>6.3000000000000014E-2</v>
      </c>
      <c r="L515" s="302"/>
      <c r="M515" s="590"/>
      <c r="N515" s="302"/>
      <c r="O515" s="596"/>
      <c r="P515" s="596"/>
      <c r="Q515" s="596"/>
      <c r="R515" s="596"/>
      <c r="S515" s="286"/>
      <c r="T515" s="302"/>
      <c r="U515" s="596"/>
      <c r="V515" s="303"/>
    </row>
    <row r="516" spans="1:22" ht="15" customHeight="1" x14ac:dyDescent="0.25">
      <c r="A516" s="567"/>
      <c r="B516" s="564"/>
      <c r="C516" s="553"/>
      <c r="D516" s="553"/>
      <c r="E516" s="553"/>
      <c r="F516" s="553"/>
      <c r="G516" s="596" t="s">
        <v>17610</v>
      </c>
      <c r="H516" s="596" t="s">
        <v>17611</v>
      </c>
      <c r="I516" s="596" t="s">
        <v>17612</v>
      </c>
      <c r="J516" s="286"/>
      <c r="K516" s="286">
        <f>(0.093-0.015)*0.9</f>
        <v>7.0199999999999999E-2</v>
      </c>
      <c r="L516" s="302"/>
      <c r="M516" s="590"/>
      <c r="N516" s="302"/>
      <c r="O516" s="596"/>
      <c r="P516" s="596"/>
      <c r="Q516" s="596"/>
      <c r="R516" s="596"/>
      <c r="S516" s="286"/>
      <c r="T516" s="302"/>
      <c r="U516" s="596"/>
      <c r="V516" s="303"/>
    </row>
    <row r="517" spans="1:22" ht="15" customHeight="1" x14ac:dyDescent="0.25">
      <c r="A517" s="567"/>
      <c r="B517" s="564"/>
      <c r="C517" s="553"/>
      <c r="D517" s="553"/>
      <c r="E517" s="553"/>
      <c r="F517" s="553"/>
      <c r="G517" s="1189" t="s">
        <v>18518</v>
      </c>
      <c r="H517" s="1190"/>
      <c r="I517" s="1190"/>
      <c r="J517" s="1190"/>
      <c r="K517" s="1190"/>
      <c r="L517" s="1190"/>
      <c r="M517" s="1190"/>
      <c r="N517" s="1191"/>
      <c r="O517" s="600"/>
      <c r="P517" s="600"/>
      <c r="Q517" s="600"/>
      <c r="R517" s="600"/>
      <c r="S517" s="640"/>
      <c r="T517" s="307"/>
      <c r="U517" s="600"/>
      <c r="V517" s="305"/>
    </row>
    <row r="518" spans="1:22" ht="15" customHeight="1" x14ac:dyDescent="0.25">
      <c r="A518" s="567"/>
      <c r="B518" s="564"/>
      <c r="C518" s="553"/>
      <c r="D518" s="553"/>
      <c r="E518" s="553"/>
      <c r="F518" s="553"/>
      <c r="G518" s="1207" t="s">
        <v>2262</v>
      </c>
      <c r="H518" s="1208"/>
      <c r="I518" s="1209"/>
      <c r="J518" s="1165">
        <f>0.063*0.9*0.6</f>
        <v>3.4020000000000002E-2</v>
      </c>
      <c r="K518" s="1166"/>
      <c r="L518" s="307"/>
      <c r="M518" s="290"/>
      <c r="N518" s="307"/>
      <c r="O518" s="600"/>
      <c r="P518" s="600"/>
      <c r="Q518" s="600"/>
      <c r="R518" s="600"/>
      <c r="S518" s="640"/>
      <c r="T518" s="307"/>
      <c r="U518" s="600"/>
      <c r="V518" s="305"/>
    </row>
    <row r="519" spans="1:22" ht="15" customHeight="1" thickBot="1" x14ac:dyDescent="0.3">
      <c r="A519" s="242"/>
      <c r="B519" s="243"/>
      <c r="C519" s="244"/>
      <c r="D519" s="244"/>
      <c r="E519" s="244"/>
      <c r="F519" s="244"/>
      <c r="G519" s="1066" t="s">
        <v>1199</v>
      </c>
      <c r="H519" s="1066"/>
      <c r="I519" s="1066"/>
      <c r="J519" s="630"/>
      <c r="K519" s="456">
        <f>SUM(J515:K518)</f>
        <v>0.16722000000000001</v>
      </c>
      <c r="L519" s="631"/>
      <c r="M519" s="632">
        <v>0.92</v>
      </c>
      <c r="N519" s="456">
        <f>K519/M519</f>
        <v>0.18176086956521739</v>
      </c>
      <c r="O519" s="1066" t="s">
        <v>1199</v>
      </c>
      <c r="P519" s="1066"/>
      <c r="Q519" s="1066"/>
      <c r="R519" s="554"/>
      <c r="S519" s="456">
        <f>SUM(S514:S514)</f>
        <v>0</v>
      </c>
      <c r="T519" s="631"/>
      <c r="U519" s="554">
        <v>0.92</v>
      </c>
      <c r="V519" s="633">
        <f>S519/U519</f>
        <v>0</v>
      </c>
    </row>
    <row r="520" spans="1:22" s="475" customFormat="1" ht="15" customHeight="1" x14ac:dyDescent="0.25">
      <c r="A520" s="566" t="str">
        <f>Итоговая!C328</f>
        <v>ПС  35/10 кВ Гришкино</v>
      </c>
      <c r="B520" s="563">
        <f>Итоговая!D328</f>
        <v>6.3</v>
      </c>
      <c r="C520" s="552" t="str">
        <f>Итоговая!E328</f>
        <v>+</v>
      </c>
      <c r="D520" s="552">
        <f>Итоговая!F328</f>
        <v>6.3</v>
      </c>
      <c r="E520" s="552"/>
      <c r="F520" s="552"/>
      <c r="G520" s="1168" t="s">
        <v>1287</v>
      </c>
      <c r="H520" s="1168"/>
      <c r="I520" s="1168"/>
      <c r="J520" s="1168"/>
      <c r="K520" s="1168"/>
      <c r="L520" s="1168"/>
      <c r="M520" s="1168"/>
      <c r="N520" s="1168"/>
      <c r="O520" s="1168" t="s">
        <v>1288</v>
      </c>
      <c r="P520" s="1168"/>
      <c r="Q520" s="1168"/>
      <c r="R520" s="1168"/>
      <c r="S520" s="1168"/>
      <c r="T520" s="1168"/>
      <c r="U520" s="1168"/>
      <c r="V520" s="1169"/>
    </row>
    <row r="521" spans="1:22" ht="15" customHeight="1" x14ac:dyDescent="0.25">
      <c r="A521" s="567"/>
      <c r="B521" s="564"/>
      <c r="C521" s="553"/>
      <c r="D521" s="553"/>
      <c r="E521" s="553"/>
      <c r="F521" s="553"/>
      <c r="G521" s="596" t="s">
        <v>314</v>
      </c>
      <c r="H521" s="596" t="s">
        <v>315</v>
      </c>
      <c r="I521" s="590" t="s">
        <v>316</v>
      </c>
      <c r="J521" s="302"/>
      <c r="K521" s="286">
        <v>0.7</v>
      </c>
      <c r="L521" s="302"/>
      <c r="M521" s="590"/>
      <c r="N521" s="302"/>
      <c r="O521" s="590" t="s">
        <v>312</v>
      </c>
      <c r="P521" s="590" t="s">
        <v>313</v>
      </c>
      <c r="Q521" s="590" t="s">
        <v>19711</v>
      </c>
      <c r="R521" s="590"/>
      <c r="S521" s="286">
        <v>2.5</v>
      </c>
      <c r="T521" s="302"/>
      <c r="U521" s="590"/>
      <c r="V521" s="303"/>
    </row>
    <row r="522" spans="1:22" ht="15" customHeight="1" x14ac:dyDescent="0.25">
      <c r="A522" s="567"/>
      <c r="B522" s="564"/>
      <c r="C522" s="553"/>
      <c r="D522" s="553"/>
      <c r="E522" s="553"/>
      <c r="F522" s="553"/>
      <c r="G522" s="596" t="s">
        <v>314</v>
      </c>
      <c r="H522" s="596" t="s">
        <v>319</v>
      </c>
      <c r="I522" s="590" t="s">
        <v>320</v>
      </c>
      <c r="J522" s="302"/>
      <c r="K522" s="286">
        <v>0.7</v>
      </c>
      <c r="L522" s="302"/>
      <c r="M522" s="590"/>
      <c r="N522" s="302"/>
      <c r="O522" s="1163" t="s">
        <v>1324</v>
      </c>
      <c r="P522" s="1163"/>
      <c r="Q522" s="1163"/>
      <c r="R522" s="1163"/>
      <c r="S522" s="1163"/>
      <c r="T522" s="1163"/>
      <c r="U522" s="1163"/>
      <c r="V522" s="1198"/>
    </row>
    <row r="523" spans="1:22" ht="15" customHeight="1" x14ac:dyDescent="0.25">
      <c r="A523" s="567"/>
      <c r="B523" s="564"/>
      <c r="C523" s="553"/>
      <c r="D523" s="553"/>
      <c r="E523" s="553"/>
      <c r="F523" s="553"/>
      <c r="G523" s="596" t="s">
        <v>321</v>
      </c>
      <c r="H523" s="596" t="s">
        <v>322</v>
      </c>
      <c r="I523" s="596" t="s">
        <v>323</v>
      </c>
      <c r="J523" s="286"/>
      <c r="K523" s="286">
        <v>0.25</v>
      </c>
      <c r="L523" s="302"/>
      <c r="M523" s="590"/>
      <c r="N523" s="302"/>
      <c r="O523" s="277" t="s">
        <v>333</v>
      </c>
      <c r="P523" s="277" t="s">
        <v>334</v>
      </c>
      <c r="Q523" s="277" t="s">
        <v>1655</v>
      </c>
      <c r="R523" s="277"/>
      <c r="S523" s="279">
        <v>8.5000000000000006E-2</v>
      </c>
      <c r="T523" s="370"/>
      <c r="U523" s="590"/>
      <c r="V523" s="303"/>
    </row>
    <row r="524" spans="1:22" ht="15" customHeight="1" x14ac:dyDescent="0.25">
      <c r="A524" s="567"/>
      <c r="B524" s="564"/>
      <c r="C524" s="553"/>
      <c r="D524" s="553"/>
      <c r="E524" s="553"/>
      <c r="F524" s="553"/>
      <c r="G524" s="1163" t="s">
        <v>1286</v>
      </c>
      <c r="H524" s="1163"/>
      <c r="I524" s="1163"/>
      <c r="J524" s="1163"/>
      <c r="K524" s="1163"/>
      <c r="L524" s="1163"/>
      <c r="M524" s="1163"/>
      <c r="N524" s="1163"/>
      <c r="O524" s="596" t="s">
        <v>955</v>
      </c>
      <c r="P524" s="596" t="s">
        <v>956</v>
      </c>
      <c r="Q524" s="596" t="s">
        <v>19712</v>
      </c>
      <c r="R524" s="596"/>
      <c r="S524" s="286">
        <v>2.1000000000000001E-2</v>
      </c>
      <c r="T524" s="302"/>
      <c r="U524" s="590"/>
      <c r="V524" s="303"/>
    </row>
    <row r="525" spans="1:22" ht="15" customHeight="1" x14ac:dyDescent="0.25">
      <c r="A525" s="567"/>
      <c r="B525" s="564"/>
      <c r="C525" s="553"/>
      <c r="D525" s="553"/>
      <c r="E525" s="553"/>
      <c r="F525" s="553"/>
      <c r="G525" s="596" t="s">
        <v>325</v>
      </c>
      <c r="H525" s="596" t="s">
        <v>326</v>
      </c>
      <c r="I525" s="596" t="s">
        <v>327</v>
      </c>
      <c r="J525" s="286"/>
      <c r="K525" s="286">
        <v>0.02</v>
      </c>
      <c r="L525" s="302"/>
      <c r="M525" s="590"/>
      <c r="N525" s="302"/>
      <c r="O525" s="1163" t="s">
        <v>2290</v>
      </c>
      <c r="P525" s="1163"/>
      <c r="Q525" s="1163"/>
      <c r="R525" s="1163"/>
      <c r="S525" s="1163"/>
      <c r="T525" s="1163"/>
      <c r="U525" s="1163"/>
      <c r="V525" s="1198"/>
    </row>
    <row r="526" spans="1:22" ht="15" customHeight="1" x14ac:dyDescent="0.25">
      <c r="A526" s="567"/>
      <c r="B526" s="564"/>
      <c r="C526" s="553"/>
      <c r="D526" s="553"/>
      <c r="E526" s="553"/>
      <c r="F526" s="553"/>
      <c r="G526" s="596" t="s">
        <v>330</v>
      </c>
      <c r="H526" s="596" t="s">
        <v>331</v>
      </c>
      <c r="I526" s="596" t="s">
        <v>332</v>
      </c>
      <c r="J526" s="286"/>
      <c r="K526" s="286">
        <v>2.3E-2</v>
      </c>
      <c r="L526" s="302"/>
      <c r="M526" s="590"/>
      <c r="N526" s="302"/>
      <c r="O526" s="596" t="s">
        <v>328</v>
      </c>
      <c r="P526" s="596" t="s">
        <v>329</v>
      </c>
      <c r="Q526" s="596" t="s">
        <v>14769</v>
      </c>
      <c r="R526" s="596"/>
      <c r="S526" s="286">
        <v>0.59</v>
      </c>
      <c r="T526" s="302"/>
      <c r="U526" s="590"/>
      <c r="V526" s="303"/>
    </row>
    <row r="527" spans="1:22" ht="15" customHeight="1" x14ac:dyDescent="0.25">
      <c r="A527" s="567"/>
      <c r="B527" s="564"/>
      <c r="C527" s="553"/>
      <c r="D527" s="553"/>
      <c r="E527" s="553"/>
      <c r="F527" s="553"/>
      <c r="G527" s="627" t="s">
        <v>335</v>
      </c>
      <c r="H527" s="627" t="s">
        <v>336</v>
      </c>
      <c r="I527" s="596" t="s">
        <v>337</v>
      </c>
      <c r="J527" s="286"/>
      <c r="K527" s="628">
        <v>0.52500000000000002</v>
      </c>
      <c r="L527" s="302"/>
      <c r="M527" s="590"/>
      <c r="N527" s="302"/>
      <c r="O527" s="725" t="s">
        <v>14873</v>
      </c>
      <c r="P527" s="725" t="s">
        <v>14874</v>
      </c>
      <c r="Q527" s="725" t="s">
        <v>14875</v>
      </c>
      <c r="R527" s="286"/>
      <c r="S527" s="286">
        <v>2.1000000000000001E-2</v>
      </c>
      <c r="T527" s="548"/>
      <c r="U527" s="596"/>
      <c r="V527" s="303"/>
    </row>
    <row r="528" spans="1:22" ht="15" customHeight="1" x14ac:dyDescent="0.25">
      <c r="A528" s="567"/>
      <c r="B528" s="564"/>
      <c r="C528" s="553"/>
      <c r="D528" s="553"/>
      <c r="E528" s="553"/>
      <c r="F528" s="553"/>
      <c r="G528" s="596" t="s">
        <v>317</v>
      </c>
      <c r="H528" s="596" t="s">
        <v>318</v>
      </c>
      <c r="I528" s="596" t="s">
        <v>338</v>
      </c>
      <c r="J528" s="286"/>
      <c r="K528" s="286">
        <v>0.1</v>
      </c>
      <c r="L528" s="302"/>
      <c r="M528" s="590"/>
      <c r="N528" s="302"/>
      <c r="O528" s="543"/>
      <c r="P528" s="543"/>
      <c r="Q528" s="543"/>
      <c r="R528" s="543"/>
      <c r="S528" s="543"/>
      <c r="T528" s="548"/>
      <c r="U528" s="596"/>
      <c r="V528" s="303"/>
    </row>
    <row r="529" spans="1:22" ht="15" customHeight="1" x14ac:dyDescent="0.25">
      <c r="A529" s="567"/>
      <c r="B529" s="564"/>
      <c r="C529" s="553"/>
      <c r="D529" s="553"/>
      <c r="E529" s="553"/>
      <c r="F529" s="553"/>
      <c r="G529" s="596" t="s">
        <v>317</v>
      </c>
      <c r="H529" s="596" t="s">
        <v>318</v>
      </c>
      <c r="I529" s="596" t="s">
        <v>339</v>
      </c>
      <c r="J529" s="286"/>
      <c r="K529" s="286">
        <v>0.4</v>
      </c>
      <c r="L529" s="302"/>
      <c r="M529" s="590"/>
      <c r="N529" s="302"/>
      <c r="O529" s="543"/>
      <c r="P529" s="543"/>
      <c r="Q529" s="543"/>
      <c r="R529" s="543"/>
      <c r="S529" s="543"/>
      <c r="T529" s="548"/>
      <c r="U529" s="596"/>
      <c r="V529" s="303"/>
    </row>
    <row r="530" spans="1:22" ht="15" customHeight="1" x14ac:dyDescent="0.25">
      <c r="A530" s="567"/>
      <c r="B530" s="564"/>
      <c r="C530" s="553"/>
      <c r="D530" s="553"/>
      <c r="E530" s="553"/>
      <c r="F530" s="553"/>
      <c r="G530" s="1163" t="s">
        <v>1324</v>
      </c>
      <c r="H530" s="1163"/>
      <c r="I530" s="1163"/>
      <c r="J530" s="1163"/>
      <c r="K530" s="1163"/>
      <c r="L530" s="1163"/>
      <c r="M530" s="1163"/>
      <c r="N530" s="1163"/>
      <c r="O530" s="543"/>
      <c r="P530" s="543"/>
      <c r="Q530" s="543"/>
      <c r="R530" s="543"/>
      <c r="S530" s="543"/>
      <c r="T530" s="548"/>
      <c r="U530" s="480"/>
      <c r="V530" s="482"/>
    </row>
    <row r="531" spans="1:22" ht="15" customHeight="1" x14ac:dyDescent="0.25">
      <c r="A531" s="567"/>
      <c r="B531" s="564"/>
      <c r="C531" s="553"/>
      <c r="D531" s="553"/>
      <c r="E531" s="553"/>
      <c r="F531" s="553"/>
      <c r="G531" s="596" t="s">
        <v>1452</v>
      </c>
      <c r="H531" s="596" t="s">
        <v>1453</v>
      </c>
      <c r="I531" s="596" t="s">
        <v>1454</v>
      </c>
      <c r="J531" s="286"/>
      <c r="K531" s="286">
        <v>0.25</v>
      </c>
      <c r="L531" s="302"/>
      <c r="M531" s="590"/>
      <c r="N531" s="628"/>
      <c r="O531" s="590"/>
      <c r="P531" s="590"/>
      <c r="Q531" s="590"/>
      <c r="R531" s="590"/>
      <c r="S531" s="302"/>
      <c r="T531" s="302"/>
      <c r="U531" s="590"/>
      <c r="V531" s="303"/>
    </row>
    <row r="532" spans="1:22" ht="15" customHeight="1" x14ac:dyDescent="0.25">
      <c r="A532" s="567"/>
      <c r="B532" s="564"/>
      <c r="C532" s="553"/>
      <c r="D532" s="553"/>
      <c r="E532" s="553"/>
      <c r="F532" s="553"/>
      <c r="G532" s="627" t="s">
        <v>18</v>
      </c>
      <c r="H532" s="627" t="s">
        <v>19</v>
      </c>
      <c r="I532" s="596" t="s">
        <v>1499</v>
      </c>
      <c r="J532" s="286"/>
      <c r="K532" s="286">
        <v>0.7</v>
      </c>
      <c r="L532" s="302"/>
      <c r="M532" s="590"/>
      <c r="N532" s="628"/>
      <c r="O532" s="590"/>
      <c r="P532" s="590"/>
      <c r="Q532" s="590"/>
      <c r="R532" s="590"/>
      <c r="S532" s="302"/>
      <c r="T532" s="302"/>
      <c r="U532" s="590"/>
      <c r="V532" s="303"/>
    </row>
    <row r="533" spans="1:22" ht="15" customHeight="1" x14ac:dyDescent="0.25">
      <c r="A533" s="567"/>
      <c r="B533" s="564"/>
      <c r="C533" s="553"/>
      <c r="D533" s="553"/>
      <c r="E533" s="553"/>
      <c r="F533" s="553"/>
      <c r="G533" s="596" t="s">
        <v>1120</v>
      </c>
      <c r="H533" s="596" t="s">
        <v>1624</v>
      </c>
      <c r="I533" s="596" t="s">
        <v>1625</v>
      </c>
      <c r="J533" s="286"/>
      <c r="K533" s="286">
        <f>0.12-0.035</f>
        <v>8.4999999999999992E-2</v>
      </c>
      <c r="L533" s="302"/>
      <c r="M533" s="590"/>
      <c r="N533" s="628"/>
      <c r="O533" s="590"/>
      <c r="P533" s="590"/>
      <c r="Q533" s="590"/>
      <c r="R533" s="590"/>
      <c r="S533" s="302"/>
      <c r="T533" s="302"/>
      <c r="U533" s="590"/>
      <c r="V533" s="303"/>
    </row>
    <row r="534" spans="1:22" ht="15" customHeight="1" x14ac:dyDescent="0.25">
      <c r="A534" s="567"/>
      <c r="B534" s="564"/>
      <c r="C534" s="553"/>
      <c r="D534" s="553"/>
      <c r="E534" s="553"/>
      <c r="F534" s="553"/>
      <c r="G534" s="627" t="s">
        <v>324</v>
      </c>
      <c r="H534" s="627" t="s">
        <v>543</v>
      </c>
      <c r="I534" s="596" t="s">
        <v>1632</v>
      </c>
      <c r="J534" s="286"/>
      <c r="K534" s="286">
        <v>0.1</v>
      </c>
      <c r="L534" s="302"/>
      <c r="M534" s="590"/>
      <c r="N534" s="628"/>
      <c r="O534" s="590"/>
      <c r="P534" s="590"/>
      <c r="Q534" s="590"/>
      <c r="R534" s="590"/>
      <c r="S534" s="302"/>
      <c r="T534" s="302"/>
      <c r="U534" s="590"/>
      <c r="V534" s="303"/>
    </row>
    <row r="535" spans="1:22" ht="15" customHeight="1" x14ac:dyDescent="0.25">
      <c r="A535" s="567"/>
      <c r="B535" s="564"/>
      <c r="C535" s="553"/>
      <c r="D535" s="553"/>
      <c r="E535" s="553"/>
      <c r="F535" s="553"/>
      <c r="G535" s="1163" t="s">
        <v>1645</v>
      </c>
      <c r="H535" s="1163"/>
      <c r="I535" s="1163"/>
      <c r="J535" s="1163"/>
      <c r="K535" s="1163"/>
      <c r="L535" s="1163"/>
      <c r="M535" s="1163"/>
      <c r="N535" s="1163"/>
      <c r="O535" s="480"/>
      <c r="P535" s="480"/>
      <c r="Q535" s="480"/>
      <c r="R535" s="480"/>
      <c r="S535" s="480"/>
      <c r="T535" s="480"/>
      <c r="U535" s="480"/>
      <c r="V535" s="638"/>
    </row>
    <row r="536" spans="1:22" ht="15" customHeight="1" x14ac:dyDescent="0.25">
      <c r="A536" s="567"/>
      <c r="B536" s="564"/>
      <c r="C536" s="553"/>
      <c r="D536" s="553"/>
      <c r="E536" s="553"/>
      <c r="F536" s="553"/>
      <c r="G536" s="596" t="s">
        <v>1646</v>
      </c>
      <c r="H536" s="596" t="s">
        <v>1691</v>
      </c>
      <c r="I536" s="596" t="s">
        <v>1647</v>
      </c>
      <c r="J536" s="286"/>
      <c r="K536" s="286">
        <v>2.5</v>
      </c>
      <c r="L536" s="302"/>
      <c r="M536" s="590"/>
      <c r="N536" s="628"/>
      <c r="O536" s="277"/>
      <c r="P536" s="277"/>
      <c r="Q536" s="277"/>
      <c r="R536" s="277"/>
      <c r="S536" s="279"/>
      <c r="T536" s="370"/>
      <c r="U536" s="590"/>
      <c r="V536" s="303"/>
    </row>
    <row r="537" spans="1:22" ht="15" customHeight="1" x14ac:dyDescent="0.25">
      <c r="A537" s="567"/>
      <c r="B537" s="564"/>
      <c r="C537" s="553"/>
      <c r="D537" s="553"/>
      <c r="E537" s="553"/>
      <c r="F537" s="553"/>
      <c r="G537" s="596" t="s">
        <v>1609</v>
      </c>
      <c r="H537" s="596" t="s">
        <v>1815</v>
      </c>
      <c r="I537" s="627" t="s">
        <v>1816</v>
      </c>
      <c r="J537" s="628"/>
      <c r="K537" s="628">
        <v>0.7</v>
      </c>
      <c r="L537" s="302"/>
      <c r="M537" s="590"/>
      <c r="N537" s="628"/>
      <c r="O537" s="596"/>
      <c r="P537" s="596"/>
      <c r="Q537" s="596"/>
      <c r="R537" s="596"/>
      <c r="S537" s="286"/>
      <c r="T537" s="302"/>
      <c r="U537" s="590"/>
      <c r="V537" s="303"/>
    </row>
    <row r="538" spans="1:22" ht="15" customHeight="1" x14ac:dyDescent="0.25">
      <c r="A538" s="567"/>
      <c r="B538" s="564"/>
      <c r="C538" s="553"/>
      <c r="D538" s="553"/>
      <c r="E538" s="553"/>
      <c r="F538" s="553"/>
      <c r="G538" s="596" t="s">
        <v>1609</v>
      </c>
      <c r="H538" s="596" t="s">
        <v>1819</v>
      </c>
      <c r="I538" s="627" t="s">
        <v>1818</v>
      </c>
      <c r="J538" s="628"/>
      <c r="K538" s="628">
        <v>0.7</v>
      </c>
      <c r="L538" s="302"/>
      <c r="M538" s="590"/>
      <c r="N538" s="628"/>
      <c r="O538" s="596"/>
      <c r="P538" s="596"/>
      <c r="Q538" s="596"/>
      <c r="R538" s="596"/>
      <c r="S538" s="286"/>
      <c r="T538" s="302"/>
      <c r="U538" s="590"/>
      <c r="V538" s="303"/>
    </row>
    <row r="539" spans="1:22" ht="15" customHeight="1" x14ac:dyDescent="0.25">
      <c r="A539" s="567"/>
      <c r="B539" s="564"/>
      <c r="C539" s="553"/>
      <c r="D539" s="553"/>
      <c r="E539" s="553"/>
      <c r="F539" s="553"/>
      <c r="G539" s="596" t="s">
        <v>1646</v>
      </c>
      <c r="H539" s="596" t="s">
        <v>1969</v>
      </c>
      <c r="I539" s="596" t="s">
        <v>1984</v>
      </c>
      <c r="J539" s="286"/>
      <c r="K539" s="286">
        <v>0.5</v>
      </c>
      <c r="L539" s="302"/>
      <c r="M539" s="590"/>
      <c r="N539" s="628"/>
      <c r="O539" s="596"/>
      <c r="P539" s="596"/>
      <c r="Q539" s="596"/>
      <c r="R539" s="596"/>
      <c r="S539" s="286"/>
      <c r="T539" s="302"/>
      <c r="U539" s="590"/>
      <c r="V539" s="303"/>
    </row>
    <row r="540" spans="1:22" ht="15" customHeight="1" x14ac:dyDescent="0.25">
      <c r="A540" s="567"/>
      <c r="B540" s="564"/>
      <c r="C540" s="553"/>
      <c r="D540" s="553"/>
      <c r="E540" s="553"/>
      <c r="F540" s="553"/>
      <c r="G540" s="1163" t="s">
        <v>2011</v>
      </c>
      <c r="H540" s="1163"/>
      <c r="I540" s="1163"/>
      <c r="J540" s="1163"/>
      <c r="K540" s="1163"/>
      <c r="L540" s="1163"/>
      <c r="M540" s="1163"/>
      <c r="N540" s="1163"/>
      <c r="O540" s="590"/>
      <c r="P540" s="590"/>
      <c r="Q540" s="590"/>
      <c r="R540" s="590"/>
      <c r="S540" s="286"/>
      <c r="T540" s="302"/>
      <c r="U540" s="590"/>
      <c r="V540" s="303"/>
    </row>
    <row r="541" spans="1:22" ht="15" customHeight="1" x14ac:dyDescent="0.25">
      <c r="A541" s="567"/>
      <c r="B541" s="564"/>
      <c r="C541" s="553"/>
      <c r="D541" s="553"/>
      <c r="E541" s="553"/>
      <c r="F541" s="553"/>
      <c r="G541" s="596" t="s">
        <v>325</v>
      </c>
      <c r="H541" s="596" t="s">
        <v>2068</v>
      </c>
      <c r="I541" s="596" t="s">
        <v>2132</v>
      </c>
      <c r="J541" s="286"/>
      <c r="K541" s="286">
        <f>0.3*0.9</f>
        <v>0.27</v>
      </c>
      <c r="L541" s="302"/>
      <c r="M541" s="590"/>
      <c r="N541" s="628"/>
      <c r="O541" s="590"/>
      <c r="P541" s="590"/>
      <c r="Q541" s="590"/>
      <c r="R541" s="590"/>
      <c r="S541" s="302"/>
      <c r="T541" s="302"/>
      <c r="U541" s="590"/>
      <c r="V541" s="303"/>
    </row>
    <row r="542" spans="1:22" ht="15" customHeight="1" x14ac:dyDescent="0.25">
      <c r="A542" s="567"/>
      <c r="B542" s="564"/>
      <c r="C542" s="553"/>
      <c r="D542" s="553"/>
      <c r="E542" s="553"/>
      <c r="F542" s="553"/>
      <c r="G542" s="596" t="s">
        <v>2204</v>
      </c>
      <c r="H542" s="596" t="s">
        <v>2192</v>
      </c>
      <c r="I542" s="596" t="s">
        <v>2205</v>
      </c>
      <c r="J542" s="286"/>
      <c r="K542" s="286">
        <f>0.08*0.9</f>
        <v>7.2000000000000008E-2</v>
      </c>
      <c r="L542" s="302"/>
      <c r="M542" s="590"/>
      <c r="N542" s="628"/>
      <c r="O542" s="590"/>
      <c r="P542" s="590"/>
      <c r="Q542" s="590"/>
      <c r="R542" s="590"/>
      <c r="S542" s="302"/>
      <c r="T542" s="302"/>
      <c r="U542" s="590"/>
      <c r="V542" s="303"/>
    </row>
    <row r="543" spans="1:22" ht="15" customHeight="1" x14ac:dyDescent="0.25">
      <c r="A543" s="567"/>
      <c r="B543" s="564"/>
      <c r="C543" s="553"/>
      <c r="D543" s="553"/>
      <c r="E543" s="553"/>
      <c r="F543" s="553"/>
      <c r="G543" s="1163" t="s">
        <v>2290</v>
      </c>
      <c r="H543" s="1163"/>
      <c r="I543" s="1163"/>
      <c r="J543" s="1163"/>
      <c r="K543" s="1163"/>
      <c r="L543" s="1163"/>
      <c r="M543" s="1163"/>
      <c r="N543" s="1163"/>
      <c r="O543" s="590"/>
      <c r="P543" s="590"/>
      <c r="Q543" s="590"/>
      <c r="R543" s="590"/>
      <c r="S543" s="302"/>
      <c r="T543" s="302"/>
      <c r="U543" s="590"/>
      <c r="V543" s="303"/>
    </row>
    <row r="544" spans="1:22" ht="15" customHeight="1" x14ac:dyDescent="0.25">
      <c r="A544" s="567"/>
      <c r="B544" s="564"/>
      <c r="C544" s="553"/>
      <c r="D544" s="553"/>
      <c r="E544" s="553"/>
      <c r="F544" s="553"/>
      <c r="G544" s="590" t="s">
        <v>14740</v>
      </c>
      <c r="H544" s="590" t="s">
        <v>14741</v>
      </c>
      <c r="I544" s="596" t="s">
        <v>14828</v>
      </c>
      <c r="J544" s="286"/>
      <c r="K544" s="286">
        <f>0.155*0.75</f>
        <v>0.11624999999999999</v>
      </c>
      <c r="L544" s="302"/>
      <c r="M544" s="590"/>
      <c r="N544" s="628"/>
      <c r="O544" s="590"/>
      <c r="P544" s="590"/>
      <c r="Q544" s="590"/>
      <c r="R544" s="590"/>
      <c r="S544" s="302"/>
      <c r="T544" s="302"/>
      <c r="U544" s="590"/>
      <c r="V544" s="303"/>
    </row>
    <row r="545" spans="1:22" ht="15" customHeight="1" x14ac:dyDescent="0.25">
      <c r="A545" s="567"/>
      <c r="B545" s="564"/>
      <c r="C545" s="553"/>
      <c r="D545" s="553"/>
      <c r="E545" s="553"/>
      <c r="F545" s="553"/>
      <c r="G545" s="596" t="s">
        <v>324</v>
      </c>
      <c r="H545" s="596" t="s">
        <v>14750</v>
      </c>
      <c r="I545" s="596" t="s">
        <v>14852</v>
      </c>
      <c r="J545" s="286"/>
      <c r="K545" s="286">
        <f>0.06*0.9</f>
        <v>5.3999999999999999E-2</v>
      </c>
      <c r="L545" s="302"/>
      <c r="M545" s="590"/>
      <c r="N545" s="628"/>
      <c r="O545" s="590"/>
      <c r="P545" s="590"/>
      <c r="Q545" s="590"/>
      <c r="R545" s="590"/>
      <c r="S545" s="302"/>
      <c r="T545" s="302"/>
      <c r="U545" s="590"/>
      <c r="V545" s="303"/>
    </row>
    <row r="546" spans="1:22" ht="15" customHeight="1" x14ac:dyDescent="0.25">
      <c r="A546" s="567"/>
      <c r="B546" s="564"/>
      <c r="C546" s="553"/>
      <c r="D546" s="553"/>
      <c r="E546" s="553"/>
      <c r="F546" s="553"/>
      <c r="G546" s="596" t="s">
        <v>2204</v>
      </c>
      <c r="H546" s="596" t="s">
        <v>14789</v>
      </c>
      <c r="I546" s="596" t="s">
        <v>14869</v>
      </c>
      <c r="J546" s="286"/>
      <c r="K546" s="286">
        <f>(0.26-0.08)*0.75</f>
        <v>0.13500000000000001</v>
      </c>
      <c r="L546" s="302"/>
      <c r="M546" s="590"/>
      <c r="N546" s="628"/>
      <c r="O546" s="590"/>
      <c r="P546" s="590"/>
      <c r="Q546" s="590"/>
      <c r="R546" s="590"/>
      <c r="S546" s="302"/>
      <c r="T546" s="302"/>
      <c r="U546" s="590"/>
      <c r="V546" s="303"/>
    </row>
    <row r="547" spans="1:22" ht="15" customHeight="1" x14ac:dyDescent="0.25">
      <c r="A547" s="567"/>
      <c r="B547" s="564"/>
      <c r="C547" s="553"/>
      <c r="D547" s="553"/>
      <c r="E547" s="553"/>
      <c r="F547" s="553"/>
      <c r="G547" s="596" t="s">
        <v>14816</v>
      </c>
      <c r="H547" s="596" t="s">
        <v>14817</v>
      </c>
      <c r="I547" s="596" t="s">
        <v>14872</v>
      </c>
      <c r="J547" s="286"/>
      <c r="K547" s="286">
        <f>0.046*0.75</f>
        <v>3.4500000000000003E-2</v>
      </c>
      <c r="L547" s="302"/>
      <c r="M547" s="590"/>
      <c r="N547" s="628"/>
      <c r="O547" s="590"/>
      <c r="P547" s="590"/>
      <c r="Q547" s="590"/>
      <c r="R547" s="590"/>
      <c r="S547" s="302"/>
      <c r="T547" s="302"/>
      <c r="U547" s="590"/>
      <c r="V547" s="303"/>
    </row>
    <row r="548" spans="1:22" ht="15" customHeight="1" x14ac:dyDescent="0.25">
      <c r="A548" s="567"/>
      <c r="B548" s="564"/>
      <c r="C548" s="553"/>
      <c r="D548" s="553"/>
      <c r="E548" s="553"/>
      <c r="F548" s="553"/>
      <c r="G548" s="596" t="s">
        <v>1120</v>
      </c>
      <c r="H548" s="596" t="s">
        <v>14925</v>
      </c>
      <c r="I548" s="596" t="s">
        <v>14956</v>
      </c>
      <c r="J548" s="286"/>
      <c r="K548" s="286">
        <f>0.095*0.75</f>
        <v>7.1250000000000008E-2</v>
      </c>
      <c r="L548" s="302"/>
      <c r="M548" s="590"/>
      <c r="N548" s="628"/>
      <c r="O548" s="590"/>
      <c r="P548" s="590"/>
      <c r="Q548" s="590"/>
      <c r="R548" s="590"/>
      <c r="S548" s="302"/>
      <c r="T548" s="302"/>
      <c r="U548" s="590"/>
      <c r="V548" s="303"/>
    </row>
    <row r="549" spans="1:22" ht="15" customHeight="1" x14ac:dyDescent="0.25">
      <c r="A549" s="567"/>
      <c r="B549" s="564"/>
      <c r="C549" s="553"/>
      <c r="D549" s="553"/>
      <c r="E549" s="553"/>
      <c r="F549" s="553"/>
      <c r="G549" s="596" t="s">
        <v>2204</v>
      </c>
      <c r="H549" s="596" t="s">
        <v>14968</v>
      </c>
      <c r="I549" s="596" t="s">
        <v>14969</v>
      </c>
      <c r="J549" s="286"/>
      <c r="K549" s="286">
        <f>0.08*0.75</f>
        <v>0.06</v>
      </c>
      <c r="L549" s="302"/>
      <c r="M549" s="590"/>
      <c r="N549" s="628"/>
      <c r="O549" s="590"/>
      <c r="P549" s="590"/>
      <c r="Q549" s="590"/>
      <c r="R549" s="590"/>
      <c r="S549" s="302"/>
      <c r="T549" s="302"/>
      <c r="U549" s="590"/>
      <c r="V549" s="303"/>
    </row>
    <row r="550" spans="1:22" ht="15" customHeight="1" x14ac:dyDescent="0.25">
      <c r="A550" s="567"/>
      <c r="B550" s="564"/>
      <c r="C550" s="553"/>
      <c r="D550" s="553"/>
      <c r="E550" s="553"/>
      <c r="F550" s="553"/>
      <c r="G550" s="596" t="s">
        <v>14914</v>
      </c>
      <c r="H550" s="596" t="s">
        <v>14896</v>
      </c>
      <c r="I550" s="596" t="s">
        <v>14971</v>
      </c>
      <c r="J550" s="286"/>
      <c r="K550" s="286">
        <f>0.05*0.15</f>
        <v>7.4999999999999997E-3</v>
      </c>
      <c r="L550" s="302"/>
      <c r="M550" s="590"/>
      <c r="N550" s="628"/>
      <c r="O550" s="590"/>
      <c r="P550" s="590"/>
      <c r="Q550" s="590"/>
      <c r="R550" s="590"/>
      <c r="S550" s="302"/>
      <c r="T550" s="302"/>
      <c r="U550" s="590"/>
      <c r="V550" s="303"/>
    </row>
    <row r="551" spans="1:22" ht="15" customHeight="1" x14ac:dyDescent="0.25">
      <c r="A551" s="567"/>
      <c r="B551" s="564"/>
      <c r="C551" s="553"/>
      <c r="D551" s="553"/>
      <c r="E551" s="553"/>
      <c r="F551" s="553"/>
      <c r="G551" s="627" t="s">
        <v>14918</v>
      </c>
      <c r="H551" s="627" t="s">
        <v>14927</v>
      </c>
      <c r="I551" s="590" t="s">
        <v>14955</v>
      </c>
      <c r="J551" s="302"/>
      <c r="K551" s="302">
        <f>0.095*0.9</f>
        <v>8.5500000000000007E-2</v>
      </c>
      <c r="L551" s="302"/>
      <c r="M551" s="590"/>
      <c r="N551" s="628"/>
      <c r="O551" s="590"/>
      <c r="P551" s="590"/>
      <c r="Q551" s="590"/>
      <c r="R551" s="590"/>
      <c r="S551" s="302"/>
      <c r="T551" s="302"/>
      <c r="U551" s="590"/>
      <c r="V551" s="303"/>
    </row>
    <row r="552" spans="1:22" ht="15" customHeight="1" x14ac:dyDescent="0.25">
      <c r="A552" s="567"/>
      <c r="B552" s="564"/>
      <c r="C552" s="553"/>
      <c r="D552" s="553"/>
      <c r="E552" s="553"/>
      <c r="F552" s="553"/>
      <c r="G552" s="1163" t="s">
        <v>14933</v>
      </c>
      <c r="H552" s="1163"/>
      <c r="I552" s="1163"/>
      <c r="J552" s="1163"/>
      <c r="K552" s="1163"/>
      <c r="L552" s="1163"/>
      <c r="M552" s="1163"/>
      <c r="N552" s="1163"/>
      <c r="O552" s="590"/>
      <c r="P552" s="590"/>
      <c r="Q552" s="590"/>
      <c r="R552" s="590"/>
      <c r="S552" s="302"/>
      <c r="T552" s="302"/>
      <c r="U552" s="590"/>
      <c r="V552" s="303"/>
    </row>
    <row r="553" spans="1:22" ht="15" customHeight="1" x14ac:dyDescent="0.25">
      <c r="A553" s="567"/>
      <c r="B553" s="564"/>
      <c r="C553" s="553"/>
      <c r="D553" s="553"/>
      <c r="E553" s="553"/>
      <c r="F553" s="553"/>
      <c r="G553" s="596" t="s">
        <v>14930</v>
      </c>
      <c r="H553" s="596" t="s">
        <v>17241</v>
      </c>
      <c r="I553" s="596" t="s">
        <v>17242</v>
      </c>
      <c r="J553" s="286"/>
      <c r="K553" s="286">
        <f>0.35*0.9</f>
        <v>0.315</v>
      </c>
      <c r="L553" s="302"/>
      <c r="M553" s="590"/>
      <c r="N553" s="628"/>
      <c r="O553" s="590"/>
      <c r="P553" s="590"/>
      <c r="Q553" s="590"/>
      <c r="R553" s="590"/>
      <c r="S553" s="302"/>
      <c r="T553" s="302"/>
      <c r="U553" s="590"/>
      <c r="V553" s="303"/>
    </row>
    <row r="554" spans="1:22" ht="15" customHeight="1" x14ac:dyDescent="0.25">
      <c r="A554" s="567"/>
      <c r="B554" s="564"/>
      <c r="C554" s="553"/>
      <c r="D554" s="553"/>
      <c r="E554" s="553"/>
      <c r="F554" s="553"/>
      <c r="G554" s="596" t="s">
        <v>324</v>
      </c>
      <c r="H554" s="596" t="s">
        <v>17325</v>
      </c>
      <c r="I554" s="596" t="s">
        <v>17326</v>
      </c>
      <c r="J554" s="286"/>
      <c r="K554" s="286">
        <f>0.97*0.9</f>
        <v>0.873</v>
      </c>
      <c r="L554" s="302"/>
      <c r="M554" s="590"/>
      <c r="N554" s="628"/>
      <c r="O554" s="590"/>
      <c r="P554" s="590"/>
      <c r="Q554" s="590"/>
      <c r="R554" s="590"/>
      <c r="S554" s="302"/>
      <c r="T554" s="302"/>
      <c r="U554" s="590"/>
      <c r="V554" s="303"/>
    </row>
    <row r="555" spans="1:22" ht="15" customHeight="1" x14ac:dyDescent="0.25">
      <c r="A555" s="567"/>
      <c r="B555" s="564"/>
      <c r="C555" s="553"/>
      <c r="D555" s="553"/>
      <c r="E555" s="553"/>
      <c r="F555" s="553"/>
      <c r="G555" s="1164" t="s">
        <v>2264</v>
      </c>
      <c r="H555" s="1164"/>
      <c r="I555" s="1164"/>
      <c r="J555" s="339"/>
      <c r="K555" s="339">
        <f>1.9058*0.9*0.6</f>
        <v>1.0291319999999999</v>
      </c>
      <c r="L555" s="302"/>
      <c r="M555" s="590"/>
      <c r="N555" s="302"/>
      <c r="O555" s="590"/>
      <c r="P555" s="590"/>
      <c r="Q555" s="590"/>
      <c r="R555" s="590"/>
      <c r="S555" s="302"/>
      <c r="T555" s="302"/>
      <c r="U555" s="590"/>
      <c r="V555" s="303"/>
    </row>
    <row r="556" spans="1:22" ht="15" customHeight="1" x14ac:dyDescent="0.25">
      <c r="A556" s="567"/>
      <c r="B556" s="564"/>
      <c r="C556" s="553"/>
      <c r="D556" s="553"/>
      <c r="E556" s="553"/>
      <c r="F556" s="553"/>
      <c r="G556" s="590" t="s">
        <v>17517</v>
      </c>
      <c r="H556" s="590" t="s">
        <v>17518</v>
      </c>
      <c r="I556" s="590" t="s">
        <v>17519</v>
      </c>
      <c r="J556" s="302"/>
      <c r="K556" s="302">
        <f>0.3*0.9</f>
        <v>0.27</v>
      </c>
      <c r="L556" s="302"/>
      <c r="M556" s="590"/>
      <c r="N556" s="302"/>
      <c r="O556" s="590"/>
      <c r="P556" s="590"/>
      <c r="Q556" s="590"/>
      <c r="R556" s="590"/>
      <c r="S556" s="302"/>
      <c r="T556" s="302"/>
      <c r="U556" s="590"/>
      <c r="V556" s="303"/>
    </row>
    <row r="557" spans="1:22" ht="15" customHeight="1" x14ac:dyDescent="0.25">
      <c r="A557" s="567"/>
      <c r="B557" s="564"/>
      <c r="C557" s="553"/>
      <c r="D557" s="553"/>
      <c r="E557" s="553"/>
      <c r="F557" s="553"/>
      <c r="G557" s="590" t="s">
        <v>17675</v>
      </c>
      <c r="H557" s="590" t="s">
        <v>17676</v>
      </c>
      <c r="I557" s="590" t="s">
        <v>17677</v>
      </c>
      <c r="J557" s="302"/>
      <c r="K557" s="302">
        <f>0.016*0.75</f>
        <v>1.2E-2</v>
      </c>
      <c r="L557" s="302"/>
      <c r="M557" s="590"/>
      <c r="N557" s="302"/>
      <c r="O557" s="590"/>
      <c r="P557" s="590"/>
      <c r="Q557" s="590"/>
      <c r="R557" s="590"/>
      <c r="S557" s="302"/>
      <c r="T557" s="302"/>
      <c r="U557" s="590"/>
      <c r="V557" s="303"/>
    </row>
    <row r="558" spans="1:22" ht="15" customHeight="1" x14ac:dyDescent="0.25">
      <c r="A558" s="567"/>
      <c r="B558" s="564"/>
      <c r="C558" s="553"/>
      <c r="D558" s="553"/>
      <c r="E558" s="553"/>
      <c r="F558" s="553"/>
      <c r="G558" s="590" t="s">
        <v>18491</v>
      </c>
      <c r="H558" s="590" t="s">
        <v>18492</v>
      </c>
      <c r="I558" s="590" t="s">
        <v>18493</v>
      </c>
      <c r="J558" s="302"/>
      <c r="K558" s="302">
        <f>0.13*0.75</f>
        <v>9.7500000000000003E-2</v>
      </c>
      <c r="L558" s="302"/>
      <c r="M558" s="590"/>
      <c r="N558" s="302"/>
      <c r="O558" s="590"/>
      <c r="P558" s="590"/>
      <c r="Q558" s="590"/>
      <c r="R558" s="590"/>
      <c r="S558" s="302"/>
      <c r="T558" s="302"/>
      <c r="U558" s="590"/>
      <c r="V558" s="303"/>
    </row>
    <row r="559" spans="1:22" ht="15" customHeight="1" x14ac:dyDescent="0.25">
      <c r="A559" s="567"/>
      <c r="B559" s="564"/>
      <c r="C559" s="553"/>
      <c r="D559" s="553"/>
      <c r="E559" s="553"/>
      <c r="F559" s="553"/>
      <c r="G559" s="1163" t="s">
        <v>18518</v>
      </c>
      <c r="H559" s="1163"/>
      <c r="I559" s="1163"/>
      <c r="J559" s="1163"/>
      <c r="K559" s="1163"/>
      <c r="L559" s="1163"/>
      <c r="M559" s="1163"/>
      <c r="N559" s="1163"/>
      <c r="O559" s="290"/>
      <c r="P559" s="290"/>
      <c r="Q559" s="290"/>
      <c r="R559" s="290"/>
      <c r="S559" s="307"/>
      <c r="T559" s="307"/>
      <c r="U559" s="290"/>
      <c r="V559" s="305"/>
    </row>
    <row r="560" spans="1:22" ht="15" customHeight="1" x14ac:dyDescent="0.25">
      <c r="A560" s="567"/>
      <c r="B560" s="564"/>
      <c r="C560" s="553"/>
      <c r="D560" s="553"/>
      <c r="E560" s="553"/>
      <c r="F560" s="553"/>
      <c r="G560" s="290" t="s">
        <v>19583</v>
      </c>
      <c r="H560" s="290" t="s">
        <v>19584</v>
      </c>
      <c r="I560" s="290" t="s">
        <v>19585</v>
      </c>
      <c r="J560" s="307"/>
      <c r="K560" s="307">
        <f>0.45*0.9</f>
        <v>0.40500000000000003</v>
      </c>
      <c r="L560" s="307"/>
      <c r="M560" s="290"/>
      <c r="N560" s="307"/>
      <c r="O560" s="290"/>
      <c r="P560" s="290"/>
      <c r="Q560" s="290"/>
      <c r="R560" s="290"/>
      <c r="S560" s="307"/>
      <c r="T560" s="307"/>
      <c r="U560" s="290"/>
      <c r="V560" s="305"/>
    </row>
    <row r="561" spans="1:22" ht="15" customHeight="1" x14ac:dyDescent="0.25">
      <c r="A561" s="567"/>
      <c r="B561" s="564"/>
      <c r="C561" s="553"/>
      <c r="D561" s="553"/>
      <c r="E561" s="553"/>
      <c r="F561" s="553"/>
      <c r="G561" s="290" t="s">
        <v>1750</v>
      </c>
      <c r="H561" s="290" t="s">
        <v>19586</v>
      </c>
      <c r="I561" s="290" t="s">
        <v>19587</v>
      </c>
      <c r="J561" s="307">
        <f>0.04*0.15</f>
        <v>6.0000000000000001E-3</v>
      </c>
      <c r="K561" s="307"/>
      <c r="L561" s="307"/>
      <c r="M561" s="290"/>
      <c r="N561" s="307"/>
      <c r="O561" s="290"/>
      <c r="P561" s="290"/>
      <c r="Q561" s="290"/>
      <c r="R561" s="290"/>
      <c r="S561" s="307"/>
      <c r="T561" s="307"/>
      <c r="U561" s="290"/>
      <c r="V561" s="305"/>
    </row>
    <row r="562" spans="1:22" ht="15" customHeight="1" x14ac:dyDescent="0.25">
      <c r="A562" s="567"/>
      <c r="B562" s="564"/>
      <c r="C562" s="553"/>
      <c r="D562" s="553"/>
      <c r="E562" s="553"/>
      <c r="F562" s="553"/>
      <c r="G562" s="290" t="s">
        <v>19588</v>
      </c>
      <c r="H562" s="290" t="s">
        <v>19589</v>
      </c>
      <c r="I562" s="290" t="s">
        <v>19590</v>
      </c>
      <c r="J562" s="307">
        <f>0.6*0.75</f>
        <v>0.44999999999999996</v>
      </c>
      <c r="K562" s="307"/>
      <c r="L562" s="307"/>
      <c r="M562" s="290"/>
      <c r="N562" s="307"/>
      <c r="O562" s="290"/>
      <c r="P562" s="290"/>
      <c r="Q562" s="290"/>
      <c r="R562" s="290"/>
      <c r="S562" s="307"/>
      <c r="T562" s="307"/>
      <c r="U562" s="290"/>
      <c r="V562" s="305"/>
    </row>
    <row r="563" spans="1:22" ht="15" customHeight="1" x14ac:dyDescent="0.25">
      <c r="A563" s="567"/>
      <c r="B563" s="564"/>
      <c r="C563" s="553"/>
      <c r="D563" s="553"/>
      <c r="E563" s="553"/>
      <c r="F563" s="553"/>
      <c r="G563" s="266" t="s">
        <v>18969</v>
      </c>
      <c r="H563" s="266" t="s">
        <v>18970</v>
      </c>
      <c r="I563" s="266" t="s">
        <v>19591</v>
      </c>
      <c r="J563" s="268"/>
      <c r="K563" s="268">
        <f>0.2*0.75</f>
        <v>0.15000000000000002</v>
      </c>
      <c r="L563" s="689"/>
      <c r="M563" s="290"/>
      <c r="N563" s="307"/>
      <c r="O563" s="290"/>
      <c r="P563" s="290"/>
      <c r="Q563" s="290"/>
      <c r="R563" s="290"/>
      <c r="S563" s="307"/>
      <c r="T563" s="307"/>
      <c r="U563" s="290"/>
      <c r="V563" s="305"/>
    </row>
    <row r="564" spans="1:22" ht="15" customHeight="1" x14ac:dyDescent="0.25">
      <c r="A564" s="567"/>
      <c r="B564" s="564"/>
      <c r="C564" s="553"/>
      <c r="D564" s="553"/>
      <c r="E564" s="553"/>
      <c r="F564" s="553"/>
      <c r="G564" s="266" t="s">
        <v>19207</v>
      </c>
      <c r="H564" s="266" t="s">
        <v>19208</v>
      </c>
      <c r="I564" s="266" t="s">
        <v>19592</v>
      </c>
      <c r="J564" s="268"/>
      <c r="K564" s="268">
        <f>0.01*0.9</f>
        <v>9.0000000000000011E-3</v>
      </c>
      <c r="L564" s="689"/>
      <c r="M564" s="290"/>
      <c r="N564" s="307"/>
      <c r="O564" s="290"/>
      <c r="P564" s="290"/>
      <c r="Q564" s="290"/>
      <c r="R564" s="290"/>
      <c r="S564" s="307"/>
      <c r="T564" s="307"/>
      <c r="U564" s="290"/>
      <c r="V564" s="305"/>
    </row>
    <row r="565" spans="1:22" ht="15" customHeight="1" x14ac:dyDescent="0.25">
      <c r="A565" s="567"/>
      <c r="B565" s="564"/>
      <c r="C565" s="553"/>
      <c r="D565" s="553"/>
      <c r="E565" s="553"/>
      <c r="F565" s="553"/>
      <c r="G565" s="266" t="s">
        <v>19281</v>
      </c>
      <c r="H565" s="266" t="s">
        <v>19282</v>
      </c>
      <c r="I565" s="266" t="s">
        <v>19593</v>
      </c>
      <c r="J565" s="268"/>
      <c r="K565" s="268">
        <f>0.11*0.9</f>
        <v>9.9000000000000005E-2</v>
      </c>
      <c r="L565" s="689"/>
      <c r="M565" s="290"/>
      <c r="N565" s="307"/>
      <c r="O565" s="290"/>
      <c r="P565" s="290"/>
      <c r="Q565" s="290"/>
      <c r="R565" s="290"/>
      <c r="S565" s="307"/>
      <c r="T565" s="307"/>
      <c r="U565" s="290"/>
      <c r="V565" s="305"/>
    </row>
    <row r="566" spans="1:22" ht="15" customHeight="1" x14ac:dyDescent="0.25">
      <c r="A566" s="567"/>
      <c r="B566" s="564"/>
      <c r="C566" s="553"/>
      <c r="D566" s="553"/>
      <c r="E566" s="553"/>
      <c r="F566" s="553"/>
      <c r="G566" s="1164" t="s">
        <v>2264</v>
      </c>
      <c r="H566" s="1164"/>
      <c r="I566" s="1164"/>
      <c r="J566" s="339"/>
      <c r="K566" s="339">
        <f>5.006*0.9*0.6</f>
        <v>2.7032400000000005</v>
      </c>
      <c r="L566" s="307"/>
      <c r="M566" s="290"/>
      <c r="N566" s="307"/>
      <c r="O566" s="290"/>
      <c r="P566" s="290"/>
      <c r="Q566" s="290"/>
      <c r="R566" s="290"/>
      <c r="S566" s="307"/>
      <c r="T566" s="307"/>
      <c r="U566" s="290"/>
      <c r="V566" s="305"/>
    </row>
    <row r="567" spans="1:22" ht="15" customHeight="1" x14ac:dyDescent="0.25">
      <c r="A567" s="795"/>
      <c r="B567" s="790"/>
      <c r="C567" s="791"/>
      <c r="D567" s="791"/>
      <c r="E567" s="791"/>
      <c r="F567" s="791"/>
      <c r="G567" s="1163" t="s">
        <v>19719</v>
      </c>
      <c r="H567" s="1163"/>
      <c r="I567" s="1163"/>
      <c r="J567" s="1163"/>
      <c r="K567" s="1163"/>
      <c r="L567" s="1163"/>
      <c r="M567" s="1163"/>
      <c r="N567" s="1163"/>
      <c r="O567" s="290"/>
      <c r="P567" s="290"/>
      <c r="Q567" s="290"/>
      <c r="R567" s="290"/>
      <c r="S567" s="802"/>
      <c r="T567" s="802"/>
      <c r="U567" s="290"/>
      <c r="V567" s="305"/>
    </row>
    <row r="568" spans="1:22" ht="15" customHeight="1" x14ac:dyDescent="0.25">
      <c r="A568" s="795"/>
      <c r="B568" s="790"/>
      <c r="C568" s="791"/>
      <c r="D568" s="791"/>
      <c r="E568" s="791"/>
      <c r="F568" s="791"/>
      <c r="G568" s="290" t="s">
        <v>19783</v>
      </c>
      <c r="H568" s="290" t="s">
        <v>19784</v>
      </c>
      <c r="I568" s="290" t="s">
        <v>19785</v>
      </c>
      <c r="J568" s="802">
        <f>0.102*0.9</f>
        <v>9.1799999999999993E-2</v>
      </c>
      <c r="K568" s="802"/>
      <c r="L568" s="802"/>
      <c r="M568" s="290"/>
      <c r="N568" s="802"/>
      <c r="O568" s="290"/>
      <c r="P568" s="290"/>
      <c r="Q568" s="290"/>
      <c r="R568" s="290"/>
      <c r="S568" s="802"/>
      <c r="T568" s="802"/>
      <c r="U568" s="290"/>
      <c r="V568" s="305"/>
    </row>
    <row r="569" spans="1:22" ht="15" customHeight="1" thickBot="1" x14ac:dyDescent="0.3">
      <c r="A569" s="242"/>
      <c r="B569" s="243"/>
      <c r="C569" s="244"/>
      <c r="D569" s="244"/>
      <c r="E569" s="244"/>
      <c r="F569" s="244"/>
      <c r="G569" s="1066" t="s">
        <v>1199</v>
      </c>
      <c r="H569" s="1066"/>
      <c r="I569" s="1066"/>
      <c r="J569" s="630"/>
      <c r="K569" s="456">
        <f>SUM(J553:K568)</f>
        <v>6.5106720000000005</v>
      </c>
      <c r="L569" s="631"/>
      <c r="M569" s="632">
        <v>0.92</v>
      </c>
      <c r="N569" s="456">
        <f>K569/M569</f>
        <v>7.0768173913043482</v>
      </c>
      <c r="O569" s="1066" t="s">
        <v>1199</v>
      </c>
      <c r="P569" s="1066"/>
      <c r="Q569" s="1066"/>
      <c r="R569" s="554"/>
      <c r="S569" s="456">
        <f>SUM(S536:S540)</f>
        <v>0</v>
      </c>
      <c r="T569" s="631"/>
      <c r="U569" s="554">
        <v>0.92</v>
      </c>
      <c r="V569" s="633">
        <f>S569/U569</f>
        <v>0</v>
      </c>
    </row>
    <row r="570" spans="1:22" ht="15" customHeight="1" x14ac:dyDescent="0.25">
      <c r="A570" s="566" t="str">
        <f>Итоговая!C329</f>
        <v xml:space="preserve">ПС 35/3 кВ №2 </v>
      </c>
      <c r="B570" s="563">
        <f>Итоговая!D329</f>
        <v>1</v>
      </c>
      <c r="C570" s="552" t="str">
        <f>Итоговая!E329</f>
        <v>+</v>
      </c>
      <c r="D570" s="552">
        <f>Итоговая!F329</f>
        <v>1</v>
      </c>
      <c r="E570" s="552"/>
      <c r="F570" s="552"/>
      <c r="G570" s="427"/>
      <c r="H570" s="427"/>
      <c r="I570" s="427"/>
      <c r="J570" s="459"/>
      <c r="K570" s="459"/>
      <c r="L570" s="460"/>
      <c r="M570" s="588"/>
      <c r="N570" s="460"/>
      <c r="O570" s="427"/>
      <c r="P570" s="427"/>
      <c r="Q570" s="427"/>
      <c r="R570" s="427"/>
      <c r="S570" s="459"/>
      <c r="T570" s="460"/>
      <c r="U570" s="427"/>
      <c r="V570" s="634"/>
    </row>
    <row r="571" spans="1:22" ht="15" customHeight="1" thickBot="1" x14ac:dyDescent="0.3">
      <c r="A571" s="242"/>
      <c r="B571" s="243"/>
      <c r="C571" s="244"/>
      <c r="D571" s="244"/>
      <c r="E571" s="244"/>
      <c r="F571" s="244"/>
      <c r="G571" s="1066" t="s">
        <v>1199</v>
      </c>
      <c r="H571" s="1066"/>
      <c r="I571" s="1066"/>
      <c r="J571" s="630"/>
      <c r="K571" s="456">
        <f>SUM(K570:K570)</f>
        <v>0</v>
      </c>
      <c r="L571" s="631"/>
      <c r="M571" s="632">
        <v>0.92</v>
      </c>
      <c r="N571" s="456">
        <f>K571/M571</f>
        <v>0</v>
      </c>
      <c r="O571" s="1066" t="s">
        <v>1199</v>
      </c>
      <c r="P571" s="1066"/>
      <c r="Q571" s="1066"/>
      <c r="R571" s="554"/>
      <c r="S571" s="456">
        <f>SUM(S570:S570)</f>
        <v>0</v>
      </c>
      <c r="T571" s="631"/>
      <c r="U571" s="554">
        <v>0.92</v>
      </c>
      <c r="V571" s="633">
        <f>S571/U571</f>
        <v>0</v>
      </c>
    </row>
    <row r="572" spans="1:22" ht="15" customHeight="1" x14ac:dyDescent="0.25">
      <c r="A572" s="566" t="str">
        <f>Итоговая!C330</f>
        <v>ПС  35/10 кВ №15</v>
      </c>
      <c r="B572" s="563">
        <f>Итоговая!D330</f>
        <v>4</v>
      </c>
      <c r="C572" s="552" t="str">
        <f>Итоговая!E330</f>
        <v>+</v>
      </c>
      <c r="D572" s="552">
        <f>Итоговая!F330</f>
        <v>6.3</v>
      </c>
      <c r="E572" s="552"/>
      <c r="F572" s="552"/>
      <c r="G572" s="1168" t="s">
        <v>1324</v>
      </c>
      <c r="H572" s="1168"/>
      <c r="I572" s="1168"/>
      <c r="J572" s="1168"/>
      <c r="K572" s="1168"/>
      <c r="L572" s="1168"/>
      <c r="M572" s="1168"/>
      <c r="N572" s="1168"/>
      <c r="O572" s="1199" t="s">
        <v>1324</v>
      </c>
      <c r="P572" s="1199"/>
      <c r="Q572" s="1199"/>
      <c r="R572" s="1199"/>
      <c r="S572" s="1199"/>
      <c r="T572" s="1199"/>
      <c r="U572" s="1199"/>
      <c r="V572" s="1200"/>
    </row>
    <row r="573" spans="1:22" ht="15" customHeight="1" x14ac:dyDescent="0.25">
      <c r="A573" s="567"/>
      <c r="B573" s="564"/>
      <c r="C573" s="553"/>
      <c r="D573" s="553"/>
      <c r="E573" s="553"/>
      <c r="F573" s="553"/>
      <c r="G573" s="690" t="s">
        <v>1403</v>
      </c>
      <c r="H573" s="596" t="s">
        <v>1404</v>
      </c>
      <c r="I573" s="690" t="s">
        <v>1582</v>
      </c>
      <c r="J573" s="645"/>
      <c r="K573" s="286">
        <v>0.2</v>
      </c>
      <c r="L573" s="302"/>
      <c r="M573" s="590"/>
      <c r="N573" s="302"/>
      <c r="O573" s="690" t="s">
        <v>1403</v>
      </c>
      <c r="P573" s="596" t="s">
        <v>1404</v>
      </c>
      <c r="Q573" s="690" t="s">
        <v>1582</v>
      </c>
      <c r="R573" s="690"/>
      <c r="S573" s="286">
        <v>0.2</v>
      </c>
      <c r="T573" s="302"/>
      <c r="U573" s="596"/>
      <c r="V573" s="303"/>
    </row>
    <row r="574" spans="1:22" ht="15" customHeight="1" x14ac:dyDescent="0.25">
      <c r="A574" s="567"/>
      <c r="B574" s="564"/>
      <c r="C574" s="553"/>
      <c r="D574" s="553"/>
      <c r="E574" s="553"/>
      <c r="F574" s="553"/>
      <c r="G574" s="1163" t="s">
        <v>1645</v>
      </c>
      <c r="H574" s="1163"/>
      <c r="I574" s="1163"/>
      <c r="J574" s="1163"/>
      <c r="K574" s="1163"/>
      <c r="L574" s="1163"/>
      <c r="M574" s="1163"/>
      <c r="N574" s="1163"/>
      <c r="O574" s="596"/>
      <c r="P574" s="596"/>
      <c r="Q574" s="596"/>
      <c r="R574" s="596"/>
      <c r="S574" s="286"/>
      <c r="T574" s="302"/>
      <c r="U574" s="596"/>
      <c r="V574" s="303"/>
    </row>
    <row r="575" spans="1:22" ht="15" customHeight="1" x14ac:dyDescent="0.25">
      <c r="A575" s="567"/>
      <c r="B575" s="564"/>
      <c r="C575" s="553"/>
      <c r="D575" s="553"/>
      <c r="E575" s="553"/>
      <c r="F575" s="553"/>
      <c r="G575" s="432" t="s">
        <v>1855</v>
      </c>
      <c r="H575" s="432" t="s">
        <v>1856</v>
      </c>
      <c r="I575" s="432" t="s">
        <v>1854</v>
      </c>
      <c r="J575" s="357"/>
      <c r="K575" s="357">
        <v>0.105</v>
      </c>
      <c r="L575" s="302"/>
      <c r="M575" s="590"/>
      <c r="N575" s="357"/>
      <c r="O575" s="596"/>
      <c r="P575" s="596"/>
      <c r="Q575" s="596"/>
      <c r="R575" s="596"/>
      <c r="S575" s="286"/>
      <c r="T575" s="302"/>
      <c r="U575" s="596"/>
      <c r="V575" s="303"/>
    </row>
    <row r="576" spans="1:22" ht="15" customHeight="1" x14ac:dyDescent="0.25">
      <c r="A576" s="567"/>
      <c r="B576" s="564"/>
      <c r="C576" s="553"/>
      <c r="D576" s="553"/>
      <c r="E576" s="553"/>
      <c r="F576" s="553"/>
      <c r="G576" s="596" t="s">
        <v>340</v>
      </c>
      <c r="H576" s="690" t="s">
        <v>1725</v>
      </c>
      <c r="I576" s="596" t="s">
        <v>1857</v>
      </c>
      <c r="J576" s="286"/>
      <c r="K576" s="286">
        <v>1.68</v>
      </c>
      <c r="L576" s="302"/>
      <c r="M576" s="590"/>
      <c r="N576" s="302"/>
      <c r="O576" s="596"/>
      <c r="P576" s="596"/>
      <c r="Q576" s="596"/>
      <c r="R576" s="596"/>
      <c r="S576" s="286"/>
      <c r="T576" s="302"/>
      <c r="U576" s="596"/>
      <c r="V576" s="303"/>
    </row>
    <row r="577" spans="1:22" ht="15" customHeight="1" x14ac:dyDescent="0.25">
      <c r="A577" s="567"/>
      <c r="B577" s="564"/>
      <c r="C577" s="553"/>
      <c r="D577" s="553"/>
      <c r="E577" s="553"/>
      <c r="F577" s="553"/>
      <c r="G577" s="1163" t="s">
        <v>18518</v>
      </c>
      <c r="H577" s="1163"/>
      <c r="I577" s="1163"/>
      <c r="J577" s="1163"/>
      <c r="K577" s="1163"/>
      <c r="L577" s="1163"/>
      <c r="M577" s="1163"/>
      <c r="N577" s="1163"/>
      <c r="O577" s="600"/>
      <c r="P577" s="600"/>
      <c r="Q577" s="600"/>
      <c r="R577" s="600"/>
      <c r="S577" s="640"/>
      <c r="T577" s="307"/>
      <c r="U577" s="600"/>
      <c r="V577" s="305"/>
    </row>
    <row r="578" spans="1:22" ht="15" customHeight="1" x14ac:dyDescent="0.25">
      <c r="A578" s="567"/>
      <c r="B578" s="564"/>
      <c r="C578" s="553"/>
      <c r="D578" s="553"/>
      <c r="E578" s="553"/>
      <c r="F578" s="553"/>
      <c r="G578" s="590" t="s">
        <v>18995</v>
      </c>
      <c r="H578" s="590" t="s">
        <v>18996</v>
      </c>
      <c r="I578" s="590">
        <v>41135097</v>
      </c>
      <c r="J578" s="302">
        <f>0.07*0.85</f>
        <v>5.9500000000000004E-2</v>
      </c>
      <c r="K578" s="302"/>
      <c r="L578" s="307"/>
      <c r="M578" s="290"/>
      <c r="N578" s="290"/>
      <c r="O578" s="600"/>
      <c r="P578" s="600"/>
      <c r="Q578" s="600"/>
      <c r="R578" s="600"/>
      <c r="S578" s="640"/>
      <c r="T578" s="307"/>
      <c r="U578" s="600"/>
      <c r="V578" s="305"/>
    </row>
    <row r="579" spans="1:22" ht="15" customHeight="1" x14ac:dyDescent="0.25">
      <c r="A579" s="567"/>
      <c r="B579" s="564"/>
      <c r="C579" s="553"/>
      <c r="D579" s="553"/>
      <c r="E579" s="553"/>
      <c r="F579" s="553"/>
      <c r="G579" s="1164" t="s">
        <v>2262</v>
      </c>
      <c r="H579" s="1164"/>
      <c r="I579" s="1164"/>
      <c r="J579" s="1165">
        <f>0.279*0.9*0.6</f>
        <v>0.15066000000000002</v>
      </c>
      <c r="K579" s="1166"/>
      <c r="L579" s="307"/>
      <c r="M579" s="290"/>
      <c r="N579" s="307"/>
      <c r="O579" s="600"/>
      <c r="P579" s="600"/>
      <c r="Q579" s="600"/>
      <c r="R579" s="600"/>
      <c r="S579" s="640"/>
      <c r="T579" s="307"/>
      <c r="U579" s="600"/>
      <c r="V579" s="305"/>
    </row>
    <row r="580" spans="1:22" ht="15" customHeight="1" thickBot="1" x14ac:dyDescent="0.3">
      <c r="A580" s="242"/>
      <c r="B580" s="243"/>
      <c r="C580" s="244"/>
      <c r="D580" s="244"/>
      <c r="E580" s="244"/>
      <c r="F580" s="244"/>
      <c r="G580" s="1066" t="s">
        <v>1199</v>
      </c>
      <c r="H580" s="1066"/>
      <c r="I580" s="1066"/>
      <c r="J580" s="630"/>
      <c r="K580" s="456">
        <f>SUM(J578:K579)</f>
        <v>0.21016000000000001</v>
      </c>
      <c r="L580" s="631"/>
      <c r="M580" s="632">
        <v>0.93</v>
      </c>
      <c r="N580" s="456">
        <f>K580/M580</f>
        <v>0.22597849462365591</v>
      </c>
      <c r="O580" s="1066" t="s">
        <v>1199</v>
      </c>
      <c r="P580" s="1066"/>
      <c r="Q580" s="1066"/>
      <c r="R580" s="554"/>
      <c r="S580" s="456">
        <f>SUM(S572:S575)</f>
        <v>0.2</v>
      </c>
      <c r="T580" s="631"/>
      <c r="U580" s="554">
        <v>0.92</v>
      </c>
      <c r="V580" s="633">
        <f>S580/U580</f>
        <v>0.21739130434782608</v>
      </c>
    </row>
    <row r="581" spans="1:22" ht="15" customHeight="1" x14ac:dyDescent="0.25">
      <c r="A581" s="1092" t="str">
        <f>Итоговая!C331</f>
        <v xml:space="preserve">ПС 35/10 кВ Медное </v>
      </c>
      <c r="B581" s="1072">
        <f>Итоговая!D331</f>
        <v>6.3</v>
      </c>
      <c r="C581" s="1067" t="str">
        <f>Итоговая!E331</f>
        <v>+</v>
      </c>
      <c r="D581" s="1067">
        <f>Итоговая!F331</f>
        <v>6.3</v>
      </c>
      <c r="E581" s="552"/>
      <c r="F581" s="552"/>
      <c r="G581" s="1168" t="s">
        <v>1286</v>
      </c>
      <c r="H581" s="1168"/>
      <c r="I581" s="1168"/>
      <c r="J581" s="1168"/>
      <c r="K581" s="1168"/>
      <c r="L581" s="1168"/>
      <c r="M581" s="1168"/>
      <c r="N581" s="1168"/>
      <c r="O581" s="1168" t="s">
        <v>1286</v>
      </c>
      <c r="P581" s="1168"/>
      <c r="Q581" s="1168"/>
      <c r="R581" s="1168"/>
      <c r="S581" s="1168"/>
      <c r="T581" s="1168"/>
      <c r="U581" s="1168"/>
      <c r="V581" s="1169"/>
    </row>
    <row r="582" spans="1:22" ht="15" customHeight="1" x14ac:dyDescent="0.25">
      <c r="A582" s="1093"/>
      <c r="B582" s="1023"/>
      <c r="C582" s="1024"/>
      <c r="D582" s="1024"/>
      <c r="E582" s="553"/>
      <c r="F582" s="553"/>
      <c r="G582" s="596"/>
      <c r="H582" s="596"/>
      <c r="I582" s="596"/>
      <c r="J582" s="286"/>
      <c r="K582" s="286"/>
      <c r="L582" s="302"/>
      <c r="M582" s="590"/>
      <c r="N582" s="302"/>
      <c r="O582" s="277" t="s">
        <v>19716</v>
      </c>
      <c r="P582" s="277" t="s">
        <v>19715</v>
      </c>
      <c r="Q582" s="691" t="s">
        <v>19714</v>
      </c>
      <c r="R582" s="691"/>
      <c r="S582" s="279">
        <f>0.16*0.75</f>
        <v>0.12</v>
      </c>
      <c r="T582" s="370"/>
      <c r="U582" s="277"/>
      <c r="V582" s="370"/>
    </row>
    <row r="583" spans="1:22" ht="15" customHeight="1" x14ac:dyDescent="0.25">
      <c r="A583" s="567"/>
      <c r="B583" s="564"/>
      <c r="C583" s="553"/>
      <c r="D583" s="553"/>
      <c r="E583" s="553"/>
      <c r="F583" s="553"/>
      <c r="G583" s="627" t="s">
        <v>232</v>
      </c>
      <c r="H583" s="627" t="s">
        <v>960</v>
      </c>
      <c r="I583" s="596" t="s">
        <v>1529</v>
      </c>
      <c r="J583" s="286"/>
      <c r="K583" s="286">
        <v>8.5000000000000006E-2</v>
      </c>
      <c r="L583" s="302"/>
      <c r="M583" s="590"/>
      <c r="N583" s="302"/>
      <c r="O583" s="1163" t="s">
        <v>1324</v>
      </c>
      <c r="P583" s="1163"/>
      <c r="Q583" s="1163"/>
      <c r="R583" s="1163"/>
      <c r="S583" s="1163"/>
      <c r="T583" s="1163"/>
      <c r="U583" s="1163"/>
      <c r="V583" s="1163"/>
    </row>
    <row r="584" spans="1:22" ht="15" customHeight="1" x14ac:dyDescent="0.25">
      <c r="A584" s="567"/>
      <c r="B584" s="564"/>
      <c r="C584" s="553"/>
      <c r="D584" s="553"/>
      <c r="E584" s="553"/>
      <c r="F584" s="553"/>
      <c r="G584" s="1163" t="s">
        <v>1324</v>
      </c>
      <c r="H584" s="1163"/>
      <c r="I584" s="1163"/>
      <c r="J584" s="1163"/>
      <c r="K584" s="1163"/>
      <c r="L584" s="1163"/>
      <c r="M584" s="1163"/>
      <c r="N584" s="1163"/>
      <c r="O584" s="277" t="s">
        <v>341</v>
      </c>
      <c r="P584" s="277" t="s">
        <v>342</v>
      </c>
      <c r="Q584" s="691" t="s">
        <v>1651</v>
      </c>
      <c r="R584" s="691"/>
      <c r="S584" s="279">
        <v>0.185</v>
      </c>
      <c r="T584" s="370"/>
      <c r="U584" s="277"/>
      <c r="V584" s="280"/>
    </row>
    <row r="585" spans="1:22" ht="15" customHeight="1" x14ac:dyDescent="0.25">
      <c r="A585" s="567"/>
      <c r="B585" s="564"/>
      <c r="C585" s="553"/>
      <c r="D585" s="553"/>
      <c r="E585" s="553"/>
      <c r="F585" s="553"/>
      <c r="G585" s="596" t="s">
        <v>1326</v>
      </c>
      <c r="H585" s="596" t="s">
        <v>1327</v>
      </c>
      <c r="I585" s="596" t="s">
        <v>1472</v>
      </c>
      <c r="J585" s="286"/>
      <c r="K585" s="286">
        <v>9.5000000000000001E-2</v>
      </c>
      <c r="L585" s="302"/>
      <c r="M585" s="590"/>
      <c r="N585" s="302"/>
      <c r="O585" s="590"/>
      <c r="P585" s="590"/>
      <c r="Q585" s="590"/>
      <c r="R585" s="590"/>
      <c r="S585" s="302"/>
      <c r="T585" s="302"/>
      <c r="U585" s="590"/>
      <c r="V585" s="303"/>
    </row>
    <row r="586" spans="1:22" ht="15" customHeight="1" x14ac:dyDescent="0.25">
      <c r="A586" s="567"/>
      <c r="B586" s="564"/>
      <c r="C586" s="553"/>
      <c r="D586" s="553"/>
      <c r="E586" s="553"/>
      <c r="F586" s="553"/>
      <c r="G586" s="1163" t="s">
        <v>1645</v>
      </c>
      <c r="H586" s="1163"/>
      <c r="I586" s="1163"/>
      <c r="J586" s="1163"/>
      <c r="K586" s="1163"/>
      <c r="L586" s="1163"/>
      <c r="M586" s="1163"/>
      <c r="N586" s="1163"/>
      <c r="O586" s="590"/>
      <c r="P586" s="590"/>
      <c r="Q586" s="590"/>
      <c r="R586" s="590"/>
      <c r="S586" s="302"/>
      <c r="T586" s="302"/>
      <c r="U586" s="590"/>
      <c r="V586" s="303"/>
    </row>
    <row r="587" spans="1:22" ht="15" customHeight="1" x14ac:dyDescent="0.25">
      <c r="A587" s="567"/>
      <c r="B587" s="564"/>
      <c r="C587" s="553"/>
      <c r="D587" s="553"/>
      <c r="E587" s="553"/>
      <c r="F587" s="553"/>
      <c r="G587" s="596" t="s">
        <v>1925</v>
      </c>
      <c r="H587" s="596" t="s">
        <v>1927</v>
      </c>
      <c r="I587" s="596" t="s">
        <v>1983</v>
      </c>
      <c r="J587" s="286"/>
      <c r="K587" s="286">
        <v>0.25679999999999997</v>
      </c>
      <c r="L587" s="302"/>
      <c r="M587" s="590"/>
      <c r="N587" s="302"/>
      <c r="O587" s="590"/>
      <c r="P587" s="590"/>
      <c r="Q587" s="590"/>
      <c r="R587" s="590"/>
      <c r="S587" s="302"/>
      <c r="T587" s="302"/>
      <c r="U587" s="590"/>
      <c r="V587" s="303"/>
    </row>
    <row r="588" spans="1:22" ht="15" customHeight="1" x14ac:dyDescent="0.25">
      <c r="A588" s="567"/>
      <c r="B588" s="564"/>
      <c r="C588" s="553"/>
      <c r="D588" s="553"/>
      <c r="E588" s="553"/>
      <c r="F588" s="553"/>
      <c r="G588" s="1163" t="s">
        <v>2290</v>
      </c>
      <c r="H588" s="1163"/>
      <c r="I588" s="1163"/>
      <c r="J588" s="1163"/>
      <c r="K588" s="1163"/>
      <c r="L588" s="1163"/>
      <c r="M588" s="1163"/>
      <c r="N588" s="1163"/>
      <c r="O588" s="590"/>
      <c r="P588" s="590"/>
      <c r="Q588" s="590"/>
      <c r="R588" s="590"/>
      <c r="S588" s="302"/>
      <c r="T588" s="302"/>
      <c r="U588" s="590"/>
      <c r="V588" s="303"/>
    </row>
    <row r="589" spans="1:22" ht="15" customHeight="1" x14ac:dyDescent="0.25">
      <c r="A589" s="567"/>
      <c r="B589" s="564"/>
      <c r="C589" s="553"/>
      <c r="D589" s="553"/>
      <c r="E589" s="553"/>
      <c r="F589" s="553"/>
      <c r="G589" s="590" t="s">
        <v>14708</v>
      </c>
      <c r="H589" s="590" t="s">
        <v>14709</v>
      </c>
      <c r="I589" s="590" t="s">
        <v>14710</v>
      </c>
      <c r="J589" s="302"/>
      <c r="K589" s="302">
        <f>0.16*0.15</f>
        <v>2.4E-2</v>
      </c>
      <c r="L589" s="302"/>
      <c r="M589" s="590"/>
      <c r="N589" s="302"/>
      <c r="O589" s="590"/>
      <c r="P589" s="590"/>
      <c r="Q589" s="590"/>
      <c r="R589" s="590"/>
      <c r="S589" s="302"/>
      <c r="T589" s="302"/>
      <c r="U589" s="590"/>
      <c r="V589" s="303"/>
    </row>
    <row r="590" spans="1:22" ht="15" customHeight="1" x14ac:dyDescent="0.25">
      <c r="A590" s="567"/>
      <c r="B590" s="564"/>
      <c r="C590" s="553"/>
      <c r="D590" s="553"/>
      <c r="E590" s="553"/>
      <c r="F590" s="553"/>
      <c r="G590" s="596" t="s">
        <v>14782</v>
      </c>
      <c r="H590" s="596" t="s">
        <v>14783</v>
      </c>
      <c r="I590" s="596" t="s">
        <v>14860</v>
      </c>
      <c r="J590" s="286"/>
      <c r="K590" s="302">
        <f>0.04*0.9</f>
        <v>3.6000000000000004E-2</v>
      </c>
      <c r="L590" s="302"/>
      <c r="M590" s="590"/>
      <c r="N590" s="302"/>
      <c r="O590" s="590"/>
      <c r="P590" s="590"/>
      <c r="Q590" s="590"/>
      <c r="R590" s="590"/>
      <c r="S590" s="302"/>
      <c r="T590" s="302"/>
      <c r="U590" s="590"/>
      <c r="V590" s="303"/>
    </row>
    <row r="591" spans="1:22" ht="15" customHeight="1" x14ac:dyDescent="0.25">
      <c r="A591" s="567"/>
      <c r="B591" s="564"/>
      <c r="C591" s="553"/>
      <c r="D591" s="553"/>
      <c r="E591" s="553"/>
      <c r="F591" s="553"/>
      <c r="G591" s="596" t="s">
        <v>13425</v>
      </c>
      <c r="H591" s="596" t="s">
        <v>14926</v>
      </c>
      <c r="I591" s="596" t="s">
        <v>14951</v>
      </c>
      <c r="J591" s="286"/>
      <c r="K591" s="302">
        <f>0.384*0.9</f>
        <v>0.34560000000000002</v>
      </c>
      <c r="L591" s="302"/>
      <c r="M591" s="590"/>
      <c r="N591" s="302"/>
      <c r="O591" s="590"/>
      <c r="P591" s="590"/>
      <c r="Q591" s="590"/>
      <c r="R591" s="590"/>
      <c r="S591" s="302"/>
      <c r="T591" s="302"/>
      <c r="U591" s="590"/>
      <c r="V591" s="303"/>
    </row>
    <row r="592" spans="1:22" ht="15" customHeight="1" x14ac:dyDescent="0.25">
      <c r="A592" s="567"/>
      <c r="B592" s="564"/>
      <c r="C592" s="553"/>
      <c r="D592" s="553"/>
      <c r="E592" s="553"/>
      <c r="F592" s="553"/>
      <c r="G592" s="1163" t="s">
        <v>14933</v>
      </c>
      <c r="H592" s="1163"/>
      <c r="I592" s="1163"/>
      <c r="J592" s="1163"/>
      <c r="K592" s="1163"/>
      <c r="L592" s="1163"/>
      <c r="M592" s="1163"/>
      <c r="N592" s="1163"/>
      <c r="O592" s="590"/>
      <c r="P592" s="590"/>
      <c r="Q592" s="590"/>
      <c r="R592" s="590"/>
      <c r="S592" s="302"/>
      <c r="T592" s="302"/>
      <c r="U592" s="590"/>
      <c r="V592" s="303"/>
    </row>
    <row r="593" spans="1:22" ht="15" customHeight="1" x14ac:dyDescent="0.25">
      <c r="A593" s="567"/>
      <c r="B593" s="564"/>
      <c r="C593" s="553"/>
      <c r="D593" s="553"/>
      <c r="E593" s="553"/>
      <c r="F593" s="553"/>
      <c r="G593" s="596" t="s">
        <v>17340</v>
      </c>
      <c r="H593" s="596" t="s">
        <v>17341</v>
      </c>
      <c r="I593" s="596" t="s">
        <v>17342</v>
      </c>
      <c r="J593" s="286"/>
      <c r="K593" s="302">
        <f>0.12*0.9</f>
        <v>0.108</v>
      </c>
      <c r="L593" s="302"/>
      <c r="M593" s="590"/>
      <c r="N593" s="302"/>
      <c r="O593" s="590"/>
      <c r="P593" s="590"/>
      <c r="Q593" s="590"/>
      <c r="R593" s="590"/>
      <c r="S593" s="302"/>
      <c r="T593" s="302"/>
      <c r="U593" s="590"/>
      <c r="V593" s="303"/>
    </row>
    <row r="594" spans="1:22" ht="15" customHeight="1" x14ac:dyDescent="0.25">
      <c r="A594" s="567"/>
      <c r="B594" s="564"/>
      <c r="C594" s="553"/>
      <c r="D594" s="553"/>
      <c r="E594" s="553"/>
      <c r="F594" s="553"/>
      <c r="G594" s="596" t="s">
        <v>17416</v>
      </c>
      <c r="H594" s="596" t="s">
        <v>17417</v>
      </c>
      <c r="I594" s="596" t="s">
        <v>17418</v>
      </c>
      <c r="J594" s="286"/>
      <c r="K594" s="302">
        <f>0.07*0.9</f>
        <v>6.3000000000000014E-2</v>
      </c>
      <c r="L594" s="302"/>
      <c r="M594" s="590"/>
      <c r="N594" s="302"/>
      <c r="O594" s="590"/>
      <c r="P594" s="590"/>
      <c r="Q594" s="590"/>
      <c r="R594" s="590"/>
      <c r="S594" s="302"/>
      <c r="T594" s="302"/>
      <c r="U594" s="590"/>
      <c r="V594" s="303"/>
    </row>
    <row r="595" spans="1:22" ht="15" customHeight="1" x14ac:dyDescent="0.25">
      <c r="A595" s="567"/>
      <c r="B595" s="564"/>
      <c r="C595" s="553"/>
      <c r="D595" s="553"/>
      <c r="E595" s="553"/>
      <c r="F595" s="553"/>
      <c r="G595" s="1164" t="s">
        <v>2262</v>
      </c>
      <c r="H595" s="1164"/>
      <c r="I595" s="1164"/>
      <c r="J595" s="1165">
        <f>0.58*0.9</f>
        <v>0.52200000000000002</v>
      </c>
      <c r="K595" s="1166"/>
      <c r="L595" s="302"/>
      <c r="M595" s="590"/>
      <c r="N595" s="302"/>
      <c r="O595" s="590"/>
      <c r="P595" s="590"/>
      <c r="Q595" s="590"/>
      <c r="R595" s="590"/>
      <c r="S595" s="302"/>
      <c r="T595" s="302"/>
      <c r="U595" s="590"/>
      <c r="V595" s="303"/>
    </row>
    <row r="596" spans="1:22" ht="15" customHeight="1" x14ac:dyDescent="0.25">
      <c r="A596" s="567"/>
      <c r="B596" s="564"/>
      <c r="C596" s="553"/>
      <c r="D596" s="553"/>
      <c r="E596" s="553"/>
      <c r="F596" s="553"/>
      <c r="G596" s="1163" t="s">
        <v>18518</v>
      </c>
      <c r="H596" s="1163"/>
      <c r="I596" s="1163"/>
      <c r="J596" s="1163"/>
      <c r="K596" s="1163"/>
      <c r="L596" s="1163"/>
      <c r="M596" s="1163"/>
      <c r="N596" s="1163"/>
      <c r="O596" s="290"/>
      <c r="P596" s="290"/>
      <c r="Q596" s="290"/>
      <c r="R596" s="290"/>
      <c r="S596" s="307"/>
      <c r="T596" s="307"/>
      <c r="U596" s="290"/>
      <c r="V596" s="305"/>
    </row>
    <row r="597" spans="1:22" ht="15" customHeight="1" x14ac:dyDescent="0.25">
      <c r="A597" s="567"/>
      <c r="B597" s="564"/>
      <c r="C597" s="553"/>
      <c r="D597" s="553"/>
      <c r="E597" s="553"/>
      <c r="F597" s="553"/>
      <c r="G597" s="290" t="s">
        <v>18889</v>
      </c>
      <c r="H597" s="290" t="s">
        <v>18890</v>
      </c>
      <c r="I597" s="290" t="s">
        <v>19606</v>
      </c>
      <c r="J597" s="307">
        <f>0.03*0.9</f>
        <v>2.7E-2</v>
      </c>
      <c r="K597" s="307"/>
      <c r="L597" s="307"/>
      <c r="M597" s="290"/>
      <c r="N597" s="307"/>
      <c r="O597" s="290"/>
      <c r="P597" s="290"/>
      <c r="Q597" s="290"/>
      <c r="R597" s="290"/>
      <c r="S597" s="307"/>
      <c r="T597" s="307"/>
      <c r="U597" s="290"/>
      <c r="V597" s="305"/>
    </row>
    <row r="598" spans="1:22" ht="15" customHeight="1" x14ac:dyDescent="0.25">
      <c r="A598" s="567"/>
      <c r="B598" s="564"/>
      <c r="C598" s="553"/>
      <c r="D598" s="553"/>
      <c r="E598" s="553"/>
      <c r="F598" s="553"/>
      <c r="G598" s="290" t="s">
        <v>18989</v>
      </c>
      <c r="H598" s="290" t="s">
        <v>18990</v>
      </c>
      <c r="I598" s="290" t="s">
        <v>19607</v>
      </c>
      <c r="J598" s="307">
        <f>0.1*0.15</f>
        <v>1.4999999999999999E-2</v>
      </c>
      <c r="K598" s="307">
        <f>0.1*0.15</f>
        <v>1.4999999999999999E-2</v>
      </c>
      <c r="L598" s="307"/>
      <c r="M598" s="290"/>
      <c r="N598" s="307"/>
      <c r="O598" s="290"/>
      <c r="P598" s="290"/>
      <c r="Q598" s="290"/>
      <c r="R598" s="290"/>
      <c r="S598" s="307"/>
      <c r="T598" s="307"/>
      <c r="U598" s="290"/>
      <c r="V598" s="305"/>
    </row>
    <row r="599" spans="1:22" ht="15" customHeight="1" x14ac:dyDescent="0.25">
      <c r="A599" s="567"/>
      <c r="B599" s="564"/>
      <c r="C599" s="553"/>
      <c r="D599" s="553"/>
      <c r="E599" s="553"/>
      <c r="F599" s="553"/>
      <c r="G599" s="290" t="s">
        <v>19275</v>
      </c>
      <c r="H599" s="290" t="s">
        <v>19276</v>
      </c>
      <c r="I599" s="290" t="s">
        <v>19608</v>
      </c>
      <c r="J599" s="307">
        <f>0.1*0.15</f>
        <v>1.4999999999999999E-2</v>
      </c>
      <c r="K599" s="307"/>
      <c r="L599" s="307"/>
      <c r="M599" s="290"/>
      <c r="N599" s="307"/>
      <c r="O599" s="290"/>
      <c r="P599" s="290"/>
      <c r="Q599" s="290"/>
      <c r="R599" s="290"/>
      <c r="S599" s="307"/>
      <c r="T599" s="307"/>
      <c r="U599" s="290"/>
      <c r="V599" s="305"/>
    </row>
    <row r="600" spans="1:22" ht="15" customHeight="1" x14ac:dyDescent="0.25">
      <c r="A600" s="567"/>
      <c r="B600" s="564"/>
      <c r="C600" s="553"/>
      <c r="D600" s="553"/>
      <c r="E600" s="553"/>
      <c r="F600" s="553"/>
      <c r="G600" s="1164" t="s">
        <v>2262</v>
      </c>
      <c r="H600" s="1164"/>
      <c r="I600" s="1164"/>
      <c r="J600" s="1165">
        <f>0.1889*0.9*0.6</f>
        <v>0.10200600000000001</v>
      </c>
      <c r="K600" s="1166"/>
      <c r="L600" s="307"/>
      <c r="M600" s="290"/>
      <c r="N600" s="307"/>
      <c r="O600" s="290"/>
      <c r="P600" s="290"/>
      <c r="Q600" s="290"/>
      <c r="R600" s="290"/>
      <c r="S600" s="307"/>
      <c r="T600" s="307"/>
      <c r="U600" s="290"/>
      <c r="V600" s="305"/>
    </row>
    <row r="601" spans="1:22" ht="15" customHeight="1" thickBot="1" x14ac:dyDescent="0.3">
      <c r="A601" s="242"/>
      <c r="B601" s="243"/>
      <c r="C601" s="244"/>
      <c r="D601" s="244"/>
      <c r="E601" s="244"/>
      <c r="F601" s="244"/>
      <c r="G601" s="1066" t="s">
        <v>1199</v>
      </c>
      <c r="H601" s="1066"/>
      <c r="I601" s="1066"/>
      <c r="J601" s="630"/>
      <c r="K601" s="456">
        <f>SUM(J593:K600)</f>
        <v>0.86700600000000017</v>
      </c>
      <c r="L601" s="631"/>
      <c r="M601" s="632">
        <v>0.92</v>
      </c>
      <c r="N601" s="456">
        <f>K601/M601</f>
        <v>0.94239782608695666</v>
      </c>
      <c r="O601" s="1066" t="s">
        <v>1199</v>
      </c>
      <c r="P601" s="1066"/>
      <c r="Q601" s="1066"/>
      <c r="R601" s="554"/>
      <c r="S601" s="456">
        <f>SUM(0)</f>
        <v>0</v>
      </c>
      <c r="T601" s="631"/>
      <c r="U601" s="554">
        <v>0.92</v>
      </c>
      <c r="V601" s="633">
        <f>S601/U601</f>
        <v>0</v>
      </c>
    </row>
    <row r="602" spans="1:22" ht="15" customHeight="1" x14ac:dyDescent="0.25">
      <c r="A602" s="566" t="str">
        <f>Итоговая!C332</f>
        <v xml:space="preserve">ПС 35/10 кВ Толмачи       </v>
      </c>
      <c r="B602" s="563">
        <f>Итоговая!D332</f>
        <v>2.5</v>
      </c>
      <c r="C602" s="552" t="str">
        <f>Итоговая!E332</f>
        <v>+</v>
      </c>
      <c r="D602" s="552">
        <f>Итоговая!F332</f>
        <v>1.8</v>
      </c>
      <c r="E602" s="552"/>
      <c r="F602" s="552"/>
      <c r="G602" s="1163" t="s">
        <v>18518</v>
      </c>
      <c r="H602" s="1163"/>
      <c r="I602" s="1163"/>
      <c r="J602" s="1163"/>
      <c r="K602" s="1163"/>
      <c r="L602" s="1163"/>
      <c r="M602" s="1163"/>
      <c r="N602" s="1163"/>
      <c r="O602" s="427"/>
      <c r="P602" s="427"/>
      <c r="Q602" s="427"/>
      <c r="R602" s="427"/>
      <c r="S602" s="459"/>
      <c r="T602" s="460"/>
      <c r="U602" s="427"/>
      <c r="V602" s="634"/>
    </row>
    <row r="603" spans="1:22" ht="15" customHeight="1" x14ac:dyDescent="0.25">
      <c r="A603" s="567"/>
      <c r="B603" s="564"/>
      <c r="C603" s="553"/>
      <c r="D603" s="553"/>
      <c r="E603" s="553"/>
      <c r="F603" s="553"/>
      <c r="G603" s="1164" t="s">
        <v>2262</v>
      </c>
      <c r="H603" s="1164"/>
      <c r="I603" s="1164"/>
      <c r="J603" s="1165">
        <f>0.149*0.9</f>
        <v>0.1341</v>
      </c>
      <c r="K603" s="1166"/>
      <c r="L603" s="307"/>
      <c r="M603" s="290"/>
      <c r="N603" s="307"/>
      <c r="O603" s="601"/>
      <c r="P603" s="601"/>
      <c r="Q603" s="601"/>
      <c r="R603" s="601"/>
      <c r="S603" s="641"/>
      <c r="T603" s="642"/>
      <c r="U603" s="601"/>
      <c r="V603" s="643"/>
    </row>
    <row r="604" spans="1:22" ht="15" customHeight="1" thickBot="1" x14ac:dyDescent="0.3">
      <c r="A604" s="242"/>
      <c r="B604" s="243"/>
      <c r="C604" s="244"/>
      <c r="D604" s="244"/>
      <c r="E604" s="244"/>
      <c r="F604" s="244"/>
      <c r="G604" s="1066" t="s">
        <v>1199</v>
      </c>
      <c r="H604" s="1066"/>
      <c r="I604" s="1066"/>
      <c r="J604" s="630"/>
      <c r="K604" s="456">
        <f>SUM(J603)</f>
        <v>0.1341</v>
      </c>
      <c r="L604" s="631"/>
      <c r="M604" s="632">
        <v>0.92</v>
      </c>
      <c r="N604" s="456">
        <f>K604/M604</f>
        <v>0.14576086956521739</v>
      </c>
      <c r="O604" s="1066" t="s">
        <v>1199</v>
      </c>
      <c r="P604" s="1066"/>
      <c r="Q604" s="1066"/>
      <c r="R604" s="554"/>
      <c r="S604" s="456">
        <f>SUM(S602:S602)</f>
        <v>0</v>
      </c>
      <c r="T604" s="631"/>
      <c r="U604" s="554">
        <v>0.92</v>
      </c>
      <c r="V604" s="633">
        <f>S604/U604</f>
        <v>0</v>
      </c>
    </row>
    <row r="605" spans="1:22" ht="15" customHeight="1" x14ac:dyDescent="0.25">
      <c r="A605" s="566" t="str">
        <f>Итоговая!C333</f>
        <v xml:space="preserve">ПС 35/10 кВ № 7 </v>
      </c>
      <c r="B605" s="563">
        <f>Итоговая!D333</f>
        <v>1.6</v>
      </c>
      <c r="C605" s="552" t="str">
        <f>Итоговая!E333</f>
        <v>+</v>
      </c>
      <c r="D605" s="552">
        <f>Итоговая!F333</f>
        <v>2.5</v>
      </c>
      <c r="E605" s="552"/>
      <c r="F605" s="552"/>
      <c r="G605" s="1168" t="s">
        <v>1324</v>
      </c>
      <c r="H605" s="1168"/>
      <c r="I605" s="1168"/>
      <c r="J605" s="1168"/>
      <c r="K605" s="1168"/>
      <c r="L605" s="1168"/>
      <c r="M605" s="1168"/>
      <c r="N605" s="1168"/>
      <c r="O605" s="427"/>
      <c r="P605" s="427"/>
      <c r="Q605" s="427"/>
      <c r="R605" s="427"/>
      <c r="S605" s="459"/>
      <c r="T605" s="460"/>
      <c r="U605" s="427"/>
      <c r="V605" s="634"/>
    </row>
    <row r="606" spans="1:22" ht="15" customHeight="1" x14ac:dyDescent="0.25">
      <c r="A606" s="567"/>
      <c r="B606" s="564"/>
      <c r="C606" s="553"/>
      <c r="D606" s="553"/>
      <c r="E606" s="553"/>
      <c r="F606" s="553"/>
      <c r="G606" s="596" t="s">
        <v>1405</v>
      </c>
      <c r="H606" s="596" t="s">
        <v>1406</v>
      </c>
      <c r="I606" s="596" t="s">
        <v>1675</v>
      </c>
      <c r="J606" s="286"/>
      <c r="K606" s="286">
        <v>0.15</v>
      </c>
      <c r="L606" s="302"/>
      <c r="M606" s="590"/>
      <c r="N606" s="302"/>
      <c r="O606" s="596"/>
      <c r="P606" s="596"/>
      <c r="Q606" s="596"/>
      <c r="R606" s="596"/>
      <c r="S606" s="286"/>
      <c r="T606" s="302"/>
      <c r="U606" s="596"/>
      <c r="V606" s="303"/>
    </row>
    <row r="607" spans="1:22" ht="15" customHeight="1" x14ac:dyDescent="0.25">
      <c r="A607" s="567"/>
      <c r="B607" s="564"/>
      <c r="C607" s="553"/>
      <c r="D607" s="553"/>
      <c r="E607" s="553"/>
      <c r="F607" s="553"/>
      <c r="G607" s="1163" t="s">
        <v>18518</v>
      </c>
      <c r="H607" s="1163"/>
      <c r="I607" s="1163"/>
      <c r="J607" s="1163"/>
      <c r="K607" s="1163"/>
      <c r="L607" s="1163"/>
      <c r="M607" s="1163"/>
      <c r="N607" s="1163"/>
      <c r="O607" s="600"/>
      <c r="P607" s="600"/>
      <c r="Q607" s="600"/>
      <c r="R607" s="600"/>
      <c r="S607" s="640"/>
      <c r="T607" s="307"/>
      <c r="U607" s="600"/>
      <c r="V607" s="305"/>
    </row>
    <row r="608" spans="1:22" ht="15" customHeight="1" x14ac:dyDescent="0.25">
      <c r="A608" s="567"/>
      <c r="B608" s="564"/>
      <c r="C608" s="553"/>
      <c r="D608" s="553"/>
      <c r="E608" s="553"/>
      <c r="F608" s="553"/>
      <c r="G608" s="590" t="s">
        <v>18953</v>
      </c>
      <c r="H608" s="590" t="s">
        <v>19541</v>
      </c>
      <c r="I608" s="590" t="s">
        <v>19547</v>
      </c>
      <c r="J608" s="302"/>
      <c r="K608" s="302">
        <f>0.47719*1</f>
        <v>0.47719</v>
      </c>
      <c r="L608" s="307"/>
      <c r="M608" s="290"/>
      <c r="N608" s="290"/>
      <c r="O608" s="600"/>
      <c r="P608" s="600"/>
      <c r="Q608" s="600"/>
      <c r="R608" s="600"/>
      <c r="S608" s="640"/>
      <c r="T608" s="307"/>
      <c r="U608" s="600"/>
      <c r="V608" s="305"/>
    </row>
    <row r="609" spans="1:22" ht="15" customHeight="1" x14ac:dyDescent="0.25">
      <c r="A609" s="567"/>
      <c r="B609" s="564"/>
      <c r="C609" s="553"/>
      <c r="D609" s="553"/>
      <c r="E609" s="553"/>
      <c r="F609" s="553"/>
      <c r="G609" s="590" t="s">
        <v>2029</v>
      </c>
      <c r="H609" s="590" t="s">
        <v>19548</v>
      </c>
      <c r="I609" s="590" t="s">
        <v>19549</v>
      </c>
      <c r="J609" s="302"/>
      <c r="K609" s="302">
        <f>0.23*0.85</f>
        <v>0.19550000000000001</v>
      </c>
      <c r="L609" s="307"/>
      <c r="M609" s="290"/>
      <c r="N609" s="290"/>
      <c r="O609" s="600"/>
      <c r="P609" s="600"/>
      <c r="Q609" s="600"/>
      <c r="R609" s="600"/>
      <c r="S609" s="640"/>
      <c r="T609" s="307"/>
      <c r="U609" s="600"/>
      <c r="V609" s="305"/>
    </row>
    <row r="610" spans="1:22" ht="15" customHeight="1" x14ac:dyDescent="0.25">
      <c r="A610" s="567"/>
      <c r="B610" s="564"/>
      <c r="C610" s="553"/>
      <c r="D610" s="553"/>
      <c r="E610" s="553"/>
      <c r="F610" s="553"/>
      <c r="G610" s="1164" t="s">
        <v>2262</v>
      </c>
      <c r="H610" s="1164"/>
      <c r="I610" s="1164"/>
      <c r="J610" s="1165">
        <f>0.05*0.9*0.6</f>
        <v>2.7000000000000003E-2</v>
      </c>
      <c r="K610" s="1166"/>
      <c r="L610" s="307"/>
      <c r="M610" s="290"/>
      <c r="N610" s="307"/>
      <c r="O610" s="600"/>
      <c r="P610" s="600"/>
      <c r="Q610" s="600"/>
      <c r="R610" s="600"/>
      <c r="S610" s="640"/>
      <c r="T610" s="307"/>
      <c r="U610" s="600"/>
      <c r="V610" s="305"/>
    </row>
    <row r="611" spans="1:22" ht="15" customHeight="1" thickBot="1" x14ac:dyDescent="0.3">
      <c r="A611" s="242"/>
      <c r="B611" s="243"/>
      <c r="C611" s="244"/>
      <c r="D611" s="244"/>
      <c r="E611" s="244"/>
      <c r="F611" s="244"/>
      <c r="G611" s="1066" t="s">
        <v>1199</v>
      </c>
      <c r="H611" s="1066"/>
      <c r="I611" s="1066"/>
      <c r="J611" s="630"/>
      <c r="K611" s="456">
        <f>SUM(J608:K610)</f>
        <v>0.69969000000000003</v>
      </c>
      <c r="L611" s="631"/>
      <c r="M611" s="632">
        <v>0.92</v>
      </c>
      <c r="N611" s="456">
        <f>K611/M611</f>
        <v>0.7605326086956522</v>
      </c>
      <c r="O611" s="1066" t="s">
        <v>1199</v>
      </c>
      <c r="P611" s="1066"/>
      <c r="Q611" s="1066"/>
      <c r="R611" s="554"/>
      <c r="S611" s="456">
        <f>SUM(S605:S605)</f>
        <v>0</v>
      </c>
      <c r="T611" s="631"/>
      <c r="U611" s="554">
        <v>0.92</v>
      </c>
      <c r="V611" s="633">
        <f>S611/U611</f>
        <v>0</v>
      </c>
    </row>
    <row r="612" spans="1:22" ht="15" customHeight="1" x14ac:dyDescent="0.25">
      <c r="A612" s="1092" t="str">
        <f>Итоговая!C334</f>
        <v xml:space="preserve">ПС  35/6 кВ № 5 </v>
      </c>
      <c r="B612" s="1072">
        <f>Итоговая!D334</f>
        <v>5.6</v>
      </c>
      <c r="C612" s="1067" t="str">
        <f>Итоговая!E334</f>
        <v>+</v>
      </c>
      <c r="D612" s="1067">
        <f>Итоговая!F334</f>
        <v>4</v>
      </c>
      <c r="E612" s="552"/>
      <c r="F612" s="552"/>
      <c r="G612" s="1168" t="s">
        <v>1324</v>
      </c>
      <c r="H612" s="1168"/>
      <c r="I612" s="1168"/>
      <c r="J612" s="1168"/>
      <c r="K612" s="1168"/>
      <c r="L612" s="1168"/>
      <c r="M612" s="1168"/>
      <c r="N612" s="1168"/>
      <c r="O612" s="1181"/>
      <c r="P612" s="1181"/>
      <c r="Q612" s="1181"/>
      <c r="R612" s="1181"/>
      <c r="S612" s="1181"/>
      <c r="T612" s="1181"/>
      <c r="U612" s="1181"/>
      <c r="V612" s="1182"/>
    </row>
    <row r="613" spans="1:22" ht="15" customHeight="1" x14ac:dyDescent="0.25">
      <c r="A613" s="1093"/>
      <c r="B613" s="1023"/>
      <c r="C613" s="1024"/>
      <c r="D613" s="1024"/>
      <c r="E613" s="553"/>
      <c r="F613" s="553"/>
      <c r="G613" s="596" t="s">
        <v>968</v>
      </c>
      <c r="H613" s="596" t="s">
        <v>969</v>
      </c>
      <c r="I613" s="596" t="s">
        <v>1461</v>
      </c>
      <c r="J613" s="286"/>
      <c r="K613" s="286">
        <v>0.12</v>
      </c>
      <c r="L613" s="302"/>
      <c r="M613" s="590"/>
      <c r="N613" s="302"/>
      <c r="O613" s="590"/>
      <c r="P613" s="590"/>
      <c r="Q613" s="590"/>
      <c r="R613" s="590"/>
      <c r="S613" s="302"/>
      <c r="T613" s="302"/>
      <c r="U613" s="590"/>
      <c r="V613" s="303"/>
    </row>
    <row r="614" spans="1:22" ht="15" customHeight="1" x14ac:dyDescent="0.25">
      <c r="A614" s="567"/>
      <c r="B614" s="564"/>
      <c r="C614" s="553"/>
      <c r="D614" s="553"/>
      <c r="E614" s="553"/>
      <c r="F614" s="553"/>
      <c r="G614" s="1163" t="s">
        <v>1645</v>
      </c>
      <c r="H614" s="1163"/>
      <c r="I614" s="1163"/>
      <c r="J614" s="1163"/>
      <c r="K614" s="1163"/>
      <c r="L614" s="1163"/>
      <c r="M614" s="1163"/>
      <c r="N614" s="1163"/>
      <c r="O614" s="590"/>
      <c r="P614" s="590"/>
      <c r="Q614" s="590"/>
      <c r="R614" s="590"/>
      <c r="S614" s="302"/>
      <c r="T614" s="302"/>
      <c r="U614" s="590"/>
      <c r="V614" s="303"/>
    </row>
    <row r="615" spans="1:22" ht="15" customHeight="1" x14ac:dyDescent="0.25">
      <c r="A615" s="567"/>
      <c r="B615" s="564"/>
      <c r="C615" s="553"/>
      <c r="D615" s="553"/>
      <c r="E615" s="553"/>
      <c r="F615" s="553"/>
      <c r="G615" s="596" t="s">
        <v>1851</v>
      </c>
      <c r="H615" s="596" t="s">
        <v>1865</v>
      </c>
      <c r="I615" s="596" t="s">
        <v>1866</v>
      </c>
      <c r="J615" s="286"/>
      <c r="K615" s="286">
        <v>0.15</v>
      </c>
      <c r="L615" s="302"/>
      <c r="M615" s="590"/>
      <c r="N615" s="302"/>
      <c r="O615" s="590"/>
      <c r="P615" s="590"/>
      <c r="Q615" s="590"/>
      <c r="R615" s="590"/>
      <c r="S615" s="302"/>
      <c r="T615" s="302"/>
      <c r="U615" s="590"/>
      <c r="V615" s="303"/>
    </row>
    <row r="616" spans="1:22" ht="15" customHeight="1" x14ac:dyDescent="0.25">
      <c r="A616" s="567"/>
      <c r="B616" s="564"/>
      <c r="C616" s="553"/>
      <c r="D616" s="553"/>
      <c r="E616" s="553"/>
      <c r="F616" s="553"/>
      <c r="G616" s="1163" t="s">
        <v>2290</v>
      </c>
      <c r="H616" s="1163"/>
      <c r="I616" s="1163"/>
      <c r="J616" s="1163"/>
      <c r="K616" s="1163"/>
      <c r="L616" s="1163"/>
      <c r="M616" s="1163"/>
      <c r="N616" s="1163"/>
      <c r="O616" s="590"/>
      <c r="P616" s="590"/>
      <c r="Q616" s="590"/>
      <c r="R616" s="590"/>
      <c r="S616" s="302"/>
      <c r="T616" s="302"/>
      <c r="U616" s="590"/>
      <c r="V616" s="303"/>
    </row>
    <row r="617" spans="1:22" ht="15" customHeight="1" x14ac:dyDescent="0.25">
      <c r="A617" s="567"/>
      <c r="B617" s="564"/>
      <c r="C617" s="553"/>
      <c r="D617" s="553"/>
      <c r="E617" s="553"/>
      <c r="F617" s="553"/>
      <c r="G617" s="590" t="s">
        <v>14794</v>
      </c>
      <c r="H617" s="590" t="s">
        <v>14795</v>
      </c>
      <c r="I617" s="467" t="s">
        <v>14842</v>
      </c>
      <c r="J617" s="646"/>
      <c r="K617" s="646">
        <f>0.35*0.15</f>
        <v>5.2499999999999998E-2</v>
      </c>
      <c r="L617" s="646"/>
      <c r="M617" s="590"/>
      <c r="N617" s="302"/>
      <c r="O617" s="590"/>
      <c r="P617" s="590"/>
      <c r="Q617" s="590"/>
      <c r="R617" s="590"/>
      <c r="S617" s="302"/>
      <c r="T617" s="302"/>
      <c r="U617" s="590"/>
      <c r="V617" s="303"/>
    </row>
    <row r="618" spans="1:22" ht="15" customHeight="1" x14ac:dyDescent="0.25">
      <c r="A618" s="567"/>
      <c r="B618" s="564"/>
      <c r="C618" s="553"/>
      <c r="D618" s="553"/>
      <c r="E618" s="553"/>
      <c r="F618" s="553"/>
      <c r="G618" s="1163" t="s">
        <v>18518</v>
      </c>
      <c r="H618" s="1163"/>
      <c r="I618" s="1163"/>
      <c r="J618" s="1163"/>
      <c r="K618" s="1163"/>
      <c r="L618" s="1163"/>
      <c r="M618" s="1163"/>
      <c r="N618" s="1163"/>
      <c r="O618" s="290"/>
      <c r="P618" s="290"/>
      <c r="Q618" s="290"/>
      <c r="R618" s="290"/>
      <c r="S618" s="307"/>
      <c r="T618" s="307"/>
      <c r="U618" s="290"/>
      <c r="V618" s="305"/>
    </row>
    <row r="619" spans="1:22" ht="15" customHeight="1" x14ac:dyDescent="0.25">
      <c r="A619" s="567"/>
      <c r="B619" s="564"/>
      <c r="C619" s="553"/>
      <c r="D619" s="553"/>
      <c r="E619" s="553"/>
      <c r="F619" s="553"/>
      <c r="G619" s="590" t="s">
        <v>1851</v>
      </c>
      <c r="H619" s="590" t="s">
        <v>19554</v>
      </c>
      <c r="I619" s="590" t="s">
        <v>19555</v>
      </c>
      <c r="J619" s="302"/>
      <c r="K619" s="302">
        <f>0.43*0.15</f>
        <v>6.4500000000000002E-2</v>
      </c>
      <c r="L619" s="307"/>
      <c r="M619" s="290"/>
      <c r="N619" s="290"/>
      <c r="O619" s="290"/>
      <c r="P619" s="290"/>
      <c r="Q619" s="290"/>
      <c r="R619" s="290"/>
      <c r="S619" s="307"/>
      <c r="T619" s="307"/>
      <c r="U619" s="290"/>
      <c r="V619" s="305"/>
    </row>
    <row r="620" spans="1:22" ht="15" customHeight="1" x14ac:dyDescent="0.25">
      <c r="A620" s="567"/>
      <c r="B620" s="564"/>
      <c r="C620" s="553"/>
      <c r="D620" s="553"/>
      <c r="E620" s="553"/>
      <c r="F620" s="553"/>
      <c r="G620" s="1164" t="s">
        <v>2262</v>
      </c>
      <c r="H620" s="1164"/>
      <c r="I620" s="1164"/>
      <c r="J620" s="1165">
        <f>0.1*0.9*0.6</f>
        <v>5.4000000000000006E-2</v>
      </c>
      <c r="K620" s="1166"/>
      <c r="L620" s="307"/>
      <c r="M620" s="290"/>
      <c r="N620" s="307"/>
      <c r="O620" s="290"/>
      <c r="P620" s="290"/>
      <c r="Q620" s="290"/>
      <c r="R620" s="290"/>
      <c r="S620" s="307"/>
      <c r="T620" s="307"/>
      <c r="U620" s="290"/>
      <c r="V620" s="305"/>
    </row>
    <row r="621" spans="1:22" ht="15" customHeight="1" thickBot="1" x14ac:dyDescent="0.3">
      <c r="A621" s="242"/>
      <c r="B621" s="243"/>
      <c r="C621" s="244"/>
      <c r="D621" s="244"/>
      <c r="E621" s="244"/>
      <c r="F621" s="244"/>
      <c r="G621" s="1066" t="s">
        <v>1199</v>
      </c>
      <c r="H621" s="1066"/>
      <c r="I621" s="1066"/>
      <c r="J621" s="630"/>
      <c r="K621" s="456">
        <f>SUM(J619:K620)</f>
        <v>0.11850000000000001</v>
      </c>
      <c r="L621" s="631"/>
      <c r="M621" s="632">
        <v>0.92</v>
      </c>
      <c r="N621" s="456">
        <f>K621/M621</f>
        <v>0.12880434782608696</v>
      </c>
      <c r="O621" s="1066" t="s">
        <v>1199</v>
      </c>
      <c r="P621" s="1066"/>
      <c r="Q621" s="1066"/>
      <c r="R621" s="554"/>
      <c r="S621" s="456">
        <f>SUM(S613:S613)</f>
        <v>0</v>
      </c>
      <c r="T621" s="631"/>
      <c r="U621" s="554">
        <v>0.92</v>
      </c>
      <c r="V621" s="633">
        <f>S621/U621</f>
        <v>0</v>
      </c>
    </row>
    <row r="622" spans="1:22" ht="15" customHeight="1" x14ac:dyDescent="0.25">
      <c r="A622" s="1092" t="str">
        <f>Итоговая!C335</f>
        <v xml:space="preserve">ПС  35/6 кВ № 9 </v>
      </c>
      <c r="B622" s="1072">
        <f>Итоговая!D335</f>
        <v>5.6</v>
      </c>
      <c r="C622" s="1067" t="str">
        <f>Итоговая!E335</f>
        <v>+</v>
      </c>
      <c r="D622" s="1067">
        <f>Итоговая!F335</f>
        <v>6.3</v>
      </c>
      <c r="E622" s="552"/>
      <c r="F622" s="552"/>
      <c r="G622" s="1168" t="s">
        <v>1324</v>
      </c>
      <c r="H622" s="1168"/>
      <c r="I622" s="1168"/>
      <c r="J622" s="1168"/>
      <c r="K622" s="1168"/>
      <c r="L622" s="1168"/>
      <c r="M622" s="1168"/>
      <c r="N622" s="1168"/>
      <c r="O622" s="1163" t="s">
        <v>2290</v>
      </c>
      <c r="P622" s="1163"/>
      <c r="Q622" s="1163"/>
      <c r="R622" s="1163"/>
      <c r="S622" s="1163"/>
      <c r="T622" s="1163"/>
      <c r="U622" s="1163"/>
      <c r="V622" s="1163"/>
    </row>
    <row r="623" spans="1:22" ht="15" customHeight="1" x14ac:dyDescent="0.25">
      <c r="A623" s="1093"/>
      <c r="B623" s="1023"/>
      <c r="C623" s="1024"/>
      <c r="D623" s="1024"/>
      <c r="E623" s="553"/>
      <c r="F623" s="553"/>
      <c r="G623" s="596" t="s">
        <v>1313</v>
      </c>
      <c r="H623" s="596" t="s">
        <v>1314</v>
      </c>
      <c r="I623" s="596" t="s">
        <v>1469</v>
      </c>
      <c r="J623" s="286"/>
      <c r="K623" s="286">
        <v>1.78E-2</v>
      </c>
      <c r="L623" s="302"/>
      <c r="M623" s="590"/>
      <c r="N623" s="302"/>
      <c r="O623" s="725" t="s">
        <v>1685</v>
      </c>
      <c r="P623" s="725" t="s">
        <v>2405</v>
      </c>
      <c r="Q623" s="725" t="s">
        <v>14712</v>
      </c>
      <c r="R623" s="286"/>
      <c r="S623" s="286">
        <f>0.03*0.75</f>
        <v>2.2499999999999999E-2</v>
      </c>
      <c r="T623" s="302"/>
      <c r="U623" s="743"/>
      <c r="V623" s="302"/>
    </row>
    <row r="624" spans="1:22" ht="15" customHeight="1" x14ac:dyDescent="0.25">
      <c r="A624" s="567"/>
      <c r="B624" s="564"/>
      <c r="C624" s="553"/>
      <c r="D624" s="553"/>
      <c r="E624" s="553"/>
      <c r="F624" s="553"/>
      <c r="G624" s="596" t="s">
        <v>1311</v>
      </c>
      <c r="H624" s="596" t="s">
        <v>1312</v>
      </c>
      <c r="I624" s="596" t="s">
        <v>1482</v>
      </c>
      <c r="J624" s="286"/>
      <c r="K624" s="286">
        <v>2.5000000000000001E-2</v>
      </c>
      <c r="L624" s="302"/>
      <c r="M624" s="590"/>
      <c r="N624" s="302"/>
      <c r="O624" s="1163" t="s">
        <v>14933</v>
      </c>
      <c r="P624" s="1163"/>
      <c r="Q624" s="1163"/>
      <c r="R624" s="1163"/>
      <c r="S624" s="1163"/>
      <c r="T624" s="1163"/>
      <c r="U624" s="1163"/>
      <c r="V624" s="1163"/>
    </row>
    <row r="625" spans="1:22" ht="15" customHeight="1" x14ac:dyDescent="0.25">
      <c r="A625" s="567"/>
      <c r="B625" s="564"/>
      <c r="C625" s="553"/>
      <c r="D625" s="553"/>
      <c r="E625" s="553"/>
      <c r="F625" s="553"/>
      <c r="G625" s="596" t="s">
        <v>1814</v>
      </c>
      <c r="H625" s="596" t="s">
        <v>1959</v>
      </c>
      <c r="I625" s="596" t="s">
        <v>1987</v>
      </c>
      <c r="J625" s="286"/>
      <c r="K625" s="286">
        <v>5.5E-2</v>
      </c>
      <c r="L625" s="302"/>
      <c r="M625" s="590"/>
      <c r="N625" s="302"/>
      <c r="O625" s="725" t="s">
        <v>2212</v>
      </c>
      <c r="P625" s="725" t="s">
        <v>2213</v>
      </c>
      <c r="Q625" s="725" t="s">
        <v>18172</v>
      </c>
      <c r="R625" s="725"/>
      <c r="S625" s="286">
        <f>0.03*0.9</f>
        <v>2.7E-2</v>
      </c>
      <c r="T625" s="302"/>
      <c r="U625" s="743"/>
      <c r="V625" s="303"/>
    </row>
    <row r="626" spans="1:22" ht="15" customHeight="1" x14ac:dyDescent="0.25">
      <c r="A626" s="567"/>
      <c r="B626" s="564"/>
      <c r="C626" s="553"/>
      <c r="D626" s="553"/>
      <c r="E626" s="553"/>
      <c r="F626" s="553"/>
      <c r="G626" s="1163" t="s">
        <v>1645</v>
      </c>
      <c r="H626" s="1163"/>
      <c r="I626" s="1163"/>
      <c r="J626" s="1163"/>
      <c r="K626" s="1163"/>
      <c r="L626" s="1163"/>
      <c r="M626" s="1163"/>
      <c r="N626" s="1163"/>
      <c r="O626" s="743" t="s">
        <v>17601</v>
      </c>
      <c r="P626" s="743" t="s">
        <v>18184</v>
      </c>
      <c r="Q626" s="743" t="s">
        <v>18185</v>
      </c>
      <c r="R626" s="743"/>
      <c r="S626" s="302">
        <v>0.06</v>
      </c>
      <c r="T626" s="302"/>
      <c r="U626" s="743"/>
      <c r="V626" s="303"/>
    </row>
    <row r="627" spans="1:22" ht="15" customHeight="1" x14ac:dyDescent="0.25">
      <c r="A627" s="567"/>
      <c r="B627" s="564"/>
      <c r="C627" s="553"/>
      <c r="D627" s="553"/>
      <c r="E627" s="553"/>
      <c r="F627" s="553"/>
      <c r="G627" s="627" t="s">
        <v>2013</v>
      </c>
      <c r="H627" s="627" t="s">
        <v>2014</v>
      </c>
      <c r="I627" s="596" t="s">
        <v>1854</v>
      </c>
      <c r="J627" s="286"/>
      <c r="K627" s="286">
        <v>0.60599999999999998</v>
      </c>
      <c r="L627" s="302"/>
      <c r="M627" s="590"/>
      <c r="N627" s="302"/>
      <c r="O627" s="1189" t="s">
        <v>18518</v>
      </c>
      <c r="P627" s="1190"/>
      <c r="Q627" s="1190"/>
      <c r="R627" s="1190"/>
      <c r="S627" s="1190"/>
      <c r="T627" s="1190"/>
      <c r="U627" s="1190"/>
      <c r="V627" s="1191"/>
    </row>
    <row r="628" spans="1:22" ht="15" customHeight="1" x14ac:dyDescent="0.25">
      <c r="A628" s="567"/>
      <c r="B628" s="564"/>
      <c r="C628" s="553"/>
      <c r="D628" s="553"/>
      <c r="E628" s="553"/>
      <c r="F628" s="553"/>
      <c r="G628" s="1163" t="s">
        <v>2011</v>
      </c>
      <c r="H628" s="1163"/>
      <c r="I628" s="1163"/>
      <c r="J628" s="1163"/>
      <c r="K628" s="1163"/>
      <c r="L628" s="1163"/>
      <c r="M628" s="1163"/>
      <c r="N628" s="1163"/>
      <c r="O628" s="725" t="s">
        <v>17378</v>
      </c>
      <c r="P628" s="725" t="s">
        <v>17379</v>
      </c>
      <c r="Q628" s="725" t="s">
        <v>17380</v>
      </c>
      <c r="R628" s="725"/>
      <c r="S628" s="286">
        <f>(0.035-0.01)*0.75</f>
        <v>1.8750000000000003E-2</v>
      </c>
      <c r="T628" s="302"/>
      <c r="U628" s="743"/>
      <c r="V628" s="303"/>
    </row>
    <row r="629" spans="1:22" ht="15" customHeight="1" x14ac:dyDescent="0.25">
      <c r="A629" s="567"/>
      <c r="B629" s="564"/>
      <c r="C629" s="553"/>
      <c r="D629" s="553"/>
      <c r="E629" s="553"/>
      <c r="F629" s="553"/>
      <c r="G629" s="596" t="s">
        <v>2039</v>
      </c>
      <c r="H629" s="596" t="s">
        <v>2099</v>
      </c>
      <c r="I629" s="596" t="s">
        <v>2114</v>
      </c>
      <c r="J629" s="286"/>
      <c r="K629" s="286">
        <f>0.2*0.9</f>
        <v>0.18000000000000002</v>
      </c>
      <c r="L629" s="302"/>
      <c r="M629" s="590"/>
      <c r="N629" s="302"/>
      <c r="O629" s="590"/>
      <c r="P629" s="590"/>
      <c r="Q629" s="590"/>
      <c r="R629" s="590"/>
      <c r="S629" s="302"/>
      <c r="T629" s="302"/>
      <c r="U629" s="590"/>
      <c r="V629" s="303"/>
    </row>
    <row r="630" spans="1:22" ht="15" customHeight="1" x14ac:dyDescent="0.25">
      <c r="A630" s="567"/>
      <c r="B630" s="564"/>
      <c r="C630" s="553"/>
      <c r="D630" s="553"/>
      <c r="E630" s="553"/>
      <c r="F630" s="553"/>
      <c r="G630" s="596" t="s">
        <v>2210</v>
      </c>
      <c r="H630" s="596" t="s">
        <v>2211</v>
      </c>
      <c r="I630" s="596" t="s">
        <v>2235</v>
      </c>
      <c r="J630" s="286"/>
      <c r="K630" s="286">
        <f>0.015*0.9</f>
        <v>1.35E-2</v>
      </c>
      <c r="L630" s="302"/>
      <c r="M630" s="590"/>
      <c r="N630" s="302"/>
      <c r="O630" s="590"/>
      <c r="P630" s="590"/>
      <c r="Q630" s="590"/>
      <c r="R630" s="590"/>
      <c r="S630" s="302"/>
      <c r="T630" s="302"/>
      <c r="U630" s="590"/>
      <c r="V630" s="303"/>
    </row>
    <row r="631" spans="1:22" ht="15" customHeight="1" x14ac:dyDescent="0.25">
      <c r="A631" s="567"/>
      <c r="B631" s="564"/>
      <c r="C631" s="553"/>
      <c r="D631" s="553"/>
      <c r="E631" s="553"/>
      <c r="F631" s="553"/>
      <c r="G631" s="1163" t="s">
        <v>2290</v>
      </c>
      <c r="H631" s="1163"/>
      <c r="I631" s="1163"/>
      <c r="J631" s="1163"/>
      <c r="K631" s="1163"/>
      <c r="L631" s="1163"/>
      <c r="M631" s="1163"/>
      <c r="N631" s="1163"/>
      <c r="O631" s="590"/>
      <c r="P631" s="590"/>
      <c r="Q631" s="590"/>
      <c r="R631" s="590"/>
      <c r="S631" s="302"/>
      <c r="T631" s="302"/>
      <c r="U631" s="590"/>
      <c r="V631" s="303"/>
    </row>
    <row r="632" spans="1:22" ht="15" customHeight="1" x14ac:dyDescent="0.25">
      <c r="A632" s="567"/>
      <c r="B632" s="564"/>
      <c r="C632" s="553"/>
      <c r="D632" s="553"/>
      <c r="E632" s="553"/>
      <c r="F632" s="553"/>
      <c r="G632" s="596" t="s">
        <v>362</v>
      </c>
      <c r="H632" s="596" t="s">
        <v>363</v>
      </c>
      <c r="I632" s="480" t="s">
        <v>14830</v>
      </c>
      <c r="J632" s="481"/>
      <c r="K632" s="302">
        <f>0.1*0.75</f>
        <v>7.5000000000000011E-2</v>
      </c>
      <c r="L632" s="302"/>
      <c r="M632" s="480"/>
      <c r="N632" s="481"/>
      <c r="O632" s="590"/>
      <c r="P632" s="590"/>
      <c r="Q632" s="590"/>
      <c r="R632" s="590"/>
      <c r="S632" s="302"/>
      <c r="T632" s="302"/>
      <c r="U632" s="590"/>
      <c r="V632" s="303"/>
    </row>
    <row r="633" spans="1:22" ht="15" customHeight="1" x14ac:dyDescent="0.25">
      <c r="A633" s="567"/>
      <c r="B633" s="564"/>
      <c r="C633" s="553"/>
      <c r="D633" s="553"/>
      <c r="E633" s="553"/>
      <c r="F633" s="553"/>
      <c r="G633" s="1163" t="s">
        <v>14933</v>
      </c>
      <c r="H633" s="1163"/>
      <c r="I633" s="1163"/>
      <c r="J633" s="1163"/>
      <c r="K633" s="1163"/>
      <c r="L633" s="1163"/>
      <c r="M633" s="1163"/>
      <c r="N633" s="1163"/>
      <c r="O633" s="590"/>
      <c r="P633" s="590"/>
      <c r="Q633" s="590"/>
      <c r="R633" s="590"/>
      <c r="S633" s="302"/>
      <c r="T633" s="302"/>
      <c r="U633" s="590"/>
      <c r="V633" s="303"/>
    </row>
    <row r="634" spans="1:22" ht="15" customHeight="1" x14ac:dyDescent="0.25">
      <c r="A634" s="567"/>
      <c r="B634" s="564"/>
      <c r="C634" s="553"/>
      <c r="D634" s="553"/>
      <c r="E634" s="553"/>
      <c r="F634" s="553"/>
      <c r="G634" s="596" t="s">
        <v>17534</v>
      </c>
      <c r="H634" s="596" t="s">
        <v>17535</v>
      </c>
      <c r="I634" s="596" t="s">
        <v>17536</v>
      </c>
      <c r="J634" s="286"/>
      <c r="K634" s="286">
        <f>0.09*0.75</f>
        <v>6.7500000000000004E-2</v>
      </c>
      <c r="L634" s="302"/>
      <c r="M634" s="590"/>
      <c r="N634" s="302"/>
      <c r="O634" s="590"/>
      <c r="P634" s="590"/>
      <c r="Q634" s="590"/>
      <c r="R634" s="590"/>
      <c r="S634" s="302"/>
      <c r="T634" s="302"/>
      <c r="U634" s="590"/>
      <c r="V634" s="303"/>
    </row>
    <row r="635" spans="1:22" ht="15" customHeight="1" x14ac:dyDescent="0.25">
      <c r="A635" s="567"/>
      <c r="B635" s="564"/>
      <c r="C635" s="553"/>
      <c r="D635" s="553"/>
      <c r="E635" s="553"/>
      <c r="F635" s="553"/>
      <c r="G635" s="596" t="s">
        <v>1685</v>
      </c>
      <c r="H635" s="596" t="s">
        <v>17591</v>
      </c>
      <c r="I635" s="596" t="s">
        <v>17592</v>
      </c>
      <c r="J635" s="286"/>
      <c r="K635" s="286">
        <f>0.065*0.75</f>
        <v>4.8750000000000002E-2</v>
      </c>
      <c r="L635" s="302"/>
      <c r="M635" s="590"/>
      <c r="N635" s="302"/>
      <c r="O635" s="590"/>
      <c r="P635" s="590"/>
      <c r="Q635" s="590"/>
      <c r="R635" s="590"/>
      <c r="S635" s="302"/>
      <c r="T635" s="302"/>
      <c r="U635" s="590"/>
      <c r="V635" s="303"/>
    </row>
    <row r="636" spans="1:22" ht="15" customHeight="1" x14ac:dyDescent="0.25">
      <c r="A636" s="567"/>
      <c r="B636" s="564"/>
      <c r="C636" s="553"/>
      <c r="D636" s="553"/>
      <c r="E636" s="553"/>
      <c r="F636" s="553"/>
      <c r="G636" s="596" t="s">
        <v>17601</v>
      </c>
      <c r="H636" s="596" t="s">
        <v>17602</v>
      </c>
      <c r="I636" s="596" t="s">
        <v>17603</v>
      </c>
      <c r="J636" s="286"/>
      <c r="K636" s="286">
        <f>0.1*0.15</f>
        <v>1.4999999999999999E-2</v>
      </c>
      <c r="L636" s="302"/>
      <c r="M636" s="590"/>
      <c r="N636" s="302"/>
      <c r="O636" s="590"/>
      <c r="P636" s="590"/>
      <c r="Q636" s="590"/>
      <c r="R636" s="590"/>
      <c r="S636" s="302"/>
      <c r="T636" s="302"/>
      <c r="U636" s="590"/>
      <c r="V636" s="303"/>
    </row>
    <row r="637" spans="1:22" ht="15" customHeight="1" x14ac:dyDescent="0.25">
      <c r="A637" s="567"/>
      <c r="B637" s="564"/>
      <c r="C637" s="553"/>
      <c r="D637" s="553"/>
      <c r="E637" s="553"/>
      <c r="F637" s="553"/>
      <c r="G637" s="1163" t="s">
        <v>18518</v>
      </c>
      <c r="H637" s="1163"/>
      <c r="I637" s="1163"/>
      <c r="J637" s="1163"/>
      <c r="K637" s="1163"/>
      <c r="L637" s="1163"/>
      <c r="M637" s="1163"/>
      <c r="N637" s="1163"/>
      <c r="O637" s="290"/>
      <c r="P637" s="290"/>
      <c r="Q637" s="290"/>
      <c r="R637" s="290"/>
      <c r="S637" s="307"/>
      <c r="T637" s="307"/>
      <c r="U637" s="290"/>
      <c r="V637" s="305"/>
    </row>
    <row r="638" spans="1:22" ht="15" customHeight="1" x14ac:dyDescent="0.25">
      <c r="A638" s="567"/>
      <c r="B638" s="564"/>
      <c r="C638" s="553"/>
      <c r="D638" s="553"/>
      <c r="E638" s="553"/>
      <c r="F638" s="553"/>
      <c r="G638" s="650" t="s">
        <v>19287</v>
      </c>
      <c r="H638" s="650" t="s">
        <v>19288</v>
      </c>
      <c r="I638" s="650" t="s">
        <v>19617</v>
      </c>
      <c r="J638" s="692"/>
      <c r="K638" s="651">
        <f>0.015*0.15</f>
        <v>2.2499999999999998E-3</v>
      </c>
      <c r="L638" s="652"/>
      <c r="M638" s="290"/>
      <c r="N638" s="653"/>
      <c r="O638" s="290"/>
      <c r="P638" s="290"/>
      <c r="Q638" s="290"/>
      <c r="R638" s="290"/>
      <c r="S638" s="307"/>
      <c r="T638" s="307"/>
      <c r="U638" s="290"/>
      <c r="V638" s="305"/>
    </row>
    <row r="639" spans="1:22" ht="15" customHeight="1" x14ac:dyDescent="0.25">
      <c r="A639" s="567"/>
      <c r="B639" s="564"/>
      <c r="C639" s="553"/>
      <c r="D639" s="553"/>
      <c r="E639" s="553"/>
      <c r="F639" s="553"/>
      <c r="G639" s="650" t="s">
        <v>2029</v>
      </c>
      <c r="H639" s="650" t="s">
        <v>19618</v>
      </c>
      <c r="I639" s="650" t="s">
        <v>19619</v>
      </c>
      <c r="J639" s="692"/>
      <c r="K639" s="651">
        <f>0.5*0.85</f>
        <v>0.42499999999999999</v>
      </c>
      <c r="L639" s="652"/>
      <c r="M639" s="290"/>
      <c r="N639" s="653"/>
      <c r="O639" s="290"/>
      <c r="P639" s="290"/>
      <c r="Q639" s="290"/>
      <c r="R639" s="290"/>
      <c r="S639" s="307"/>
      <c r="T639" s="307"/>
      <c r="U639" s="290"/>
      <c r="V639" s="305"/>
    </row>
    <row r="640" spans="1:22" ht="15" customHeight="1" x14ac:dyDescent="0.25">
      <c r="A640" s="567"/>
      <c r="B640" s="564"/>
      <c r="C640" s="553"/>
      <c r="D640" s="553"/>
      <c r="E640" s="553"/>
      <c r="F640" s="553"/>
      <c r="G640" s="650" t="s">
        <v>18971</v>
      </c>
      <c r="H640" s="650" t="s">
        <v>18972</v>
      </c>
      <c r="I640" s="650" t="s">
        <v>19620</v>
      </c>
      <c r="J640" s="692"/>
      <c r="K640" s="651">
        <f>0.05*0.9</f>
        <v>4.5000000000000005E-2</v>
      </c>
      <c r="L640" s="652"/>
      <c r="M640" s="290"/>
      <c r="N640" s="653"/>
      <c r="O640" s="290"/>
      <c r="P640" s="290"/>
      <c r="Q640" s="290"/>
      <c r="R640" s="290"/>
      <c r="S640" s="307"/>
      <c r="T640" s="307"/>
      <c r="U640" s="290"/>
      <c r="V640" s="305"/>
    </row>
    <row r="641" spans="1:22" ht="15" customHeight="1" x14ac:dyDescent="0.25">
      <c r="A641" s="567"/>
      <c r="B641" s="564"/>
      <c r="C641" s="553"/>
      <c r="D641" s="553"/>
      <c r="E641" s="553"/>
      <c r="F641" s="553"/>
      <c r="G641" s="1164" t="s">
        <v>2262</v>
      </c>
      <c r="H641" s="1164"/>
      <c r="I641" s="1164"/>
      <c r="J641" s="1165">
        <f>0.832*0.9*0.6</f>
        <v>0.44928000000000001</v>
      </c>
      <c r="K641" s="1166"/>
      <c r="L641" s="307"/>
      <c r="M641" s="290"/>
      <c r="N641" s="307"/>
      <c r="O641" s="290"/>
      <c r="P641" s="290"/>
      <c r="Q641" s="290"/>
      <c r="R641" s="290"/>
      <c r="S641" s="307"/>
      <c r="T641" s="307"/>
      <c r="U641" s="290"/>
      <c r="V641" s="305"/>
    </row>
    <row r="642" spans="1:22" ht="15" customHeight="1" x14ac:dyDescent="0.25">
      <c r="A642" s="795"/>
      <c r="B642" s="790"/>
      <c r="C642" s="791"/>
      <c r="D642" s="791"/>
      <c r="E642" s="791"/>
      <c r="F642" s="791"/>
      <c r="G642" s="1163" t="s">
        <v>19719</v>
      </c>
      <c r="H642" s="1163"/>
      <c r="I642" s="1163"/>
      <c r="J642" s="1163"/>
      <c r="K642" s="1163"/>
      <c r="L642" s="1163"/>
      <c r="M642" s="1163"/>
      <c r="N642" s="1163"/>
      <c r="O642" s="290"/>
      <c r="P642" s="290"/>
      <c r="Q642" s="290"/>
      <c r="R642" s="290"/>
      <c r="S642" s="802"/>
      <c r="T642" s="802"/>
      <c r="U642" s="290"/>
      <c r="V642" s="305"/>
    </row>
    <row r="643" spans="1:22" ht="15" customHeight="1" x14ac:dyDescent="0.25">
      <c r="A643" s="795"/>
      <c r="B643" s="790"/>
      <c r="C643" s="791"/>
      <c r="D643" s="791"/>
      <c r="E643" s="791"/>
      <c r="F643" s="791"/>
      <c r="G643" s="290" t="s">
        <v>19774</v>
      </c>
      <c r="H643" s="290" t="s">
        <v>19775</v>
      </c>
      <c r="I643" s="290" t="s">
        <v>19776</v>
      </c>
      <c r="J643" s="302">
        <f>0.02*0.75</f>
        <v>1.4999999999999999E-2</v>
      </c>
      <c r="K643" s="302"/>
      <c r="L643" s="802"/>
      <c r="M643" s="290"/>
      <c r="N643" s="802"/>
      <c r="O643" s="290"/>
      <c r="P643" s="290"/>
      <c r="Q643" s="290"/>
      <c r="R643" s="290"/>
      <c r="S643" s="802"/>
      <c r="T643" s="802"/>
      <c r="U643" s="290"/>
      <c r="V643" s="305"/>
    </row>
    <row r="644" spans="1:22" ht="15" customHeight="1" thickBot="1" x14ac:dyDescent="0.3">
      <c r="A644" s="242"/>
      <c r="B644" s="243"/>
      <c r="C644" s="244"/>
      <c r="D644" s="244"/>
      <c r="E644" s="244"/>
      <c r="F644" s="244"/>
      <c r="G644" s="1066" t="s">
        <v>1199</v>
      </c>
      <c r="H644" s="1066"/>
      <c r="I644" s="1066"/>
      <c r="J644" s="630"/>
      <c r="K644" s="456">
        <f>SUM(J634:K643)</f>
        <v>1.06778</v>
      </c>
      <c r="L644" s="631"/>
      <c r="M644" s="632">
        <v>0.92</v>
      </c>
      <c r="N644" s="456">
        <f>K644/M644</f>
        <v>1.1606304347826086</v>
      </c>
      <c r="O644" s="1066" t="s">
        <v>1199</v>
      </c>
      <c r="P644" s="1066"/>
      <c r="Q644" s="1066"/>
      <c r="R644" s="554"/>
      <c r="S644" s="456">
        <f>SUM(S623:S626)</f>
        <v>0.1095</v>
      </c>
      <c r="T644" s="631"/>
      <c r="U644" s="554">
        <v>0.92</v>
      </c>
      <c r="V644" s="633">
        <f>S644/U644</f>
        <v>0.11902173913043478</v>
      </c>
    </row>
    <row r="645" spans="1:22" ht="15" customHeight="1" x14ac:dyDescent="0.25">
      <c r="A645" s="566" t="str">
        <f>Итоговая!C336</f>
        <v xml:space="preserve">ПС 35/10 кВ № 9  </v>
      </c>
      <c r="B645" s="563">
        <f>Итоговая!D336</f>
        <v>6.3</v>
      </c>
      <c r="C645" s="552" t="str">
        <f>Итоговая!E336</f>
        <v>+</v>
      </c>
      <c r="D645" s="552">
        <f>Итоговая!F336</f>
        <v>6.3</v>
      </c>
      <c r="E645" s="552"/>
      <c r="F645" s="552"/>
      <c r="G645" s="1168" t="s">
        <v>1324</v>
      </c>
      <c r="H645" s="1168"/>
      <c r="I645" s="1168"/>
      <c r="J645" s="1168"/>
      <c r="K645" s="1168"/>
      <c r="L645" s="1168"/>
      <c r="M645" s="1168"/>
      <c r="N645" s="1168"/>
      <c r="O645" s="1163" t="s">
        <v>18518</v>
      </c>
      <c r="P645" s="1163"/>
      <c r="Q645" s="1163"/>
      <c r="R645" s="1163"/>
      <c r="S645" s="1163"/>
      <c r="T645" s="1163"/>
      <c r="U645" s="1163"/>
      <c r="V645" s="1163"/>
    </row>
    <row r="646" spans="1:22" ht="15" customHeight="1" x14ac:dyDescent="0.25">
      <c r="A646" s="567"/>
      <c r="B646" s="564"/>
      <c r="C646" s="553"/>
      <c r="D646" s="553"/>
      <c r="E646" s="553"/>
      <c r="F646" s="553"/>
      <c r="G646" s="596" t="s">
        <v>1333</v>
      </c>
      <c r="H646" s="596" t="s">
        <v>1334</v>
      </c>
      <c r="I646" s="596" t="s">
        <v>1476</v>
      </c>
      <c r="J646" s="286"/>
      <c r="K646" s="286">
        <v>7.0000000000000007E-2</v>
      </c>
      <c r="L646" s="302"/>
      <c r="M646" s="590"/>
      <c r="N646" s="302"/>
      <c r="O646" s="290" t="s">
        <v>1007</v>
      </c>
      <c r="P646" s="290" t="s">
        <v>19516</v>
      </c>
      <c r="Q646" s="290" t="s">
        <v>19517</v>
      </c>
      <c r="R646" s="744">
        <f>0.05*0.15</f>
        <v>7.4999999999999997E-3</v>
      </c>
      <c r="S646" s="744"/>
      <c r="T646" s="744"/>
      <c r="U646" s="290"/>
      <c r="V646" s="744"/>
    </row>
    <row r="647" spans="1:22" ht="15" customHeight="1" x14ac:dyDescent="0.25">
      <c r="A647" s="567"/>
      <c r="B647" s="564"/>
      <c r="C647" s="553"/>
      <c r="D647" s="553"/>
      <c r="E647" s="553"/>
      <c r="F647" s="553"/>
      <c r="G647" s="1163" t="s">
        <v>2011</v>
      </c>
      <c r="H647" s="1163"/>
      <c r="I647" s="1163"/>
      <c r="J647" s="1163"/>
      <c r="K647" s="1163"/>
      <c r="L647" s="1163"/>
      <c r="M647" s="1163"/>
      <c r="N647" s="1163"/>
      <c r="O647" s="590"/>
      <c r="P647" s="590"/>
      <c r="Q647" s="590"/>
      <c r="R647" s="590"/>
      <c r="S647" s="302"/>
      <c r="T647" s="302"/>
      <c r="U647" s="590"/>
      <c r="V647" s="303"/>
    </row>
    <row r="648" spans="1:22" ht="15" customHeight="1" x14ac:dyDescent="0.25">
      <c r="A648" s="567"/>
      <c r="B648" s="564"/>
      <c r="C648" s="553"/>
      <c r="D648" s="553"/>
      <c r="E648" s="553"/>
      <c r="F648" s="553"/>
      <c r="G648" s="548" t="s">
        <v>1721</v>
      </c>
      <c r="H648" s="590" t="s">
        <v>1787</v>
      </c>
      <c r="I648" s="596" t="s">
        <v>2057</v>
      </c>
      <c r="J648" s="286"/>
      <c r="K648" s="286">
        <v>2.3E-2</v>
      </c>
      <c r="L648" s="302"/>
      <c r="M648" s="590"/>
      <c r="N648" s="302"/>
      <c r="O648" s="590"/>
      <c r="P648" s="590"/>
      <c r="Q648" s="590"/>
      <c r="R648" s="590"/>
      <c r="S648" s="302"/>
      <c r="T648" s="302"/>
      <c r="U648" s="590"/>
      <c r="V648" s="303"/>
    </row>
    <row r="649" spans="1:22" ht="15" customHeight="1" x14ac:dyDescent="0.25">
      <c r="A649" s="693"/>
      <c r="B649" s="564"/>
      <c r="C649" s="553"/>
      <c r="D649" s="553"/>
      <c r="E649" s="553"/>
      <c r="F649" s="553"/>
      <c r="G649" s="1163" t="s">
        <v>14933</v>
      </c>
      <c r="H649" s="1163"/>
      <c r="I649" s="1163"/>
      <c r="J649" s="1163"/>
      <c r="K649" s="1163"/>
      <c r="L649" s="1163"/>
      <c r="M649" s="1163"/>
      <c r="N649" s="1163"/>
      <c r="O649" s="590"/>
      <c r="P649" s="590"/>
      <c r="Q649" s="590"/>
      <c r="R649" s="590"/>
      <c r="S649" s="302"/>
      <c r="T649" s="302"/>
      <c r="U649" s="590"/>
      <c r="V649" s="303"/>
    </row>
    <row r="650" spans="1:22" ht="15" customHeight="1" x14ac:dyDescent="0.25">
      <c r="A650" s="693"/>
      <c r="B650" s="564"/>
      <c r="C650" s="553"/>
      <c r="D650" s="553"/>
      <c r="E650" s="553"/>
      <c r="F650" s="553"/>
      <c r="G650" s="596" t="s">
        <v>17209</v>
      </c>
      <c r="H650" s="596" t="s">
        <v>17210</v>
      </c>
      <c r="I650" s="596" t="s">
        <v>17211</v>
      </c>
      <c r="J650" s="286"/>
      <c r="K650" s="286">
        <f>0.04*0.75</f>
        <v>0.03</v>
      </c>
      <c r="L650" s="302"/>
      <c r="M650" s="590"/>
      <c r="N650" s="302"/>
      <c r="O650" s="590"/>
      <c r="P650" s="590"/>
      <c r="Q650" s="590"/>
      <c r="R650" s="590"/>
      <c r="S650" s="302"/>
      <c r="T650" s="302"/>
      <c r="U650" s="590"/>
      <c r="V650" s="303"/>
    </row>
    <row r="651" spans="1:22" ht="15" customHeight="1" x14ac:dyDescent="0.25">
      <c r="A651" s="693"/>
      <c r="B651" s="564"/>
      <c r="C651" s="553"/>
      <c r="D651" s="553"/>
      <c r="E651" s="553"/>
      <c r="F651" s="553"/>
      <c r="G651" s="1164" t="s">
        <v>2262</v>
      </c>
      <c r="H651" s="1164"/>
      <c r="I651" s="1164"/>
      <c r="J651" s="1165">
        <f>0.785*0.9</f>
        <v>0.70650000000000002</v>
      </c>
      <c r="K651" s="1166"/>
      <c r="L651" s="694"/>
      <c r="M651" s="590"/>
      <c r="N651" s="302"/>
      <c r="O651" s="590"/>
      <c r="P651" s="590"/>
      <c r="Q651" s="590"/>
      <c r="R651" s="590"/>
      <c r="S651" s="302"/>
      <c r="T651" s="302"/>
      <c r="U651" s="590"/>
      <c r="V651" s="303"/>
    </row>
    <row r="652" spans="1:22" ht="15" customHeight="1" x14ac:dyDescent="0.25">
      <c r="A652" s="693"/>
      <c r="B652" s="564"/>
      <c r="C652" s="553"/>
      <c r="D652" s="553"/>
      <c r="E652" s="553"/>
      <c r="F652" s="553"/>
      <c r="G652" s="590" t="s">
        <v>17672</v>
      </c>
      <c r="H652" s="590" t="s">
        <v>17673</v>
      </c>
      <c r="I652" s="590" t="s">
        <v>17674</v>
      </c>
      <c r="J652" s="302"/>
      <c r="K652" s="302">
        <f>0.3*0.15</f>
        <v>4.4999999999999998E-2</v>
      </c>
      <c r="L652" s="302"/>
      <c r="M652" s="590"/>
      <c r="N652" s="302"/>
      <c r="O652" s="590"/>
      <c r="P652" s="590"/>
      <c r="Q652" s="590"/>
      <c r="R652" s="590"/>
      <c r="S652" s="302"/>
      <c r="T652" s="302"/>
      <c r="U652" s="590"/>
      <c r="V652" s="303"/>
    </row>
    <row r="653" spans="1:22" ht="15" customHeight="1" x14ac:dyDescent="0.25">
      <c r="A653" s="693"/>
      <c r="B653" s="564"/>
      <c r="C653" s="553"/>
      <c r="D653" s="553"/>
      <c r="E653" s="553"/>
      <c r="F653" s="553"/>
      <c r="G653" s="1163" t="s">
        <v>18518</v>
      </c>
      <c r="H653" s="1163"/>
      <c r="I653" s="1163"/>
      <c r="J653" s="1163"/>
      <c r="K653" s="1163"/>
      <c r="L653" s="1163"/>
      <c r="M653" s="1163"/>
      <c r="N653" s="1163"/>
      <c r="O653" s="290"/>
      <c r="P653" s="290"/>
      <c r="Q653" s="290"/>
      <c r="R653" s="290"/>
      <c r="S653" s="307"/>
      <c r="T653" s="307"/>
      <c r="U653" s="290"/>
      <c r="V653" s="305"/>
    </row>
    <row r="654" spans="1:22" ht="15" customHeight="1" x14ac:dyDescent="0.25">
      <c r="A654" s="693"/>
      <c r="B654" s="564"/>
      <c r="C654" s="553"/>
      <c r="D654" s="553"/>
      <c r="E654" s="553"/>
      <c r="F654" s="553"/>
      <c r="G654" s="290" t="s">
        <v>19289</v>
      </c>
      <c r="H654" s="290" t="s">
        <v>19290</v>
      </c>
      <c r="I654" s="290" t="s">
        <v>19291</v>
      </c>
      <c r="J654" s="307">
        <f>0.05*0.9</f>
        <v>4.5000000000000005E-2</v>
      </c>
      <c r="K654" s="307"/>
      <c r="L654" s="307"/>
      <c r="M654" s="290"/>
      <c r="N654" s="307"/>
      <c r="O654" s="290"/>
      <c r="P654" s="290"/>
      <c r="Q654" s="290"/>
      <c r="R654" s="290"/>
      <c r="S654" s="307"/>
      <c r="T654" s="307"/>
      <c r="U654" s="290"/>
      <c r="V654" s="305"/>
    </row>
    <row r="655" spans="1:22" ht="15" customHeight="1" x14ac:dyDescent="0.25">
      <c r="A655" s="693"/>
      <c r="B655" s="611"/>
      <c r="C655" s="610"/>
      <c r="D655" s="610"/>
      <c r="E655" s="610"/>
      <c r="F655" s="610"/>
      <c r="G655" s="1164" t="s">
        <v>2262</v>
      </c>
      <c r="H655" s="1164"/>
      <c r="I655" s="1164"/>
      <c r="J655" s="1165">
        <f>0.132*0.9*0.6</f>
        <v>7.1279999999999996E-2</v>
      </c>
      <c r="K655" s="1166"/>
      <c r="L655" s="622"/>
      <c r="M655" s="290"/>
      <c r="N655" s="622"/>
      <c r="O655" s="290"/>
      <c r="P655" s="290"/>
      <c r="Q655" s="290"/>
      <c r="R655" s="290"/>
      <c r="S655" s="622"/>
      <c r="T655" s="622"/>
      <c r="U655" s="290"/>
      <c r="V655" s="305"/>
    </row>
    <row r="656" spans="1:22" ht="15" customHeight="1" thickBot="1" x14ac:dyDescent="0.3">
      <c r="A656" s="242"/>
      <c r="B656" s="243"/>
      <c r="C656" s="244"/>
      <c r="D656" s="244"/>
      <c r="E656" s="244"/>
      <c r="F656" s="244"/>
      <c r="G656" s="1066" t="s">
        <v>1199</v>
      </c>
      <c r="H656" s="1066"/>
      <c r="I656" s="1066"/>
      <c r="J656" s="630"/>
      <c r="K656" s="456">
        <f>SUM(J650:K654)</f>
        <v>0.82650000000000012</v>
      </c>
      <c r="L656" s="631"/>
      <c r="M656" s="632">
        <v>0.92</v>
      </c>
      <c r="N656" s="456">
        <f>K656/M656</f>
        <v>0.89836956521739142</v>
      </c>
      <c r="O656" s="1066" t="s">
        <v>1199</v>
      </c>
      <c r="P656" s="1066"/>
      <c r="Q656" s="1066"/>
      <c r="R656" s="554"/>
      <c r="S656" s="456">
        <f>SUM(S646:S647)</f>
        <v>0</v>
      </c>
      <c r="T656" s="631"/>
      <c r="U656" s="554">
        <v>0.92</v>
      </c>
      <c r="V656" s="633">
        <f>S656/U656</f>
        <v>0</v>
      </c>
    </row>
    <row r="657" spans="1:22" s="475" customFormat="1" ht="15" customHeight="1" x14ac:dyDescent="0.25">
      <c r="A657" s="1092" t="str">
        <f>Итоговая!C337</f>
        <v xml:space="preserve">ПС 35/6 кВ № 10 </v>
      </c>
      <c r="B657" s="1072">
        <f>Итоговая!D337</f>
        <v>1.8</v>
      </c>
      <c r="C657" s="1067" t="str">
        <f>Итоговая!E337</f>
        <v>+</v>
      </c>
      <c r="D657" s="1067">
        <f>Итоговая!F337</f>
        <v>1.8</v>
      </c>
      <c r="E657" s="552"/>
      <c r="F657" s="552"/>
      <c r="G657" s="1168" t="s">
        <v>1287</v>
      </c>
      <c r="H657" s="1168"/>
      <c r="I657" s="1168"/>
      <c r="J657" s="1168"/>
      <c r="K657" s="1168"/>
      <c r="L657" s="1168"/>
      <c r="M657" s="1168"/>
      <c r="N657" s="1168"/>
      <c r="O657" s="1163" t="s">
        <v>1286</v>
      </c>
      <c r="P657" s="1163"/>
      <c r="Q657" s="1163"/>
      <c r="R657" s="1163"/>
      <c r="S657" s="1163"/>
      <c r="T657" s="1163"/>
      <c r="U657" s="1163"/>
      <c r="V657" s="1163"/>
    </row>
    <row r="658" spans="1:22" ht="15" customHeight="1" x14ac:dyDescent="0.25">
      <c r="A658" s="1093"/>
      <c r="B658" s="1023"/>
      <c r="C658" s="1024"/>
      <c r="D658" s="1024"/>
      <c r="E658" s="553"/>
      <c r="F658" s="553"/>
      <c r="G658" s="596" t="s">
        <v>365</v>
      </c>
      <c r="H658" s="690" t="s">
        <v>366</v>
      </c>
      <c r="I658" s="690" t="s">
        <v>367</v>
      </c>
      <c r="J658" s="645"/>
      <c r="K658" s="645">
        <v>0.03</v>
      </c>
      <c r="L658" s="646"/>
      <c r="M658" s="590"/>
      <c r="N658" s="302"/>
      <c r="O658" s="727" t="s">
        <v>19709</v>
      </c>
      <c r="P658" s="743" t="s">
        <v>19710</v>
      </c>
      <c r="Q658" s="743" t="s">
        <v>19708</v>
      </c>
      <c r="R658" s="302"/>
      <c r="S658" s="302">
        <f>0.2*0.75</f>
        <v>0.15000000000000002</v>
      </c>
      <c r="T658" s="302"/>
      <c r="U658" s="743"/>
      <c r="V658" s="302"/>
    </row>
    <row r="659" spans="1:22" ht="15" customHeight="1" x14ac:dyDescent="0.25">
      <c r="A659" s="567"/>
      <c r="B659" s="564"/>
      <c r="C659" s="553"/>
      <c r="D659" s="553"/>
      <c r="E659" s="553"/>
      <c r="F659" s="553"/>
      <c r="G659" s="1163" t="s">
        <v>1324</v>
      </c>
      <c r="H659" s="1163"/>
      <c r="I659" s="1163"/>
      <c r="J659" s="1163"/>
      <c r="K659" s="1163"/>
      <c r="L659" s="1163"/>
      <c r="M659" s="1163"/>
      <c r="N659" s="1163"/>
      <c r="O659" s="1163" t="s">
        <v>2290</v>
      </c>
      <c r="P659" s="1163"/>
      <c r="Q659" s="1163"/>
      <c r="R659" s="1163"/>
      <c r="S659" s="1163"/>
      <c r="T659" s="1163"/>
      <c r="U659" s="1163"/>
      <c r="V659" s="1163"/>
    </row>
    <row r="660" spans="1:22" ht="15" customHeight="1" x14ac:dyDescent="0.25">
      <c r="A660" s="567"/>
      <c r="B660" s="564"/>
      <c r="C660" s="553"/>
      <c r="D660" s="553"/>
      <c r="E660" s="553"/>
      <c r="F660" s="553"/>
      <c r="G660" s="596" t="s">
        <v>528</v>
      </c>
      <c r="H660" s="596" t="s">
        <v>529</v>
      </c>
      <c r="I660" s="690" t="s">
        <v>1484</v>
      </c>
      <c r="J660" s="645"/>
      <c r="K660" s="286">
        <v>0.1</v>
      </c>
      <c r="L660" s="302"/>
      <c r="M660" s="590"/>
      <c r="N660" s="302"/>
      <c r="O660" s="727" t="s">
        <v>2282</v>
      </c>
      <c r="P660" s="743" t="s">
        <v>14892</v>
      </c>
      <c r="Q660" s="743" t="s">
        <v>14964</v>
      </c>
      <c r="R660" s="302"/>
      <c r="S660" s="302">
        <f>0.26*0.9</f>
        <v>0.23400000000000001</v>
      </c>
      <c r="T660" s="302"/>
      <c r="U660" s="743"/>
      <c r="V660" s="302"/>
    </row>
    <row r="661" spans="1:22" ht="15" customHeight="1" x14ac:dyDescent="0.25">
      <c r="A661" s="567"/>
      <c r="B661" s="564"/>
      <c r="C661" s="553"/>
      <c r="D661" s="553"/>
      <c r="E661" s="553"/>
      <c r="F661" s="553"/>
      <c r="G661" s="1163" t="s">
        <v>1645</v>
      </c>
      <c r="H661" s="1163"/>
      <c r="I661" s="1163"/>
      <c r="J661" s="1163"/>
      <c r="K661" s="1163"/>
      <c r="L661" s="1163"/>
      <c r="M661" s="1163"/>
      <c r="N661" s="1163"/>
      <c r="O661" s="1189" t="s">
        <v>18518</v>
      </c>
      <c r="P661" s="1190"/>
      <c r="Q661" s="1190"/>
      <c r="R661" s="1190"/>
      <c r="S661" s="1190"/>
      <c r="T661" s="1190"/>
      <c r="U661" s="1190"/>
      <c r="V661" s="1191"/>
    </row>
    <row r="662" spans="1:22" ht="15" customHeight="1" x14ac:dyDescent="0.25">
      <c r="A662" s="567"/>
      <c r="B662" s="564"/>
      <c r="C662" s="553"/>
      <c r="D662" s="553"/>
      <c r="E662" s="553"/>
      <c r="F662" s="553"/>
      <c r="G662" s="543" t="s">
        <v>1920</v>
      </c>
      <c r="H662" s="596" t="s">
        <v>1923</v>
      </c>
      <c r="I662" s="690" t="s">
        <v>1976</v>
      </c>
      <c r="J662" s="645"/>
      <c r="K662" s="286">
        <v>2.01E-2</v>
      </c>
      <c r="L662" s="302"/>
      <c r="M662" s="590"/>
      <c r="N662" s="302"/>
      <c r="O662" s="725" t="s">
        <v>368</v>
      </c>
      <c r="P662" s="725" t="s">
        <v>975</v>
      </c>
      <c r="Q662" s="690" t="s">
        <v>1518</v>
      </c>
      <c r="R662" s="690"/>
      <c r="S662" s="286">
        <f>0.2*0.75</f>
        <v>0.15000000000000002</v>
      </c>
      <c r="T662" s="302"/>
      <c r="U662" s="725"/>
      <c r="V662" s="302"/>
    </row>
    <row r="663" spans="1:22" ht="15" customHeight="1" x14ac:dyDescent="0.25">
      <c r="A663" s="567"/>
      <c r="B663" s="564"/>
      <c r="C663" s="553"/>
      <c r="D663" s="553"/>
      <c r="E663" s="553"/>
      <c r="F663" s="553"/>
      <c r="G663" s="543" t="s">
        <v>1920</v>
      </c>
      <c r="H663" s="543" t="s">
        <v>1921</v>
      </c>
      <c r="I663" s="690" t="s">
        <v>1977</v>
      </c>
      <c r="J663" s="645"/>
      <c r="K663" s="286">
        <v>9.0300000000000005E-2</v>
      </c>
      <c r="L663" s="302"/>
      <c r="M663" s="590"/>
      <c r="N663" s="302"/>
      <c r="O663" s="590"/>
      <c r="P663" s="590"/>
      <c r="Q663" s="467"/>
      <c r="R663" s="467"/>
      <c r="S663" s="302"/>
      <c r="T663" s="302"/>
      <c r="U663" s="590"/>
      <c r="V663" s="303"/>
    </row>
    <row r="664" spans="1:22" ht="15" customHeight="1" x14ac:dyDescent="0.25">
      <c r="A664" s="567"/>
      <c r="B664" s="564"/>
      <c r="C664" s="553"/>
      <c r="D664" s="553"/>
      <c r="E664" s="553"/>
      <c r="F664" s="553"/>
      <c r="G664" s="543" t="s">
        <v>1920</v>
      </c>
      <c r="H664" s="596" t="s">
        <v>1929</v>
      </c>
      <c r="I664" s="690" t="s">
        <v>1982</v>
      </c>
      <c r="J664" s="645"/>
      <c r="K664" s="286">
        <v>3.3000000000000002E-2</v>
      </c>
      <c r="L664" s="302"/>
      <c r="M664" s="590"/>
      <c r="N664" s="302"/>
      <c r="O664" s="590"/>
      <c r="P664" s="590"/>
      <c r="Q664" s="467"/>
      <c r="R664" s="467"/>
      <c r="S664" s="302"/>
      <c r="T664" s="302"/>
      <c r="U664" s="590"/>
      <c r="V664" s="303"/>
    </row>
    <row r="665" spans="1:22" ht="15" customHeight="1" x14ac:dyDescent="0.25">
      <c r="A665" s="567"/>
      <c r="B665" s="564"/>
      <c r="C665" s="553"/>
      <c r="D665" s="553"/>
      <c r="E665" s="553"/>
      <c r="F665" s="553"/>
      <c r="G665" s="543" t="s">
        <v>1956</v>
      </c>
      <c r="H665" s="596" t="s">
        <v>1957</v>
      </c>
      <c r="I665" s="690" t="s">
        <v>1997</v>
      </c>
      <c r="J665" s="645"/>
      <c r="K665" s="286">
        <v>0.2</v>
      </c>
      <c r="L665" s="302"/>
      <c r="M665" s="590"/>
      <c r="N665" s="302"/>
      <c r="O665" s="590"/>
      <c r="P665" s="590"/>
      <c r="Q665" s="467"/>
      <c r="R665" s="467"/>
      <c r="S665" s="302"/>
      <c r="T665" s="302"/>
      <c r="U665" s="590"/>
      <c r="V665" s="303"/>
    </row>
    <row r="666" spans="1:22" ht="15" customHeight="1" x14ac:dyDescent="0.25">
      <c r="A666" s="567"/>
      <c r="B666" s="564"/>
      <c r="C666" s="553"/>
      <c r="D666" s="553"/>
      <c r="E666" s="553"/>
      <c r="F666" s="553"/>
      <c r="G666" s="1163" t="s">
        <v>2011</v>
      </c>
      <c r="H666" s="1163"/>
      <c r="I666" s="1163"/>
      <c r="J666" s="1163"/>
      <c r="K666" s="1163"/>
      <c r="L666" s="1163"/>
      <c r="M666" s="1163"/>
      <c r="N666" s="1163"/>
      <c r="O666" s="590"/>
      <c r="P666" s="590"/>
      <c r="Q666" s="467"/>
      <c r="R666" s="467"/>
      <c r="S666" s="302"/>
      <c r="T666" s="302"/>
      <c r="U666" s="590"/>
      <c r="V666" s="303"/>
    </row>
    <row r="667" spans="1:22" ht="15" customHeight="1" x14ac:dyDescent="0.25">
      <c r="A667" s="567"/>
      <c r="B667" s="564"/>
      <c r="C667" s="553"/>
      <c r="D667" s="553"/>
      <c r="E667" s="553"/>
      <c r="F667" s="553"/>
      <c r="G667" s="596" t="s">
        <v>2111</v>
      </c>
      <c r="H667" s="596" t="s">
        <v>2112</v>
      </c>
      <c r="I667" s="690" t="s">
        <v>2113</v>
      </c>
      <c r="J667" s="645"/>
      <c r="K667" s="286">
        <f>0.03*0.75</f>
        <v>2.2499999999999999E-2</v>
      </c>
      <c r="L667" s="302"/>
      <c r="M667" s="590"/>
      <c r="N667" s="302"/>
      <c r="O667" s="590"/>
      <c r="P667" s="590"/>
      <c r="Q667" s="467"/>
      <c r="R667" s="467"/>
      <c r="S667" s="302"/>
      <c r="T667" s="302"/>
      <c r="U667" s="590"/>
      <c r="V667" s="303"/>
    </row>
    <row r="668" spans="1:22" ht="15" customHeight="1" x14ac:dyDescent="0.25">
      <c r="A668" s="567"/>
      <c r="B668" s="564"/>
      <c r="C668" s="553"/>
      <c r="D668" s="553"/>
      <c r="E668" s="553"/>
      <c r="F668" s="553"/>
      <c r="G668" s="1163" t="s">
        <v>14933</v>
      </c>
      <c r="H668" s="1163"/>
      <c r="I668" s="1163"/>
      <c r="J668" s="1163"/>
      <c r="K668" s="1163"/>
      <c r="L668" s="1163"/>
      <c r="M668" s="1163"/>
      <c r="N668" s="1163"/>
      <c r="O668" s="590"/>
      <c r="P668" s="590"/>
      <c r="Q668" s="467"/>
      <c r="R668" s="467"/>
      <c r="S668" s="302"/>
      <c r="T668" s="302"/>
      <c r="U668" s="590"/>
      <c r="V668" s="303"/>
    </row>
    <row r="669" spans="1:22" ht="15" customHeight="1" x14ac:dyDescent="0.25">
      <c r="A669" s="567"/>
      <c r="B669" s="564"/>
      <c r="C669" s="553"/>
      <c r="D669" s="553"/>
      <c r="E669" s="553"/>
      <c r="F669" s="553"/>
      <c r="G669" s="1164" t="s">
        <v>2262</v>
      </c>
      <c r="H669" s="1164"/>
      <c r="I669" s="1164"/>
      <c r="J669" s="1165">
        <f>0.291*0.9</f>
        <v>0.26189999999999997</v>
      </c>
      <c r="K669" s="1166"/>
      <c r="L669" s="302"/>
      <c r="M669" s="590"/>
      <c r="N669" s="302"/>
      <c r="O669" s="590"/>
      <c r="P669" s="590"/>
      <c r="Q669" s="467"/>
      <c r="R669" s="467"/>
      <c r="S669" s="302"/>
      <c r="T669" s="302"/>
      <c r="U669" s="590"/>
      <c r="V669" s="303"/>
    </row>
    <row r="670" spans="1:22" ht="15" customHeight="1" x14ac:dyDescent="0.25">
      <c r="A670" s="567"/>
      <c r="B670" s="564"/>
      <c r="C670" s="553"/>
      <c r="D670" s="553"/>
      <c r="E670" s="553"/>
      <c r="F670" s="553"/>
      <c r="G670" s="1163" t="s">
        <v>18518</v>
      </c>
      <c r="H670" s="1163"/>
      <c r="I670" s="1163"/>
      <c r="J670" s="1163"/>
      <c r="K670" s="1163"/>
      <c r="L670" s="1163"/>
      <c r="M670" s="1163"/>
      <c r="N670" s="1163"/>
      <c r="O670" s="290"/>
      <c r="P670" s="290"/>
      <c r="Q670" s="695"/>
      <c r="R670" s="695"/>
      <c r="S670" s="307"/>
      <c r="T670" s="307"/>
      <c r="U670" s="290"/>
      <c r="V670" s="305"/>
    </row>
    <row r="671" spans="1:22" ht="15" customHeight="1" x14ac:dyDescent="0.25">
      <c r="A671" s="567"/>
      <c r="B671" s="564"/>
      <c r="C671" s="553"/>
      <c r="D671" s="553"/>
      <c r="E671" s="553"/>
      <c r="F671" s="553"/>
      <c r="G671" s="1207" t="s">
        <v>2262</v>
      </c>
      <c r="H671" s="1208"/>
      <c r="I671" s="1209"/>
      <c r="J671" s="1165">
        <f>0.4042*0.9*0.6</f>
        <v>0.21826799999999999</v>
      </c>
      <c r="K671" s="1166"/>
      <c r="L671" s="307"/>
      <c r="M671" s="290"/>
      <c r="N671" s="307"/>
      <c r="O671" s="290"/>
      <c r="P671" s="290"/>
      <c r="Q671" s="695"/>
      <c r="R671" s="695"/>
      <c r="S671" s="307"/>
      <c r="T671" s="307"/>
      <c r="U671" s="290"/>
      <c r="V671" s="305"/>
    </row>
    <row r="672" spans="1:22" ht="15" customHeight="1" thickBot="1" x14ac:dyDescent="0.3">
      <c r="A672" s="242"/>
      <c r="B672" s="243"/>
      <c r="C672" s="244"/>
      <c r="D672" s="244"/>
      <c r="E672" s="244"/>
      <c r="F672" s="244"/>
      <c r="G672" s="1066" t="s">
        <v>1199</v>
      </c>
      <c r="H672" s="1066"/>
      <c r="I672" s="1066"/>
      <c r="J672" s="630"/>
      <c r="K672" s="456">
        <f>SUM(J669:K671)</f>
        <v>0.48016799999999993</v>
      </c>
      <c r="L672" s="631"/>
      <c r="M672" s="632">
        <v>0.92</v>
      </c>
      <c r="N672" s="456">
        <f>K672/M672</f>
        <v>0.52192173913043471</v>
      </c>
      <c r="O672" s="1066" t="s">
        <v>1199</v>
      </c>
      <c r="P672" s="1066"/>
      <c r="Q672" s="1066"/>
      <c r="R672" s="554"/>
      <c r="S672" s="456">
        <f>SUM(S660)</f>
        <v>0.23400000000000001</v>
      </c>
      <c r="T672" s="631"/>
      <c r="U672" s="554">
        <v>0.92</v>
      </c>
      <c r="V672" s="633">
        <f>S672/U672</f>
        <v>0.25434782608695655</v>
      </c>
    </row>
    <row r="673" spans="1:22" ht="15" customHeight="1" x14ac:dyDescent="0.25">
      <c r="A673" s="1092" t="str">
        <f>Итоговая!C338</f>
        <v xml:space="preserve">ПС 35/10 кВ № 11  </v>
      </c>
      <c r="B673" s="1072">
        <f>Итоговая!D338</f>
        <v>10</v>
      </c>
      <c r="C673" s="1067" t="str">
        <f>Итоговая!E338</f>
        <v>+</v>
      </c>
      <c r="D673" s="1067">
        <f>Итоговая!F338</f>
        <v>6.3</v>
      </c>
      <c r="E673" s="552"/>
      <c r="F673" s="552"/>
      <c r="G673" s="1168" t="s">
        <v>1287</v>
      </c>
      <c r="H673" s="1168"/>
      <c r="I673" s="1168"/>
      <c r="J673" s="1168"/>
      <c r="K673" s="1168"/>
      <c r="L673" s="1168"/>
      <c r="M673" s="1168"/>
      <c r="N673" s="1168"/>
      <c r="O673" s="1181"/>
      <c r="P673" s="1181"/>
      <c r="Q673" s="1181"/>
      <c r="R673" s="1181"/>
      <c r="S673" s="1181"/>
      <c r="T673" s="1181"/>
      <c r="U673" s="1181"/>
      <c r="V673" s="1182"/>
    </row>
    <row r="674" spans="1:22" ht="15" customHeight="1" x14ac:dyDescent="0.25">
      <c r="A674" s="1093"/>
      <c r="B674" s="1023"/>
      <c r="C674" s="1024"/>
      <c r="D674" s="1024"/>
      <c r="E674" s="553"/>
      <c r="F674" s="553"/>
      <c r="G674" s="596" t="s">
        <v>976</v>
      </c>
      <c r="H674" s="596" t="s">
        <v>977</v>
      </c>
      <c r="I674" s="596" t="s">
        <v>978</v>
      </c>
      <c r="J674" s="286"/>
      <c r="K674" s="286">
        <v>7.4999999999999997E-2</v>
      </c>
      <c r="L674" s="302"/>
      <c r="M674" s="590"/>
      <c r="N674" s="302"/>
      <c r="O674" s="590"/>
      <c r="P674" s="590"/>
      <c r="Q674" s="590"/>
      <c r="R674" s="590"/>
      <c r="S674" s="302"/>
      <c r="T674" s="302"/>
      <c r="U674" s="590"/>
      <c r="V674" s="303"/>
    </row>
    <row r="675" spans="1:22" ht="15" customHeight="1" x14ac:dyDescent="0.25">
      <c r="A675" s="567"/>
      <c r="B675" s="564"/>
      <c r="C675" s="553"/>
      <c r="D675" s="553"/>
      <c r="E675" s="553"/>
      <c r="F675" s="553"/>
      <c r="G675" s="596" t="s">
        <v>979</v>
      </c>
      <c r="H675" s="596" t="s">
        <v>980</v>
      </c>
      <c r="I675" s="596" t="s">
        <v>981</v>
      </c>
      <c r="J675" s="286"/>
      <c r="K675" s="286">
        <v>0.04</v>
      </c>
      <c r="L675" s="302"/>
      <c r="M675" s="590"/>
      <c r="N675" s="302"/>
      <c r="O675" s="590"/>
      <c r="P675" s="590"/>
      <c r="Q675" s="590"/>
      <c r="R675" s="590"/>
      <c r="S675" s="302"/>
      <c r="T675" s="302"/>
      <c r="U675" s="590"/>
      <c r="V675" s="303"/>
    </row>
    <row r="676" spans="1:22" ht="15" customHeight="1" x14ac:dyDescent="0.25">
      <c r="A676" s="567"/>
      <c r="B676" s="564"/>
      <c r="C676" s="553"/>
      <c r="D676" s="553"/>
      <c r="E676" s="553"/>
      <c r="F676" s="553"/>
      <c r="G676" s="1163" t="s">
        <v>2011</v>
      </c>
      <c r="H676" s="1163"/>
      <c r="I676" s="1163"/>
      <c r="J676" s="1163"/>
      <c r="K676" s="1163"/>
      <c r="L676" s="1163"/>
      <c r="M676" s="1163"/>
      <c r="N676" s="1163"/>
      <c r="O676" s="590"/>
      <c r="P676" s="590"/>
      <c r="Q676" s="590"/>
      <c r="R676" s="590"/>
      <c r="S676" s="302"/>
      <c r="T676" s="302"/>
      <c r="U676" s="590"/>
      <c r="V676" s="303"/>
    </row>
    <row r="677" spans="1:22" ht="15" customHeight="1" x14ac:dyDescent="0.25">
      <c r="A677" s="567"/>
      <c r="B677" s="564"/>
      <c r="C677" s="553"/>
      <c r="D677" s="553"/>
      <c r="E677" s="553"/>
      <c r="F677" s="553"/>
      <c r="G677" s="590" t="s">
        <v>2006</v>
      </c>
      <c r="H677" s="590" t="s">
        <v>2007</v>
      </c>
      <c r="I677" s="596" t="s">
        <v>2027</v>
      </c>
      <c r="J677" s="286"/>
      <c r="K677" s="302">
        <f>(1.665-1.565+0.1)*0.9</f>
        <v>0.18000000000000008</v>
      </c>
      <c r="L677" s="302"/>
      <c r="M677" s="590"/>
      <c r="N677" s="302"/>
      <c r="O677" s="590"/>
      <c r="P677" s="590"/>
      <c r="Q677" s="590"/>
      <c r="R677" s="590"/>
      <c r="S677" s="302"/>
      <c r="T677" s="302"/>
      <c r="U677" s="590"/>
      <c r="V677" s="303"/>
    </row>
    <row r="678" spans="1:22" ht="15" customHeight="1" x14ac:dyDescent="0.25">
      <c r="A678" s="567"/>
      <c r="B678" s="564"/>
      <c r="C678" s="553"/>
      <c r="D678" s="553"/>
      <c r="E678" s="553"/>
      <c r="F678" s="553"/>
      <c r="G678" s="590" t="s">
        <v>2248</v>
      </c>
      <c r="H678" s="590" t="s">
        <v>2249</v>
      </c>
      <c r="I678" s="596" t="s">
        <v>2257</v>
      </c>
      <c r="J678" s="286"/>
      <c r="K678" s="302">
        <f>0.107*0.9</f>
        <v>9.6299999999999997E-2</v>
      </c>
      <c r="L678" s="302"/>
      <c r="M678" s="590"/>
      <c r="N678" s="302"/>
      <c r="O678" s="590"/>
      <c r="P678" s="590"/>
      <c r="Q678" s="590"/>
      <c r="R678" s="590"/>
      <c r="S678" s="302"/>
      <c r="T678" s="302"/>
      <c r="U678" s="590"/>
      <c r="V678" s="303"/>
    </row>
    <row r="679" spans="1:22" ht="15" customHeight="1" x14ac:dyDescent="0.25">
      <c r="A679" s="567"/>
      <c r="B679" s="564"/>
      <c r="C679" s="553"/>
      <c r="D679" s="553"/>
      <c r="E679" s="553"/>
      <c r="F679" s="553"/>
      <c r="G679" s="1163" t="s">
        <v>14933</v>
      </c>
      <c r="H679" s="1163"/>
      <c r="I679" s="1163"/>
      <c r="J679" s="1163"/>
      <c r="K679" s="1163"/>
      <c r="L679" s="1163"/>
      <c r="M679" s="1163"/>
      <c r="N679" s="1163"/>
      <c r="O679" s="590"/>
      <c r="P679" s="590"/>
      <c r="Q679" s="590"/>
      <c r="R679" s="590"/>
      <c r="S679" s="302"/>
      <c r="T679" s="302"/>
      <c r="U679" s="590"/>
      <c r="V679" s="303"/>
    </row>
    <row r="680" spans="1:22" ht="15" customHeight="1" x14ac:dyDescent="0.25">
      <c r="A680" s="567"/>
      <c r="B680" s="564"/>
      <c r="C680" s="553"/>
      <c r="D680" s="553"/>
      <c r="E680" s="553"/>
      <c r="F680" s="553"/>
      <c r="G680" s="480" t="s">
        <v>18494</v>
      </c>
      <c r="H680" s="480" t="s">
        <v>18495</v>
      </c>
      <c r="I680" s="480" t="s">
        <v>18496</v>
      </c>
      <c r="J680" s="481"/>
      <c r="K680" s="302">
        <f>0.26*0.9</f>
        <v>0.23400000000000001</v>
      </c>
      <c r="L680" s="302"/>
      <c r="M680" s="590"/>
      <c r="N680" s="302"/>
      <c r="O680" s="590"/>
      <c r="P680" s="590"/>
      <c r="Q680" s="590"/>
      <c r="R680" s="590"/>
      <c r="S680" s="302"/>
      <c r="T680" s="302"/>
      <c r="U680" s="590"/>
      <c r="V680" s="303"/>
    </row>
    <row r="681" spans="1:22" ht="15" customHeight="1" x14ac:dyDescent="0.25">
      <c r="A681" s="567"/>
      <c r="B681" s="564"/>
      <c r="C681" s="553"/>
      <c r="D681" s="553"/>
      <c r="E681" s="553"/>
      <c r="F681" s="553"/>
      <c r="G681" s="1163" t="s">
        <v>18518</v>
      </c>
      <c r="H681" s="1163"/>
      <c r="I681" s="1163"/>
      <c r="J681" s="1163"/>
      <c r="K681" s="1163"/>
      <c r="L681" s="1163"/>
      <c r="M681" s="1163"/>
      <c r="N681" s="1163"/>
      <c r="O681" s="290"/>
      <c r="P681" s="290"/>
      <c r="Q681" s="290"/>
      <c r="R681" s="290"/>
      <c r="S681" s="307"/>
      <c r="T681" s="307"/>
      <c r="U681" s="290"/>
      <c r="V681" s="305"/>
    </row>
    <row r="682" spans="1:22" ht="15" customHeight="1" x14ac:dyDescent="0.25">
      <c r="A682" s="567"/>
      <c r="B682" s="564"/>
      <c r="C682" s="553"/>
      <c r="D682" s="553"/>
      <c r="E682" s="553"/>
      <c r="F682" s="553"/>
      <c r="G682" s="1207" t="s">
        <v>2262</v>
      </c>
      <c r="H682" s="1208"/>
      <c r="I682" s="1209"/>
      <c r="J682" s="1165">
        <f>0.197*0.9*0.6</f>
        <v>0.10638</v>
      </c>
      <c r="K682" s="1166"/>
      <c r="L682" s="307"/>
      <c r="M682" s="290"/>
      <c r="N682" s="307"/>
      <c r="O682" s="290"/>
      <c r="P682" s="290"/>
      <c r="Q682" s="290"/>
      <c r="R682" s="290"/>
      <c r="S682" s="307"/>
      <c r="T682" s="307"/>
      <c r="U682" s="290"/>
      <c r="V682" s="305"/>
    </row>
    <row r="683" spans="1:22" ht="15" customHeight="1" x14ac:dyDescent="0.25">
      <c r="A683" s="776"/>
      <c r="B683" s="771"/>
      <c r="C683" s="772"/>
      <c r="D683" s="772"/>
      <c r="E683" s="772"/>
      <c r="F683" s="772"/>
      <c r="G683" s="1163" t="s">
        <v>19719</v>
      </c>
      <c r="H683" s="1163"/>
      <c r="I683" s="1163"/>
      <c r="J683" s="1163"/>
      <c r="K683" s="1163"/>
      <c r="L683" s="1163"/>
      <c r="M683" s="1163"/>
      <c r="N683" s="1163"/>
      <c r="O683" s="290"/>
      <c r="P683" s="290"/>
      <c r="Q683" s="290"/>
      <c r="R683" s="290"/>
      <c r="S683" s="786"/>
      <c r="T683" s="786"/>
      <c r="U683" s="290"/>
      <c r="V683" s="305"/>
    </row>
    <row r="684" spans="1:22" ht="15" customHeight="1" x14ac:dyDescent="0.25">
      <c r="A684" s="776"/>
      <c r="B684" s="771"/>
      <c r="C684" s="772"/>
      <c r="D684" s="772"/>
      <c r="E684" s="772"/>
      <c r="F684" s="772"/>
      <c r="G684" s="785" t="s">
        <v>19732</v>
      </c>
      <c r="H684" s="785" t="s">
        <v>19733</v>
      </c>
      <c r="I684" s="785" t="s">
        <v>19734</v>
      </c>
      <c r="J684" s="302"/>
      <c r="K684" s="302">
        <f>0.04*0.9</f>
        <v>3.6000000000000004E-2</v>
      </c>
      <c r="L684" s="786"/>
      <c r="M684" s="290"/>
      <c r="N684" s="786"/>
      <c r="O684" s="290"/>
      <c r="P684" s="290"/>
      <c r="Q684" s="290"/>
      <c r="R684" s="290"/>
      <c r="S684" s="786"/>
      <c r="T684" s="786"/>
      <c r="U684" s="290"/>
      <c r="V684" s="305"/>
    </row>
    <row r="685" spans="1:22" ht="15" customHeight="1" x14ac:dyDescent="0.25">
      <c r="A685" s="776"/>
      <c r="B685" s="771"/>
      <c r="C685" s="772"/>
      <c r="D685" s="772"/>
      <c r="E685" s="772"/>
      <c r="F685" s="772"/>
      <c r="G685" s="785" t="s">
        <v>19735</v>
      </c>
      <c r="H685" s="785" t="s">
        <v>19736</v>
      </c>
      <c r="I685" s="785" t="s">
        <v>19737</v>
      </c>
      <c r="J685" s="302">
        <f>0.056*0.9</f>
        <v>5.04E-2</v>
      </c>
      <c r="K685" s="302"/>
      <c r="L685" s="786"/>
      <c r="M685" s="290"/>
      <c r="N685" s="786"/>
      <c r="O685" s="290"/>
      <c r="P685" s="290"/>
      <c r="Q685" s="290"/>
      <c r="R685" s="290"/>
      <c r="S685" s="786"/>
      <c r="T685" s="786"/>
      <c r="U685" s="290"/>
      <c r="V685" s="305"/>
    </row>
    <row r="686" spans="1:22" ht="15" customHeight="1" thickBot="1" x14ac:dyDescent="0.3">
      <c r="A686" s="242"/>
      <c r="B686" s="243"/>
      <c r="C686" s="244"/>
      <c r="D686" s="244"/>
      <c r="E686" s="244"/>
      <c r="F686" s="244"/>
      <c r="G686" s="1066" t="s">
        <v>1199</v>
      </c>
      <c r="H686" s="1066"/>
      <c r="I686" s="1066"/>
      <c r="J686" s="630"/>
      <c r="K686" s="456">
        <f>SUM(J680:K685)</f>
        <v>0.42678000000000005</v>
      </c>
      <c r="L686" s="631"/>
      <c r="M686" s="632">
        <v>0.92</v>
      </c>
      <c r="N686" s="456">
        <f>K686/M686</f>
        <v>0.46389130434782611</v>
      </c>
      <c r="O686" s="554"/>
      <c r="P686" s="554"/>
      <c r="Q686" s="554"/>
      <c r="R686" s="554"/>
      <c r="S686" s="456">
        <f>SUM(S674:S675)</f>
        <v>0</v>
      </c>
      <c r="T686" s="631"/>
      <c r="U686" s="554">
        <v>0.92</v>
      </c>
      <c r="V686" s="633">
        <f>S686/U686</f>
        <v>0</v>
      </c>
    </row>
    <row r="687" spans="1:22" ht="15" customHeight="1" x14ac:dyDescent="0.25">
      <c r="A687" s="1092" t="str">
        <f>Итоговая!C339</f>
        <v xml:space="preserve">ПС 35/10 кВ Дм.Гора  </v>
      </c>
      <c r="B687" s="1072">
        <f>Итоговая!D339</f>
        <v>10</v>
      </c>
      <c r="C687" s="1067" t="str">
        <f>Итоговая!E339</f>
        <v>+</v>
      </c>
      <c r="D687" s="1067">
        <f>Итоговая!F339</f>
        <v>10</v>
      </c>
      <c r="E687" s="552"/>
      <c r="F687" s="552"/>
      <c r="G687" s="1168" t="s">
        <v>1324</v>
      </c>
      <c r="H687" s="1168"/>
      <c r="I687" s="1168"/>
      <c r="J687" s="1168"/>
      <c r="K687" s="1168"/>
      <c r="L687" s="1168"/>
      <c r="M687" s="1168"/>
      <c r="N687" s="1168"/>
      <c r="O687" s="1181"/>
      <c r="P687" s="1181"/>
      <c r="Q687" s="1181"/>
      <c r="R687" s="1181"/>
      <c r="S687" s="1181"/>
      <c r="T687" s="1181"/>
      <c r="U687" s="1181"/>
      <c r="V687" s="1182"/>
    </row>
    <row r="688" spans="1:22" ht="15" customHeight="1" x14ac:dyDescent="0.25">
      <c r="A688" s="1093"/>
      <c r="B688" s="1023"/>
      <c r="C688" s="1024"/>
      <c r="D688" s="1024"/>
      <c r="E688" s="553"/>
      <c r="F688" s="553"/>
      <c r="G688" s="596" t="s">
        <v>1308</v>
      </c>
      <c r="H688" s="596" t="s">
        <v>1309</v>
      </c>
      <c r="I688" s="596" t="s">
        <v>1465</v>
      </c>
      <c r="J688" s="286"/>
      <c r="K688" s="286">
        <v>0.1</v>
      </c>
      <c r="L688" s="302"/>
      <c r="M688" s="590"/>
      <c r="N688" s="302"/>
      <c r="O688" s="590"/>
      <c r="P688" s="590"/>
      <c r="Q688" s="590"/>
      <c r="R688" s="590"/>
      <c r="S688" s="302"/>
      <c r="T688" s="302"/>
      <c r="U688" s="590"/>
      <c r="V688" s="303"/>
    </row>
    <row r="689" spans="1:22" ht="15" customHeight="1" x14ac:dyDescent="0.25">
      <c r="A689" s="567"/>
      <c r="B689" s="564"/>
      <c r="C689" s="553"/>
      <c r="D689" s="553"/>
      <c r="E689" s="553"/>
      <c r="F689" s="553"/>
      <c r="G689" s="596" t="s">
        <v>1396</v>
      </c>
      <c r="H689" s="596" t="s">
        <v>1397</v>
      </c>
      <c r="I689" s="596" t="s">
        <v>1496</v>
      </c>
      <c r="J689" s="286"/>
      <c r="K689" s="286">
        <v>1.8</v>
      </c>
      <c r="L689" s="302"/>
      <c r="M689" s="590"/>
      <c r="N689" s="302"/>
      <c r="O689" s="590"/>
      <c r="P689" s="590"/>
      <c r="Q689" s="590"/>
      <c r="R689" s="590"/>
      <c r="S689" s="302"/>
      <c r="T689" s="302"/>
      <c r="U689" s="590"/>
      <c r="V689" s="303"/>
    </row>
    <row r="690" spans="1:22" ht="15" customHeight="1" x14ac:dyDescent="0.25">
      <c r="A690" s="567"/>
      <c r="B690" s="564"/>
      <c r="C690" s="553"/>
      <c r="D690" s="553"/>
      <c r="E690" s="553"/>
      <c r="F690" s="553"/>
      <c r="G690" s="596" t="s">
        <v>1554</v>
      </c>
      <c r="H690" s="596" t="s">
        <v>1640</v>
      </c>
      <c r="I690" s="596" t="s">
        <v>1641</v>
      </c>
      <c r="J690" s="286"/>
      <c r="K690" s="286">
        <v>0.25</v>
      </c>
      <c r="L690" s="302"/>
      <c r="M690" s="590"/>
      <c r="N690" s="302"/>
      <c r="O690" s="590"/>
      <c r="P690" s="590"/>
      <c r="Q690" s="590"/>
      <c r="R690" s="590"/>
      <c r="S690" s="302"/>
      <c r="T690" s="302"/>
      <c r="U690" s="590"/>
      <c r="V690" s="303"/>
    </row>
    <row r="691" spans="1:22" ht="15" customHeight="1" x14ac:dyDescent="0.25">
      <c r="A691" s="567"/>
      <c r="B691" s="564"/>
      <c r="C691" s="553"/>
      <c r="D691" s="553"/>
      <c r="E691" s="553"/>
      <c r="F691" s="553"/>
      <c r="G691" s="1163" t="s">
        <v>1645</v>
      </c>
      <c r="H691" s="1163"/>
      <c r="I691" s="1163"/>
      <c r="J691" s="1163"/>
      <c r="K691" s="1163"/>
      <c r="L691" s="1163"/>
      <c r="M691" s="1163"/>
      <c r="N691" s="1163"/>
      <c r="O691" s="596"/>
      <c r="P691" s="596"/>
      <c r="Q691" s="596"/>
      <c r="R691" s="596"/>
      <c r="S691" s="286"/>
      <c r="T691" s="302"/>
      <c r="U691" s="596"/>
      <c r="V691" s="303"/>
    </row>
    <row r="692" spans="1:22" ht="15" customHeight="1" x14ac:dyDescent="0.25">
      <c r="A692" s="567"/>
      <c r="B692" s="564"/>
      <c r="C692" s="553"/>
      <c r="D692" s="553"/>
      <c r="E692" s="553"/>
      <c r="F692" s="553"/>
      <c r="G692" s="596" t="s">
        <v>1720</v>
      </c>
      <c r="H692" s="596" t="s">
        <v>1799</v>
      </c>
      <c r="I692" s="596" t="s">
        <v>1900</v>
      </c>
      <c r="J692" s="286"/>
      <c r="K692" s="286">
        <v>0.28000000000000003</v>
      </c>
      <c r="L692" s="302"/>
      <c r="M692" s="590"/>
      <c r="N692" s="302"/>
      <c r="O692" s="596"/>
      <c r="P692" s="596"/>
      <c r="Q692" s="596"/>
      <c r="R692" s="596"/>
      <c r="S692" s="286"/>
      <c r="T692" s="302"/>
      <c r="U692" s="596"/>
      <c r="V692" s="303"/>
    </row>
    <row r="693" spans="1:22" ht="15" customHeight="1" x14ac:dyDescent="0.25">
      <c r="A693" s="567"/>
      <c r="B693" s="564"/>
      <c r="C693" s="553"/>
      <c r="D693" s="553"/>
      <c r="E693" s="553"/>
      <c r="F693" s="553"/>
      <c r="G693" s="596" t="s">
        <v>1880</v>
      </c>
      <c r="H693" s="596" t="s">
        <v>1950</v>
      </c>
      <c r="I693" s="596" t="s">
        <v>1951</v>
      </c>
      <c r="J693" s="286"/>
      <c r="K693" s="286">
        <v>2.5</v>
      </c>
      <c r="L693" s="302"/>
      <c r="M693" s="590"/>
      <c r="N693" s="302"/>
      <c r="O693" s="596"/>
      <c r="P693" s="596"/>
      <c r="Q693" s="596"/>
      <c r="R693" s="596"/>
      <c r="S693" s="286"/>
      <c r="T693" s="302"/>
      <c r="U693" s="596"/>
      <c r="V693" s="303"/>
    </row>
    <row r="694" spans="1:22" ht="15" customHeight="1" x14ac:dyDescent="0.25">
      <c r="A694" s="567"/>
      <c r="B694" s="564"/>
      <c r="C694" s="553"/>
      <c r="D694" s="553"/>
      <c r="E694" s="553"/>
      <c r="F694" s="553"/>
      <c r="G694" s="1163" t="s">
        <v>2290</v>
      </c>
      <c r="H694" s="1163"/>
      <c r="I694" s="1163"/>
      <c r="J694" s="1163"/>
      <c r="K694" s="1163"/>
      <c r="L694" s="1163"/>
      <c r="M694" s="1163"/>
      <c r="N694" s="1163"/>
      <c r="O694" s="596"/>
      <c r="P694" s="596"/>
      <c r="Q694" s="596"/>
      <c r="R694" s="596"/>
      <c r="S694" s="286"/>
      <c r="T694" s="302"/>
      <c r="U694" s="596"/>
      <c r="V694" s="303"/>
    </row>
    <row r="695" spans="1:22" ht="15" customHeight="1" x14ac:dyDescent="0.25">
      <c r="A695" s="567"/>
      <c r="B695" s="564"/>
      <c r="C695" s="553"/>
      <c r="D695" s="553"/>
      <c r="E695" s="553"/>
      <c r="F695" s="553"/>
      <c r="G695" s="596" t="s">
        <v>14717</v>
      </c>
      <c r="H695" s="596" t="s">
        <v>14718</v>
      </c>
      <c r="I695" s="596" t="s">
        <v>14844</v>
      </c>
      <c r="J695" s="286"/>
      <c r="K695" s="286">
        <f>0.65*0.75</f>
        <v>0.48750000000000004</v>
      </c>
      <c r="L695" s="302"/>
      <c r="M695" s="590"/>
      <c r="N695" s="302"/>
      <c r="O695" s="596"/>
      <c r="P695" s="596"/>
      <c r="Q695" s="596"/>
      <c r="R695" s="596"/>
      <c r="S695" s="286"/>
      <c r="T695" s="302"/>
      <c r="U695" s="596"/>
      <c r="V695" s="303"/>
    </row>
    <row r="696" spans="1:22" ht="15" customHeight="1" x14ac:dyDescent="0.25">
      <c r="A696" s="567"/>
      <c r="B696" s="564"/>
      <c r="C696" s="553"/>
      <c r="D696" s="553"/>
      <c r="E696" s="553"/>
      <c r="F696" s="553"/>
      <c r="G696" s="596" t="s">
        <v>14714</v>
      </c>
      <c r="H696" s="596" t="s">
        <v>14715</v>
      </c>
      <c r="I696" s="596" t="s">
        <v>14954</v>
      </c>
      <c r="J696" s="286"/>
      <c r="K696" s="286">
        <f>0.15*0.9</f>
        <v>0.13500000000000001</v>
      </c>
      <c r="L696" s="302"/>
      <c r="M696" s="590"/>
      <c r="N696" s="302"/>
      <c r="O696" s="596"/>
      <c r="P696" s="596"/>
      <c r="Q696" s="596"/>
      <c r="R696" s="596"/>
      <c r="S696" s="286"/>
      <c r="T696" s="302"/>
      <c r="U696" s="596"/>
      <c r="V696" s="303"/>
    </row>
    <row r="697" spans="1:22" ht="15" customHeight="1" x14ac:dyDescent="0.25">
      <c r="A697" s="567"/>
      <c r="B697" s="564"/>
      <c r="C697" s="553"/>
      <c r="D697" s="553"/>
      <c r="E697" s="553"/>
      <c r="F697" s="553"/>
      <c r="G697" s="1163" t="s">
        <v>14933</v>
      </c>
      <c r="H697" s="1163"/>
      <c r="I697" s="1163"/>
      <c r="J697" s="1163"/>
      <c r="K697" s="1163"/>
      <c r="L697" s="1163"/>
      <c r="M697" s="1163"/>
      <c r="N697" s="1163"/>
      <c r="O697" s="596"/>
      <c r="P697" s="596"/>
      <c r="Q697" s="596"/>
      <c r="R697" s="596"/>
      <c r="S697" s="286"/>
      <c r="T697" s="302"/>
      <c r="U697" s="596"/>
      <c r="V697" s="303"/>
    </row>
    <row r="698" spans="1:22" ht="15" customHeight="1" x14ac:dyDescent="0.25">
      <c r="A698" s="567"/>
      <c r="B698" s="564"/>
      <c r="C698" s="553"/>
      <c r="D698" s="553"/>
      <c r="E698" s="553"/>
      <c r="F698" s="553"/>
      <c r="G698" s="596" t="s">
        <v>1880</v>
      </c>
      <c r="H698" s="596" t="s">
        <v>17214</v>
      </c>
      <c r="I698" s="596" t="s">
        <v>17215</v>
      </c>
      <c r="J698" s="286"/>
      <c r="K698" s="286">
        <f>1.2*0.75</f>
        <v>0.89999999999999991</v>
      </c>
      <c r="L698" s="302"/>
      <c r="M698" s="590"/>
      <c r="N698" s="302"/>
      <c r="O698" s="596"/>
      <c r="P698" s="596"/>
      <c r="Q698" s="596"/>
      <c r="R698" s="596"/>
      <c r="S698" s="286"/>
      <c r="T698" s="302"/>
      <c r="U698" s="596"/>
      <c r="V698" s="303"/>
    </row>
    <row r="699" spans="1:22" ht="15" customHeight="1" x14ac:dyDescent="0.25">
      <c r="A699" s="567"/>
      <c r="B699" s="564"/>
      <c r="C699" s="553"/>
      <c r="D699" s="553"/>
      <c r="E699" s="553"/>
      <c r="F699" s="553"/>
      <c r="G699" s="596" t="s">
        <v>13396</v>
      </c>
      <c r="H699" s="596" t="s">
        <v>14910</v>
      </c>
      <c r="I699" s="596" t="s">
        <v>17377</v>
      </c>
      <c r="J699" s="286"/>
      <c r="K699" s="286">
        <f>(0.25-0.1)*0.75</f>
        <v>0.11249999999999999</v>
      </c>
      <c r="L699" s="302"/>
      <c r="M699" s="590"/>
      <c r="N699" s="302"/>
      <c r="O699" s="596"/>
      <c r="P699" s="596"/>
      <c r="Q699" s="596"/>
      <c r="R699" s="596"/>
      <c r="S699" s="286"/>
      <c r="T699" s="302"/>
      <c r="U699" s="596"/>
      <c r="V699" s="303"/>
    </row>
    <row r="700" spans="1:22" ht="15" customHeight="1" x14ac:dyDescent="0.25">
      <c r="A700" s="567"/>
      <c r="B700" s="564"/>
      <c r="C700" s="553"/>
      <c r="D700" s="553"/>
      <c r="E700" s="553"/>
      <c r="F700" s="553"/>
      <c r="G700" s="1164" t="s">
        <v>2262</v>
      </c>
      <c r="H700" s="1164"/>
      <c r="I700" s="1164"/>
      <c r="J700" s="1165">
        <f>0.495*0.9*0.6</f>
        <v>0.26729999999999998</v>
      </c>
      <c r="K700" s="1166"/>
      <c r="L700" s="694"/>
      <c r="M700" s="590"/>
      <c r="N700" s="302"/>
      <c r="O700" s="596"/>
      <c r="P700" s="596"/>
      <c r="Q700" s="596"/>
      <c r="R700" s="596"/>
      <c r="S700" s="286"/>
      <c r="T700" s="302"/>
      <c r="U700" s="596"/>
      <c r="V700" s="303"/>
    </row>
    <row r="701" spans="1:22" ht="15" customHeight="1" x14ac:dyDescent="0.25">
      <c r="A701" s="567"/>
      <c r="B701" s="564"/>
      <c r="C701" s="553"/>
      <c r="D701" s="553"/>
      <c r="E701" s="553"/>
      <c r="F701" s="553"/>
      <c r="G701" s="1163" t="s">
        <v>18518</v>
      </c>
      <c r="H701" s="1163"/>
      <c r="I701" s="1163"/>
      <c r="J701" s="1163"/>
      <c r="K701" s="1163"/>
      <c r="L701" s="1163"/>
      <c r="M701" s="1163"/>
      <c r="N701" s="1163"/>
      <c r="O701" s="596"/>
      <c r="P701" s="596"/>
      <c r="Q701" s="596"/>
      <c r="R701" s="596"/>
      <c r="S701" s="286"/>
      <c r="T701" s="302"/>
      <c r="U701" s="596"/>
      <c r="V701" s="303"/>
    </row>
    <row r="702" spans="1:22" ht="15" customHeight="1" x14ac:dyDescent="0.25">
      <c r="A702" s="567"/>
      <c r="B702" s="564"/>
      <c r="C702" s="553"/>
      <c r="D702" s="553"/>
      <c r="E702" s="553"/>
      <c r="F702" s="553"/>
      <c r="G702" s="596" t="s">
        <v>18525</v>
      </c>
      <c r="H702" s="596" t="s">
        <v>19597</v>
      </c>
      <c r="I702" s="596" t="s">
        <v>19598</v>
      </c>
      <c r="J702" s="286"/>
      <c r="K702" s="286">
        <f>0.3*0.75</f>
        <v>0.22499999999999998</v>
      </c>
      <c r="L702" s="302"/>
      <c r="M702" s="590"/>
      <c r="N702" s="302"/>
      <c r="O702" s="596"/>
      <c r="P702" s="596"/>
      <c r="Q702" s="596"/>
      <c r="R702" s="596"/>
      <c r="S702" s="286"/>
      <c r="T702" s="302"/>
      <c r="U702" s="596"/>
      <c r="V702" s="303"/>
    </row>
    <row r="703" spans="1:22" ht="15" customHeight="1" x14ac:dyDescent="0.25">
      <c r="A703" s="567"/>
      <c r="B703" s="564"/>
      <c r="C703" s="553"/>
      <c r="D703" s="553"/>
      <c r="E703" s="553"/>
      <c r="F703" s="553"/>
      <c r="G703" s="596" t="s">
        <v>19209</v>
      </c>
      <c r="H703" s="596" t="s">
        <v>19512</v>
      </c>
      <c r="I703" s="596" t="s">
        <v>19599</v>
      </c>
      <c r="J703" s="286">
        <f>0.66*0.75</f>
        <v>0.495</v>
      </c>
      <c r="K703" s="286"/>
      <c r="L703" s="307"/>
      <c r="M703" s="290"/>
      <c r="N703" s="307"/>
      <c r="O703" s="600"/>
      <c r="P703" s="600"/>
      <c r="Q703" s="600"/>
      <c r="R703" s="600"/>
      <c r="S703" s="640"/>
      <c r="T703" s="307"/>
      <c r="U703" s="600"/>
      <c r="V703" s="305"/>
    </row>
    <row r="704" spans="1:22" ht="15" customHeight="1" x14ac:dyDescent="0.25">
      <c r="A704" s="567"/>
      <c r="B704" s="564"/>
      <c r="C704" s="553"/>
      <c r="D704" s="553"/>
      <c r="E704" s="553"/>
      <c r="F704" s="553"/>
      <c r="G704" s="596" t="s">
        <v>19209</v>
      </c>
      <c r="H704" s="596" t="s">
        <v>19513</v>
      </c>
      <c r="I704" s="596" t="s">
        <v>19600</v>
      </c>
      <c r="J704" s="286"/>
      <c r="K704" s="286">
        <f>1*0.75</f>
        <v>0.75</v>
      </c>
      <c r="L704" s="307"/>
      <c r="M704" s="290"/>
      <c r="N704" s="307"/>
      <c r="O704" s="600"/>
      <c r="P704" s="600"/>
      <c r="Q704" s="600"/>
      <c r="R704" s="600"/>
      <c r="S704" s="640"/>
      <c r="T704" s="307"/>
      <c r="U704" s="600"/>
      <c r="V704" s="305"/>
    </row>
    <row r="705" spans="1:22" ht="15" customHeight="1" x14ac:dyDescent="0.25">
      <c r="A705" s="567"/>
      <c r="B705" s="564"/>
      <c r="C705" s="553"/>
      <c r="D705" s="553"/>
      <c r="E705" s="553"/>
      <c r="F705" s="553"/>
      <c r="G705" s="596" t="s">
        <v>19209</v>
      </c>
      <c r="H705" s="596" t="s">
        <v>19514</v>
      </c>
      <c r="I705" s="596" t="s">
        <v>19601</v>
      </c>
      <c r="J705" s="286">
        <f>1*0.75</f>
        <v>0.75</v>
      </c>
      <c r="K705" s="286"/>
      <c r="L705" s="307"/>
      <c r="M705" s="290"/>
      <c r="N705" s="307"/>
      <c r="O705" s="600"/>
      <c r="P705" s="600"/>
      <c r="Q705" s="600"/>
      <c r="R705" s="600"/>
      <c r="S705" s="640"/>
      <c r="T705" s="307"/>
      <c r="U705" s="600"/>
      <c r="V705" s="305"/>
    </row>
    <row r="706" spans="1:22" ht="15" customHeight="1" x14ac:dyDescent="0.25">
      <c r="A706" s="567"/>
      <c r="B706" s="564"/>
      <c r="C706" s="553"/>
      <c r="D706" s="553"/>
      <c r="E706" s="553"/>
      <c r="F706" s="553"/>
      <c r="G706" s="596" t="s">
        <v>19209</v>
      </c>
      <c r="H706" s="596" t="s">
        <v>19515</v>
      </c>
      <c r="I706" s="596" t="s">
        <v>19602</v>
      </c>
      <c r="J706" s="286">
        <f>1*0.75</f>
        <v>0.75</v>
      </c>
      <c r="K706" s="286"/>
      <c r="L706" s="307"/>
      <c r="M706" s="290"/>
      <c r="N706" s="307"/>
      <c r="O706" s="600"/>
      <c r="P706" s="600"/>
      <c r="Q706" s="600"/>
      <c r="R706" s="600"/>
      <c r="S706" s="640"/>
      <c r="T706" s="307"/>
      <c r="U706" s="600"/>
      <c r="V706" s="305"/>
    </row>
    <row r="707" spans="1:22" ht="15" customHeight="1" x14ac:dyDescent="0.25">
      <c r="A707" s="567"/>
      <c r="B707" s="564"/>
      <c r="C707" s="553"/>
      <c r="D707" s="553"/>
      <c r="E707" s="553"/>
      <c r="F707" s="553"/>
      <c r="G707" s="596" t="s">
        <v>18985</v>
      </c>
      <c r="H707" s="596" t="s">
        <v>18986</v>
      </c>
      <c r="I707" s="596" t="s">
        <v>19603</v>
      </c>
      <c r="J707" s="286">
        <f>0.15*0.75</f>
        <v>0.11249999999999999</v>
      </c>
      <c r="K707" s="286"/>
      <c r="L707" s="307"/>
      <c r="M707" s="290"/>
      <c r="N707" s="307"/>
      <c r="O707" s="600"/>
      <c r="P707" s="600"/>
      <c r="Q707" s="600"/>
      <c r="R707" s="600"/>
      <c r="S707" s="640"/>
      <c r="T707" s="307"/>
      <c r="U707" s="600"/>
      <c r="V707" s="305"/>
    </row>
    <row r="708" spans="1:22" ht="15" customHeight="1" x14ac:dyDescent="0.25">
      <c r="A708" s="567"/>
      <c r="B708" s="564"/>
      <c r="C708" s="553"/>
      <c r="D708" s="553"/>
      <c r="E708" s="553"/>
      <c r="F708" s="553"/>
      <c r="G708" s="596" t="s">
        <v>19215</v>
      </c>
      <c r="H708" s="596" t="s">
        <v>19216</v>
      </c>
      <c r="I708" s="596" t="s">
        <v>19604</v>
      </c>
      <c r="J708" s="286"/>
      <c r="K708" s="286">
        <f>0.022*0.9</f>
        <v>1.9799999999999998E-2</v>
      </c>
      <c r="L708" s="307"/>
      <c r="M708" s="290"/>
      <c r="N708" s="307"/>
      <c r="O708" s="600"/>
      <c r="P708" s="600"/>
      <c r="Q708" s="600"/>
      <c r="R708" s="600"/>
      <c r="S708" s="640"/>
      <c r="T708" s="307"/>
      <c r="U708" s="600"/>
      <c r="V708" s="305"/>
    </row>
    <row r="709" spans="1:22" ht="15" customHeight="1" x14ac:dyDescent="0.25">
      <c r="A709" s="567"/>
      <c r="B709" s="564"/>
      <c r="C709" s="553"/>
      <c r="D709" s="553"/>
      <c r="E709" s="553"/>
      <c r="F709" s="553"/>
      <c r="G709" s="1164" t="s">
        <v>2262</v>
      </c>
      <c r="H709" s="1164"/>
      <c r="I709" s="1164"/>
      <c r="J709" s="1165">
        <f>1.119*0.9*0.6</f>
        <v>0.60426000000000002</v>
      </c>
      <c r="K709" s="1166"/>
      <c r="L709" s="696"/>
      <c r="M709" s="290"/>
      <c r="N709" s="307"/>
      <c r="O709" s="600"/>
      <c r="P709" s="600"/>
      <c r="Q709" s="600"/>
      <c r="R709" s="600"/>
      <c r="S709" s="640"/>
      <c r="T709" s="307"/>
      <c r="U709" s="600"/>
      <c r="V709" s="305"/>
    </row>
    <row r="710" spans="1:22" ht="15" customHeight="1" thickBot="1" x14ac:dyDescent="0.3">
      <c r="A710" s="242"/>
      <c r="B710" s="243"/>
      <c r="C710" s="244"/>
      <c r="D710" s="244"/>
      <c r="E710" s="244"/>
      <c r="F710" s="244"/>
      <c r="G710" s="1066" t="s">
        <v>1199</v>
      </c>
      <c r="H710" s="1066"/>
      <c r="I710" s="1066"/>
      <c r="J710" s="630"/>
      <c r="K710" s="456">
        <f>SUM(J698:K709)</f>
        <v>4.9863600000000003</v>
      </c>
      <c r="L710" s="631"/>
      <c r="M710" s="632">
        <v>0.92</v>
      </c>
      <c r="N710" s="456">
        <f>K710/M710</f>
        <v>5.419956521739131</v>
      </c>
      <c r="O710" s="1066" t="s">
        <v>1199</v>
      </c>
      <c r="P710" s="1066"/>
      <c r="Q710" s="1066"/>
      <c r="R710" s="554"/>
      <c r="S710" s="456">
        <f>SUM(S688:S693)</f>
        <v>0</v>
      </c>
      <c r="T710" s="631"/>
      <c r="U710" s="554">
        <v>0.92</v>
      </c>
      <c r="V710" s="633">
        <f>S710/U710</f>
        <v>0</v>
      </c>
    </row>
    <row r="711" spans="1:22" s="475" customFormat="1" ht="15" customHeight="1" x14ac:dyDescent="0.25">
      <c r="A711" s="1092" t="str">
        <f>Итоговая!C340</f>
        <v xml:space="preserve">ПС 35/6 кВ ЗМИ  </v>
      </c>
      <c r="B711" s="1072">
        <f>Итоговая!D340</f>
        <v>10</v>
      </c>
      <c r="C711" s="1067" t="str">
        <f>Итоговая!E340</f>
        <v>+</v>
      </c>
      <c r="D711" s="1067">
        <f>Итоговая!F340</f>
        <v>16</v>
      </c>
      <c r="E711" s="552"/>
      <c r="F711" s="552"/>
      <c r="G711" s="1168" t="s">
        <v>1288</v>
      </c>
      <c r="H711" s="1168"/>
      <c r="I711" s="1168"/>
      <c r="J711" s="1168"/>
      <c r="K711" s="1168"/>
      <c r="L711" s="1168"/>
      <c r="M711" s="1168"/>
      <c r="N711" s="1168"/>
      <c r="O711" s="1163" t="s">
        <v>1325</v>
      </c>
      <c r="P711" s="1163"/>
      <c r="Q711" s="1163"/>
      <c r="R711" s="1163"/>
      <c r="S711" s="1163"/>
      <c r="T711" s="1163"/>
      <c r="U711" s="1163"/>
      <c r="V711" s="1163"/>
    </row>
    <row r="712" spans="1:22" ht="15" customHeight="1" x14ac:dyDescent="0.25">
      <c r="A712" s="1093"/>
      <c r="B712" s="1023"/>
      <c r="C712" s="1024"/>
      <c r="D712" s="1024"/>
      <c r="E712" s="553"/>
      <c r="F712" s="553"/>
      <c r="G712" s="590" t="s">
        <v>982</v>
      </c>
      <c r="H712" s="590" t="s">
        <v>983</v>
      </c>
      <c r="I712" s="590" t="s">
        <v>984</v>
      </c>
      <c r="J712" s="302"/>
      <c r="K712" s="302">
        <v>9.7000000000000003E-2</v>
      </c>
      <c r="L712" s="302"/>
      <c r="M712" s="590"/>
      <c r="N712" s="302"/>
      <c r="O712" s="725" t="s">
        <v>1610</v>
      </c>
      <c r="P712" s="725" t="s">
        <v>1611</v>
      </c>
      <c r="Q712" s="743" t="s">
        <v>1631</v>
      </c>
      <c r="R712" s="302"/>
      <c r="S712" s="302">
        <v>0.1157</v>
      </c>
      <c r="T712" s="302"/>
      <c r="U712" s="743"/>
      <c r="V712" s="302"/>
    </row>
    <row r="713" spans="1:22" ht="15" customHeight="1" x14ac:dyDescent="0.25">
      <c r="A713" s="567"/>
      <c r="B713" s="564"/>
      <c r="C713" s="553"/>
      <c r="D713" s="553"/>
      <c r="E713" s="553"/>
      <c r="F713" s="553"/>
      <c r="G713" s="590" t="s">
        <v>985</v>
      </c>
      <c r="H713" s="590" t="s">
        <v>986</v>
      </c>
      <c r="I713" s="590" t="s">
        <v>987</v>
      </c>
      <c r="J713" s="302"/>
      <c r="K713" s="302">
        <v>0.26100000000000001</v>
      </c>
      <c r="L713" s="302"/>
      <c r="M713" s="590"/>
      <c r="N713" s="302"/>
      <c r="O713" s="1163" t="s">
        <v>14933</v>
      </c>
      <c r="P713" s="1163"/>
      <c r="Q713" s="1163"/>
      <c r="R713" s="1163"/>
      <c r="S713" s="1163"/>
      <c r="T713" s="1163"/>
      <c r="U713" s="1163"/>
      <c r="V713" s="1163"/>
    </row>
    <row r="714" spans="1:22" ht="15" customHeight="1" x14ac:dyDescent="0.25">
      <c r="A714" s="567"/>
      <c r="B714" s="564"/>
      <c r="C714" s="553"/>
      <c r="D714" s="553"/>
      <c r="E714" s="553"/>
      <c r="F714" s="553"/>
      <c r="G714" s="1163" t="s">
        <v>1286</v>
      </c>
      <c r="H714" s="1163"/>
      <c r="I714" s="1163"/>
      <c r="J714" s="1163"/>
      <c r="K714" s="1163"/>
      <c r="L714" s="1163"/>
      <c r="M714" s="1163"/>
      <c r="N714" s="1163"/>
      <c r="O714" s="743" t="s">
        <v>1610</v>
      </c>
      <c r="P714" s="743" t="s">
        <v>1612</v>
      </c>
      <c r="Q714" s="743" t="s">
        <v>17430</v>
      </c>
      <c r="R714" s="743"/>
      <c r="S714" s="302">
        <v>0.57999999999999996</v>
      </c>
      <c r="T714" s="302"/>
      <c r="U714" s="743"/>
      <c r="V714" s="303"/>
    </row>
    <row r="715" spans="1:22" ht="15" customHeight="1" x14ac:dyDescent="0.25">
      <c r="A715" s="567"/>
      <c r="B715" s="564"/>
      <c r="C715" s="553"/>
      <c r="D715" s="553"/>
      <c r="E715" s="553"/>
      <c r="F715" s="553"/>
      <c r="G715" s="596" t="s">
        <v>988</v>
      </c>
      <c r="H715" s="596" t="s">
        <v>989</v>
      </c>
      <c r="I715" s="590" t="s">
        <v>990</v>
      </c>
      <c r="J715" s="302"/>
      <c r="K715" s="302">
        <v>7.6999999999999999E-2</v>
      </c>
      <c r="L715" s="302"/>
      <c r="M715" s="590"/>
      <c r="N715" s="302"/>
      <c r="O715" s="590"/>
      <c r="P715" s="590"/>
      <c r="Q715" s="590"/>
      <c r="R715" s="590"/>
      <c r="S715" s="302"/>
      <c r="T715" s="302"/>
      <c r="U715" s="590"/>
      <c r="V715" s="303"/>
    </row>
    <row r="716" spans="1:22" ht="15" customHeight="1" x14ac:dyDescent="0.25">
      <c r="A716" s="567"/>
      <c r="B716" s="564"/>
      <c r="C716" s="553"/>
      <c r="D716" s="553"/>
      <c r="E716" s="553"/>
      <c r="F716" s="553"/>
      <c r="G716" s="1163" t="s">
        <v>2266</v>
      </c>
      <c r="H716" s="1163"/>
      <c r="I716" s="1163"/>
      <c r="J716" s="1163"/>
      <c r="K716" s="1163"/>
      <c r="L716" s="1163"/>
      <c r="M716" s="1163"/>
      <c r="N716" s="1163"/>
      <c r="O716" s="590"/>
      <c r="P716" s="590"/>
      <c r="Q716" s="590"/>
      <c r="R716" s="590"/>
      <c r="S716" s="302"/>
      <c r="T716" s="302"/>
      <c r="U716" s="590"/>
      <c r="V716" s="303"/>
    </row>
    <row r="717" spans="1:22" ht="15" customHeight="1" x14ac:dyDescent="0.25">
      <c r="A717" s="567"/>
      <c r="B717" s="564"/>
      <c r="C717" s="553"/>
      <c r="D717" s="553"/>
      <c r="E717" s="553"/>
      <c r="F717" s="553"/>
      <c r="G717" s="596" t="s">
        <v>2391</v>
      </c>
      <c r="H717" s="596" t="s">
        <v>2392</v>
      </c>
      <c r="I717" s="590" t="s">
        <v>13390</v>
      </c>
      <c r="J717" s="302"/>
      <c r="K717" s="286">
        <f>1.65*0.75</f>
        <v>1.2374999999999998</v>
      </c>
      <c r="L717" s="302"/>
      <c r="M717" s="590"/>
      <c r="N717" s="302"/>
      <c r="O717" s="590"/>
      <c r="P717" s="590"/>
      <c r="Q717" s="590"/>
      <c r="R717" s="590"/>
      <c r="S717" s="302"/>
      <c r="T717" s="302"/>
      <c r="U717" s="590"/>
      <c r="V717" s="303"/>
    </row>
    <row r="718" spans="1:22" ht="15" customHeight="1" x14ac:dyDescent="0.25">
      <c r="A718" s="567"/>
      <c r="B718" s="564"/>
      <c r="C718" s="553"/>
      <c r="D718" s="553"/>
      <c r="E718" s="553"/>
      <c r="F718" s="553"/>
      <c r="G718" s="1163" t="s">
        <v>14978</v>
      </c>
      <c r="H718" s="1163"/>
      <c r="I718" s="1163"/>
      <c r="J718" s="1163"/>
      <c r="K718" s="1163"/>
      <c r="L718" s="1163"/>
      <c r="M718" s="1163"/>
      <c r="N718" s="1163"/>
      <c r="O718" s="590"/>
      <c r="P718" s="590"/>
      <c r="Q718" s="590"/>
      <c r="R718" s="590"/>
      <c r="S718" s="302"/>
      <c r="T718" s="302"/>
      <c r="U718" s="590"/>
      <c r="V718" s="303"/>
    </row>
    <row r="719" spans="1:22" ht="15" customHeight="1" x14ac:dyDescent="0.25">
      <c r="A719" s="567"/>
      <c r="B719" s="564"/>
      <c r="C719" s="553"/>
      <c r="D719" s="553"/>
      <c r="E719" s="553"/>
      <c r="F719" s="553"/>
      <c r="G719" s="596" t="s">
        <v>14798</v>
      </c>
      <c r="H719" s="596" t="s">
        <v>14799</v>
      </c>
      <c r="I719" s="590" t="s">
        <v>14998</v>
      </c>
      <c r="J719" s="302"/>
      <c r="K719" s="286">
        <f>0.23*0.75</f>
        <v>0.17250000000000001</v>
      </c>
      <c r="L719" s="302"/>
      <c r="M719" s="590"/>
      <c r="N719" s="302"/>
      <c r="O719" s="590"/>
      <c r="P719" s="590"/>
      <c r="Q719" s="590"/>
      <c r="R719" s="590"/>
      <c r="S719" s="302"/>
      <c r="T719" s="302"/>
      <c r="U719" s="590"/>
      <c r="V719" s="303"/>
    </row>
    <row r="720" spans="1:22" ht="15" customHeight="1" x14ac:dyDescent="0.25">
      <c r="A720" s="567"/>
      <c r="B720" s="564"/>
      <c r="C720" s="553"/>
      <c r="D720" s="553"/>
      <c r="E720" s="553"/>
      <c r="F720" s="553"/>
      <c r="G720" s="596" t="s">
        <v>17238</v>
      </c>
      <c r="H720" s="596" t="s">
        <v>17239</v>
      </c>
      <c r="I720" s="590" t="s">
        <v>17240</v>
      </c>
      <c r="J720" s="302"/>
      <c r="K720" s="286">
        <f>0.05*0.15</f>
        <v>7.4999999999999997E-3</v>
      </c>
      <c r="L720" s="302"/>
      <c r="M720" s="590"/>
      <c r="N720" s="302"/>
      <c r="O720" s="590"/>
      <c r="P720" s="590"/>
      <c r="Q720" s="590"/>
      <c r="R720" s="590"/>
      <c r="S720" s="302"/>
      <c r="T720" s="302"/>
      <c r="U720" s="590"/>
      <c r="V720" s="303"/>
    </row>
    <row r="721" spans="1:22" ht="15" customHeight="1" x14ac:dyDescent="0.25">
      <c r="A721" s="567"/>
      <c r="B721" s="564"/>
      <c r="C721" s="553"/>
      <c r="D721" s="553"/>
      <c r="E721" s="553"/>
      <c r="F721" s="553"/>
      <c r="G721" s="596" t="s">
        <v>17649</v>
      </c>
      <c r="H721" s="596" t="s">
        <v>17650</v>
      </c>
      <c r="I721" s="590" t="s">
        <v>17651</v>
      </c>
      <c r="J721" s="302"/>
      <c r="K721" s="286">
        <f>0.015*0.75</f>
        <v>1.125E-2</v>
      </c>
      <c r="L721" s="302"/>
      <c r="M721" s="590"/>
      <c r="N721" s="302"/>
      <c r="O721" s="590"/>
      <c r="P721" s="590"/>
      <c r="Q721" s="590"/>
      <c r="R721" s="590"/>
      <c r="S721" s="302"/>
      <c r="T721" s="302"/>
      <c r="U721" s="590"/>
      <c r="V721" s="303"/>
    </row>
    <row r="722" spans="1:22" ht="15" customHeight="1" x14ac:dyDescent="0.25">
      <c r="A722" s="567"/>
      <c r="B722" s="564"/>
      <c r="C722" s="553"/>
      <c r="D722" s="553"/>
      <c r="E722" s="553"/>
      <c r="F722" s="553"/>
      <c r="G722" s="1163" t="s">
        <v>18518</v>
      </c>
      <c r="H722" s="1163"/>
      <c r="I722" s="1163"/>
      <c r="J722" s="1163"/>
      <c r="K722" s="1163"/>
      <c r="L722" s="1163"/>
      <c r="M722" s="1163"/>
      <c r="N722" s="1163"/>
      <c r="O722" s="290"/>
      <c r="P722" s="290"/>
      <c r="Q722" s="290"/>
      <c r="R722" s="290"/>
      <c r="S722" s="307"/>
      <c r="T722" s="307"/>
      <c r="U722" s="290"/>
      <c r="V722" s="305"/>
    </row>
    <row r="723" spans="1:22" ht="15" customHeight="1" x14ac:dyDescent="0.25">
      <c r="A723" s="567"/>
      <c r="B723" s="564"/>
      <c r="C723" s="553"/>
      <c r="D723" s="553"/>
      <c r="E723" s="553"/>
      <c r="F723" s="553"/>
      <c r="G723" s="1164" t="s">
        <v>2262</v>
      </c>
      <c r="H723" s="1164"/>
      <c r="I723" s="1164"/>
      <c r="J723" s="1165">
        <f>0.005*0.9</f>
        <v>4.5000000000000005E-3</v>
      </c>
      <c r="K723" s="1166"/>
      <c r="L723" s="307"/>
      <c r="M723" s="290"/>
      <c r="N723" s="307"/>
      <c r="O723" s="290"/>
      <c r="P723" s="290"/>
      <c r="Q723" s="290"/>
      <c r="R723" s="290"/>
      <c r="S723" s="307"/>
      <c r="T723" s="307"/>
      <c r="U723" s="290"/>
      <c r="V723" s="305"/>
    </row>
    <row r="724" spans="1:22" ht="15" customHeight="1" thickBot="1" x14ac:dyDescent="0.3">
      <c r="A724" s="242"/>
      <c r="B724" s="243"/>
      <c r="C724" s="244"/>
      <c r="D724" s="244"/>
      <c r="E724" s="244"/>
      <c r="F724" s="244"/>
      <c r="G724" s="1066" t="s">
        <v>1199</v>
      </c>
      <c r="H724" s="1066"/>
      <c r="I724" s="1066"/>
      <c r="J724" s="630"/>
      <c r="K724" s="456">
        <f>SUM(J718:K723)</f>
        <v>0.19575000000000004</v>
      </c>
      <c r="L724" s="631"/>
      <c r="M724" s="632">
        <v>0.92</v>
      </c>
      <c r="N724" s="456">
        <f>K724/M724</f>
        <v>0.21277173913043482</v>
      </c>
      <c r="O724" s="1066" t="s">
        <v>1199</v>
      </c>
      <c r="P724" s="1066"/>
      <c r="Q724" s="1066"/>
      <c r="R724" s="554"/>
      <c r="S724" s="456">
        <f>SUM(S712:S720)</f>
        <v>0.69569999999999999</v>
      </c>
      <c r="T724" s="631"/>
      <c r="U724" s="554">
        <v>0.92</v>
      </c>
      <c r="V724" s="633">
        <f>S724/U724</f>
        <v>0.75619565217391305</v>
      </c>
    </row>
    <row r="725" spans="1:22" ht="15" customHeight="1" x14ac:dyDescent="0.25">
      <c r="A725" s="566" t="str">
        <f>Итоговая!C341</f>
        <v xml:space="preserve">ПС 35/10 кВ Изоплит  </v>
      </c>
      <c r="B725" s="563">
        <f>Итоговая!D341</f>
        <v>6.3</v>
      </c>
      <c r="C725" s="552" t="str">
        <f>Итоговая!E341</f>
        <v>+</v>
      </c>
      <c r="D725" s="552">
        <f>Итоговая!F341</f>
        <v>6.3</v>
      </c>
      <c r="E725" s="552"/>
      <c r="F725" s="552"/>
      <c r="G725" s="1168" t="s">
        <v>14978</v>
      </c>
      <c r="H725" s="1168"/>
      <c r="I725" s="1168"/>
      <c r="J725" s="1168"/>
      <c r="K725" s="1168"/>
      <c r="L725" s="1168"/>
      <c r="M725" s="1168"/>
      <c r="N725" s="1168"/>
      <c r="O725" s="427"/>
      <c r="P725" s="427"/>
      <c r="Q725" s="427"/>
      <c r="R725" s="427"/>
      <c r="S725" s="459"/>
      <c r="T725" s="460"/>
      <c r="U725" s="427"/>
      <c r="V725" s="634"/>
    </row>
    <row r="726" spans="1:22" ht="15" customHeight="1" x14ac:dyDescent="0.25">
      <c r="A726" s="567"/>
      <c r="B726" s="564"/>
      <c r="C726" s="553"/>
      <c r="D726" s="553"/>
      <c r="E726" s="553"/>
      <c r="F726" s="553"/>
      <c r="G726" s="596" t="s">
        <v>2185</v>
      </c>
      <c r="H726" s="596" t="s">
        <v>17413</v>
      </c>
      <c r="I726" s="596" t="s">
        <v>17412</v>
      </c>
      <c r="J726" s="286"/>
      <c r="K726" s="286">
        <f>4*0.75</f>
        <v>3</v>
      </c>
      <c r="L726" s="302"/>
      <c r="M726" s="590"/>
      <c r="N726" s="302"/>
      <c r="O726" s="596"/>
      <c r="P726" s="596"/>
      <c r="Q726" s="596"/>
      <c r="R726" s="596"/>
      <c r="S726" s="286"/>
      <c r="T726" s="302"/>
      <c r="U726" s="596"/>
      <c r="V726" s="303"/>
    </row>
    <row r="727" spans="1:22" ht="15" customHeight="1" x14ac:dyDescent="0.25">
      <c r="A727" s="567"/>
      <c r="B727" s="564"/>
      <c r="C727" s="553"/>
      <c r="D727" s="553"/>
      <c r="E727" s="553"/>
      <c r="F727" s="553"/>
      <c r="G727" s="1163" t="s">
        <v>18518</v>
      </c>
      <c r="H727" s="1163"/>
      <c r="I727" s="1163"/>
      <c r="J727" s="1163"/>
      <c r="K727" s="1163"/>
      <c r="L727" s="1163"/>
      <c r="M727" s="1163"/>
      <c r="N727" s="1163"/>
      <c r="O727" s="600"/>
      <c r="P727" s="600"/>
      <c r="Q727" s="600"/>
      <c r="R727" s="600"/>
      <c r="S727" s="640"/>
      <c r="T727" s="307"/>
      <c r="U727" s="600"/>
      <c r="V727" s="305"/>
    </row>
    <row r="728" spans="1:22" ht="15" customHeight="1" x14ac:dyDescent="0.25">
      <c r="A728" s="567"/>
      <c r="B728" s="564"/>
      <c r="C728" s="553"/>
      <c r="D728" s="553"/>
      <c r="E728" s="553"/>
      <c r="F728" s="553"/>
      <c r="G728" s="1164" t="s">
        <v>2262</v>
      </c>
      <c r="H728" s="1164"/>
      <c r="I728" s="1164"/>
      <c r="J728" s="1165">
        <f>0.08*0.9*0.6</f>
        <v>4.3200000000000002E-2</v>
      </c>
      <c r="K728" s="1166"/>
      <c r="L728" s="307"/>
      <c r="M728" s="290"/>
      <c r="N728" s="307"/>
      <c r="O728" s="600"/>
      <c r="P728" s="600"/>
      <c r="Q728" s="600"/>
      <c r="R728" s="600"/>
      <c r="S728" s="640"/>
      <c r="T728" s="307"/>
      <c r="U728" s="600"/>
      <c r="V728" s="305"/>
    </row>
    <row r="729" spans="1:22" ht="15" customHeight="1" thickBot="1" x14ac:dyDescent="0.3">
      <c r="A729" s="242"/>
      <c r="B729" s="243"/>
      <c r="C729" s="244"/>
      <c r="D729" s="244"/>
      <c r="E729" s="244"/>
      <c r="F729" s="244"/>
      <c r="G729" s="1066" t="s">
        <v>1199</v>
      </c>
      <c r="H729" s="1066"/>
      <c r="I729" s="1066"/>
      <c r="J729" s="630"/>
      <c r="K729" s="456">
        <f>SUM(J726:K728)</f>
        <v>3.0432000000000001</v>
      </c>
      <c r="L729" s="631"/>
      <c r="M729" s="632">
        <v>0.92</v>
      </c>
      <c r="N729" s="456">
        <f>K729/M729</f>
        <v>3.3078260869565219</v>
      </c>
      <c r="O729" s="1066" t="s">
        <v>1199</v>
      </c>
      <c r="P729" s="1066"/>
      <c r="Q729" s="1066"/>
      <c r="R729" s="554"/>
      <c r="S729" s="456">
        <f>SUM(S725:S725)</f>
        <v>0</v>
      </c>
      <c r="T729" s="631"/>
      <c r="U729" s="554">
        <v>0.92</v>
      </c>
      <c r="V729" s="633">
        <f>S729/U729</f>
        <v>0</v>
      </c>
    </row>
    <row r="730" spans="1:22" s="475" customFormat="1" ht="15" customHeight="1" x14ac:dyDescent="0.25">
      <c r="A730" s="1092" t="str">
        <f>Итоговая!C342</f>
        <v>ПС 35/6 кВ Карачарово</v>
      </c>
      <c r="B730" s="1072">
        <f>Итоговая!D342</f>
        <v>4</v>
      </c>
      <c r="C730" s="1067" t="str">
        <f>Итоговая!E342</f>
        <v>+</v>
      </c>
      <c r="D730" s="1067">
        <f>Итоговая!F342</f>
        <v>6.3</v>
      </c>
      <c r="E730" s="552"/>
      <c r="F730" s="552"/>
      <c r="G730" s="1168" t="s">
        <v>1287</v>
      </c>
      <c r="H730" s="1168"/>
      <c r="I730" s="1168"/>
      <c r="J730" s="1168"/>
      <c r="K730" s="1168"/>
      <c r="L730" s="1168"/>
      <c r="M730" s="1168"/>
      <c r="N730" s="1168"/>
      <c r="O730" s="1168" t="s">
        <v>14933</v>
      </c>
      <c r="P730" s="1168"/>
      <c r="Q730" s="1168"/>
      <c r="R730" s="1168"/>
      <c r="S730" s="1168"/>
      <c r="T730" s="1168"/>
      <c r="U730" s="1168"/>
      <c r="V730" s="1169"/>
    </row>
    <row r="731" spans="1:22" ht="15" customHeight="1" x14ac:dyDescent="0.25">
      <c r="A731" s="1093"/>
      <c r="B731" s="1023"/>
      <c r="C731" s="1024"/>
      <c r="D731" s="1024"/>
      <c r="E731" s="553"/>
      <c r="F731" s="553"/>
      <c r="G731" s="590" t="s">
        <v>991</v>
      </c>
      <c r="H731" s="590" t="s">
        <v>992</v>
      </c>
      <c r="I731" s="590" t="s">
        <v>993</v>
      </c>
      <c r="J731" s="302"/>
      <c r="K731" s="286">
        <v>0.03</v>
      </c>
      <c r="L731" s="302"/>
      <c r="M731" s="590"/>
      <c r="N731" s="302"/>
      <c r="O731" s="596" t="s">
        <v>13427</v>
      </c>
      <c r="P731" s="596" t="s">
        <v>14903</v>
      </c>
      <c r="Q731" s="596" t="s">
        <v>18166</v>
      </c>
      <c r="R731" s="596"/>
      <c r="S731" s="286">
        <f>0.15*0.9</f>
        <v>0.13500000000000001</v>
      </c>
      <c r="T731" s="302"/>
      <c r="U731" s="590"/>
      <c r="V731" s="303"/>
    </row>
    <row r="732" spans="1:22" ht="15" customHeight="1" x14ac:dyDescent="0.25">
      <c r="A732" s="567"/>
      <c r="B732" s="564"/>
      <c r="C732" s="553"/>
      <c r="D732" s="553"/>
      <c r="E732" s="553"/>
      <c r="F732" s="553"/>
      <c r="G732" s="1163" t="s">
        <v>1324</v>
      </c>
      <c r="H732" s="1163"/>
      <c r="I732" s="1163"/>
      <c r="J732" s="1163"/>
      <c r="K732" s="1163"/>
      <c r="L732" s="1163"/>
      <c r="M732" s="1163"/>
      <c r="N732" s="1163"/>
      <c r="O732" s="1185"/>
      <c r="P732" s="1185"/>
      <c r="Q732" s="1185"/>
      <c r="R732" s="1185"/>
      <c r="S732" s="1185"/>
      <c r="T732" s="1185"/>
      <c r="U732" s="1185"/>
      <c r="V732" s="1186"/>
    </row>
    <row r="733" spans="1:22" ht="15" customHeight="1" x14ac:dyDescent="0.25">
      <c r="A733" s="567"/>
      <c r="B733" s="564"/>
      <c r="C733" s="553"/>
      <c r="D733" s="553"/>
      <c r="E733" s="553"/>
      <c r="F733" s="553"/>
      <c r="G733" s="690" t="s">
        <v>994</v>
      </c>
      <c r="H733" s="690" t="s">
        <v>995</v>
      </c>
      <c r="I733" s="590" t="s">
        <v>1516</v>
      </c>
      <c r="J733" s="302"/>
      <c r="K733" s="302">
        <v>0.05</v>
      </c>
      <c r="L733" s="302"/>
      <c r="M733" s="590"/>
      <c r="N733" s="302"/>
      <c r="O733" s="596"/>
      <c r="P733" s="596"/>
      <c r="Q733" s="596"/>
      <c r="R733" s="596"/>
      <c r="S733" s="286"/>
      <c r="T733" s="302"/>
      <c r="U733" s="590"/>
      <c r="V733" s="303"/>
    </row>
    <row r="734" spans="1:22" ht="15" customHeight="1" x14ac:dyDescent="0.25">
      <c r="A734" s="567"/>
      <c r="B734" s="564"/>
      <c r="C734" s="553"/>
      <c r="D734" s="553"/>
      <c r="E734" s="553"/>
      <c r="F734" s="553"/>
      <c r="G734" s="1163" t="s">
        <v>1645</v>
      </c>
      <c r="H734" s="1163"/>
      <c r="I734" s="1163"/>
      <c r="J734" s="1163"/>
      <c r="K734" s="1163"/>
      <c r="L734" s="1163"/>
      <c r="M734" s="1163"/>
      <c r="N734" s="1163"/>
      <c r="O734" s="467"/>
      <c r="P734" s="467"/>
      <c r="Q734" s="590"/>
      <c r="R734" s="590"/>
      <c r="S734" s="302"/>
      <c r="T734" s="302"/>
      <c r="U734" s="590"/>
      <c r="V734" s="303"/>
    </row>
    <row r="735" spans="1:22" ht="15" customHeight="1" x14ac:dyDescent="0.25">
      <c r="A735" s="567"/>
      <c r="B735" s="564"/>
      <c r="C735" s="553"/>
      <c r="D735" s="553"/>
      <c r="E735" s="553"/>
      <c r="F735" s="553"/>
      <c r="G735" s="690" t="s">
        <v>1678</v>
      </c>
      <c r="H735" s="690" t="s">
        <v>1760</v>
      </c>
      <c r="I735" s="590" t="s">
        <v>1761</v>
      </c>
      <c r="J735" s="302"/>
      <c r="K735" s="302">
        <f>0.515-0.2</f>
        <v>0.315</v>
      </c>
      <c r="L735" s="302"/>
      <c r="M735" s="590"/>
      <c r="N735" s="302"/>
      <c r="O735" s="467"/>
      <c r="P735" s="467"/>
      <c r="Q735" s="590"/>
      <c r="R735" s="590"/>
      <c r="S735" s="302"/>
      <c r="T735" s="302"/>
      <c r="U735" s="590"/>
      <c r="V735" s="303"/>
    </row>
    <row r="736" spans="1:22" ht="15" customHeight="1" x14ac:dyDescent="0.25">
      <c r="A736" s="567"/>
      <c r="B736" s="564"/>
      <c r="C736" s="553"/>
      <c r="D736" s="553"/>
      <c r="E736" s="553"/>
      <c r="F736" s="553"/>
      <c r="G736" s="1163" t="s">
        <v>2290</v>
      </c>
      <c r="H736" s="1163"/>
      <c r="I736" s="1163"/>
      <c r="J736" s="1163"/>
      <c r="K736" s="1163"/>
      <c r="L736" s="1163"/>
      <c r="M736" s="1163"/>
      <c r="N736" s="1163"/>
      <c r="O736" s="467"/>
      <c r="P736" s="467"/>
      <c r="Q736" s="590"/>
      <c r="R736" s="590"/>
      <c r="S736" s="302"/>
      <c r="T736" s="302"/>
      <c r="U736" s="590"/>
      <c r="V736" s="303"/>
    </row>
    <row r="737" spans="1:22" ht="15" customHeight="1" x14ac:dyDescent="0.25">
      <c r="A737" s="567"/>
      <c r="B737" s="564"/>
      <c r="C737" s="553"/>
      <c r="D737" s="553"/>
      <c r="E737" s="553"/>
      <c r="F737" s="553"/>
      <c r="G737" s="596" t="s">
        <v>950</v>
      </c>
      <c r="H737" s="596" t="s">
        <v>2354</v>
      </c>
      <c r="I737" s="467" t="s">
        <v>2417</v>
      </c>
      <c r="J737" s="646"/>
      <c r="K737" s="302">
        <f>0.16*0.75</f>
        <v>0.12</v>
      </c>
      <c r="L737" s="302"/>
      <c r="M737" s="590"/>
      <c r="N737" s="302"/>
      <c r="O737" s="467"/>
      <c r="P737" s="467"/>
      <c r="Q737" s="590"/>
      <c r="R737" s="590"/>
      <c r="S737" s="302"/>
      <c r="T737" s="302"/>
      <c r="U737" s="590"/>
      <c r="V737" s="303"/>
    </row>
    <row r="738" spans="1:22" ht="15" customHeight="1" x14ac:dyDescent="0.25">
      <c r="A738" s="567"/>
      <c r="B738" s="564"/>
      <c r="C738" s="553"/>
      <c r="D738" s="553"/>
      <c r="E738" s="553"/>
      <c r="F738" s="553"/>
      <c r="G738" s="596" t="s">
        <v>2195</v>
      </c>
      <c r="H738" s="596" t="s">
        <v>14716</v>
      </c>
      <c r="I738" s="596" t="s">
        <v>14862</v>
      </c>
      <c r="J738" s="286"/>
      <c r="K738" s="286">
        <f>(0.4-0.043)*0.75</f>
        <v>0.26775000000000004</v>
      </c>
      <c r="L738" s="302"/>
      <c r="M738" s="590"/>
      <c r="N738" s="302"/>
      <c r="O738" s="467"/>
      <c r="P738" s="467"/>
      <c r="Q738" s="590"/>
      <c r="R738" s="590"/>
      <c r="S738" s="302"/>
      <c r="T738" s="302"/>
      <c r="U738" s="590"/>
      <c r="V738" s="303"/>
    </row>
    <row r="739" spans="1:22" ht="15" customHeight="1" x14ac:dyDescent="0.25">
      <c r="A739" s="567"/>
      <c r="B739" s="564"/>
      <c r="C739" s="553"/>
      <c r="D739" s="553"/>
      <c r="E739" s="553"/>
      <c r="F739" s="553"/>
      <c r="G739" s="1163" t="s">
        <v>14933</v>
      </c>
      <c r="H739" s="1163"/>
      <c r="I739" s="1163"/>
      <c r="J739" s="1163"/>
      <c r="K739" s="1163"/>
      <c r="L739" s="1163"/>
      <c r="M739" s="1163"/>
      <c r="N739" s="1163"/>
      <c r="O739" s="467"/>
      <c r="P739" s="467"/>
      <c r="Q739" s="590"/>
      <c r="R739" s="590"/>
      <c r="S739" s="302"/>
      <c r="T739" s="302"/>
      <c r="U739" s="590"/>
      <c r="V739" s="303"/>
    </row>
    <row r="740" spans="1:22" ht="15" customHeight="1" x14ac:dyDescent="0.25">
      <c r="A740" s="567"/>
      <c r="B740" s="564"/>
      <c r="C740" s="553"/>
      <c r="D740" s="553"/>
      <c r="E740" s="553"/>
      <c r="F740" s="553"/>
      <c r="G740" s="596" t="s">
        <v>14916</v>
      </c>
      <c r="H740" s="596" t="s">
        <v>17283</v>
      </c>
      <c r="I740" s="596" t="s">
        <v>17284</v>
      </c>
      <c r="J740" s="286"/>
      <c r="K740" s="286">
        <f>(0.586-0.256)*0.75</f>
        <v>0.24749999999999997</v>
      </c>
      <c r="L740" s="302"/>
      <c r="M740" s="590"/>
      <c r="N740" s="302"/>
      <c r="O740" s="467"/>
      <c r="P740" s="467"/>
      <c r="Q740" s="590"/>
      <c r="R740" s="590"/>
      <c r="S740" s="302"/>
      <c r="T740" s="302"/>
      <c r="U740" s="590"/>
      <c r="V740" s="303"/>
    </row>
    <row r="741" spans="1:22" ht="15" customHeight="1" x14ac:dyDescent="0.25">
      <c r="A741" s="567"/>
      <c r="B741" s="564"/>
      <c r="C741" s="553"/>
      <c r="D741" s="553"/>
      <c r="E741" s="553"/>
      <c r="F741" s="553"/>
      <c r="G741" s="1163" t="s">
        <v>18518</v>
      </c>
      <c r="H741" s="1163"/>
      <c r="I741" s="1163"/>
      <c r="J741" s="1163"/>
      <c r="K741" s="1163"/>
      <c r="L741" s="1163"/>
      <c r="M741" s="1163"/>
      <c r="N741" s="1163"/>
      <c r="O741" s="695"/>
      <c r="P741" s="695"/>
      <c r="Q741" s="290"/>
      <c r="R741" s="290"/>
      <c r="S741" s="307"/>
      <c r="T741" s="307"/>
      <c r="U741" s="290"/>
      <c r="V741" s="305"/>
    </row>
    <row r="742" spans="1:22" ht="15" customHeight="1" x14ac:dyDescent="0.25">
      <c r="A742" s="567"/>
      <c r="B742" s="564"/>
      <c r="C742" s="553"/>
      <c r="D742" s="553"/>
      <c r="E742" s="553"/>
      <c r="F742" s="553"/>
      <c r="G742" s="590" t="s">
        <v>19556</v>
      </c>
      <c r="H742" s="590" t="s">
        <v>19557</v>
      </c>
      <c r="I742" s="590" t="s">
        <v>19558</v>
      </c>
      <c r="J742" s="302"/>
      <c r="K742" s="302">
        <f>0.14*0.9</f>
        <v>0.12600000000000003</v>
      </c>
      <c r="L742" s="307"/>
      <c r="M742" s="290"/>
      <c r="N742" s="290"/>
      <c r="O742" s="695"/>
      <c r="P742" s="695"/>
      <c r="Q742" s="290"/>
      <c r="R742" s="290"/>
      <c r="S742" s="307"/>
      <c r="T742" s="307"/>
      <c r="U742" s="290"/>
      <c r="V742" s="305"/>
    </row>
    <row r="743" spans="1:22" ht="15" customHeight="1" x14ac:dyDescent="0.25">
      <c r="A743" s="567"/>
      <c r="B743" s="564"/>
      <c r="C743" s="553"/>
      <c r="D743" s="553"/>
      <c r="E743" s="553"/>
      <c r="F743" s="553"/>
      <c r="G743" s="1164" t="s">
        <v>2262</v>
      </c>
      <c r="H743" s="1164"/>
      <c r="I743" s="1164"/>
      <c r="J743" s="1165">
        <f>0.362*0.9*0.6</f>
        <v>0.19547999999999999</v>
      </c>
      <c r="K743" s="1166"/>
      <c r="L743" s="307"/>
      <c r="M743" s="290"/>
      <c r="N743" s="307"/>
      <c r="O743" s="695"/>
      <c r="P743" s="695"/>
      <c r="Q743" s="290"/>
      <c r="R743" s="290"/>
      <c r="S743" s="307"/>
      <c r="T743" s="307"/>
      <c r="U743" s="290"/>
      <c r="V743" s="305"/>
    </row>
    <row r="744" spans="1:22" ht="15" customHeight="1" thickBot="1" x14ac:dyDescent="0.3">
      <c r="A744" s="242"/>
      <c r="B744" s="243"/>
      <c r="C744" s="244"/>
      <c r="D744" s="244"/>
      <c r="E744" s="244"/>
      <c r="F744" s="244"/>
      <c r="G744" s="1066" t="s">
        <v>1199</v>
      </c>
      <c r="H744" s="1066"/>
      <c r="I744" s="1066"/>
      <c r="J744" s="630"/>
      <c r="K744" s="456">
        <f>SUM(J740:K743)</f>
        <v>0.56898000000000004</v>
      </c>
      <c r="L744" s="631"/>
      <c r="M744" s="632">
        <v>0.92</v>
      </c>
      <c r="N744" s="456">
        <f>K744/M744</f>
        <v>0.61845652173913046</v>
      </c>
      <c r="O744" s="1066" t="s">
        <v>1199</v>
      </c>
      <c r="P744" s="1066"/>
      <c r="Q744" s="1066"/>
      <c r="R744" s="554"/>
      <c r="S744" s="456">
        <f>SUM(S731:S733)</f>
        <v>0.13500000000000001</v>
      </c>
      <c r="T744" s="631"/>
      <c r="U744" s="554">
        <v>0.92</v>
      </c>
      <c r="V744" s="633">
        <f>S744/U744</f>
        <v>0.14673913043478262</v>
      </c>
    </row>
    <row r="745" spans="1:22" s="475" customFormat="1" ht="15" customHeight="1" x14ac:dyDescent="0.25">
      <c r="A745" s="1092" t="str">
        <f>Итоговая!C343</f>
        <v xml:space="preserve">ПС 35/6 кВ Кр. Луч  </v>
      </c>
      <c r="B745" s="1072">
        <f>Итоговая!D343</f>
        <v>2.5</v>
      </c>
      <c r="C745" s="1067" t="str">
        <f>Итоговая!E343</f>
        <v>+</v>
      </c>
      <c r="D745" s="1067">
        <f>Итоговая!F343</f>
        <v>3.2</v>
      </c>
      <c r="E745" s="552"/>
      <c r="F745" s="552"/>
      <c r="G745" s="1168" t="s">
        <v>1287</v>
      </c>
      <c r="H745" s="1168"/>
      <c r="I745" s="1168"/>
      <c r="J745" s="1168"/>
      <c r="K745" s="1168"/>
      <c r="L745" s="1168"/>
      <c r="M745" s="1168"/>
      <c r="N745" s="1168"/>
      <c r="O745" s="1168" t="s">
        <v>1324</v>
      </c>
      <c r="P745" s="1168"/>
      <c r="Q745" s="1168"/>
      <c r="R745" s="1168"/>
      <c r="S745" s="1168"/>
      <c r="T745" s="1168"/>
      <c r="U745" s="1168"/>
      <c r="V745" s="1169"/>
    </row>
    <row r="746" spans="1:22" ht="15" customHeight="1" x14ac:dyDescent="0.25">
      <c r="A746" s="1093"/>
      <c r="B746" s="1023"/>
      <c r="C746" s="1024"/>
      <c r="D746" s="1024"/>
      <c r="E746" s="553"/>
      <c r="F746" s="553"/>
      <c r="G746" s="596" t="s">
        <v>587</v>
      </c>
      <c r="H746" s="596" t="s">
        <v>959</v>
      </c>
      <c r="I746" s="596" t="s">
        <v>996</v>
      </c>
      <c r="J746" s="286"/>
      <c r="K746" s="286">
        <v>0.03</v>
      </c>
      <c r="L746" s="302"/>
      <c r="M746" s="590"/>
      <c r="N746" s="302"/>
      <c r="O746" s="596" t="s">
        <v>1000</v>
      </c>
      <c r="P746" s="596" t="s">
        <v>1001</v>
      </c>
      <c r="Q746" s="635" t="s">
        <v>1439</v>
      </c>
      <c r="R746" s="635"/>
      <c r="S746" s="286">
        <v>0.2</v>
      </c>
      <c r="T746" s="302"/>
      <c r="U746" s="596"/>
      <c r="V746" s="303"/>
    </row>
    <row r="747" spans="1:22" ht="15" customHeight="1" x14ac:dyDescent="0.25">
      <c r="A747" s="567"/>
      <c r="B747" s="564"/>
      <c r="C747" s="553"/>
      <c r="D747" s="553"/>
      <c r="E747" s="553"/>
      <c r="F747" s="553"/>
      <c r="G747" s="1163" t="s">
        <v>1286</v>
      </c>
      <c r="H747" s="1163"/>
      <c r="I747" s="1163"/>
      <c r="J747" s="1163"/>
      <c r="K747" s="1163"/>
      <c r="L747" s="1163"/>
      <c r="M747" s="1163"/>
      <c r="N747" s="1163"/>
      <c r="O747" s="1163" t="s">
        <v>14933</v>
      </c>
      <c r="P747" s="1163"/>
      <c r="Q747" s="1163"/>
      <c r="R747" s="1163"/>
      <c r="S747" s="1163"/>
      <c r="T747" s="1163"/>
      <c r="U747" s="1163"/>
      <c r="V747" s="1198"/>
    </row>
    <row r="748" spans="1:22" s="335" customFormat="1" ht="15" customHeight="1" x14ac:dyDescent="0.25">
      <c r="A748" s="567"/>
      <c r="B748" s="564"/>
      <c r="C748" s="553"/>
      <c r="D748" s="553"/>
      <c r="E748" s="553"/>
      <c r="F748" s="553"/>
      <c r="G748" s="596" t="s">
        <v>997</v>
      </c>
      <c r="H748" s="596" t="s">
        <v>998</v>
      </c>
      <c r="I748" s="596" t="s">
        <v>999</v>
      </c>
      <c r="J748" s="286"/>
      <c r="K748" s="286">
        <v>6.5000000000000002E-2</v>
      </c>
      <c r="L748" s="302"/>
      <c r="M748" s="590"/>
      <c r="N748" s="302"/>
      <c r="O748" s="596" t="s">
        <v>2363</v>
      </c>
      <c r="P748" s="596" t="s">
        <v>2362</v>
      </c>
      <c r="Q748" s="596" t="s">
        <v>18183</v>
      </c>
      <c r="R748" s="596"/>
      <c r="S748" s="286">
        <f>0.3*0.9</f>
        <v>0.27</v>
      </c>
      <c r="T748" s="302"/>
      <c r="U748" s="590"/>
      <c r="V748" s="303"/>
    </row>
    <row r="749" spans="1:22" ht="15" customHeight="1" x14ac:dyDescent="0.25">
      <c r="A749" s="567"/>
      <c r="B749" s="564"/>
      <c r="C749" s="553"/>
      <c r="D749" s="553"/>
      <c r="E749" s="553"/>
      <c r="F749" s="553"/>
      <c r="G749" s="1163" t="s">
        <v>1645</v>
      </c>
      <c r="H749" s="1163"/>
      <c r="I749" s="1163"/>
      <c r="J749" s="1163"/>
      <c r="K749" s="1163"/>
      <c r="L749" s="1163"/>
      <c r="M749" s="1163"/>
      <c r="N749" s="1163"/>
      <c r="O749" s="1163" t="s">
        <v>18518</v>
      </c>
      <c r="P749" s="1163"/>
      <c r="Q749" s="1163"/>
      <c r="R749" s="1163"/>
      <c r="S749" s="1163"/>
      <c r="T749" s="1163"/>
      <c r="U749" s="1163"/>
      <c r="V749" s="1163"/>
    </row>
    <row r="750" spans="1:22" ht="15" customHeight="1" x14ac:dyDescent="0.25">
      <c r="A750" s="567"/>
      <c r="B750" s="564"/>
      <c r="C750" s="553"/>
      <c r="D750" s="553"/>
      <c r="E750" s="553"/>
      <c r="F750" s="553"/>
      <c r="G750" s="596" t="s">
        <v>1920</v>
      </c>
      <c r="H750" s="596" t="s">
        <v>1928</v>
      </c>
      <c r="I750" s="596" t="s">
        <v>1978</v>
      </c>
      <c r="J750" s="286"/>
      <c r="K750" s="286">
        <v>5.0599999999999999E-2</v>
      </c>
      <c r="L750" s="302"/>
      <c r="M750" s="590"/>
      <c r="N750" s="302"/>
      <c r="O750" s="596" t="s">
        <v>2252</v>
      </c>
      <c r="P750" s="596" t="s">
        <v>2253</v>
      </c>
      <c r="Q750" s="590" t="s">
        <v>2418</v>
      </c>
      <c r="R750" s="590"/>
      <c r="S750" s="302">
        <f>0.669*0.75</f>
        <v>0.50175000000000003</v>
      </c>
      <c r="T750" s="302"/>
      <c r="U750" s="480"/>
      <c r="V750" s="638"/>
    </row>
    <row r="751" spans="1:22" ht="15" customHeight="1" x14ac:dyDescent="0.25">
      <c r="A751" s="567"/>
      <c r="B751" s="564"/>
      <c r="C751" s="553"/>
      <c r="D751" s="553"/>
      <c r="E751" s="553"/>
      <c r="F751" s="553"/>
      <c r="G751" s="596" t="s">
        <v>1920</v>
      </c>
      <c r="H751" s="596" t="s">
        <v>1924</v>
      </c>
      <c r="I751" s="596" t="s">
        <v>1980</v>
      </c>
      <c r="J751" s="286"/>
      <c r="K751" s="286">
        <v>5.2600000000000001E-2</v>
      </c>
      <c r="L751" s="302"/>
      <c r="M751" s="590"/>
      <c r="N751" s="302"/>
      <c r="O751" s="480"/>
      <c r="P751" s="480"/>
      <c r="Q751" s="480"/>
      <c r="R751" s="480"/>
      <c r="S751" s="480"/>
      <c r="T751" s="480"/>
      <c r="U751" s="480"/>
      <c r="V751" s="638"/>
    </row>
    <row r="752" spans="1:22" ht="15" customHeight="1" x14ac:dyDescent="0.25">
      <c r="A752" s="567"/>
      <c r="B752" s="564"/>
      <c r="C752" s="553"/>
      <c r="D752" s="553"/>
      <c r="E752" s="553"/>
      <c r="F752" s="553"/>
      <c r="G752" s="1163" t="s">
        <v>2290</v>
      </c>
      <c r="H752" s="1163"/>
      <c r="I752" s="1163"/>
      <c r="J752" s="1163"/>
      <c r="K752" s="1163"/>
      <c r="L752" s="1163"/>
      <c r="M752" s="1163"/>
      <c r="N752" s="1163"/>
      <c r="O752" s="480"/>
      <c r="P752" s="480"/>
      <c r="Q752" s="480"/>
      <c r="R752" s="480"/>
      <c r="S752" s="480"/>
      <c r="T752" s="480"/>
      <c r="U752" s="480"/>
      <c r="V752" s="638"/>
    </row>
    <row r="753" spans="1:22" ht="15" customHeight="1" x14ac:dyDescent="0.25">
      <c r="A753" s="567"/>
      <c r="B753" s="564"/>
      <c r="C753" s="553"/>
      <c r="D753" s="553"/>
      <c r="E753" s="553"/>
      <c r="F753" s="553"/>
      <c r="G753" s="596" t="s">
        <v>2269</v>
      </c>
      <c r="H753" s="596" t="s">
        <v>2272</v>
      </c>
      <c r="I753" s="590" t="s">
        <v>2292</v>
      </c>
      <c r="J753" s="302"/>
      <c r="K753" s="302">
        <f>0.255*0.75</f>
        <v>0.19125</v>
      </c>
      <c r="L753" s="302"/>
      <c r="M753" s="590"/>
      <c r="N753" s="302"/>
      <c r="O753" s="480"/>
      <c r="P753" s="480"/>
      <c r="Q753" s="480"/>
      <c r="R753" s="480"/>
      <c r="S753" s="480"/>
      <c r="T753" s="480"/>
      <c r="U753" s="480"/>
      <c r="V753" s="638"/>
    </row>
    <row r="754" spans="1:22" ht="15" customHeight="1" x14ac:dyDescent="0.25">
      <c r="A754" s="567"/>
      <c r="B754" s="564"/>
      <c r="C754" s="553"/>
      <c r="D754" s="553"/>
      <c r="E754" s="553"/>
      <c r="F754" s="553"/>
      <c r="G754" s="596"/>
      <c r="H754" s="596"/>
      <c r="I754" s="590"/>
      <c r="J754" s="302"/>
      <c r="K754" s="302"/>
      <c r="L754" s="302"/>
      <c r="M754" s="590"/>
      <c r="N754" s="302"/>
      <c r="O754" s="480"/>
      <c r="P754" s="480"/>
      <c r="Q754" s="480"/>
      <c r="R754" s="480"/>
      <c r="S754" s="480"/>
      <c r="T754" s="480"/>
      <c r="U754" s="480"/>
      <c r="V754" s="638"/>
    </row>
    <row r="755" spans="1:22" ht="15" customHeight="1" x14ac:dyDescent="0.25">
      <c r="A755" s="567"/>
      <c r="B755" s="564"/>
      <c r="C755" s="553"/>
      <c r="D755" s="553"/>
      <c r="E755" s="553"/>
      <c r="F755" s="553"/>
      <c r="G755" s="596" t="s">
        <v>14721</v>
      </c>
      <c r="H755" s="596" t="s">
        <v>14777</v>
      </c>
      <c r="I755" s="596" t="s">
        <v>14883</v>
      </c>
      <c r="J755" s="286"/>
      <c r="K755" s="286">
        <f>0.03*0.9</f>
        <v>2.7E-2</v>
      </c>
      <c r="L755" s="302"/>
      <c r="M755" s="590"/>
      <c r="N755" s="302"/>
      <c r="O755" s="480"/>
      <c r="P755" s="480"/>
      <c r="Q755" s="480"/>
      <c r="R755" s="480"/>
      <c r="S755" s="480"/>
      <c r="T755" s="480"/>
      <c r="U755" s="480"/>
      <c r="V755" s="638"/>
    </row>
    <row r="756" spans="1:22" ht="15" customHeight="1" x14ac:dyDescent="0.25">
      <c r="A756" s="567"/>
      <c r="B756" s="564"/>
      <c r="C756" s="553"/>
      <c r="D756" s="553"/>
      <c r="E756" s="553"/>
      <c r="F756" s="553"/>
      <c r="G756" s="1163" t="s">
        <v>14933</v>
      </c>
      <c r="H756" s="1163"/>
      <c r="I756" s="1163"/>
      <c r="J756" s="1163"/>
      <c r="K756" s="1163"/>
      <c r="L756" s="1163"/>
      <c r="M756" s="1163"/>
      <c r="N756" s="1163"/>
      <c r="O756" s="480"/>
      <c r="P756" s="480"/>
      <c r="Q756" s="480"/>
      <c r="R756" s="480"/>
      <c r="S756" s="480"/>
      <c r="T756" s="480"/>
      <c r="U756" s="480"/>
      <c r="V756" s="638"/>
    </row>
    <row r="757" spans="1:22" ht="15" customHeight="1" x14ac:dyDescent="0.25">
      <c r="A757" s="567"/>
      <c r="B757" s="564"/>
      <c r="C757" s="553"/>
      <c r="D757" s="553"/>
      <c r="E757" s="553"/>
      <c r="F757" s="553"/>
      <c r="G757" s="596" t="s">
        <v>17263</v>
      </c>
      <c r="H757" s="596" t="s">
        <v>17264</v>
      </c>
      <c r="I757" s="596" t="s">
        <v>17265</v>
      </c>
      <c r="J757" s="286"/>
      <c r="K757" s="286">
        <f>0.8*0.15</f>
        <v>0.12</v>
      </c>
      <c r="L757" s="302"/>
      <c r="M757" s="590"/>
      <c r="N757" s="302"/>
      <c r="O757" s="590"/>
      <c r="P757" s="590"/>
      <c r="Q757" s="590"/>
      <c r="R757" s="590"/>
      <c r="S757" s="302"/>
      <c r="T757" s="302"/>
      <c r="U757" s="590"/>
      <c r="V757" s="303"/>
    </row>
    <row r="758" spans="1:22" ht="15" customHeight="1" x14ac:dyDescent="0.25">
      <c r="A758" s="567"/>
      <c r="B758" s="564"/>
      <c r="C758" s="553"/>
      <c r="D758" s="553"/>
      <c r="E758" s="553"/>
      <c r="F758" s="553"/>
      <c r="G758" s="596" t="s">
        <v>17343</v>
      </c>
      <c r="H758" s="596" t="s">
        <v>17344</v>
      </c>
      <c r="I758" s="596" t="s">
        <v>17345</v>
      </c>
      <c r="J758" s="286"/>
      <c r="K758" s="286">
        <f>0.03*0.9</f>
        <v>2.7E-2</v>
      </c>
      <c r="L758" s="302"/>
      <c r="M758" s="590"/>
      <c r="N758" s="302"/>
      <c r="O758" s="590"/>
      <c r="P758" s="590"/>
      <c r="Q758" s="590"/>
      <c r="R758" s="590"/>
      <c r="S758" s="302"/>
      <c r="T758" s="302"/>
      <c r="U758" s="590"/>
      <c r="V758" s="303"/>
    </row>
    <row r="759" spans="1:22" ht="15" customHeight="1" x14ac:dyDescent="0.25">
      <c r="A759" s="567"/>
      <c r="B759" s="564"/>
      <c r="C759" s="553"/>
      <c r="D759" s="553"/>
      <c r="E759" s="553"/>
      <c r="F759" s="553"/>
      <c r="G759" s="596" t="s">
        <v>17577</v>
      </c>
      <c r="H759" s="596" t="s">
        <v>17578</v>
      </c>
      <c r="I759" s="596" t="s">
        <v>17579</v>
      </c>
      <c r="J759" s="286"/>
      <c r="K759" s="286">
        <f>0.649*0.15</f>
        <v>9.7350000000000006E-2</v>
      </c>
      <c r="L759" s="302"/>
      <c r="M759" s="590"/>
      <c r="N759" s="302"/>
      <c r="O759" s="590"/>
      <c r="P759" s="590"/>
      <c r="Q759" s="590"/>
      <c r="R759" s="590"/>
      <c r="S759" s="302"/>
      <c r="T759" s="302"/>
      <c r="U759" s="590"/>
      <c r="V759" s="303"/>
    </row>
    <row r="760" spans="1:22" ht="15" customHeight="1" x14ac:dyDescent="0.25">
      <c r="A760" s="567"/>
      <c r="B760" s="564"/>
      <c r="C760" s="553"/>
      <c r="D760" s="553"/>
      <c r="E760" s="553"/>
      <c r="F760" s="553"/>
      <c r="G760" s="1164" t="s">
        <v>2262</v>
      </c>
      <c r="H760" s="1164"/>
      <c r="I760" s="1164"/>
      <c r="J760" s="1165">
        <f>0.319*0.9*0.6</f>
        <v>0.17226</v>
      </c>
      <c r="K760" s="1166"/>
      <c r="L760" s="302"/>
      <c r="M760" s="590"/>
      <c r="N760" s="302"/>
      <c r="O760" s="590"/>
      <c r="P760" s="590"/>
      <c r="Q760" s="590"/>
      <c r="R760" s="590"/>
      <c r="S760" s="302"/>
      <c r="T760" s="302"/>
      <c r="U760" s="590"/>
      <c r="V760" s="303"/>
    </row>
    <row r="761" spans="1:22" ht="15" customHeight="1" x14ac:dyDescent="0.25">
      <c r="A761" s="567"/>
      <c r="B761" s="564"/>
      <c r="C761" s="553"/>
      <c r="D761" s="553"/>
      <c r="E761" s="553"/>
      <c r="F761" s="553"/>
      <c r="G761" s="1163" t="s">
        <v>18518</v>
      </c>
      <c r="H761" s="1163"/>
      <c r="I761" s="1163"/>
      <c r="J761" s="1163"/>
      <c r="K761" s="1163"/>
      <c r="L761" s="1163"/>
      <c r="M761" s="1163"/>
      <c r="N761" s="1163"/>
      <c r="O761" s="290"/>
      <c r="P761" s="290"/>
      <c r="Q761" s="290"/>
      <c r="R761" s="290"/>
      <c r="S761" s="307"/>
      <c r="T761" s="307"/>
      <c r="U761" s="290"/>
      <c r="V761" s="305"/>
    </row>
    <row r="762" spans="1:22" ht="15" customHeight="1" x14ac:dyDescent="0.25">
      <c r="A762" s="567"/>
      <c r="B762" s="564"/>
      <c r="C762" s="553"/>
      <c r="D762" s="553"/>
      <c r="E762" s="553"/>
      <c r="F762" s="553"/>
      <c r="G762" s="649" t="s">
        <v>18957</v>
      </c>
      <c r="H762" s="650" t="s">
        <v>18958</v>
      </c>
      <c r="I762" s="649">
        <v>41084748</v>
      </c>
      <c r="J762" s="651">
        <f>0.1*0.9</f>
        <v>9.0000000000000011E-2</v>
      </c>
      <c r="K762" s="651"/>
      <c r="L762" s="652"/>
      <c r="M762" s="290"/>
      <c r="N762" s="653"/>
      <c r="O762" s="290"/>
      <c r="P762" s="290"/>
      <c r="Q762" s="290"/>
      <c r="R762" s="290"/>
      <c r="S762" s="307"/>
      <c r="T762" s="307"/>
      <c r="U762" s="290"/>
      <c r="V762" s="305"/>
    </row>
    <row r="763" spans="1:22" ht="15" customHeight="1" x14ac:dyDescent="0.25">
      <c r="A763" s="567"/>
      <c r="B763" s="564"/>
      <c r="C763" s="553"/>
      <c r="D763" s="553"/>
      <c r="E763" s="553"/>
      <c r="F763" s="553"/>
      <c r="G763" s="1164" t="s">
        <v>2262</v>
      </c>
      <c r="H763" s="1164"/>
      <c r="I763" s="1164"/>
      <c r="J763" s="1165">
        <f>0.554*0.9*0.6</f>
        <v>0.29916000000000004</v>
      </c>
      <c r="K763" s="1166"/>
      <c r="L763" s="307"/>
      <c r="M763" s="290"/>
      <c r="N763" s="307"/>
      <c r="O763" s="290"/>
      <c r="P763" s="290"/>
      <c r="Q763" s="290"/>
      <c r="R763" s="290"/>
      <c r="S763" s="307"/>
      <c r="T763" s="307"/>
      <c r="U763" s="290"/>
      <c r="V763" s="305"/>
    </row>
    <row r="764" spans="1:22" ht="15" customHeight="1" thickBot="1" x14ac:dyDescent="0.3">
      <c r="A764" s="242"/>
      <c r="B764" s="243"/>
      <c r="C764" s="244"/>
      <c r="D764" s="244"/>
      <c r="E764" s="244"/>
      <c r="F764" s="244"/>
      <c r="G764" s="1066" t="s">
        <v>1199</v>
      </c>
      <c r="H764" s="1066"/>
      <c r="I764" s="1066"/>
      <c r="J764" s="630"/>
      <c r="K764" s="456">
        <f>SUM(J757:K763)</f>
        <v>0.8057700000000001</v>
      </c>
      <c r="L764" s="631"/>
      <c r="M764" s="632">
        <v>0.92</v>
      </c>
      <c r="N764" s="456">
        <f>K764/M764</f>
        <v>0.87583695652173921</v>
      </c>
      <c r="O764" s="1066" t="s">
        <v>1199</v>
      </c>
      <c r="P764" s="1066"/>
      <c r="Q764" s="1066"/>
      <c r="R764" s="554"/>
      <c r="S764" s="456">
        <f>SUM(S746:S752)</f>
        <v>0.97175000000000011</v>
      </c>
      <c r="T764" s="631"/>
      <c r="U764" s="554">
        <v>0.92</v>
      </c>
      <c r="V764" s="633">
        <f>S764/U764</f>
        <v>1.0562500000000001</v>
      </c>
    </row>
    <row r="765" spans="1:22" ht="15" customHeight="1" x14ac:dyDescent="0.25">
      <c r="A765" s="566" t="str">
        <f>Итоговая!C344</f>
        <v xml:space="preserve">ПС 35/6 кВ Мелково  </v>
      </c>
      <c r="B765" s="563">
        <f>Итоговая!D344</f>
        <v>1.6</v>
      </c>
      <c r="C765" s="552" t="str">
        <f>Итоговая!E344</f>
        <v>+</v>
      </c>
      <c r="D765" s="552">
        <f>Итоговая!F344</f>
        <v>2.5</v>
      </c>
      <c r="E765" s="552"/>
      <c r="F765" s="552"/>
      <c r="G765" s="1168" t="s">
        <v>1645</v>
      </c>
      <c r="H765" s="1168"/>
      <c r="I765" s="1168"/>
      <c r="J765" s="1168"/>
      <c r="K765" s="1168"/>
      <c r="L765" s="1168"/>
      <c r="M765" s="1168"/>
      <c r="N765" s="1168"/>
      <c r="O765" s="683"/>
      <c r="P765" s="683"/>
      <c r="Q765" s="683"/>
      <c r="R765" s="683"/>
      <c r="S765" s="688"/>
      <c r="T765" s="460"/>
      <c r="U765" s="427"/>
      <c r="V765" s="634"/>
    </row>
    <row r="766" spans="1:22" ht="15" customHeight="1" x14ac:dyDescent="0.25">
      <c r="A766" s="567"/>
      <c r="B766" s="564"/>
      <c r="C766" s="553"/>
      <c r="D766" s="553"/>
      <c r="E766" s="553"/>
      <c r="F766" s="553"/>
      <c r="G766" s="1034"/>
      <c r="H766" s="1034"/>
      <c r="I766" s="1034"/>
      <c r="J766" s="286"/>
      <c r="K766" s="628"/>
      <c r="L766" s="302"/>
      <c r="M766" s="590"/>
      <c r="N766" s="302"/>
      <c r="O766" s="627"/>
      <c r="P766" s="627"/>
      <c r="Q766" s="627"/>
      <c r="R766" s="627"/>
      <c r="S766" s="628"/>
      <c r="T766" s="302"/>
      <c r="U766" s="596"/>
      <c r="V766" s="303"/>
    </row>
    <row r="767" spans="1:22" ht="15" customHeight="1" x14ac:dyDescent="0.25">
      <c r="A767" s="567"/>
      <c r="B767" s="564"/>
      <c r="C767" s="553"/>
      <c r="D767" s="553"/>
      <c r="E767" s="553"/>
      <c r="F767" s="553"/>
      <c r="G767" s="1163" t="s">
        <v>2266</v>
      </c>
      <c r="H767" s="1163"/>
      <c r="I767" s="1163"/>
      <c r="J767" s="1163"/>
      <c r="K767" s="1163"/>
      <c r="L767" s="1163"/>
      <c r="M767" s="1163"/>
      <c r="N767" s="1163"/>
      <c r="O767" s="627"/>
      <c r="P767" s="627"/>
      <c r="Q767" s="627"/>
      <c r="R767" s="627"/>
      <c r="S767" s="628"/>
      <c r="T767" s="302"/>
      <c r="U767" s="596"/>
      <c r="V767" s="303"/>
    </row>
    <row r="768" spans="1:22" ht="15" customHeight="1" x14ac:dyDescent="0.25">
      <c r="A768" s="567"/>
      <c r="B768" s="564"/>
      <c r="C768" s="553"/>
      <c r="D768" s="553"/>
      <c r="E768" s="553"/>
      <c r="F768" s="553"/>
      <c r="G768" s="596" t="s">
        <v>13422</v>
      </c>
      <c r="H768" s="543" t="s">
        <v>14826</v>
      </c>
      <c r="I768" s="590" t="s">
        <v>14827</v>
      </c>
      <c r="J768" s="302"/>
      <c r="K768" s="286">
        <f>(0.35-0.2)*0.75</f>
        <v>0.11249999999999998</v>
      </c>
      <c r="L768" s="302"/>
      <c r="M768" s="590"/>
      <c r="N768" s="302"/>
      <c r="O768" s="627"/>
      <c r="P768" s="627"/>
      <c r="Q768" s="627"/>
      <c r="R768" s="627"/>
      <c r="S768" s="628"/>
      <c r="T768" s="302"/>
      <c r="U768" s="596"/>
      <c r="V768" s="303"/>
    </row>
    <row r="769" spans="1:22" ht="15" customHeight="1" x14ac:dyDescent="0.25">
      <c r="A769" s="567"/>
      <c r="B769" s="564"/>
      <c r="C769" s="553"/>
      <c r="D769" s="553"/>
      <c r="E769" s="553"/>
      <c r="F769" s="553"/>
      <c r="G769" s="1163" t="s">
        <v>14978</v>
      </c>
      <c r="H769" s="1163"/>
      <c r="I769" s="1163"/>
      <c r="J769" s="1163"/>
      <c r="K769" s="1163"/>
      <c r="L769" s="1163"/>
      <c r="M769" s="1163"/>
      <c r="N769" s="1163"/>
      <c r="O769" s="627"/>
      <c r="P769" s="627"/>
      <c r="Q769" s="627"/>
      <c r="R769" s="627"/>
      <c r="S769" s="628"/>
      <c r="T769" s="302"/>
      <c r="U769" s="596"/>
      <c r="V769" s="303"/>
    </row>
    <row r="770" spans="1:22" ht="15" customHeight="1" x14ac:dyDescent="0.25">
      <c r="A770" s="567"/>
      <c r="B770" s="564"/>
      <c r="C770" s="553"/>
      <c r="D770" s="553"/>
      <c r="E770" s="553"/>
      <c r="F770" s="553"/>
      <c r="G770" s="596" t="s">
        <v>17358</v>
      </c>
      <c r="H770" s="543" t="s">
        <v>17359</v>
      </c>
      <c r="I770" s="590" t="s">
        <v>17360</v>
      </c>
      <c r="J770" s="302"/>
      <c r="K770" s="286">
        <f>0.1*0.9</f>
        <v>9.0000000000000011E-2</v>
      </c>
      <c r="L770" s="302"/>
      <c r="M770" s="590"/>
      <c r="N770" s="302"/>
      <c r="O770" s="627"/>
      <c r="P770" s="627"/>
      <c r="Q770" s="627"/>
      <c r="R770" s="627"/>
      <c r="S770" s="628"/>
      <c r="T770" s="302"/>
      <c r="U770" s="596"/>
      <c r="V770" s="303"/>
    </row>
    <row r="771" spans="1:22" ht="15" customHeight="1" x14ac:dyDescent="0.25">
      <c r="A771" s="567"/>
      <c r="B771" s="564"/>
      <c r="C771" s="553"/>
      <c r="D771" s="553"/>
      <c r="E771" s="553"/>
      <c r="F771" s="553"/>
      <c r="G771" s="1163" t="s">
        <v>18518</v>
      </c>
      <c r="H771" s="1163"/>
      <c r="I771" s="1163"/>
      <c r="J771" s="1163"/>
      <c r="K771" s="1163"/>
      <c r="L771" s="1163"/>
      <c r="M771" s="1163"/>
      <c r="N771" s="1163"/>
      <c r="O771" s="673"/>
      <c r="P771" s="673"/>
      <c r="Q771" s="673"/>
      <c r="R771" s="673"/>
      <c r="S771" s="674"/>
      <c r="T771" s="307"/>
      <c r="U771" s="600"/>
      <c r="V771" s="305"/>
    </row>
    <row r="772" spans="1:22" ht="15" customHeight="1" x14ac:dyDescent="0.25">
      <c r="A772" s="567"/>
      <c r="B772" s="564"/>
      <c r="C772" s="553"/>
      <c r="D772" s="553"/>
      <c r="E772" s="553"/>
      <c r="F772" s="553"/>
      <c r="G772" s="1164" t="s">
        <v>2262</v>
      </c>
      <c r="H772" s="1164"/>
      <c r="I772" s="1164"/>
      <c r="J772" s="1165">
        <f>0.168*0.9*0.6</f>
        <v>9.0719999999999995E-2</v>
      </c>
      <c r="K772" s="1166"/>
      <c r="L772" s="307"/>
      <c r="M772" s="290"/>
      <c r="N772" s="307"/>
      <c r="O772" s="673"/>
      <c r="P772" s="673"/>
      <c r="Q772" s="673"/>
      <c r="R772" s="673"/>
      <c r="S772" s="674"/>
      <c r="T772" s="307"/>
      <c r="U772" s="600"/>
      <c r="V772" s="305"/>
    </row>
    <row r="773" spans="1:22" ht="15" customHeight="1" x14ac:dyDescent="0.25">
      <c r="A773" s="776"/>
      <c r="B773" s="771"/>
      <c r="C773" s="772"/>
      <c r="D773" s="772"/>
      <c r="E773" s="772"/>
      <c r="F773" s="772"/>
      <c r="G773" s="1163" t="s">
        <v>19719</v>
      </c>
      <c r="H773" s="1163"/>
      <c r="I773" s="1163"/>
      <c r="J773" s="1163"/>
      <c r="K773" s="1163"/>
      <c r="L773" s="1163"/>
      <c r="M773" s="1163"/>
      <c r="N773" s="1163"/>
      <c r="O773" s="673"/>
      <c r="P773" s="673"/>
      <c r="Q773" s="673"/>
      <c r="R773" s="673"/>
      <c r="S773" s="674"/>
      <c r="T773" s="786"/>
      <c r="U773" s="784"/>
      <c r="V773" s="305"/>
    </row>
    <row r="774" spans="1:22" ht="15" customHeight="1" x14ac:dyDescent="0.25">
      <c r="A774" s="776"/>
      <c r="B774" s="771"/>
      <c r="C774" s="772"/>
      <c r="D774" s="772"/>
      <c r="E774" s="772"/>
      <c r="F774" s="772"/>
      <c r="G774" s="785" t="s">
        <v>19740</v>
      </c>
      <c r="H774" s="785" t="s">
        <v>19741</v>
      </c>
      <c r="I774" s="785" t="s">
        <v>19742</v>
      </c>
      <c r="J774" s="302">
        <f>0.015*0.9</f>
        <v>1.35E-2</v>
      </c>
      <c r="K774" s="302"/>
      <c r="L774" s="302"/>
      <c r="M774" s="290"/>
      <c r="N774" s="786"/>
      <c r="O774" s="673"/>
      <c r="P774" s="673"/>
      <c r="Q774" s="673"/>
      <c r="R774" s="673"/>
      <c r="S774" s="674"/>
      <c r="T774" s="786"/>
      <c r="U774" s="784"/>
      <c r="V774" s="305"/>
    </row>
    <row r="775" spans="1:22" ht="15" customHeight="1" thickBot="1" x14ac:dyDescent="0.3">
      <c r="A775" s="242"/>
      <c r="B775" s="243"/>
      <c r="C775" s="244"/>
      <c r="D775" s="244"/>
      <c r="E775" s="244"/>
      <c r="F775" s="244"/>
      <c r="G775" s="1066" t="s">
        <v>1199</v>
      </c>
      <c r="H775" s="1066"/>
      <c r="I775" s="1066"/>
      <c r="J775" s="630"/>
      <c r="K775" s="456">
        <f>SUM(J770:K774)</f>
        <v>0.19422</v>
      </c>
      <c r="L775" s="631"/>
      <c r="M775" s="632">
        <v>0.92</v>
      </c>
      <c r="N775" s="456">
        <f>K775/M775</f>
        <v>0.21110869565217391</v>
      </c>
      <c r="O775" s="1066" t="s">
        <v>1199</v>
      </c>
      <c r="P775" s="1066"/>
      <c r="Q775" s="1066"/>
      <c r="R775" s="554"/>
      <c r="S775" s="456">
        <f>SUM(S765:S766)</f>
        <v>0</v>
      </c>
      <c r="T775" s="631"/>
      <c r="U775" s="554">
        <v>0.92</v>
      </c>
      <c r="V775" s="633">
        <f>S775/U775</f>
        <v>0</v>
      </c>
    </row>
    <row r="776" spans="1:22" s="475" customFormat="1" ht="15" customHeight="1" x14ac:dyDescent="0.25">
      <c r="A776" s="1092" t="str">
        <f>Итоговая!C345</f>
        <v xml:space="preserve">ПС 35/10 кВ Селихово </v>
      </c>
      <c r="B776" s="1072">
        <f>Итоговая!D345</f>
        <v>2.5</v>
      </c>
      <c r="C776" s="1067" t="str">
        <f>Итоговая!E345</f>
        <v>+</v>
      </c>
      <c r="D776" s="1067">
        <f>Итоговая!F345</f>
        <v>2.5</v>
      </c>
      <c r="E776" s="552"/>
      <c r="F776" s="552"/>
      <c r="G776" s="1168" t="s">
        <v>1290</v>
      </c>
      <c r="H776" s="1168"/>
      <c r="I776" s="1168"/>
      <c r="J776" s="1168"/>
      <c r="K776" s="1168"/>
      <c r="L776" s="1168"/>
      <c r="M776" s="1168"/>
      <c r="N776" s="1168"/>
      <c r="O776" s="1181"/>
      <c r="P776" s="1181"/>
      <c r="Q776" s="1181"/>
      <c r="R776" s="1181"/>
      <c r="S776" s="1181"/>
      <c r="T776" s="1181"/>
      <c r="U776" s="1181"/>
      <c r="V776" s="1182"/>
    </row>
    <row r="777" spans="1:22" ht="15" customHeight="1" x14ac:dyDescent="0.25">
      <c r="A777" s="1093"/>
      <c r="B777" s="1023"/>
      <c r="C777" s="1024"/>
      <c r="D777" s="1024"/>
      <c r="E777" s="553"/>
      <c r="F777" s="553"/>
      <c r="G777" s="627" t="s">
        <v>1002</v>
      </c>
      <c r="H777" s="627" t="s">
        <v>1003</v>
      </c>
      <c r="I777" s="627" t="s">
        <v>1004</v>
      </c>
      <c r="J777" s="628"/>
      <c r="K777" s="628">
        <v>0.3</v>
      </c>
      <c r="L777" s="302"/>
      <c r="M777" s="590"/>
      <c r="N777" s="302"/>
      <c r="O777" s="590"/>
      <c r="P777" s="590"/>
      <c r="Q777" s="590"/>
      <c r="R777" s="590"/>
      <c r="S777" s="302"/>
      <c r="T777" s="302"/>
      <c r="U777" s="590"/>
      <c r="V777" s="303"/>
    </row>
    <row r="778" spans="1:22" ht="15" customHeight="1" x14ac:dyDescent="0.25">
      <c r="A778" s="567"/>
      <c r="B778" s="564"/>
      <c r="C778" s="553"/>
      <c r="D778" s="553"/>
      <c r="E778" s="553"/>
      <c r="F778" s="553"/>
      <c r="G778" s="1163" t="s">
        <v>14978</v>
      </c>
      <c r="H778" s="1163"/>
      <c r="I778" s="1163"/>
      <c r="J778" s="1163"/>
      <c r="K778" s="1163"/>
      <c r="L778" s="1163"/>
      <c r="M778" s="1163"/>
      <c r="N778" s="1163"/>
      <c r="O778" s="590"/>
      <c r="P778" s="590"/>
      <c r="Q778" s="590"/>
      <c r="R778" s="590"/>
      <c r="S778" s="302"/>
      <c r="T778" s="302"/>
      <c r="U778" s="590"/>
      <c r="V778" s="303"/>
    </row>
    <row r="779" spans="1:22" ht="15" customHeight="1" x14ac:dyDescent="0.25">
      <c r="A779" s="567"/>
      <c r="B779" s="564"/>
      <c r="C779" s="553"/>
      <c r="D779" s="553"/>
      <c r="E779" s="553"/>
      <c r="F779" s="553"/>
      <c r="G779" s="480" t="s">
        <v>14989</v>
      </c>
      <c r="H779" s="480" t="s">
        <v>14990</v>
      </c>
      <c r="I779" s="480" t="s">
        <v>14991</v>
      </c>
      <c r="J779" s="481"/>
      <c r="K779" s="302">
        <f>(0.025-0.015)*0.9</f>
        <v>9.0000000000000028E-3</v>
      </c>
      <c r="L779" s="302"/>
      <c r="M779" s="590"/>
      <c r="N779" s="302"/>
      <c r="O779" s="590"/>
      <c r="P779" s="590"/>
      <c r="Q779" s="590"/>
      <c r="R779" s="590"/>
      <c r="S779" s="302"/>
      <c r="T779" s="302"/>
      <c r="U779" s="590"/>
      <c r="V779" s="303"/>
    </row>
    <row r="780" spans="1:22" ht="15" customHeight="1" x14ac:dyDescent="0.25">
      <c r="A780" s="567"/>
      <c r="B780" s="564"/>
      <c r="C780" s="553"/>
      <c r="D780" s="553"/>
      <c r="E780" s="553"/>
      <c r="F780" s="553"/>
      <c r="G780" s="480" t="s">
        <v>17625</v>
      </c>
      <c r="H780" s="480" t="s">
        <v>17626</v>
      </c>
      <c r="I780" s="480" t="s">
        <v>17627</v>
      </c>
      <c r="J780" s="481"/>
      <c r="K780" s="302">
        <f>0.3*0.75</f>
        <v>0.22499999999999998</v>
      </c>
      <c r="L780" s="302"/>
      <c r="M780" s="590"/>
      <c r="N780" s="302"/>
      <c r="O780" s="590"/>
      <c r="P780" s="590"/>
      <c r="Q780" s="590"/>
      <c r="R780" s="590"/>
      <c r="S780" s="302"/>
      <c r="T780" s="302"/>
      <c r="U780" s="590"/>
      <c r="V780" s="303"/>
    </row>
    <row r="781" spans="1:22" ht="15" customHeight="1" x14ac:dyDescent="0.25">
      <c r="A781" s="567"/>
      <c r="B781" s="564"/>
      <c r="C781" s="553"/>
      <c r="D781" s="553"/>
      <c r="E781" s="553"/>
      <c r="F781" s="553"/>
      <c r="G781" s="1163" t="s">
        <v>18842</v>
      </c>
      <c r="H781" s="1163"/>
      <c r="I781" s="1163"/>
      <c r="J781" s="1163"/>
      <c r="K781" s="1163"/>
      <c r="L781" s="1163"/>
      <c r="M781" s="1163"/>
      <c r="N781" s="1163"/>
      <c r="O781" s="290"/>
      <c r="P781" s="290"/>
      <c r="Q781" s="290"/>
      <c r="R781" s="290"/>
      <c r="S781" s="307"/>
      <c r="T781" s="307"/>
      <c r="U781" s="290"/>
      <c r="V781" s="305"/>
    </row>
    <row r="782" spans="1:22" ht="15" customHeight="1" x14ac:dyDescent="0.25">
      <c r="A782" s="567"/>
      <c r="B782" s="564"/>
      <c r="C782" s="553"/>
      <c r="D782" s="553"/>
      <c r="E782" s="553"/>
      <c r="F782" s="553"/>
      <c r="G782" s="483" t="s">
        <v>18892</v>
      </c>
      <c r="H782" s="483" t="s">
        <v>18893</v>
      </c>
      <c r="I782" s="483" t="s">
        <v>18894</v>
      </c>
      <c r="J782" s="484"/>
      <c r="K782" s="307">
        <f>0.1*0.85</f>
        <v>8.5000000000000006E-2</v>
      </c>
      <c r="L782" s="307"/>
      <c r="M782" s="290"/>
      <c r="N782" s="307"/>
      <c r="O782" s="290"/>
      <c r="P782" s="290"/>
      <c r="Q782" s="290"/>
      <c r="R782" s="290"/>
      <c r="S782" s="307"/>
      <c r="T782" s="307"/>
      <c r="U782" s="290"/>
      <c r="V782" s="305"/>
    </row>
    <row r="783" spans="1:22" ht="15" customHeight="1" x14ac:dyDescent="0.25">
      <c r="A783" s="567"/>
      <c r="B783" s="564"/>
      <c r="C783" s="553"/>
      <c r="D783" s="553"/>
      <c r="E783" s="553"/>
      <c r="F783" s="553"/>
      <c r="G783" s="483" t="s">
        <v>19009</v>
      </c>
      <c r="H783" s="697" t="s">
        <v>19010</v>
      </c>
      <c r="I783" s="697">
        <v>41139051</v>
      </c>
      <c r="J783" s="307">
        <f>0.1*0.9</f>
        <v>9.0000000000000011E-2</v>
      </c>
      <c r="K783" s="307"/>
      <c r="L783" s="307"/>
      <c r="M783" s="290"/>
      <c r="N783" s="307"/>
      <c r="O783" s="290"/>
      <c r="P783" s="290"/>
      <c r="Q783" s="290"/>
      <c r="R783" s="290"/>
      <c r="S783" s="307"/>
      <c r="T783" s="307"/>
      <c r="U783" s="290"/>
      <c r="V783" s="305"/>
    </row>
    <row r="784" spans="1:22" ht="15" customHeight="1" x14ac:dyDescent="0.25">
      <c r="A784" s="567"/>
      <c r="B784" s="564"/>
      <c r="C784" s="553"/>
      <c r="D784" s="553"/>
      <c r="E784" s="553"/>
      <c r="F784" s="553"/>
      <c r="G784" s="483" t="s">
        <v>19209</v>
      </c>
      <c r="H784" s="697" t="s">
        <v>19210</v>
      </c>
      <c r="I784" s="697" t="s">
        <v>19211</v>
      </c>
      <c r="J784" s="307">
        <f>0.15*0.75</f>
        <v>0.11249999999999999</v>
      </c>
      <c r="K784" s="307"/>
      <c r="L784" s="307"/>
      <c r="M784" s="290"/>
      <c r="N784" s="307"/>
      <c r="O784" s="290"/>
      <c r="P784" s="290"/>
      <c r="Q784" s="290"/>
      <c r="R784" s="290"/>
      <c r="S784" s="307"/>
      <c r="T784" s="307"/>
      <c r="U784" s="290"/>
      <c r="V784" s="305"/>
    </row>
    <row r="785" spans="1:22" ht="15" customHeight="1" x14ac:dyDescent="0.25">
      <c r="A785" s="567"/>
      <c r="B785" s="564"/>
      <c r="C785" s="553"/>
      <c r="D785" s="553"/>
      <c r="E785" s="553"/>
      <c r="F785" s="553"/>
      <c r="G785" s="483" t="s">
        <v>19209</v>
      </c>
      <c r="H785" s="697" t="s">
        <v>19279</v>
      </c>
      <c r="I785" s="697" t="s">
        <v>19280</v>
      </c>
      <c r="J785" s="307">
        <f>0.15*0.9</f>
        <v>0.13500000000000001</v>
      </c>
      <c r="K785" s="307"/>
      <c r="L785" s="307"/>
      <c r="M785" s="290"/>
      <c r="N785" s="307"/>
      <c r="O785" s="290"/>
      <c r="P785" s="290"/>
      <c r="Q785" s="290"/>
      <c r="R785" s="290"/>
      <c r="S785" s="307"/>
      <c r="T785" s="307"/>
      <c r="U785" s="290"/>
      <c r="V785" s="305"/>
    </row>
    <row r="786" spans="1:22" ht="15" customHeight="1" x14ac:dyDescent="0.25">
      <c r="A786" s="730"/>
      <c r="B786" s="720"/>
      <c r="C786" s="721"/>
      <c r="D786" s="721"/>
      <c r="E786" s="721"/>
      <c r="F786" s="721"/>
      <c r="G786" s="1164" t="s">
        <v>2262</v>
      </c>
      <c r="H786" s="1164"/>
      <c r="I786" s="1164"/>
      <c r="J786" s="1165">
        <f>0.534*0.9*0.6</f>
        <v>0.28836000000000001</v>
      </c>
      <c r="K786" s="1166"/>
      <c r="L786" s="744"/>
      <c r="M786" s="290"/>
      <c r="N786" s="744"/>
      <c r="O786" s="290"/>
      <c r="P786" s="290"/>
      <c r="Q786" s="290"/>
      <c r="R786" s="290"/>
      <c r="S786" s="744"/>
      <c r="T786" s="744"/>
      <c r="U786" s="290"/>
      <c r="V786" s="305"/>
    </row>
    <row r="787" spans="1:22" ht="15" customHeight="1" thickBot="1" x14ac:dyDescent="0.3">
      <c r="A787" s="242"/>
      <c r="B787" s="243"/>
      <c r="C787" s="244"/>
      <c r="D787" s="244"/>
      <c r="E787" s="244"/>
      <c r="F787" s="244"/>
      <c r="G787" s="1066" t="s">
        <v>1199</v>
      </c>
      <c r="H787" s="1066"/>
      <c r="I787" s="1066"/>
      <c r="J787" s="630"/>
      <c r="K787" s="456">
        <f>SUM(J779:K785)</f>
        <v>0.65650000000000008</v>
      </c>
      <c r="L787" s="631"/>
      <c r="M787" s="632">
        <v>0.92</v>
      </c>
      <c r="N787" s="456">
        <f>K787/M787</f>
        <v>0.7135869565217392</v>
      </c>
      <c r="O787" s="1066" t="s">
        <v>1199</v>
      </c>
      <c r="P787" s="1066"/>
      <c r="Q787" s="1066"/>
      <c r="R787" s="554"/>
      <c r="S787" s="456">
        <v>0</v>
      </c>
      <c r="T787" s="631"/>
      <c r="U787" s="554">
        <v>0.92</v>
      </c>
      <c r="V787" s="633">
        <f>S787/U787</f>
        <v>0</v>
      </c>
    </row>
    <row r="788" spans="1:22" s="475" customFormat="1" ht="15" customHeight="1" x14ac:dyDescent="0.25">
      <c r="A788" s="1092" t="str">
        <f>Итоговая!C346</f>
        <v>ПС 35/10 кВ Мокшино</v>
      </c>
      <c r="B788" s="1072">
        <f>Итоговая!D346</f>
        <v>10</v>
      </c>
      <c r="C788" s="1067" t="str">
        <f>Итоговая!E346</f>
        <v>+</v>
      </c>
      <c r="D788" s="1067">
        <f>Итоговая!F346</f>
        <v>10</v>
      </c>
      <c r="E788" s="552"/>
      <c r="F788" s="552"/>
      <c r="G788" s="1168" t="s">
        <v>1286</v>
      </c>
      <c r="H788" s="1168"/>
      <c r="I788" s="1168"/>
      <c r="J788" s="1168"/>
      <c r="K788" s="1168"/>
      <c r="L788" s="1168"/>
      <c r="M788" s="1168"/>
      <c r="N788" s="1168"/>
      <c r="O788" s="1168" t="s">
        <v>14933</v>
      </c>
      <c r="P788" s="1168"/>
      <c r="Q788" s="1168"/>
      <c r="R788" s="1168"/>
      <c r="S788" s="1168"/>
      <c r="T788" s="1168"/>
      <c r="U788" s="1168"/>
      <c r="V788" s="1169"/>
    </row>
    <row r="789" spans="1:22" ht="15" customHeight="1" x14ac:dyDescent="0.25">
      <c r="A789" s="1093"/>
      <c r="B789" s="1023"/>
      <c r="C789" s="1024"/>
      <c r="D789" s="1024"/>
      <c r="E789" s="553"/>
      <c r="F789" s="553"/>
      <c r="G789" s="590" t="s">
        <v>1242</v>
      </c>
      <c r="H789" s="590" t="s">
        <v>1005</v>
      </c>
      <c r="I789" s="596" t="s">
        <v>1006</v>
      </c>
      <c r="J789" s="286"/>
      <c r="K789" s="645">
        <v>0.67</v>
      </c>
      <c r="L789" s="646"/>
      <c r="M789" s="590"/>
      <c r="N789" s="302"/>
      <c r="O789" s="596" t="s">
        <v>2183</v>
      </c>
      <c r="P789" s="596" t="s">
        <v>14722</v>
      </c>
      <c r="Q789" s="590" t="s">
        <v>17442</v>
      </c>
      <c r="R789" s="590"/>
      <c r="S789" s="302">
        <f>0.095*0.75</f>
        <v>7.1250000000000008E-2</v>
      </c>
      <c r="T789" s="302"/>
      <c r="U789" s="590"/>
      <c r="V789" s="303"/>
    </row>
    <row r="790" spans="1:22" ht="15" customHeight="1" x14ac:dyDescent="0.25">
      <c r="A790" s="567"/>
      <c r="B790" s="564"/>
      <c r="C790" s="553"/>
      <c r="D790" s="553"/>
      <c r="E790" s="553"/>
      <c r="F790" s="553"/>
      <c r="G790" s="596" t="s">
        <v>1007</v>
      </c>
      <c r="H790" s="596" t="s">
        <v>1008</v>
      </c>
      <c r="I790" s="596" t="s">
        <v>1547</v>
      </c>
      <c r="J790" s="286"/>
      <c r="K790" s="286">
        <v>0.08</v>
      </c>
      <c r="L790" s="302"/>
      <c r="M790" s="590"/>
      <c r="N790" s="302"/>
      <c r="O790" s="596" t="s">
        <v>1007</v>
      </c>
      <c r="P790" s="596" t="s">
        <v>13428</v>
      </c>
      <c r="Q790" s="590" t="s">
        <v>18163</v>
      </c>
      <c r="R790" s="590"/>
      <c r="S790" s="302">
        <f>0.17*0.75</f>
        <v>0.1275</v>
      </c>
      <c r="T790" s="302"/>
      <c r="U790" s="590"/>
      <c r="V790" s="303"/>
    </row>
    <row r="791" spans="1:22" ht="15" customHeight="1" x14ac:dyDescent="0.25">
      <c r="A791" s="567"/>
      <c r="B791" s="564"/>
      <c r="C791" s="553"/>
      <c r="D791" s="553"/>
      <c r="E791" s="553"/>
      <c r="F791" s="553"/>
      <c r="G791" s="1163" t="s">
        <v>1324</v>
      </c>
      <c r="H791" s="1163"/>
      <c r="I791" s="1163"/>
      <c r="J791" s="1163"/>
      <c r="K791" s="1163"/>
      <c r="L791" s="1163"/>
      <c r="M791" s="1163"/>
      <c r="N791" s="1163"/>
      <c r="O791" s="1201"/>
      <c r="P791" s="1202"/>
      <c r="Q791" s="1202"/>
      <c r="R791" s="1202"/>
      <c r="S791" s="1202"/>
      <c r="T791" s="1202"/>
      <c r="U791" s="1202"/>
      <c r="V791" s="1203"/>
    </row>
    <row r="792" spans="1:22" ht="15" customHeight="1" x14ac:dyDescent="0.25">
      <c r="A792" s="567"/>
      <c r="B792" s="564"/>
      <c r="C792" s="553"/>
      <c r="D792" s="553"/>
      <c r="E792" s="553"/>
      <c r="F792" s="553"/>
      <c r="G792" s="596" t="s">
        <v>1007</v>
      </c>
      <c r="H792" s="596" t="s">
        <v>961</v>
      </c>
      <c r="I792" s="596" t="s">
        <v>1477</v>
      </c>
      <c r="J792" s="286"/>
      <c r="K792" s="286">
        <v>0.6</v>
      </c>
      <c r="L792" s="302"/>
      <c r="M792" s="590"/>
      <c r="N792" s="302"/>
      <c r="O792" s="590"/>
      <c r="P792" s="590"/>
      <c r="Q792" s="590"/>
      <c r="R792" s="590"/>
      <c r="S792" s="302"/>
      <c r="T792" s="302"/>
      <c r="U792" s="590"/>
      <c r="V792" s="303"/>
    </row>
    <row r="793" spans="1:22" ht="15" customHeight="1" x14ac:dyDescent="0.25">
      <c r="A793" s="567"/>
      <c r="B793" s="564"/>
      <c r="C793" s="553"/>
      <c r="D793" s="553"/>
      <c r="E793" s="553"/>
      <c r="F793" s="553"/>
      <c r="G793" s="596" t="s">
        <v>1007</v>
      </c>
      <c r="H793" s="596" t="s">
        <v>961</v>
      </c>
      <c r="I793" s="596" t="s">
        <v>1478</v>
      </c>
      <c r="J793" s="286"/>
      <c r="K793" s="286">
        <v>0.4</v>
      </c>
      <c r="L793" s="302"/>
      <c r="M793" s="590"/>
      <c r="N793" s="302"/>
      <c r="O793" s="590"/>
      <c r="P793" s="590"/>
      <c r="Q793" s="590"/>
      <c r="R793" s="590"/>
      <c r="S793" s="302"/>
      <c r="T793" s="302"/>
      <c r="U793" s="590"/>
      <c r="V793" s="303"/>
    </row>
    <row r="794" spans="1:22" ht="15" customHeight="1" x14ac:dyDescent="0.25">
      <c r="A794" s="567"/>
      <c r="B794" s="564"/>
      <c r="C794" s="553"/>
      <c r="D794" s="553"/>
      <c r="E794" s="553"/>
      <c r="F794" s="553"/>
      <c r="G794" s="596" t="s">
        <v>1007</v>
      </c>
      <c r="H794" s="596" t="s">
        <v>527</v>
      </c>
      <c r="I794" s="596" t="s">
        <v>1487</v>
      </c>
      <c r="J794" s="286"/>
      <c r="K794" s="286">
        <v>0.6</v>
      </c>
      <c r="L794" s="302"/>
      <c r="M794" s="590"/>
      <c r="N794" s="302"/>
      <c r="O794" s="590"/>
      <c r="P794" s="590"/>
      <c r="Q794" s="590"/>
      <c r="R794" s="590"/>
      <c r="S794" s="302"/>
      <c r="T794" s="302"/>
      <c r="U794" s="590"/>
      <c r="V794" s="303"/>
    </row>
    <row r="795" spans="1:22" ht="15" customHeight="1" x14ac:dyDescent="0.25">
      <c r="A795" s="567"/>
      <c r="B795" s="564"/>
      <c r="C795" s="553"/>
      <c r="D795" s="553"/>
      <c r="E795" s="553"/>
      <c r="F795" s="553"/>
      <c r="G795" s="596" t="s">
        <v>29</v>
      </c>
      <c r="H795" s="596" t="s">
        <v>30</v>
      </c>
      <c r="I795" s="596" t="s">
        <v>1510</v>
      </c>
      <c r="J795" s="286"/>
      <c r="K795" s="286">
        <v>2.5000000000000001E-2</v>
      </c>
      <c r="L795" s="302"/>
      <c r="M795" s="590"/>
      <c r="N795" s="302"/>
      <c r="O795" s="590"/>
      <c r="P795" s="590"/>
      <c r="Q795" s="590"/>
      <c r="R795" s="590"/>
      <c r="S795" s="302"/>
      <c r="T795" s="302"/>
      <c r="U795" s="590"/>
      <c r="V795" s="303"/>
    </row>
    <row r="796" spans="1:22" ht="15" customHeight="1" x14ac:dyDescent="0.25">
      <c r="A796" s="567"/>
      <c r="B796" s="564"/>
      <c r="C796" s="553"/>
      <c r="D796" s="553"/>
      <c r="E796" s="553"/>
      <c r="F796" s="553"/>
      <c r="G796" s="1163" t="s">
        <v>1645</v>
      </c>
      <c r="H796" s="1163"/>
      <c r="I796" s="1163"/>
      <c r="J796" s="1163"/>
      <c r="K796" s="1163"/>
      <c r="L796" s="1163"/>
      <c r="M796" s="1163"/>
      <c r="N796" s="1163"/>
      <c r="O796" s="590"/>
      <c r="P796" s="590"/>
      <c r="Q796" s="590"/>
      <c r="R796" s="590"/>
      <c r="S796" s="302"/>
      <c r="T796" s="302"/>
      <c r="U796" s="590"/>
      <c r="V796" s="303"/>
    </row>
    <row r="797" spans="1:22" ht="15" customHeight="1" x14ac:dyDescent="0.25">
      <c r="A797" s="567"/>
      <c r="B797" s="564"/>
      <c r="C797" s="553"/>
      <c r="D797" s="553"/>
      <c r="E797" s="553"/>
      <c r="F797" s="553"/>
      <c r="G797" s="596" t="s">
        <v>1779</v>
      </c>
      <c r="H797" s="596" t="s">
        <v>1729</v>
      </c>
      <c r="I797" s="596" t="s">
        <v>1784</v>
      </c>
      <c r="J797" s="286"/>
      <c r="K797" s="286">
        <v>0.31</v>
      </c>
      <c r="L797" s="302"/>
      <c r="M797" s="590"/>
      <c r="N797" s="302"/>
      <c r="O797" s="590"/>
      <c r="P797" s="590"/>
      <c r="Q797" s="590"/>
      <c r="R797" s="590"/>
      <c r="S797" s="302"/>
      <c r="T797" s="302"/>
      <c r="U797" s="590"/>
      <c r="V797" s="303"/>
    </row>
    <row r="798" spans="1:22" ht="15" customHeight="1" x14ac:dyDescent="0.25">
      <c r="A798" s="567"/>
      <c r="B798" s="564"/>
      <c r="C798" s="553"/>
      <c r="D798" s="553"/>
      <c r="E798" s="553"/>
      <c r="F798" s="553"/>
      <c r="G798" s="1163" t="s">
        <v>2011</v>
      </c>
      <c r="H798" s="1163"/>
      <c r="I798" s="1163"/>
      <c r="J798" s="1163"/>
      <c r="K798" s="1163"/>
      <c r="L798" s="1163"/>
      <c r="M798" s="1163"/>
      <c r="N798" s="1163"/>
      <c r="O798" s="590"/>
      <c r="P798" s="590"/>
      <c r="Q798" s="590"/>
      <c r="R798" s="590"/>
      <c r="S798" s="302"/>
      <c r="T798" s="302"/>
      <c r="U798" s="590"/>
      <c r="V798" s="303"/>
    </row>
    <row r="799" spans="1:22" ht="15" customHeight="1" x14ac:dyDescent="0.25">
      <c r="A799" s="567"/>
      <c r="B799" s="564"/>
      <c r="C799" s="553"/>
      <c r="D799" s="553"/>
      <c r="E799" s="553"/>
      <c r="F799" s="553"/>
      <c r="G799" s="596" t="s">
        <v>1007</v>
      </c>
      <c r="H799" s="596" t="s">
        <v>2076</v>
      </c>
      <c r="I799" s="596" t="s">
        <v>2089</v>
      </c>
      <c r="J799" s="286"/>
      <c r="K799" s="286">
        <f>0.43*0.9</f>
        <v>0.38700000000000001</v>
      </c>
      <c r="L799" s="302"/>
      <c r="M799" s="590"/>
      <c r="N799" s="302"/>
      <c r="O799" s="590"/>
      <c r="P799" s="590"/>
      <c r="Q799" s="590"/>
      <c r="R799" s="590"/>
      <c r="S799" s="302"/>
      <c r="T799" s="302"/>
      <c r="U799" s="590"/>
      <c r="V799" s="303"/>
    </row>
    <row r="800" spans="1:22" ht="15" customHeight="1" x14ac:dyDescent="0.25">
      <c r="A800" s="567"/>
      <c r="B800" s="564"/>
      <c r="C800" s="553"/>
      <c r="D800" s="553"/>
      <c r="E800" s="553"/>
      <c r="F800" s="553"/>
      <c r="G800" s="596" t="s">
        <v>970</v>
      </c>
      <c r="H800" s="596" t="s">
        <v>2031</v>
      </c>
      <c r="I800" s="596" t="s">
        <v>2104</v>
      </c>
      <c r="J800" s="286"/>
      <c r="K800" s="286">
        <f>0.0882*0.9</f>
        <v>7.9380000000000006E-2</v>
      </c>
      <c r="L800" s="302"/>
      <c r="M800" s="590"/>
      <c r="N800" s="302"/>
      <c r="O800" s="590"/>
      <c r="P800" s="590"/>
      <c r="Q800" s="590"/>
      <c r="R800" s="590"/>
      <c r="S800" s="302"/>
      <c r="T800" s="302"/>
      <c r="U800" s="590"/>
      <c r="V800" s="303"/>
    </row>
    <row r="801" spans="1:22" ht="15" customHeight="1" x14ac:dyDescent="0.25">
      <c r="A801" s="567"/>
      <c r="B801" s="564"/>
      <c r="C801" s="553"/>
      <c r="D801" s="553"/>
      <c r="E801" s="553"/>
      <c r="F801" s="553"/>
      <c r="G801" s="596" t="s">
        <v>2188</v>
      </c>
      <c r="H801" s="596" t="s">
        <v>2189</v>
      </c>
      <c r="I801" s="596" t="s">
        <v>2258</v>
      </c>
      <c r="J801" s="286"/>
      <c r="K801" s="286">
        <f>0.6*0.9</f>
        <v>0.54</v>
      </c>
      <c r="L801" s="302"/>
      <c r="M801" s="590"/>
      <c r="N801" s="302"/>
      <c r="O801" s="590"/>
      <c r="P801" s="590"/>
      <c r="Q801" s="590"/>
      <c r="R801" s="590"/>
      <c r="S801" s="302"/>
      <c r="T801" s="302"/>
      <c r="U801" s="590"/>
      <c r="V801" s="303"/>
    </row>
    <row r="802" spans="1:22" ht="15" customHeight="1" x14ac:dyDescent="0.25">
      <c r="A802" s="567"/>
      <c r="B802" s="564"/>
      <c r="C802" s="553"/>
      <c r="D802" s="553"/>
      <c r="E802" s="553"/>
      <c r="F802" s="553"/>
      <c r="G802" s="1163" t="s">
        <v>2290</v>
      </c>
      <c r="H802" s="1163"/>
      <c r="I802" s="1163"/>
      <c r="J802" s="1163"/>
      <c r="K802" s="1163"/>
      <c r="L802" s="1163"/>
      <c r="M802" s="1163"/>
      <c r="N802" s="1163"/>
      <c r="O802" s="590"/>
      <c r="P802" s="590"/>
      <c r="Q802" s="590"/>
      <c r="R802" s="590"/>
      <c r="S802" s="302"/>
      <c r="T802" s="302"/>
      <c r="U802" s="590"/>
      <c r="V802" s="303"/>
    </row>
    <row r="803" spans="1:22" ht="15" customHeight="1" x14ac:dyDescent="0.25">
      <c r="A803" s="567"/>
      <c r="B803" s="564"/>
      <c r="C803" s="553"/>
      <c r="D803" s="553"/>
      <c r="E803" s="553"/>
      <c r="F803" s="553"/>
      <c r="G803" s="596" t="s">
        <v>2183</v>
      </c>
      <c r="H803" s="596" t="s">
        <v>2184</v>
      </c>
      <c r="I803" s="590" t="s">
        <v>2379</v>
      </c>
      <c r="J803" s="302"/>
      <c r="K803" s="302">
        <f>0.095*0.15</f>
        <v>1.4249999999999999E-2</v>
      </c>
      <c r="L803" s="302"/>
      <c r="M803" s="590"/>
      <c r="N803" s="302"/>
      <c r="O803" s="590"/>
      <c r="P803" s="590"/>
      <c r="Q803" s="590"/>
      <c r="R803" s="590"/>
      <c r="S803" s="302"/>
      <c r="T803" s="302"/>
      <c r="U803" s="590"/>
      <c r="V803" s="303"/>
    </row>
    <row r="804" spans="1:22" ht="15" customHeight="1" x14ac:dyDescent="0.25">
      <c r="A804" s="567"/>
      <c r="B804" s="564"/>
      <c r="C804" s="553"/>
      <c r="D804" s="553"/>
      <c r="E804" s="553"/>
      <c r="F804" s="553"/>
      <c r="G804" s="596" t="s">
        <v>2330</v>
      </c>
      <c r="H804" s="596" t="s">
        <v>2331</v>
      </c>
      <c r="I804" s="590" t="s">
        <v>2423</v>
      </c>
      <c r="J804" s="302"/>
      <c r="K804" s="302">
        <f>0.06*0.75</f>
        <v>4.4999999999999998E-2</v>
      </c>
      <c r="L804" s="302"/>
      <c r="M804" s="590"/>
      <c r="N804" s="302"/>
      <c r="O804" s="590"/>
      <c r="P804" s="590"/>
      <c r="Q804" s="590"/>
      <c r="R804" s="590"/>
      <c r="S804" s="302"/>
      <c r="T804" s="302"/>
      <c r="U804" s="590"/>
      <c r="V804" s="303"/>
    </row>
    <row r="805" spans="1:22" ht="15" customHeight="1" x14ac:dyDescent="0.25">
      <c r="A805" s="567"/>
      <c r="B805" s="564"/>
      <c r="C805" s="553"/>
      <c r="D805" s="553"/>
      <c r="E805" s="553"/>
      <c r="F805" s="553"/>
      <c r="G805" s="596" t="s">
        <v>2183</v>
      </c>
      <c r="H805" s="596" t="s">
        <v>14722</v>
      </c>
      <c r="I805" s="590" t="s">
        <v>14835</v>
      </c>
      <c r="J805" s="302"/>
      <c r="K805" s="286">
        <f>(0.16-0.095)*0.15</f>
        <v>9.75E-3</v>
      </c>
      <c r="L805" s="302"/>
      <c r="M805" s="590"/>
      <c r="N805" s="302"/>
      <c r="O805" s="590"/>
      <c r="P805" s="590"/>
      <c r="Q805" s="590"/>
      <c r="R805" s="590"/>
      <c r="S805" s="302"/>
      <c r="T805" s="302"/>
      <c r="U805" s="590"/>
      <c r="V805" s="303"/>
    </row>
    <row r="806" spans="1:22" ht="15" customHeight="1" x14ac:dyDescent="0.25">
      <c r="A806" s="567"/>
      <c r="B806" s="564"/>
      <c r="C806" s="553"/>
      <c r="D806" s="553"/>
      <c r="E806" s="553"/>
      <c r="F806" s="553"/>
      <c r="G806" s="596" t="s">
        <v>14728</v>
      </c>
      <c r="H806" s="596" t="s">
        <v>14729</v>
      </c>
      <c r="I806" s="596" t="s">
        <v>14856</v>
      </c>
      <c r="J806" s="286"/>
      <c r="K806" s="302">
        <f>0.05*0.9</f>
        <v>4.5000000000000005E-2</v>
      </c>
      <c r="L806" s="302"/>
      <c r="M806" s="590"/>
      <c r="N806" s="302"/>
      <c r="O806" s="543"/>
      <c r="P806" s="543"/>
      <c r="Q806" s="543"/>
      <c r="R806" s="543"/>
      <c r="S806" s="543"/>
      <c r="T806" s="548"/>
      <c r="U806" s="543"/>
      <c r="V806" s="664"/>
    </row>
    <row r="807" spans="1:22" ht="15" customHeight="1" x14ac:dyDescent="0.25">
      <c r="A807" s="567"/>
      <c r="B807" s="564"/>
      <c r="C807" s="553"/>
      <c r="D807" s="553"/>
      <c r="E807" s="553"/>
      <c r="F807" s="553"/>
      <c r="G807" s="596" t="s">
        <v>1843</v>
      </c>
      <c r="H807" s="596" t="s">
        <v>1930</v>
      </c>
      <c r="I807" s="590" t="s">
        <v>2327</v>
      </c>
      <c r="J807" s="302"/>
      <c r="K807" s="286">
        <f>2.01*0.75</f>
        <v>1.5074999999999998</v>
      </c>
      <c r="L807" s="302"/>
      <c r="M807" s="590"/>
      <c r="N807" s="302"/>
      <c r="O807" s="596"/>
      <c r="P807" s="596"/>
      <c r="Q807" s="590"/>
      <c r="R807" s="590"/>
      <c r="S807" s="302"/>
      <c r="T807" s="302"/>
      <c r="U807" s="590"/>
      <c r="V807" s="303"/>
    </row>
    <row r="808" spans="1:22" ht="15" customHeight="1" x14ac:dyDescent="0.25">
      <c r="A808" s="567"/>
      <c r="B808" s="564"/>
      <c r="C808" s="553"/>
      <c r="D808" s="553"/>
      <c r="E808" s="553"/>
      <c r="F808" s="553"/>
      <c r="G808" s="1163" t="s">
        <v>14933</v>
      </c>
      <c r="H808" s="1163"/>
      <c r="I808" s="1163"/>
      <c r="J808" s="1163"/>
      <c r="K808" s="1163"/>
      <c r="L808" s="1163"/>
      <c r="M808" s="1163"/>
      <c r="N808" s="1163"/>
      <c r="O808" s="596"/>
      <c r="P808" s="596"/>
      <c r="Q808" s="590"/>
      <c r="R808" s="590"/>
      <c r="S808" s="302"/>
      <c r="T808" s="302"/>
      <c r="U808" s="590"/>
      <c r="V808" s="303"/>
    </row>
    <row r="809" spans="1:22" ht="15" customHeight="1" x14ac:dyDescent="0.25">
      <c r="A809" s="567"/>
      <c r="B809" s="564"/>
      <c r="C809" s="553"/>
      <c r="D809" s="553"/>
      <c r="E809" s="553"/>
      <c r="F809" s="553"/>
      <c r="G809" s="590" t="s">
        <v>1007</v>
      </c>
      <c r="H809" s="590" t="s">
        <v>14906</v>
      </c>
      <c r="I809" s="596" t="s">
        <v>14937</v>
      </c>
      <c r="J809" s="286"/>
      <c r="K809" s="302">
        <f>0.25*0.9</f>
        <v>0.22500000000000001</v>
      </c>
      <c r="L809" s="302"/>
      <c r="M809" s="590"/>
      <c r="N809" s="302"/>
      <c r="O809" s="590"/>
      <c r="P809" s="590"/>
      <c r="Q809" s="590"/>
      <c r="R809" s="590"/>
      <c r="S809" s="302"/>
      <c r="T809" s="302"/>
      <c r="U809" s="590"/>
      <c r="V809" s="303"/>
    </row>
    <row r="810" spans="1:22" ht="15" customHeight="1" x14ac:dyDescent="0.25">
      <c r="A810" s="567"/>
      <c r="B810" s="564"/>
      <c r="C810" s="553"/>
      <c r="D810" s="553"/>
      <c r="E810" s="553"/>
      <c r="F810" s="553"/>
      <c r="G810" s="596" t="s">
        <v>2183</v>
      </c>
      <c r="H810" s="596" t="s">
        <v>14893</v>
      </c>
      <c r="I810" s="596" t="s">
        <v>14984</v>
      </c>
      <c r="J810" s="286"/>
      <c r="K810" s="302">
        <f>0.55*0.9</f>
        <v>0.49500000000000005</v>
      </c>
      <c r="L810" s="302"/>
      <c r="M810" s="590"/>
      <c r="N810" s="302"/>
      <c r="O810" s="590"/>
      <c r="P810" s="590"/>
      <c r="Q810" s="590"/>
      <c r="R810" s="590"/>
      <c r="S810" s="302"/>
      <c r="T810" s="302"/>
      <c r="U810" s="590"/>
      <c r="V810" s="303"/>
    </row>
    <row r="811" spans="1:22" ht="15" customHeight="1" x14ac:dyDescent="0.25">
      <c r="A811" s="567"/>
      <c r="B811" s="564"/>
      <c r="C811" s="553"/>
      <c r="D811" s="553"/>
      <c r="E811" s="553"/>
      <c r="F811" s="553"/>
      <c r="G811" s="590" t="s">
        <v>1007</v>
      </c>
      <c r="H811" s="590" t="s">
        <v>14905</v>
      </c>
      <c r="I811" s="596" t="s">
        <v>14992</v>
      </c>
      <c r="J811" s="286"/>
      <c r="K811" s="302">
        <f>0.25*0.9</f>
        <v>0.22500000000000001</v>
      </c>
      <c r="L811" s="302"/>
      <c r="M811" s="590"/>
      <c r="N811" s="302"/>
      <c r="O811" s="590"/>
      <c r="P811" s="590"/>
      <c r="Q811" s="590"/>
      <c r="R811" s="590"/>
      <c r="S811" s="302"/>
      <c r="T811" s="302"/>
      <c r="U811" s="590"/>
      <c r="V811" s="303"/>
    </row>
    <row r="812" spans="1:22" ht="15" customHeight="1" x14ac:dyDescent="0.25">
      <c r="A812" s="567"/>
      <c r="B812" s="564"/>
      <c r="C812" s="553"/>
      <c r="D812" s="553"/>
      <c r="E812" s="553"/>
      <c r="F812" s="553"/>
      <c r="G812" s="590" t="s">
        <v>17221</v>
      </c>
      <c r="H812" s="590" t="s">
        <v>17222</v>
      </c>
      <c r="I812" s="596" t="s">
        <v>17223</v>
      </c>
      <c r="J812" s="286"/>
      <c r="K812" s="302">
        <f>0.05*0.9</f>
        <v>4.5000000000000005E-2</v>
      </c>
      <c r="L812" s="302"/>
      <c r="M812" s="590"/>
      <c r="N812" s="302"/>
      <c r="O812" s="590"/>
      <c r="P812" s="590"/>
      <c r="Q812" s="590"/>
      <c r="R812" s="590"/>
      <c r="S812" s="302"/>
      <c r="T812" s="302"/>
      <c r="U812" s="590"/>
      <c r="V812" s="303"/>
    </row>
    <row r="813" spans="1:22" ht="15" customHeight="1" x14ac:dyDescent="0.25">
      <c r="A813" s="567"/>
      <c r="B813" s="564"/>
      <c r="C813" s="553"/>
      <c r="D813" s="553"/>
      <c r="E813" s="553"/>
      <c r="F813" s="553"/>
      <c r="G813" s="590" t="s">
        <v>1007</v>
      </c>
      <c r="H813" s="590" t="s">
        <v>17227</v>
      </c>
      <c r="I813" s="596" t="s">
        <v>17228</v>
      </c>
      <c r="J813" s="286"/>
      <c r="K813" s="302">
        <f>0.63*0.9</f>
        <v>0.56700000000000006</v>
      </c>
      <c r="L813" s="302"/>
      <c r="M813" s="590"/>
      <c r="N813" s="302"/>
      <c r="O813" s="590"/>
      <c r="P813" s="590"/>
      <c r="Q813" s="590"/>
      <c r="R813" s="590"/>
      <c r="S813" s="302"/>
      <c r="T813" s="302"/>
      <c r="U813" s="590"/>
      <c r="V813" s="303"/>
    </row>
    <row r="814" spans="1:22" ht="15" customHeight="1" x14ac:dyDescent="0.25">
      <c r="A814" s="567"/>
      <c r="B814" s="564"/>
      <c r="C814" s="553"/>
      <c r="D814" s="553"/>
      <c r="E814" s="553"/>
      <c r="F814" s="553"/>
      <c r="G814" s="590" t="s">
        <v>1007</v>
      </c>
      <c r="H814" s="590" t="s">
        <v>17366</v>
      </c>
      <c r="I814" s="596" t="s">
        <v>17367</v>
      </c>
      <c r="J814" s="286"/>
      <c r="K814" s="302">
        <f>0.4*0.9</f>
        <v>0.36000000000000004</v>
      </c>
      <c r="L814" s="302"/>
      <c r="M814" s="590"/>
      <c r="N814" s="302"/>
      <c r="O814" s="590"/>
      <c r="P814" s="590"/>
      <c r="Q814" s="590"/>
      <c r="R814" s="590"/>
      <c r="S814" s="302"/>
      <c r="T814" s="302"/>
      <c r="U814" s="590"/>
      <c r="V814" s="303"/>
    </row>
    <row r="815" spans="1:22" ht="15" customHeight="1" x14ac:dyDescent="0.25">
      <c r="A815" s="567"/>
      <c r="B815" s="564"/>
      <c r="C815" s="553"/>
      <c r="D815" s="553"/>
      <c r="E815" s="553"/>
      <c r="F815" s="553"/>
      <c r="G815" s="1164" t="s">
        <v>2262</v>
      </c>
      <c r="H815" s="1164"/>
      <c r="I815" s="1164"/>
      <c r="J815" s="1165">
        <f>0.23*0.9</f>
        <v>0.20700000000000002</v>
      </c>
      <c r="K815" s="1166"/>
      <c r="L815" s="302"/>
      <c r="M815" s="590"/>
      <c r="N815" s="302"/>
      <c r="O815" s="590"/>
      <c r="P815" s="590"/>
      <c r="Q815" s="590"/>
      <c r="R815" s="590"/>
      <c r="S815" s="302"/>
      <c r="T815" s="302"/>
      <c r="U815" s="590"/>
      <c r="V815" s="303"/>
    </row>
    <row r="816" spans="1:22" ht="15" customHeight="1" x14ac:dyDescent="0.25">
      <c r="A816" s="567"/>
      <c r="B816" s="564"/>
      <c r="C816" s="553"/>
      <c r="D816" s="553"/>
      <c r="E816" s="553"/>
      <c r="F816" s="553"/>
      <c r="G816" s="590" t="s">
        <v>14873</v>
      </c>
      <c r="H816" s="590" t="s">
        <v>17569</v>
      </c>
      <c r="I816" s="590" t="s">
        <v>17570</v>
      </c>
      <c r="J816" s="302"/>
      <c r="K816" s="302">
        <v>4.36E-2</v>
      </c>
      <c r="L816" s="302"/>
      <c r="M816" s="590"/>
      <c r="N816" s="302"/>
      <c r="O816" s="590"/>
      <c r="P816" s="590"/>
      <c r="Q816" s="590"/>
      <c r="R816" s="590"/>
      <c r="S816" s="302"/>
      <c r="T816" s="302"/>
      <c r="U816" s="590"/>
      <c r="V816" s="303"/>
    </row>
    <row r="817" spans="1:22" ht="15" customHeight="1" x14ac:dyDescent="0.25">
      <c r="A817" s="567"/>
      <c r="B817" s="564"/>
      <c r="C817" s="553"/>
      <c r="D817" s="553"/>
      <c r="E817" s="553"/>
      <c r="F817" s="553"/>
      <c r="G817" s="1163" t="s">
        <v>18518</v>
      </c>
      <c r="H817" s="1163"/>
      <c r="I817" s="1163"/>
      <c r="J817" s="1163"/>
      <c r="K817" s="1163"/>
      <c r="L817" s="1163"/>
      <c r="M817" s="1163"/>
      <c r="N817" s="1163"/>
      <c r="O817" s="290"/>
      <c r="P817" s="290"/>
      <c r="Q817" s="290"/>
      <c r="R817" s="290"/>
      <c r="S817" s="307"/>
      <c r="T817" s="307"/>
      <c r="U817" s="290"/>
      <c r="V817" s="305"/>
    </row>
    <row r="818" spans="1:22" ht="15" customHeight="1" x14ac:dyDescent="0.25">
      <c r="A818" s="567"/>
      <c r="B818" s="564"/>
      <c r="C818" s="553"/>
      <c r="D818" s="553"/>
      <c r="E818" s="553"/>
      <c r="F818" s="553"/>
      <c r="G818" s="590" t="s">
        <v>2183</v>
      </c>
      <c r="H818" s="590" t="s">
        <v>19005</v>
      </c>
      <c r="I818" s="590" t="s">
        <v>19609</v>
      </c>
      <c r="J818" s="302">
        <f>0.075*0.9</f>
        <v>6.7500000000000004E-2</v>
      </c>
      <c r="K818" s="302">
        <f>0.075*0.9</f>
        <v>6.7500000000000004E-2</v>
      </c>
      <c r="L818" s="307"/>
      <c r="M818" s="290"/>
      <c r="N818" s="290"/>
      <c r="O818" s="290"/>
      <c r="P818" s="290"/>
      <c r="Q818" s="290"/>
      <c r="R818" s="290"/>
      <c r="S818" s="307"/>
      <c r="T818" s="307"/>
      <c r="U818" s="290"/>
      <c r="V818" s="305"/>
    </row>
    <row r="819" spans="1:22" ht="15" customHeight="1" x14ac:dyDescent="0.25">
      <c r="A819" s="567"/>
      <c r="B819" s="564"/>
      <c r="C819" s="553"/>
      <c r="D819" s="553"/>
      <c r="E819" s="553"/>
      <c r="F819" s="553"/>
      <c r="G819" s="590" t="s">
        <v>2183</v>
      </c>
      <c r="H819" s="590" t="s">
        <v>19217</v>
      </c>
      <c r="I819" s="590" t="s">
        <v>19610</v>
      </c>
      <c r="J819" s="302">
        <f>0.15*0.9</f>
        <v>0.13500000000000001</v>
      </c>
      <c r="K819" s="302"/>
      <c r="L819" s="307"/>
      <c r="M819" s="290"/>
      <c r="N819" s="290"/>
      <c r="O819" s="290"/>
      <c r="P819" s="290"/>
      <c r="Q819" s="290"/>
      <c r="R819" s="290"/>
      <c r="S819" s="307"/>
      <c r="T819" s="307"/>
      <c r="U819" s="290"/>
      <c r="V819" s="305"/>
    </row>
    <row r="820" spans="1:22" ht="15" customHeight="1" x14ac:dyDescent="0.25">
      <c r="A820" s="567"/>
      <c r="B820" s="564"/>
      <c r="C820" s="553"/>
      <c r="D820" s="553"/>
      <c r="E820" s="553"/>
      <c r="F820" s="553"/>
      <c r="G820" s="590" t="s">
        <v>19218</v>
      </c>
      <c r="H820" s="590" t="s">
        <v>19219</v>
      </c>
      <c r="I820" s="590" t="s">
        <v>19611</v>
      </c>
      <c r="J820" s="302"/>
      <c r="K820" s="302">
        <f>0.15*0.9</f>
        <v>0.13500000000000001</v>
      </c>
      <c r="L820" s="307"/>
      <c r="M820" s="290"/>
      <c r="N820" s="290"/>
      <c r="O820" s="290"/>
      <c r="P820" s="290"/>
      <c r="Q820" s="290"/>
      <c r="R820" s="290"/>
      <c r="S820" s="307"/>
      <c r="T820" s="307"/>
      <c r="U820" s="290"/>
      <c r="V820" s="305"/>
    </row>
    <row r="821" spans="1:22" ht="15" customHeight="1" x14ac:dyDescent="0.25">
      <c r="A821" s="567"/>
      <c r="B821" s="564"/>
      <c r="C821" s="553"/>
      <c r="D821" s="553"/>
      <c r="E821" s="553"/>
      <c r="F821" s="553"/>
      <c r="G821" s="590" t="s">
        <v>2183</v>
      </c>
      <c r="H821" s="590" t="s">
        <v>19220</v>
      </c>
      <c r="I821" s="590" t="s">
        <v>19612</v>
      </c>
      <c r="J821" s="302">
        <f>0.25*0.9</f>
        <v>0.22500000000000001</v>
      </c>
      <c r="K821" s="302">
        <f>0.56*0.9</f>
        <v>0.50400000000000011</v>
      </c>
      <c r="L821" s="307"/>
      <c r="M821" s="290"/>
      <c r="N821" s="290"/>
      <c r="O821" s="290"/>
      <c r="P821" s="290"/>
      <c r="Q821" s="290"/>
      <c r="R821" s="290"/>
      <c r="S821" s="307"/>
      <c r="T821" s="307"/>
      <c r="U821" s="290"/>
      <c r="V821" s="305"/>
    </row>
    <row r="822" spans="1:22" ht="15" customHeight="1" x14ac:dyDescent="0.25">
      <c r="A822" s="567"/>
      <c r="B822" s="564"/>
      <c r="C822" s="553"/>
      <c r="D822" s="553"/>
      <c r="E822" s="553"/>
      <c r="F822" s="553"/>
      <c r="G822" s="590" t="s">
        <v>19218</v>
      </c>
      <c r="H822" s="590" t="s">
        <v>19277</v>
      </c>
      <c r="I822" s="590" t="s">
        <v>19613</v>
      </c>
      <c r="J822" s="302">
        <f>1*0.9</f>
        <v>0.9</v>
      </c>
      <c r="K822" s="302"/>
      <c r="L822" s="307"/>
      <c r="M822" s="290"/>
      <c r="N822" s="290"/>
      <c r="O822" s="290"/>
      <c r="P822" s="290"/>
      <c r="Q822" s="290"/>
      <c r="R822" s="290"/>
      <c r="S822" s="307"/>
      <c r="T822" s="307"/>
      <c r="U822" s="290"/>
      <c r="V822" s="305"/>
    </row>
    <row r="823" spans="1:22" ht="15" customHeight="1" x14ac:dyDescent="0.25">
      <c r="A823" s="567"/>
      <c r="B823" s="564"/>
      <c r="C823" s="553"/>
      <c r="D823" s="553"/>
      <c r="E823" s="553"/>
      <c r="F823" s="553"/>
      <c r="G823" s="590" t="s">
        <v>19218</v>
      </c>
      <c r="H823" s="590" t="s">
        <v>19278</v>
      </c>
      <c r="I823" s="590" t="s">
        <v>19614</v>
      </c>
      <c r="J823" s="302">
        <f>0.55*0.9</f>
        <v>0.49500000000000005</v>
      </c>
      <c r="K823" s="302"/>
      <c r="L823" s="307"/>
      <c r="M823" s="290"/>
      <c r="N823" s="290"/>
      <c r="O823" s="290"/>
      <c r="P823" s="290"/>
      <c r="Q823" s="290"/>
      <c r="R823" s="290"/>
      <c r="S823" s="307"/>
      <c r="T823" s="307"/>
      <c r="U823" s="290"/>
      <c r="V823" s="305"/>
    </row>
    <row r="824" spans="1:22" ht="15" customHeight="1" x14ac:dyDescent="0.25">
      <c r="A824" s="567"/>
      <c r="B824" s="564"/>
      <c r="C824" s="553"/>
      <c r="D824" s="553"/>
      <c r="E824" s="553"/>
      <c r="F824" s="553"/>
      <c r="G824" s="590" t="s">
        <v>19218</v>
      </c>
      <c r="H824" s="590" t="s">
        <v>19553</v>
      </c>
      <c r="I824" s="590" t="s">
        <v>19615</v>
      </c>
      <c r="J824" s="302">
        <f>0.05*0.9</f>
        <v>4.5000000000000005E-2</v>
      </c>
      <c r="K824" s="302"/>
      <c r="L824" s="307"/>
      <c r="M824" s="290"/>
      <c r="N824" s="290"/>
      <c r="O824" s="290"/>
      <c r="P824" s="290"/>
      <c r="Q824" s="290"/>
      <c r="R824" s="290"/>
      <c r="S824" s="307"/>
      <c r="T824" s="307"/>
      <c r="U824" s="290"/>
      <c r="V824" s="305"/>
    </row>
    <row r="825" spans="1:22" ht="15" customHeight="1" x14ac:dyDescent="0.25">
      <c r="A825" s="567"/>
      <c r="B825" s="564"/>
      <c r="C825" s="553"/>
      <c r="D825" s="553"/>
      <c r="E825" s="553"/>
      <c r="F825" s="553"/>
      <c r="G825" s="1164" t="s">
        <v>2262</v>
      </c>
      <c r="H825" s="1164"/>
      <c r="I825" s="1164"/>
      <c r="J825" s="1165">
        <f>0.78*0.9*0.6</f>
        <v>0.42120000000000002</v>
      </c>
      <c r="K825" s="1166"/>
      <c r="L825" s="307"/>
      <c r="M825" s="290"/>
      <c r="N825" s="307"/>
      <c r="O825" s="290"/>
      <c r="P825" s="290"/>
      <c r="Q825" s="290"/>
      <c r="R825" s="290"/>
      <c r="S825" s="307"/>
      <c r="T825" s="307"/>
      <c r="U825" s="290"/>
      <c r="V825" s="305"/>
    </row>
    <row r="826" spans="1:22" ht="15" customHeight="1" x14ac:dyDescent="0.25">
      <c r="A826" s="776"/>
      <c r="B826" s="771"/>
      <c r="C826" s="772"/>
      <c r="D826" s="772"/>
      <c r="E826" s="772"/>
      <c r="F826" s="772"/>
      <c r="G826" s="1163" t="s">
        <v>19719</v>
      </c>
      <c r="H826" s="1163"/>
      <c r="I826" s="1163"/>
      <c r="J826" s="1163"/>
      <c r="K826" s="1163"/>
      <c r="L826" s="1163"/>
      <c r="M826" s="1163"/>
      <c r="N826" s="1163"/>
      <c r="O826" s="290"/>
      <c r="P826" s="290"/>
      <c r="Q826" s="290"/>
      <c r="R826" s="290"/>
      <c r="S826" s="786"/>
      <c r="T826" s="786"/>
      <c r="U826" s="290"/>
      <c r="V826" s="305"/>
    </row>
    <row r="827" spans="1:22" ht="15" customHeight="1" x14ac:dyDescent="0.25">
      <c r="A827" s="776"/>
      <c r="B827" s="771"/>
      <c r="C827" s="772"/>
      <c r="D827" s="772"/>
      <c r="E827" s="772"/>
      <c r="F827" s="772"/>
      <c r="G827" s="785" t="s">
        <v>19218</v>
      </c>
      <c r="H827" s="785" t="s">
        <v>19738</v>
      </c>
      <c r="I827" s="785" t="s">
        <v>19739</v>
      </c>
      <c r="J827" s="302">
        <f>0.63*0.9</f>
        <v>0.56700000000000006</v>
      </c>
      <c r="K827" s="302"/>
      <c r="L827" s="786"/>
      <c r="M827" s="290"/>
      <c r="N827" s="786"/>
      <c r="O827" s="290"/>
      <c r="P827" s="290"/>
      <c r="Q827" s="290"/>
      <c r="R827" s="290"/>
      <c r="S827" s="786"/>
      <c r="T827" s="786"/>
      <c r="U827" s="290"/>
      <c r="V827" s="305"/>
    </row>
    <row r="828" spans="1:22" ht="15" customHeight="1" x14ac:dyDescent="0.25">
      <c r="A828" s="795"/>
      <c r="B828" s="790"/>
      <c r="C828" s="791"/>
      <c r="D828" s="791"/>
      <c r="E828" s="791"/>
      <c r="F828" s="791"/>
      <c r="G828" s="290" t="s">
        <v>19780</v>
      </c>
      <c r="H828" s="290" t="s">
        <v>19781</v>
      </c>
      <c r="I828" s="290" t="s">
        <v>19782</v>
      </c>
      <c r="J828" s="802">
        <f>0.08*0.9</f>
        <v>7.2000000000000008E-2</v>
      </c>
      <c r="K828" s="802"/>
      <c r="L828" s="802"/>
      <c r="M828" s="290"/>
      <c r="N828" s="802"/>
      <c r="O828" s="290"/>
      <c r="P828" s="290"/>
      <c r="Q828" s="290"/>
      <c r="R828" s="290"/>
      <c r="S828" s="802"/>
      <c r="T828" s="802"/>
      <c r="U828" s="290"/>
      <c r="V828" s="305"/>
    </row>
    <row r="829" spans="1:22" ht="15" customHeight="1" thickBot="1" x14ac:dyDescent="0.3">
      <c r="A829" s="242"/>
      <c r="B829" s="243"/>
      <c r="C829" s="244"/>
      <c r="D829" s="244"/>
      <c r="E829" s="244"/>
      <c r="F829" s="244"/>
      <c r="G829" s="1066" t="s">
        <v>1199</v>
      </c>
      <c r="H829" s="1066"/>
      <c r="I829" s="1066"/>
      <c r="J829" s="630"/>
      <c r="K829" s="456">
        <f>SUM(J809:K828)</f>
        <v>5.8018000000000001</v>
      </c>
      <c r="L829" s="631"/>
      <c r="M829" s="632">
        <v>0.92</v>
      </c>
      <c r="N829" s="456">
        <f>K829/M829</f>
        <v>6.306304347826087</v>
      </c>
      <c r="O829" s="1066" t="s">
        <v>1199</v>
      </c>
      <c r="P829" s="1066"/>
      <c r="Q829" s="1066"/>
      <c r="R829" s="554"/>
      <c r="S829" s="456">
        <f>SUM(S789:S814)</f>
        <v>0.19875000000000001</v>
      </c>
      <c r="T829" s="631"/>
      <c r="U829" s="554">
        <v>0.92</v>
      </c>
      <c r="V829" s="633">
        <f>S829/U829</f>
        <v>0.21603260869565216</v>
      </c>
    </row>
    <row r="830" spans="1:22" ht="15" customHeight="1" x14ac:dyDescent="0.25">
      <c r="A830" s="566" t="str">
        <f>Итоговая!C347</f>
        <v xml:space="preserve">ПС 35/10 кВ Энергетик </v>
      </c>
      <c r="B830" s="563">
        <f>Итоговая!D347</f>
        <v>4</v>
      </c>
      <c r="C830" s="552" t="str">
        <f>Итоговая!E347</f>
        <v>+</v>
      </c>
      <c r="D830" s="552">
        <f>Итоговая!F347</f>
        <v>2.5</v>
      </c>
      <c r="E830" s="552"/>
      <c r="F830" s="552"/>
      <c r="G830" s="1163" t="s">
        <v>18518</v>
      </c>
      <c r="H830" s="1163"/>
      <c r="I830" s="1163"/>
      <c r="J830" s="1163"/>
      <c r="K830" s="1163"/>
      <c r="L830" s="1163"/>
      <c r="M830" s="1163"/>
      <c r="N830" s="1163"/>
      <c r="O830" s="427"/>
      <c r="P830" s="427"/>
      <c r="Q830" s="427"/>
      <c r="R830" s="427"/>
      <c r="S830" s="459"/>
      <c r="T830" s="460"/>
      <c r="U830" s="427"/>
      <c r="V830" s="634"/>
    </row>
    <row r="831" spans="1:22" ht="15" customHeight="1" x14ac:dyDescent="0.25">
      <c r="A831" s="567"/>
      <c r="B831" s="564"/>
      <c r="C831" s="553"/>
      <c r="D831" s="553"/>
      <c r="E831" s="553"/>
      <c r="F831" s="553"/>
      <c r="G831" s="432" t="s">
        <v>19212</v>
      </c>
      <c r="H831" s="432" t="s">
        <v>19213</v>
      </c>
      <c r="I831" s="432" t="s">
        <v>19214</v>
      </c>
      <c r="J831" s="357"/>
      <c r="K831" s="357">
        <f>0.02*0.9</f>
        <v>1.8000000000000002E-2</v>
      </c>
      <c r="L831" s="307"/>
      <c r="M831" s="290"/>
      <c r="N831" s="653"/>
      <c r="O831" s="601"/>
      <c r="P831" s="601"/>
      <c r="Q831" s="601"/>
      <c r="R831" s="601"/>
      <c r="S831" s="641"/>
      <c r="T831" s="642"/>
      <c r="U831" s="601"/>
      <c r="V831" s="643"/>
    </row>
    <row r="832" spans="1:22" ht="15" customHeight="1" x14ac:dyDescent="0.25">
      <c r="A832" s="567"/>
      <c r="B832" s="564"/>
      <c r="C832" s="553"/>
      <c r="D832" s="553"/>
      <c r="E832" s="553"/>
      <c r="F832" s="553"/>
      <c r="G832" s="1164" t="s">
        <v>2262</v>
      </c>
      <c r="H832" s="1164"/>
      <c r="I832" s="1164"/>
      <c r="J832" s="1165">
        <f>0.263*0.9*0.6</f>
        <v>0.14202000000000001</v>
      </c>
      <c r="K832" s="1166"/>
      <c r="L832" s="307"/>
      <c r="M832" s="290"/>
      <c r="N832" s="307"/>
      <c r="O832" s="601"/>
      <c r="P832" s="601"/>
      <c r="Q832" s="601"/>
      <c r="R832" s="601"/>
      <c r="S832" s="641"/>
      <c r="T832" s="642"/>
      <c r="U832" s="601"/>
      <c r="V832" s="643"/>
    </row>
    <row r="833" spans="1:22" ht="15" customHeight="1" thickBot="1" x14ac:dyDescent="0.3">
      <c r="A833" s="242"/>
      <c r="B833" s="243"/>
      <c r="C833" s="244"/>
      <c r="D833" s="244"/>
      <c r="E833" s="244"/>
      <c r="F833" s="244"/>
      <c r="G833" s="1066" t="s">
        <v>1199</v>
      </c>
      <c r="H833" s="1066"/>
      <c r="I833" s="1066"/>
      <c r="J833" s="630"/>
      <c r="K833" s="456">
        <f>SUM(J830:L832)</f>
        <v>0.16002</v>
      </c>
      <c r="L833" s="631"/>
      <c r="M833" s="632">
        <v>0.92</v>
      </c>
      <c r="N833" s="456">
        <f>K833/M833</f>
        <v>0.17393478260869563</v>
      </c>
      <c r="O833" s="1066" t="s">
        <v>1199</v>
      </c>
      <c r="P833" s="1066"/>
      <c r="Q833" s="1066"/>
      <c r="R833" s="554"/>
      <c r="S833" s="456">
        <f>SUM(S830:S830)</f>
        <v>0</v>
      </c>
      <c r="T833" s="631"/>
      <c r="U833" s="554">
        <v>0.92</v>
      </c>
      <c r="V833" s="633">
        <f>S833/U833</f>
        <v>0</v>
      </c>
    </row>
    <row r="834" spans="1:22" ht="15" customHeight="1" x14ac:dyDescent="0.25">
      <c r="A834" s="1079" t="str">
        <f>Итоговая!C348</f>
        <v xml:space="preserve">ПС 35/10 кВ Эммаус  </v>
      </c>
      <c r="B834" s="1072">
        <f>Итоговая!D348</f>
        <v>4</v>
      </c>
      <c r="C834" s="1067" t="str">
        <f>Итоговая!E348</f>
        <v>+</v>
      </c>
      <c r="D834" s="1067">
        <f>Итоговая!F348</f>
        <v>4</v>
      </c>
      <c r="E834" s="552"/>
      <c r="F834" s="552"/>
      <c r="G834" s="1168" t="s">
        <v>1288</v>
      </c>
      <c r="H834" s="1168"/>
      <c r="I834" s="1168"/>
      <c r="J834" s="1168"/>
      <c r="K834" s="1168"/>
      <c r="L834" s="1168"/>
      <c r="M834" s="1168"/>
      <c r="N834" s="1168"/>
      <c r="O834" s="1181"/>
      <c r="P834" s="1181"/>
      <c r="Q834" s="1181"/>
      <c r="R834" s="1181"/>
      <c r="S834" s="1181"/>
      <c r="T834" s="1181"/>
      <c r="U834" s="1181"/>
      <c r="V834" s="1182"/>
    </row>
    <row r="835" spans="1:22" ht="15" customHeight="1" x14ac:dyDescent="0.25">
      <c r="A835" s="1080"/>
      <c r="B835" s="1023"/>
      <c r="C835" s="1024"/>
      <c r="D835" s="1024"/>
      <c r="E835" s="553"/>
      <c r="F835" s="553"/>
      <c r="G835" s="596" t="s">
        <v>364</v>
      </c>
      <c r="H835" s="596" t="s">
        <v>460</v>
      </c>
      <c r="I835" s="596" t="s">
        <v>461</v>
      </c>
      <c r="J835" s="286"/>
      <c r="K835" s="286">
        <v>3.0000000000000001E-3</v>
      </c>
      <c r="L835" s="302"/>
      <c r="M835" s="590"/>
      <c r="N835" s="302"/>
      <c r="O835" s="590"/>
      <c r="P835" s="590"/>
      <c r="Q835" s="590"/>
      <c r="R835" s="590"/>
      <c r="S835" s="302"/>
      <c r="T835" s="302"/>
      <c r="U835" s="590"/>
      <c r="V835" s="303"/>
    </row>
    <row r="836" spans="1:22" ht="15" customHeight="1" x14ac:dyDescent="0.25">
      <c r="A836" s="1080"/>
      <c r="B836" s="1023"/>
      <c r="C836" s="1024"/>
      <c r="D836" s="1024"/>
      <c r="E836" s="553"/>
      <c r="F836" s="553"/>
      <c r="G836" s="596" t="s">
        <v>32</v>
      </c>
      <c r="H836" s="596" t="s">
        <v>33</v>
      </c>
      <c r="I836" s="596" t="s">
        <v>34</v>
      </c>
      <c r="J836" s="286"/>
      <c r="K836" s="286">
        <v>0.03</v>
      </c>
      <c r="L836" s="302"/>
      <c r="M836" s="590"/>
      <c r="N836" s="302"/>
      <c r="O836" s="590"/>
      <c r="P836" s="590"/>
      <c r="Q836" s="590"/>
      <c r="R836" s="590"/>
      <c r="S836" s="302"/>
      <c r="T836" s="302"/>
      <c r="U836" s="590"/>
      <c r="V836" s="303"/>
    </row>
    <row r="837" spans="1:22" ht="15" customHeight="1" x14ac:dyDescent="0.25">
      <c r="A837" s="567"/>
      <c r="B837" s="564"/>
      <c r="C837" s="553"/>
      <c r="D837" s="553"/>
      <c r="E837" s="553"/>
      <c r="F837" s="553"/>
      <c r="G837" s="1163" t="s">
        <v>1287</v>
      </c>
      <c r="H837" s="1163"/>
      <c r="I837" s="1163"/>
      <c r="J837" s="1163"/>
      <c r="K837" s="1163"/>
      <c r="L837" s="1163"/>
      <c r="M837" s="1163"/>
      <c r="N837" s="1163"/>
      <c r="O837" s="1185"/>
      <c r="P837" s="1185"/>
      <c r="Q837" s="1185"/>
      <c r="R837" s="1185"/>
      <c r="S837" s="1185"/>
      <c r="T837" s="1185"/>
      <c r="U837" s="1185"/>
      <c r="V837" s="1186"/>
    </row>
    <row r="838" spans="1:22" ht="15" customHeight="1" x14ac:dyDescent="0.25">
      <c r="A838" s="567"/>
      <c r="B838" s="564"/>
      <c r="C838" s="553"/>
      <c r="D838" s="553"/>
      <c r="E838" s="553"/>
      <c r="F838" s="553"/>
      <c r="G838" s="596" t="s">
        <v>35</v>
      </c>
      <c r="H838" s="596" t="s">
        <v>36</v>
      </c>
      <c r="I838" s="596" t="s">
        <v>37</v>
      </c>
      <c r="J838" s="286"/>
      <c r="K838" s="286">
        <v>0.03</v>
      </c>
      <c r="L838" s="302"/>
      <c r="M838" s="590"/>
      <c r="N838" s="302"/>
      <c r="O838" s="590"/>
      <c r="P838" s="590"/>
      <c r="Q838" s="590"/>
      <c r="R838" s="590"/>
      <c r="S838" s="302"/>
      <c r="T838" s="302"/>
      <c r="U838" s="590"/>
      <c r="V838" s="303"/>
    </row>
    <row r="839" spans="1:22" ht="15" customHeight="1" x14ac:dyDescent="0.25">
      <c r="A839" s="567"/>
      <c r="B839" s="564"/>
      <c r="C839" s="553"/>
      <c r="D839" s="553"/>
      <c r="E839" s="553"/>
      <c r="F839" s="553"/>
      <c r="G839" s="596" t="s">
        <v>330</v>
      </c>
      <c r="H839" s="596" t="s">
        <v>462</v>
      </c>
      <c r="I839" s="596" t="s">
        <v>463</v>
      </c>
      <c r="J839" s="286"/>
      <c r="K839" s="286">
        <v>2.4E-2</v>
      </c>
      <c r="L839" s="302"/>
      <c r="M839" s="590"/>
      <c r="N839" s="302"/>
      <c r="O839" s="590"/>
      <c r="P839" s="590"/>
      <c r="Q839" s="590"/>
      <c r="R839" s="590"/>
      <c r="S839" s="302"/>
      <c r="T839" s="302"/>
      <c r="U839" s="590"/>
      <c r="V839" s="303"/>
    </row>
    <row r="840" spans="1:22" ht="15" customHeight="1" x14ac:dyDescent="0.25">
      <c r="A840" s="567"/>
      <c r="B840" s="564"/>
      <c r="C840" s="553"/>
      <c r="D840" s="553"/>
      <c r="E840" s="553"/>
      <c r="F840" s="553"/>
      <c r="G840" s="1163" t="s">
        <v>1740</v>
      </c>
      <c r="H840" s="1163"/>
      <c r="I840" s="1163"/>
      <c r="J840" s="1163"/>
      <c r="K840" s="1163"/>
      <c r="L840" s="1163"/>
      <c r="M840" s="1163"/>
      <c r="N840" s="1163"/>
      <c r="O840" s="590"/>
      <c r="P840" s="590"/>
      <c r="Q840" s="590"/>
      <c r="R840" s="590"/>
      <c r="S840" s="302"/>
      <c r="T840" s="302"/>
      <c r="U840" s="590"/>
      <c r="V840" s="303"/>
    </row>
    <row r="841" spans="1:22" ht="15" customHeight="1" x14ac:dyDescent="0.25">
      <c r="A841" s="567"/>
      <c r="B841" s="564"/>
      <c r="C841" s="553"/>
      <c r="D841" s="553"/>
      <c r="E841" s="553"/>
      <c r="F841" s="553"/>
      <c r="G841" s="596" t="s">
        <v>1727</v>
      </c>
      <c r="H841" s="596" t="s">
        <v>1758</v>
      </c>
      <c r="I841" s="596" t="s">
        <v>1759</v>
      </c>
      <c r="J841" s="286"/>
      <c r="K841" s="286">
        <v>0.1</v>
      </c>
      <c r="L841" s="302"/>
      <c r="M841" s="590"/>
      <c r="N841" s="302"/>
      <c r="O841" s="590"/>
      <c r="P841" s="590"/>
      <c r="Q841" s="590"/>
      <c r="R841" s="590"/>
      <c r="S841" s="302"/>
      <c r="T841" s="302"/>
      <c r="U841" s="590"/>
      <c r="V841" s="303"/>
    </row>
    <row r="842" spans="1:22" ht="15" customHeight="1" x14ac:dyDescent="0.25">
      <c r="A842" s="567"/>
      <c r="B842" s="564"/>
      <c r="C842" s="553"/>
      <c r="D842" s="553"/>
      <c r="E842" s="553"/>
      <c r="F842" s="553"/>
      <c r="G842" s="1163" t="s">
        <v>2010</v>
      </c>
      <c r="H842" s="1163"/>
      <c r="I842" s="1163"/>
      <c r="J842" s="1163"/>
      <c r="K842" s="1163"/>
      <c r="L842" s="1163"/>
      <c r="M842" s="1163"/>
      <c r="N842" s="1163"/>
      <c r="O842" s="590"/>
      <c r="P842" s="590"/>
      <c r="Q842" s="590"/>
      <c r="R842" s="590"/>
      <c r="S842" s="302"/>
      <c r="T842" s="302"/>
      <c r="U842" s="590"/>
      <c r="V842" s="303"/>
    </row>
    <row r="843" spans="1:22" ht="15" customHeight="1" x14ac:dyDescent="0.25">
      <c r="A843" s="567"/>
      <c r="B843" s="564"/>
      <c r="C843" s="553"/>
      <c r="D843" s="553"/>
      <c r="E843" s="553"/>
      <c r="F843" s="553"/>
      <c r="G843" s="1185"/>
      <c r="H843" s="1185"/>
      <c r="I843" s="1185"/>
      <c r="J843" s="302"/>
      <c r="K843" s="302"/>
      <c r="L843" s="302"/>
      <c r="M843" s="590"/>
      <c r="N843" s="302"/>
      <c r="O843" s="590"/>
      <c r="P843" s="590"/>
      <c r="Q843" s="590"/>
      <c r="R843" s="590"/>
      <c r="S843" s="302"/>
      <c r="T843" s="302"/>
      <c r="U843" s="590"/>
      <c r="V843" s="303"/>
    </row>
    <row r="844" spans="1:22" ht="15" customHeight="1" x14ac:dyDescent="0.25">
      <c r="A844" s="567"/>
      <c r="B844" s="564"/>
      <c r="C844" s="553"/>
      <c r="D844" s="553"/>
      <c r="E844" s="553"/>
      <c r="F844" s="553"/>
      <c r="G844" s="1163" t="s">
        <v>2266</v>
      </c>
      <c r="H844" s="1163"/>
      <c r="I844" s="1163"/>
      <c r="J844" s="1163"/>
      <c r="K844" s="1163"/>
      <c r="L844" s="1163"/>
      <c r="M844" s="1163"/>
      <c r="N844" s="1163"/>
      <c r="O844" s="590"/>
      <c r="P844" s="590"/>
      <c r="Q844" s="590"/>
      <c r="R844" s="590"/>
      <c r="S844" s="302"/>
      <c r="T844" s="302"/>
      <c r="U844" s="590"/>
      <c r="V844" s="303"/>
    </row>
    <row r="845" spans="1:22" ht="15" customHeight="1" x14ac:dyDescent="0.25">
      <c r="A845" s="567"/>
      <c r="B845" s="564"/>
      <c r="C845" s="553"/>
      <c r="D845" s="553"/>
      <c r="E845" s="553"/>
      <c r="F845" s="553"/>
      <c r="G845" s="590" t="s">
        <v>13420</v>
      </c>
      <c r="H845" s="590" t="s">
        <v>13421</v>
      </c>
      <c r="I845" s="590" t="s">
        <v>14705</v>
      </c>
      <c r="J845" s="302"/>
      <c r="K845" s="302">
        <f>0.087*0.9</f>
        <v>7.8299999999999995E-2</v>
      </c>
      <c r="L845" s="302"/>
      <c r="M845" s="590"/>
      <c r="N845" s="302"/>
      <c r="O845" s="590"/>
      <c r="P845" s="590"/>
      <c r="Q845" s="590"/>
      <c r="R845" s="590"/>
      <c r="S845" s="302"/>
      <c r="T845" s="302"/>
      <c r="U845" s="590"/>
      <c r="V845" s="303"/>
    </row>
    <row r="846" spans="1:22" ht="15" customHeight="1" x14ac:dyDescent="0.25">
      <c r="A846" s="567"/>
      <c r="B846" s="564"/>
      <c r="C846" s="553"/>
      <c r="D846" s="553"/>
      <c r="E846" s="553"/>
      <c r="F846" s="553"/>
      <c r="G846" s="480" t="s">
        <v>14812</v>
      </c>
      <c r="H846" s="480" t="s">
        <v>17232</v>
      </c>
      <c r="I846" s="480" t="s">
        <v>17233</v>
      </c>
      <c r="J846" s="481"/>
      <c r="K846" s="302">
        <f>0.099*0.15</f>
        <v>1.485E-2</v>
      </c>
      <c r="L846" s="302"/>
      <c r="M846" s="590"/>
      <c r="N846" s="302"/>
      <c r="O846" s="590"/>
      <c r="P846" s="590"/>
      <c r="Q846" s="590"/>
      <c r="R846" s="590"/>
      <c r="S846" s="302"/>
      <c r="T846" s="302"/>
      <c r="U846" s="590"/>
      <c r="V846" s="303"/>
    </row>
    <row r="847" spans="1:22" ht="15" customHeight="1" x14ac:dyDescent="0.25">
      <c r="A847" s="567"/>
      <c r="B847" s="564"/>
      <c r="C847" s="553"/>
      <c r="D847" s="553"/>
      <c r="E847" s="553"/>
      <c r="F847" s="553"/>
      <c r="G847" s="1163" t="s">
        <v>14978</v>
      </c>
      <c r="H847" s="1163"/>
      <c r="I847" s="1163"/>
      <c r="J847" s="1163"/>
      <c r="K847" s="1163"/>
      <c r="L847" s="1163"/>
      <c r="M847" s="1163"/>
      <c r="N847" s="1163"/>
      <c r="O847" s="590"/>
      <c r="P847" s="590"/>
      <c r="Q847" s="590"/>
      <c r="R847" s="590"/>
      <c r="S847" s="302"/>
      <c r="T847" s="302"/>
      <c r="U847" s="590"/>
      <c r="V847" s="303"/>
    </row>
    <row r="848" spans="1:22" ht="15" customHeight="1" x14ac:dyDescent="0.25">
      <c r="A848" s="567"/>
      <c r="B848" s="564"/>
      <c r="C848" s="553"/>
      <c r="D848" s="553"/>
      <c r="E848" s="553"/>
      <c r="F848" s="553"/>
      <c r="G848" s="480" t="s">
        <v>17277</v>
      </c>
      <c r="H848" s="480" t="s">
        <v>17278</v>
      </c>
      <c r="I848" s="480" t="s">
        <v>17279</v>
      </c>
      <c r="J848" s="481"/>
      <c r="K848" s="302">
        <f>0.087*0.9</f>
        <v>7.8299999999999995E-2</v>
      </c>
      <c r="L848" s="302"/>
      <c r="M848" s="590"/>
      <c r="N848" s="302"/>
      <c r="O848" s="590"/>
      <c r="P848" s="590"/>
      <c r="Q848" s="590"/>
      <c r="R848" s="590"/>
      <c r="S848" s="302"/>
      <c r="T848" s="302"/>
      <c r="U848" s="590"/>
      <c r="V848" s="303"/>
    </row>
    <row r="849" spans="1:22" ht="15" customHeight="1" x14ac:dyDescent="0.25">
      <c r="A849" s="567"/>
      <c r="B849" s="564"/>
      <c r="C849" s="553"/>
      <c r="D849" s="553"/>
      <c r="E849" s="553"/>
      <c r="F849" s="553"/>
      <c r="G849" s="480" t="s">
        <v>17460</v>
      </c>
      <c r="H849" s="480" t="s">
        <v>17461</v>
      </c>
      <c r="I849" s="480" t="s">
        <v>17462</v>
      </c>
      <c r="J849" s="481"/>
      <c r="K849" s="302">
        <f>1*0.75</f>
        <v>0.75</v>
      </c>
      <c r="L849" s="302"/>
      <c r="M849" s="590"/>
      <c r="N849" s="302"/>
      <c r="O849" s="590"/>
      <c r="P849" s="590"/>
      <c r="Q849" s="590"/>
      <c r="R849" s="590"/>
      <c r="S849" s="302"/>
      <c r="T849" s="302"/>
      <c r="U849" s="590"/>
      <c r="V849" s="303"/>
    </row>
    <row r="850" spans="1:22" ht="15" customHeight="1" x14ac:dyDescent="0.25">
      <c r="A850" s="567"/>
      <c r="B850" s="564"/>
      <c r="C850" s="553"/>
      <c r="D850" s="553"/>
      <c r="E850" s="553"/>
      <c r="F850" s="553"/>
      <c r="G850" s="480" t="s">
        <v>17463</v>
      </c>
      <c r="H850" s="480" t="s">
        <v>17464</v>
      </c>
      <c r="I850" s="480" t="s">
        <v>17465</v>
      </c>
      <c r="J850" s="481"/>
      <c r="K850" s="302">
        <f>0.07*0.15</f>
        <v>1.0500000000000001E-2</v>
      </c>
      <c r="L850" s="302"/>
      <c r="M850" s="590"/>
      <c r="N850" s="302"/>
      <c r="O850" s="590"/>
      <c r="P850" s="590"/>
      <c r="Q850" s="590"/>
      <c r="R850" s="590"/>
      <c r="S850" s="302"/>
      <c r="T850" s="302"/>
      <c r="U850" s="590"/>
      <c r="V850" s="303"/>
    </row>
    <row r="851" spans="1:22" ht="15" customHeight="1" x14ac:dyDescent="0.25">
      <c r="A851" s="567"/>
      <c r="B851" s="564"/>
      <c r="C851" s="553"/>
      <c r="D851" s="553"/>
      <c r="E851" s="553"/>
      <c r="F851" s="553"/>
      <c r="G851" s="480" t="s">
        <v>13419</v>
      </c>
      <c r="H851" s="480" t="s">
        <v>17497</v>
      </c>
      <c r="I851" s="480" t="s">
        <v>17498</v>
      </c>
      <c r="J851" s="481"/>
      <c r="K851" s="302">
        <f>0.55*0.15</f>
        <v>8.2500000000000004E-2</v>
      </c>
      <c r="L851" s="302"/>
      <c r="M851" s="590"/>
      <c r="N851" s="302"/>
      <c r="O851" s="590"/>
      <c r="P851" s="590"/>
      <c r="Q851" s="590"/>
      <c r="R851" s="590"/>
      <c r="S851" s="302"/>
      <c r="T851" s="302"/>
      <c r="U851" s="590"/>
      <c r="V851" s="303"/>
    </row>
    <row r="852" spans="1:22" ht="15" customHeight="1" x14ac:dyDescent="0.25">
      <c r="A852" s="567"/>
      <c r="B852" s="564"/>
      <c r="C852" s="553"/>
      <c r="D852" s="553"/>
      <c r="E852" s="553"/>
      <c r="F852" s="553"/>
      <c r="G852" s="1164" t="s">
        <v>2262</v>
      </c>
      <c r="H852" s="1164"/>
      <c r="I852" s="1164"/>
      <c r="J852" s="1165">
        <f>0.154*0.9*0.6</f>
        <v>8.3159999999999998E-2</v>
      </c>
      <c r="K852" s="1166"/>
      <c r="L852" s="302"/>
      <c r="M852" s="590"/>
      <c r="N852" s="302"/>
      <c r="O852" s="590"/>
      <c r="P852" s="590"/>
      <c r="Q852" s="590"/>
      <c r="R852" s="590"/>
      <c r="S852" s="302"/>
      <c r="T852" s="302"/>
      <c r="U852" s="590"/>
      <c r="V852" s="303"/>
    </row>
    <row r="853" spans="1:22" ht="15" customHeight="1" x14ac:dyDescent="0.25">
      <c r="A853" s="567"/>
      <c r="B853" s="564"/>
      <c r="C853" s="553"/>
      <c r="D853" s="553"/>
      <c r="E853" s="553"/>
      <c r="F853" s="553"/>
      <c r="G853" s="1163" t="s">
        <v>18518</v>
      </c>
      <c r="H853" s="1163"/>
      <c r="I853" s="1163"/>
      <c r="J853" s="1163"/>
      <c r="K853" s="1163"/>
      <c r="L853" s="1163"/>
      <c r="M853" s="1163"/>
      <c r="N853" s="1163"/>
      <c r="O853" s="290"/>
      <c r="P853" s="290"/>
      <c r="Q853" s="290"/>
      <c r="R853" s="290"/>
      <c r="S853" s="307"/>
      <c r="T853" s="307"/>
      <c r="U853" s="290"/>
      <c r="V853" s="305"/>
    </row>
    <row r="854" spans="1:22" ht="15" customHeight="1" x14ac:dyDescent="0.25">
      <c r="A854" s="567"/>
      <c r="B854" s="564"/>
      <c r="C854" s="553"/>
      <c r="D854" s="553"/>
      <c r="E854" s="553"/>
      <c r="F854" s="553"/>
      <c r="G854" s="590" t="s">
        <v>18987</v>
      </c>
      <c r="H854" s="590" t="s">
        <v>18988</v>
      </c>
      <c r="I854" s="590">
        <v>41126801</v>
      </c>
      <c r="J854" s="302">
        <f>0.035*0.9</f>
        <v>3.1500000000000007E-2</v>
      </c>
      <c r="K854" s="302"/>
      <c r="L854" s="307"/>
      <c r="M854" s="290"/>
      <c r="N854" s="290"/>
      <c r="O854" s="290"/>
      <c r="P854" s="290"/>
      <c r="Q854" s="290"/>
      <c r="R854" s="290"/>
      <c r="S854" s="307"/>
      <c r="T854" s="307"/>
      <c r="U854" s="290"/>
      <c r="V854" s="305"/>
    </row>
    <row r="855" spans="1:22" ht="15" customHeight="1" x14ac:dyDescent="0.25">
      <c r="A855" s="567"/>
      <c r="B855" s="564"/>
      <c r="C855" s="553"/>
      <c r="D855" s="553"/>
      <c r="E855" s="553"/>
      <c r="F855" s="553"/>
      <c r="G855" s="1164" t="s">
        <v>2262</v>
      </c>
      <c r="H855" s="1164"/>
      <c r="I855" s="1164"/>
      <c r="J855" s="1165">
        <f>0.321*0.9*0.6</f>
        <v>0.17333999999999999</v>
      </c>
      <c r="K855" s="1166"/>
      <c r="L855" s="307"/>
      <c r="M855" s="290"/>
      <c r="N855" s="307"/>
      <c r="O855" s="290"/>
      <c r="P855" s="290"/>
      <c r="Q855" s="290"/>
      <c r="R855" s="290"/>
      <c r="S855" s="307"/>
      <c r="T855" s="307"/>
      <c r="U855" s="290"/>
      <c r="V855" s="305"/>
    </row>
    <row r="856" spans="1:22" ht="15" customHeight="1" thickBot="1" x14ac:dyDescent="0.3">
      <c r="A856" s="242"/>
      <c r="B856" s="243"/>
      <c r="C856" s="244"/>
      <c r="D856" s="244"/>
      <c r="E856" s="244"/>
      <c r="F856" s="244"/>
      <c r="G856" s="1066" t="s">
        <v>1199</v>
      </c>
      <c r="H856" s="1066"/>
      <c r="I856" s="1066"/>
      <c r="J856" s="630"/>
      <c r="K856" s="456">
        <f>SUM(J848:K855)</f>
        <v>1.2093</v>
      </c>
      <c r="L856" s="631"/>
      <c r="M856" s="632">
        <v>0.92</v>
      </c>
      <c r="N856" s="456">
        <f>K856/M856</f>
        <v>1.3144565217391304</v>
      </c>
      <c r="O856" s="1066" t="s">
        <v>1199</v>
      </c>
      <c r="P856" s="1066"/>
      <c r="Q856" s="1066"/>
      <c r="R856" s="554"/>
      <c r="S856" s="456">
        <f>SUM(S838:S839)</f>
        <v>0</v>
      </c>
      <c r="T856" s="631"/>
      <c r="U856" s="554">
        <v>0.92</v>
      </c>
      <c r="V856" s="633">
        <f>S856/U856</f>
        <v>0</v>
      </c>
    </row>
    <row r="857" spans="1:22" ht="15" customHeight="1" x14ac:dyDescent="0.25">
      <c r="A857" s="566"/>
      <c r="B857" s="563"/>
      <c r="C857" s="552"/>
      <c r="D857" s="552"/>
      <c r="E857" s="552"/>
      <c r="F857" s="552"/>
      <c r="G857" s="1168" t="s">
        <v>1290</v>
      </c>
      <c r="H857" s="1168"/>
      <c r="I857" s="1168"/>
      <c r="J857" s="1168"/>
      <c r="K857" s="1168"/>
      <c r="L857" s="1168"/>
      <c r="M857" s="1168"/>
      <c r="N857" s="1168"/>
      <c r="O857" s="1168" t="s">
        <v>14933</v>
      </c>
      <c r="P857" s="1168"/>
      <c r="Q857" s="1168"/>
      <c r="R857" s="1168"/>
      <c r="S857" s="1168"/>
      <c r="T857" s="1168"/>
      <c r="U857" s="1168"/>
      <c r="V857" s="1169"/>
    </row>
    <row r="858" spans="1:22" ht="15" customHeight="1" x14ac:dyDescent="0.25">
      <c r="A858" s="567" t="str">
        <f>Итоговая!C349</f>
        <v>ПС  35/10 кВ Ю.-Девичье</v>
      </c>
      <c r="B858" s="564">
        <f>Итоговая!D349</f>
        <v>6.3</v>
      </c>
      <c r="C858" s="553" t="str">
        <f>Итоговая!E349</f>
        <v>+</v>
      </c>
      <c r="D858" s="553">
        <f>Итоговая!F349</f>
        <v>4</v>
      </c>
      <c r="E858" s="553"/>
      <c r="F858" s="553"/>
      <c r="G858" s="596" t="s">
        <v>480</v>
      </c>
      <c r="H858" s="596" t="s">
        <v>481</v>
      </c>
      <c r="I858" s="627" t="s">
        <v>482</v>
      </c>
      <c r="J858" s="628"/>
      <c r="K858" s="286">
        <v>0.4</v>
      </c>
      <c r="L858" s="302"/>
      <c r="M858" s="590"/>
      <c r="N858" s="302"/>
      <c r="O858" s="596" t="s">
        <v>478</v>
      </c>
      <c r="P858" s="596" t="s">
        <v>479</v>
      </c>
      <c r="Q858" s="627" t="s">
        <v>17434</v>
      </c>
      <c r="R858" s="627"/>
      <c r="S858" s="286">
        <v>0.25</v>
      </c>
      <c r="T858" s="302"/>
      <c r="U858" s="590"/>
      <c r="V858" s="303"/>
    </row>
    <row r="859" spans="1:22" ht="15" customHeight="1" x14ac:dyDescent="0.25">
      <c r="A859" s="567"/>
      <c r="B859" s="564"/>
      <c r="C859" s="553"/>
      <c r="D859" s="553"/>
      <c r="E859" s="553"/>
      <c r="F859" s="553"/>
      <c r="G859" s="1163" t="s">
        <v>1287</v>
      </c>
      <c r="H859" s="1163"/>
      <c r="I859" s="1163"/>
      <c r="J859" s="1163"/>
      <c r="K859" s="1163"/>
      <c r="L859" s="1163"/>
      <c r="M859" s="1163"/>
      <c r="N859" s="1163"/>
      <c r="O859" s="596" t="s">
        <v>474</v>
      </c>
      <c r="P859" s="596" t="s">
        <v>475</v>
      </c>
      <c r="Q859" s="627" t="s">
        <v>17435</v>
      </c>
      <c r="R859" s="627"/>
      <c r="S859" s="286">
        <v>0.4</v>
      </c>
      <c r="T859" s="302"/>
      <c r="U859" s="590"/>
      <c r="V859" s="303"/>
    </row>
    <row r="860" spans="1:22" ht="15" customHeight="1" x14ac:dyDescent="0.25">
      <c r="A860" s="567"/>
      <c r="B860" s="564"/>
      <c r="C860" s="553"/>
      <c r="D860" s="553"/>
      <c r="E860" s="553"/>
      <c r="F860" s="553"/>
      <c r="G860" s="627" t="s">
        <v>464</v>
      </c>
      <c r="H860" s="627" t="s">
        <v>465</v>
      </c>
      <c r="I860" s="627" t="s">
        <v>466</v>
      </c>
      <c r="J860" s="628"/>
      <c r="K860" s="628">
        <v>5.8000000000000003E-2</v>
      </c>
      <c r="L860" s="302"/>
      <c r="M860" s="590"/>
      <c r="N860" s="302"/>
      <c r="O860" s="596" t="s">
        <v>476</v>
      </c>
      <c r="P860" s="596" t="s">
        <v>477</v>
      </c>
      <c r="Q860" s="627" t="s">
        <v>17436</v>
      </c>
      <c r="R860" s="627"/>
      <c r="S860" s="286">
        <v>0.25</v>
      </c>
      <c r="T860" s="302"/>
      <c r="U860" s="590"/>
      <c r="V860" s="303"/>
    </row>
    <row r="861" spans="1:22" ht="15" customHeight="1" x14ac:dyDescent="0.25">
      <c r="A861" s="567"/>
      <c r="B861" s="564"/>
      <c r="C861" s="553"/>
      <c r="D861" s="553"/>
      <c r="E861" s="553"/>
      <c r="F861" s="553"/>
      <c r="G861" s="1163" t="s">
        <v>1286</v>
      </c>
      <c r="H861" s="1163"/>
      <c r="I861" s="1163"/>
      <c r="J861" s="1163"/>
      <c r="K861" s="1163"/>
      <c r="L861" s="1163"/>
      <c r="M861" s="1163"/>
      <c r="N861" s="1163"/>
      <c r="O861" s="596" t="s">
        <v>472</v>
      </c>
      <c r="P861" s="596" t="s">
        <v>473</v>
      </c>
      <c r="Q861" s="627" t="s">
        <v>17437</v>
      </c>
      <c r="R861" s="627"/>
      <c r="S861" s="286">
        <v>0.4</v>
      </c>
      <c r="T861" s="302"/>
      <c r="U861" s="590"/>
      <c r="V861" s="303"/>
    </row>
    <row r="862" spans="1:22" ht="15" customHeight="1" x14ac:dyDescent="0.25">
      <c r="A862" s="567"/>
      <c r="B862" s="564"/>
      <c r="C862" s="553"/>
      <c r="D862" s="553"/>
      <c r="E862" s="553"/>
      <c r="F862" s="553"/>
      <c r="G862" s="590" t="s">
        <v>467</v>
      </c>
      <c r="H862" s="590" t="s">
        <v>468</v>
      </c>
      <c r="I862" s="627" t="s">
        <v>469</v>
      </c>
      <c r="J862" s="628"/>
      <c r="K862" s="286">
        <v>0.36</v>
      </c>
      <c r="L862" s="302"/>
      <c r="M862" s="590"/>
      <c r="N862" s="302"/>
      <c r="O862" s="543"/>
      <c r="P862" s="543"/>
      <c r="Q862" s="543"/>
      <c r="R862" s="543"/>
      <c r="S862" s="543"/>
      <c r="T862" s="548"/>
      <c r="U862" s="543"/>
      <c r="V862" s="664"/>
    </row>
    <row r="863" spans="1:22" ht="15" customHeight="1" x14ac:dyDescent="0.25">
      <c r="A863" s="567"/>
      <c r="B863" s="564"/>
      <c r="C863" s="553"/>
      <c r="D863" s="553"/>
      <c r="E863" s="553"/>
      <c r="F863" s="553"/>
      <c r="G863" s="590" t="s">
        <v>467</v>
      </c>
      <c r="H863" s="590" t="s">
        <v>468</v>
      </c>
      <c r="I863" s="627" t="s">
        <v>483</v>
      </c>
      <c r="J863" s="628"/>
      <c r="K863" s="286">
        <v>0.14499999999999999</v>
      </c>
      <c r="L863" s="302"/>
      <c r="M863" s="590"/>
      <c r="N863" s="302"/>
      <c r="O863" s="543"/>
      <c r="P863" s="543"/>
      <c r="Q863" s="543"/>
      <c r="R863" s="543"/>
      <c r="S863" s="543"/>
      <c r="T863" s="548"/>
      <c r="U863" s="543"/>
      <c r="V863" s="664"/>
    </row>
    <row r="864" spans="1:22" ht="15" customHeight="1" x14ac:dyDescent="0.25">
      <c r="A864" s="567"/>
      <c r="B864" s="564"/>
      <c r="C864" s="553"/>
      <c r="D864" s="553"/>
      <c r="E864" s="553"/>
      <c r="F864" s="553"/>
      <c r="G864" s="1163" t="s">
        <v>1324</v>
      </c>
      <c r="H864" s="1163"/>
      <c r="I864" s="1163"/>
      <c r="J864" s="1163"/>
      <c r="K864" s="1163"/>
      <c r="L864" s="1163"/>
      <c r="M864" s="1163"/>
      <c r="N864" s="1163"/>
      <c r="O864" s="543"/>
      <c r="P864" s="543"/>
      <c r="Q864" s="543"/>
      <c r="R864" s="543"/>
      <c r="S864" s="543"/>
      <c r="T864" s="548"/>
      <c r="U864" s="543"/>
      <c r="V864" s="664"/>
    </row>
    <row r="865" spans="1:22" ht="15" customHeight="1" x14ac:dyDescent="0.25">
      <c r="A865" s="567"/>
      <c r="B865" s="564"/>
      <c r="C865" s="553"/>
      <c r="D865" s="553"/>
      <c r="E865" s="553"/>
      <c r="F865" s="553"/>
      <c r="G865" s="596" t="s">
        <v>470</v>
      </c>
      <c r="H865" s="596" t="s">
        <v>471</v>
      </c>
      <c r="I865" s="635" t="s">
        <v>1553</v>
      </c>
      <c r="J865" s="286"/>
      <c r="K865" s="286">
        <v>7.4999999999999997E-2</v>
      </c>
      <c r="L865" s="302"/>
      <c r="M865" s="590"/>
      <c r="N865" s="302"/>
      <c r="O865" s="543"/>
      <c r="P865" s="543"/>
      <c r="Q865" s="543"/>
      <c r="R865" s="543"/>
      <c r="S865" s="543"/>
      <c r="T865" s="548"/>
      <c r="U865" s="543"/>
      <c r="V865" s="664"/>
    </row>
    <row r="866" spans="1:22" ht="15" customHeight="1" x14ac:dyDescent="0.25">
      <c r="A866" s="567"/>
      <c r="B866" s="564"/>
      <c r="C866" s="553"/>
      <c r="D866" s="553"/>
      <c r="E866" s="553"/>
      <c r="F866" s="553"/>
      <c r="G866" s="1163" t="s">
        <v>1645</v>
      </c>
      <c r="H866" s="1163"/>
      <c r="I866" s="1163"/>
      <c r="J866" s="1163"/>
      <c r="K866" s="1163"/>
      <c r="L866" s="1163"/>
      <c r="M866" s="1163"/>
      <c r="N866" s="1163"/>
      <c r="O866" s="590"/>
      <c r="P866" s="590"/>
      <c r="Q866" s="636"/>
      <c r="R866" s="636"/>
      <c r="S866" s="302"/>
      <c r="T866" s="302"/>
      <c r="U866" s="590"/>
      <c r="V866" s="303"/>
    </row>
    <row r="867" spans="1:22" ht="15" customHeight="1" x14ac:dyDescent="0.25">
      <c r="A867" s="567"/>
      <c r="B867" s="564"/>
      <c r="C867" s="553"/>
      <c r="D867" s="553"/>
      <c r="E867" s="553"/>
      <c r="F867" s="553"/>
      <c r="G867" s="596" t="s">
        <v>1682</v>
      </c>
      <c r="H867" s="596" t="s">
        <v>1683</v>
      </c>
      <c r="I867" s="635" t="s">
        <v>1690</v>
      </c>
      <c r="J867" s="286"/>
      <c r="K867" s="286">
        <v>1.7250000000000001</v>
      </c>
      <c r="L867" s="302"/>
      <c r="M867" s="590"/>
      <c r="N867" s="302"/>
      <c r="O867" s="590"/>
      <c r="P867" s="590"/>
      <c r="Q867" s="636"/>
      <c r="R867" s="636"/>
      <c r="S867" s="302"/>
      <c r="T867" s="302"/>
      <c r="U867" s="590"/>
      <c r="V867" s="303"/>
    </row>
    <row r="868" spans="1:22" ht="15" customHeight="1" x14ac:dyDescent="0.25">
      <c r="A868" s="567"/>
      <c r="B868" s="564"/>
      <c r="C868" s="553"/>
      <c r="D868" s="553"/>
      <c r="E868" s="553"/>
      <c r="F868" s="553"/>
      <c r="G868" s="1163" t="s">
        <v>14933</v>
      </c>
      <c r="H868" s="1163"/>
      <c r="I868" s="1163"/>
      <c r="J868" s="1163"/>
      <c r="K868" s="1163"/>
      <c r="L868" s="1163"/>
      <c r="M868" s="1163"/>
      <c r="N868" s="1163"/>
      <c r="O868" s="590"/>
      <c r="P868" s="590"/>
      <c r="Q868" s="636"/>
      <c r="R868" s="636"/>
      <c r="S868" s="302"/>
      <c r="T868" s="302"/>
      <c r="U868" s="590"/>
      <c r="V868" s="303"/>
    </row>
    <row r="869" spans="1:22" ht="15" customHeight="1" x14ac:dyDescent="0.25">
      <c r="A869" s="567"/>
      <c r="B869" s="564"/>
      <c r="C869" s="553"/>
      <c r="D869" s="553"/>
      <c r="E869" s="553"/>
      <c r="F869" s="553"/>
      <c r="G869" s="590" t="s">
        <v>17235</v>
      </c>
      <c r="H869" s="590" t="s">
        <v>17236</v>
      </c>
      <c r="I869" s="590" t="s">
        <v>17237</v>
      </c>
      <c r="J869" s="302"/>
      <c r="K869" s="302">
        <f>0.1*0.9</f>
        <v>9.0000000000000011E-2</v>
      </c>
      <c r="L869" s="302"/>
      <c r="M869" s="590"/>
      <c r="N869" s="302"/>
      <c r="O869" s="590"/>
      <c r="P869" s="590"/>
      <c r="Q869" s="636"/>
      <c r="R869" s="636"/>
      <c r="S869" s="302"/>
      <c r="T869" s="302"/>
      <c r="U869" s="590"/>
      <c r="V869" s="303"/>
    </row>
    <row r="870" spans="1:22" ht="15" customHeight="1" x14ac:dyDescent="0.25">
      <c r="A870" s="567"/>
      <c r="B870" s="564"/>
      <c r="C870" s="553"/>
      <c r="D870" s="553"/>
      <c r="E870" s="553"/>
      <c r="F870" s="553"/>
      <c r="G870" s="590" t="s">
        <v>17658</v>
      </c>
      <c r="H870" s="590" t="s">
        <v>17659</v>
      </c>
      <c r="I870" s="590" t="s">
        <v>17660</v>
      </c>
      <c r="J870" s="302"/>
      <c r="K870" s="302">
        <f>0.035*0.9</f>
        <v>3.1500000000000007E-2</v>
      </c>
      <c r="L870" s="302"/>
      <c r="M870" s="590"/>
      <c r="N870" s="302"/>
      <c r="O870" s="590"/>
      <c r="P870" s="590"/>
      <c r="Q870" s="636"/>
      <c r="R870" s="636"/>
      <c r="S870" s="302"/>
      <c r="T870" s="302"/>
      <c r="U870" s="590"/>
      <c r="V870" s="303"/>
    </row>
    <row r="871" spans="1:22" ht="15" customHeight="1" x14ac:dyDescent="0.25">
      <c r="A871" s="567"/>
      <c r="B871" s="564"/>
      <c r="C871" s="553"/>
      <c r="D871" s="553"/>
      <c r="E871" s="553"/>
      <c r="F871" s="553"/>
      <c r="G871" s="1163" t="s">
        <v>18518</v>
      </c>
      <c r="H871" s="1163"/>
      <c r="I871" s="1163"/>
      <c r="J871" s="1163"/>
      <c r="K871" s="1163"/>
      <c r="L871" s="1163"/>
      <c r="M871" s="1163"/>
      <c r="N871" s="1163"/>
      <c r="O871" s="290"/>
      <c r="P871" s="290"/>
      <c r="Q871" s="698"/>
      <c r="R871" s="698"/>
      <c r="S871" s="307"/>
      <c r="T871" s="307"/>
      <c r="U871" s="290"/>
      <c r="V871" s="305"/>
    </row>
    <row r="872" spans="1:22" ht="15" customHeight="1" x14ac:dyDescent="0.25">
      <c r="A872" s="567"/>
      <c r="B872" s="564"/>
      <c r="C872" s="553"/>
      <c r="D872" s="553"/>
      <c r="E872" s="553"/>
      <c r="F872" s="553"/>
      <c r="G872" s="590" t="s">
        <v>19230</v>
      </c>
      <c r="H872" s="590" t="s">
        <v>19231</v>
      </c>
      <c r="I872" s="590" t="s">
        <v>19232</v>
      </c>
      <c r="J872" s="302"/>
      <c r="K872" s="302">
        <f>0.025*0.9</f>
        <v>2.2500000000000003E-2</v>
      </c>
      <c r="L872" s="307"/>
      <c r="M872" s="290"/>
      <c r="N872" s="290"/>
      <c r="O872" s="290"/>
      <c r="P872" s="290"/>
      <c r="Q872" s="698"/>
      <c r="R872" s="698"/>
      <c r="S872" s="307"/>
      <c r="T872" s="307"/>
      <c r="U872" s="290"/>
      <c r="V872" s="305"/>
    </row>
    <row r="873" spans="1:22" ht="15" customHeight="1" x14ac:dyDescent="0.25">
      <c r="A873" s="567"/>
      <c r="B873" s="564"/>
      <c r="C873" s="553"/>
      <c r="D873" s="553"/>
      <c r="E873" s="553"/>
      <c r="F873" s="553"/>
      <c r="G873" s="1164" t="s">
        <v>2262</v>
      </c>
      <c r="H873" s="1164"/>
      <c r="I873" s="1164"/>
      <c r="J873" s="1165">
        <f>0.304*0.9*0.6</f>
        <v>0.16416</v>
      </c>
      <c r="K873" s="1166"/>
      <c r="L873" s="307"/>
      <c r="M873" s="290"/>
      <c r="N873" s="307"/>
      <c r="O873" s="290"/>
      <c r="P873" s="290"/>
      <c r="Q873" s="698"/>
      <c r="R873" s="698"/>
      <c r="S873" s="307"/>
      <c r="T873" s="307"/>
      <c r="U873" s="290"/>
      <c r="V873" s="305"/>
    </row>
    <row r="874" spans="1:22" ht="15" customHeight="1" thickBot="1" x14ac:dyDescent="0.3">
      <c r="A874" s="242"/>
      <c r="B874" s="243"/>
      <c r="C874" s="244"/>
      <c r="D874" s="244"/>
      <c r="E874" s="244"/>
      <c r="F874" s="244"/>
      <c r="G874" s="1066" t="s">
        <v>1199</v>
      </c>
      <c r="H874" s="1066"/>
      <c r="I874" s="1066"/>
      <c r="J874" s="630"/>
      <c r="K874" s="456">
        <f>SUM(J869:K873)</f>
        <v>0.30815999999999999</v>
      </c>
      <c r="L874" s="631"/>
      <c r="M874" s="632">
        <v>0.92</v>
      </c>
      <c r="N874" s="456">
        <f>K874/M874</f>
        <v>0.33495652173913043</v>
      </c>
      <c r="O874" s="1066" t="s">
        <v>1199</v>
      </c>
      <c r="P874" s="1066"/>
      <c r="Q874" s="1066"/>
      <c r="R874" s="554"/>
      <c r="S874" s="456">
        <f>SUM(S858:S870)</f>
        <v>1.3</v>
      </c>
      <c r="T874" s="631"/>
      <c r="U874" s="554">
        <v>0.92</v>
      </c>
      <c r="V874" s="633">
        <f>S874/U874</f>
        <v>1.4130434782608696</v>
      </c>
    </row>
    <row r="875" spans="1:22" s="475" customFormat="1" ht="15" customHeight="1" x14ac:dyDescent="0.25">
      <c r="A875" s="1093" t="str">
        <f>Итоговая!C350</f>
        <v xml:space="preserve">ПС 35/6 кВ №18  </v>
      </c>
      <c r="B875" s="1023">
        <f>Итоговая!D350</f>
        <v>16</v>
      </c>
      <c r="C875" s="1024" t="str">
        <f>Итоговая!E350</f>
        <v>+</v>
      </c>
      <c r="D875" s="1024">
        <f>Итоговая!F350</f>
        <v>10</v>
      </c>
      <c r="E875" s="1024" t="str">
        <f>Итоговая!G350</f>
        <v>+</v>
      </c>
      <c r="F875" s="1024">
        <f>Итоговая!H350</f>
        <v>10</v>
      </c>
      <c r="G875" s="1224" t="s">
        <v>1287</v>
      </c>
      <c r="H875" s="1224"/>
      <c r="I875" s="1224"/>
      <c r="J875" s="1224"/>
      <c r="K875" s="1224"/>
      <c r="L875" s="1224"/>
      <c r="M875" s="1224"/>
      <c r="N875" s="1224"/>
      <c r="O875" s="1204"/>
      <c r="P875" s="1204"/>
      <c r="Q875" s="1204"/>
      <c r="R875" s="1204"/>
      <c r="S875" s="1204"/>
      <c r="T875" s="1204"/>
      <c r="U875" s="1204"/>
      <c r="V875" s="1205"/>
    </row>
    <row r="876" spans="1:22" ht="15" customHeight="1" x14ac:dyDescent="0.25">
      <c r="A876" s="1093"/>
      <c r="B876" s="1023"/>
      <c r="C876" s="1024"/>
      <c r="D876" s="1024"/>
      <c r="E876" s="1024"/>
      <c r="F876" s="1024"/>
      <c r="G876" s="627" t="s">
        <v>229</v>
      </c>
      <c r="H876" s="627" t="s">
        <v>230</v>
      </c>
      <c r="I876" s="627" t="s">
        <v>231</v>
      </c>
      <c r="J876" s="628"/>
      <c r="K876" s="628">
        <v>5.5E-2</v>
      </c>
      <c r="L876" s="302"/>
      <c r="M876" s="590"/>
      <c r="N876" s="302"/>
      <c r="O876" s="590"/>
      <c r="P876" s="590"/>
      <c r="Q876" s="590"/>
      <c r="R876" s="590"/>
      <c r="S876" s="302"/>
      <c r="T876" s="302"/>
      <c r="U876" s="590"/>
      <c r="V876" s="303"/>
    </row>
    <row r="877" spans="1:22" ht="15" customHeight="1" x14ac:dyDescent="0.25">
      <c r="A877" s="1093"/>
      <c r="B877" s="1023"/>
      <c r="C877" s="1024"/>
      <c r="D877" s="1024"/>
      <c r="E877" s="1024"/>
      <c r="F877" s="1024"/>
      <c r="G877" s="627"/>
      <c r="H877" s="627"/>
      <c r="I877" s="627"/>
      <c r="J877" s="628"/>
      <c r="K877" s="628"/>
      <c r="L877" s="302"/>
      <c r="M877" s="590"/>
      <c r="N877" s="302"/>
      <c r="O877" s="590"/>
      <c r="P877" s="590"/>
      <c r="Q877" s="590"/>
      <c r="R877" s="590"/>
      <c r="S877" s="302"/>
      <c r="T877" s="302"/>
      <c r="U877" s="590"/>
      <c r="V877" s="303"/>
    </row>
    <row r="878" spans="1:22" ht="15" customHeight="1" thickBot="1" x14ac:dyDescent="0.3">
      <c r="A878" s="567"/>
      <c r="B878" s="564"/>
      <c r="C878" s="553"/>
      <c r="D878" s="553"/>
      <c r="E878" s="553"/>
      <c r="F878" s="553"/>
      <c r="G878" s="1176" t="s">
        <v>1199</v>
      </c>
      <c r="H878" s="1176"/>
      <c r="I878" s="1176"/>
      <c r="J878" s="640"/>
      <c r="K878" s="656">
        <f>SUM(0)</f>
        <v>0</v>
      </c>
      <c r="L878" s="307"/>
      <c r="M878" s="290">
        <v>0.92</v>
      </c>
      <c r="N878" s="656">
        <f>K878/M878</f>
        <v>0</v>
      </c>
      <c r="O878" s="1176" t="s">
        <v>1199</v>
      </c>
      <c r="P878" s="1176"/>
      <c r="Q878" s="1176"/>
      <c r="R878" s="600"/>
      <c r="S878" s="656">
        <f>SUM(S876:S877)</f>
        <v>0</v>
      </c>
      <c r="T878" s="307"/>
      <c r="U878" s="600">
        <v>0.92</v>
      </c>
      <c r="V878" s="657">
        <f>S878/U878</f>
        <v>0</v>
      </c>
    </row>
    <row r="879" spans="1:22" s="475" customFormat="1" ht="15" customHeight="1" x14ac:dyDescent="0.25">
      <c r="A879" s="1092" t="str">
        <f>Итоговая!C351</f>
        <v xml:space="preserve">ПС 35/6  кВ Затверецкая </v>
      </c>
      <c r="B879" s="1072">
        <f>Итоговая!D351</f>
        <v>10</v>
      </c>
      <c r="C879" s="1067" t="str">
        <f>Итоговая!E351</f>
        <v>+</v>
      </c>
      <c r="D879" s="1067">
        <f>Итоговая!F351</f>
        <v>10</v>
      </c>
      <c r="E879" s="1067" t="str">
        <f>Итоговая!G351</f>
        <v>+</v>
      </c>
      <c r="F879" s="1067">
        <f>Итоговая!H351</f>
        <v>10</v>
      </c>
      <c r="G879" s="1168" t="s">
        <v>1288</v>
      </c>
      <c r="H879" s="1168"/>
      <c r="I879" s="1168"/>
      <c r="J879" s="1168"/>
      <c r="K879" s="1168"/>
      <c r="L879" s="1168"/>
      <c r="M879" s="1168"/>
      <c r="N879" s="1168"/>
      <c r="O879" s="1168" t="s">
        <v>14933</v>
      </c>
      <c r="P879" s="1168"/>
      <c r="Q879" s="1168"/>
      <c r="R879" s="1168"/>
      <c r="S879" s="1168"/>
      <c r="T879" s="1168"/>
      <c r="U879" s="1168"/>
      <c r="V879" s="1169"/>
    </row>
    <row r="880" spans="1:22" ht="15" customHeight="1" x14ac:dyDescent="0.25">
      <c r="A880" s="1093"/>
      <c r="B880" s="1023"/>
      <c r="C880" s="1024"/>
      <c r="D880" s="1024"/>
      <c r="E880" s="1024"/>
      <c r="F880" s="1024"/>
      <c r="G880" s="590" t="s">
        <v>233</v>
      </c>
      <c r="H880" s="590" t="s">
        <v>234</v>
      </c>
      <c r="I880" s="590" t="s">
        <v>235</v>
      </c>
      <c r="J880" s="302"/>
      <c r="K880" s="286">
        <v>0.19</v>
      </c>
      <c r="L880" s="302"/>
      <c r="M880" s="590"/>
      <c r="N880" s="302"/>
      <c r="O880" s="596" t="s">
        <v>2399</v>
      </c>
      <c r="P880" s="596" t="s">
        <v>2400</v>
      </c>
      <c r="Q880" s="590" t="s">
        <v>17440</v>
      </c>
      <c r="R880" s="590"/>
      <c r="S880" s="302">
        <f>0.1*0.9</f>
        <v>9.0000000000000011E-2</v>
      </c>
      <c r="T880" s="302"/>
      <c r="U880" s="590"/>
      <c r="V880" s="303"/>
    </row>
    <row r="881" spans="1:22" ht="15" customHeight="1" x14ac:dyDescent="0.25">
      <c r="A881" s="1093"/>
      <c r="B881" s="1023"/>
      <c r="C881" s="1024"/>
      <c r="D881" s="1024"/>
      <c r="E881" s="1024"/>
      <c r="F881" s="1024"/>
      <c r="G881" s="590" t="s">
        <v>236</v>
      </c>
      <c r="H881" s="590" t="s">
        <v>237</v>
      </c>
      <c r="I881" s="590" t="s">
        <v>238</v>
      </c>
      <c r="J881" s="302"/>
      <c r="K881" s="286">
        <v>0.3</v>
      </c>
      <c r="L881" s="302"/>
      <c r="M881" s="590"/>
      <c r="N881" s="302"/>
      <c r="O881" s="596" t="s">
        <v>41</v>
      </c>
      <c r="P881" s="596" t="s">
        <v>42</v>
      </c>
      <c r="Q881" s="590" t="s">
        <v>18164</v>
      </c>
      <c r="R881" s="590"/>
      <c r="S881" s="286">
        <v>0.1</v>
      </c>
      <c r="T881" s="302"/>
      <c r="U881" s="590"/>
      <c r="V881" s="303"/>
    </row>
    <row r="882" spans="1:22" ht="15" customHeight="1" x14ac:dyDescent="0.25">
      <c r="A882" s="567"/>
      <c r="B882" s="644"/>
      <c r="C882" s="661"/>
      <c r="D882" s="661"/>
      <c r="E882" s="661"/>
      <c r="F882" s="661"/>
      <c r="G882" s="590" t="s">
        <v>239</v>
      </c>
      <c r="H882" s="590" t="s">
        <v>240</v>
      </c>
      <c r="I882" s="590" t="s">
        <v>241</v>
      </c>
      <c r="J882" s="302"/>
      <c r="K882" s="302">
        <v>7.1999999999999995E-2</v>
      </c>
      <c r="L882" s="302"/>
      <c r="M882" s="590"/>
      <c r="N882" s="302"/>
      <c r="O882" s="590"/>
      <c r="P882" s="590"/>
      <c r="Q882" s="590"/>
      <c r="R882" s="590"/>
      <c r="S882" s="302"/>
      <c r="T882" s="302"/>
      <c r="U882" s="590"/>
      <c r="V882" s="303"/>
    </row>
    <row r="883" spans="1:22" ht="15" customHeight="1" x14ac:dyDescent="0.25">
      <c r="A883" s="567"/>
      <c r="B883" s="644"/>
      <c r="C883" s="661"/>
      <c r="D883" s="661"/>
      <c r="E883" s="661"/>
      <c r="F883" s="661"/>
      <c r="G883" s="590" t="s">
        <v>40</v>
      </c>
      <c r="H883" s="590" t="s">
        <v>242</v>
      </c>
      <c r="I883" s="590" t="s">
        <v>243</v>
      </c>
      <c r="J883" s="302"/>
      <c r="K883" s="302">
        <v>1.7999999999999999E-2</v>
      </c>
      <c r="L883" s="302"/>
      <c r="M883" s="590"/>
      <c r="N883" s="302"/>
      <c r="O883" s="590"/>
      <c r="P883" s="590"/>
      <c r="Q883" s="590"/>
      <c r="R883" s="590"/>
      <c r="S883" s="302"/>
      <c r="T883" s="302"/>
      <c r="U883" s="590"/>
      <c r="V883" s="303"/>
    </row>
    <row r="884" spans="1:22" ht="15" customHeight="1" x14ac:dyDescent="0.25">
      <c r="A884" s="567"/>
      <c r="B884" s="644"/>
      <c r="C884" s="661"/>
      <c r="D884" s="661"/>
      <c r="E884" s="661"/>
      <c r="F884" s="661"/>
      <c r="G884" s="1163" t="s">
        <v>1286</v>
      </c>
      <c r="H884" s="1163"/>
      <c r="I884" s="1163"/>
      <c r="J884" s="1163"/>
      <c r="K884" s="1163"/>
      <c r="L884" s="1163"/>
      <c r="M884" s="1163"/>
      <c r="N884" s="1163"/>
      <c r="O884" s="1185"/>
      <c r="P884" s="1185"/>
      <c r="Q884" s="1185"/>
      <c r="R884" s="1185"/>
      <c r="S884" s="1185"/>
      <c r="T884" s="1185"/>
      <c r="U884" s="1185"/>
      <c r="V884" s="1186"/>
    </row>
    <row r="885" spans="1:22" ht="15" customHeight="1" x14ac:dyDescent="0.25">
      <c r="A885" s="567"/>
      <c r="B885" s="644"/>
      <c r="C885" s="661"/>
      <c r="D885" s="661"/>
      <c r="E885" s="661"/>
      <c r="F885" s="661"/>
      <c r="G885" s="590" t="s">
        <v>43</v>
      </c>
      <c r="H885" s="590" t="s">
        <v>44</v>
      </c>
      <c r="I885" s="590" t="s">
        <v>45</v>
      </c>
      <c r="J885" s="302"/>
      <c r="K885" s="286">
        <v>7.0000000000000007E-2</v>
      </c>
      <c r="L885" s="302"/>
      <c r="M885" s="590"/>
      <c r="N885" s="302"/>
      <c r="O885" s="590"/>
      <c r="P885" s="590"/>
      <c r="Q885" s="590"/>
      <c r="R885" s="590"/>
      <c r="S885" s="302"/>
      <c r="T885" s="302"/>
      <c r="U885" s="590"/>
      <c r="V885" s="303"/>
    </row>
    <row r="886" spans="1:22" ht="15" customHeight="1" x14ac:dyDescent="0.25">
      <c r="A886" s="567"/>
      <c r="B886" s="644"/>
      <c r="C886" s="661"/>
      <c r="D886" s="661"/>
      <c r="E886" s="661"/>
      <c r="F886" s="661"/>
      <c r="G886" s="590" t="s">
        <v>250</v>
      </c>
      <c r="H886" s="590" t="s">
        <v>251</v>
      </c>
      <c r="I886" s="635" t="s">
        <v>1531</v>
      </c>
      <c r="J886" s="286"/>
      <c r="K886" s="286">
        <v>0.1</v>
      </c>
      <c r="L886" s="302"/>
      <c r="M886" s="590"/>
      <c r="N886" s="302"/>
      <c r="O886" s="590"/>
      <c r="P886" s="590"/>
      <c r="Q886" s="636"/>
      <c r="R886" s="636"/>
      <c r="S886" s="302"/>
      <c r="T886" s="302"/>
      <c r="U886" s="590"/>
      <c r="V886" s="303"/>
    </row>
    <row r="887" spans="1:22" ht="15" customHeight="1" x14ac:dyDescent="0.25">
      <c r="A887" s="567"/>
      <c r="B887" s="644"/>
      <c r="C887" s="661"/>
      <c r="D887" s="661"/>
      <c r="E887" s="661"/>
      <c r="F887" s="661"/>
      <c r="G887" s="1163" t="s">
        <v>1324</v>
      </c>
      <c r="H887" s="1163"/>
      <c r="I887" s="1163"/>
      <c r="J887" s="1163"/>
      <c r="K887" s="1163"/>
      <c r="L887" s="1163"/>
      <c r="M887" s="1163"/>
      <c r="N887" s="1163"/>
      <c r="O887" s="1185"/>
      <c r="P887" s="1185"/>
      <c r="Q887" s="1185"/>
      <c r="R887" s="1185"/>
      <c r="S887" s="1185"/>
      <c r="T887" s="1185"/>
      <c r="U887" s="1185"/>
      <c r="V887" s="1186"/>
    </row>
    <row r="888" spans="1:22" ht="15" customHeight="1" x14ac:dyDescent="0.25">
      <c r="A888" s="567"/>
      <c r="B888" s="644"/>
      <c r="C888" s="661"/>
      <c r="D888" s="661"/>
      <c r="E888" s="661"/>
      <c r="F888" s="661"/>
      <c r="G888" s="596" t="s">
        <v>253</v>
      </c>
      <c r="H888" s="596" t="s">
        <v>254</v>
      </c>
      <c r="I888" s="635" t="s">
        <v>1447</v>
      </c>
      <c r="J888" s="286"/>
      <c r="K888" s="286">
        <v>0.5</v>
      </c>
      <c r="L888" s="302"/>
      <c r="M888" s="590"/>
      <c r="N888" s="302"/>
      <c r="O888" s="590"/>
      <c r="P888" s="590"/>
      <c r="Q888" s="636"/>
      <c r="R888" s="636"/>
      <c r="S888" s="302"/>
      <c r="T888" s="302"/>
      <c r="U888" s="590"/>
      <c r="V888" s="303"/>
    </row>
    <row r="889" spans="1:22" ht="15" customHeight="1" x14ac:dyDescent="0.25">
      <c r="A889" s="567"/>
      <c r="B889" s="644"/>
      <c r="C889" s="661"/>
      <c r="D889" s="661"/>
      <c r="E889" s="661"/>
      <c r="F889" s="661"/>
      <c r="G889" s="1163" t="s">
        <v>1645</v>
      </c>
      <c r="H889" s="1163"/>
      <c r="I889" s="1163"/>
      <c r="J889" s="1163"/>
      <c r="K889" s="1163"/>
      <c r="L889" s="1163"/>
      <c r="M889" s="1163"/>
      <c r="N889" s="1163"/>
      <c r="O889" s="590"/>
      <c r="P889" s="590"/>
      <c r="Q889" s="590"/>
      <c r="R889" s="590"/>
      <c r="S889" s="302"/>
      <c r="T889" s="302"/>
      <c r="U889" s="590"/>
      <c r="V889" s="303"/>
    </row>
    <row r="890" spans="1:22" ht="15" customHeight="1" x14ac:dyDescent="0.25">
      <c r="A890" s="567"/>
      <c r="B890" s="644"/>
      <c r="C890" s="661"/>
      <c r="D890" s="661"/>
      <c r="E890" s="661"/>
      <c r="F890" s="661"/>
      <c r="G890" s="596" t="s">
        <v>1791</v>
      </c>
      <c r="H890" s="596" t="s">
        <v>1846</v>
      </c>
      <c r="I890" s="596" t="s">
        <v>1939</v>
      </c>
      <c r="J890" s="286"/>
      <c r="K890" s="286">
        <v>2.2999999999999998</v>
      </c>
      <c r="L890" s="302"/>
      <c r="M890" s="590"/>
      <c r="N890" s="302"/>
      <c r="O890" s="590"/>
      <c r="P890" s="590"/>
      <c r="Q890" s="590"/>
      <c r="R890" s="590"/>
      <c r="S890" s="302"/>
      <c r="T890" s="302"/>
      <c r="U890" s="590"/>
      <c r="V890" s="303"/>
    </row>
    <row r="891" spans="1:22" ht="15" customHeight="1" x14ac:dyDescent="0.25">
      <c r="A891" s="567"/>
      <c r="B891" s="644"/>
      <c r="C891" s="661"/>
      <c r="D891" s="661"/>
      <c r="E891" s="661"/>
      <c r="F891" s="661"/>
      <c r="G891" s="596" t="s">
        <v>1955</v>
      </c>
      <c r="H891" s="596" t="s">
        <v>1992</v>
      </c>
      <c r="I891" s="596" t="s">
        <v>2000</v>
      </c>
      <c r="J891" s="286"/>
      <c r="K891" s="286">
        <f>0.1-0.02</f>
        <v>0.08</v>
      </c>
      <c r="L891" s="302"/>
      <c r="M891" s="590"/>
      <c r="N891" s="302"/>
      <c r="O891" s="590"/>
      <c r="P891" s="590"/>
      <c r="Q891" s="590"/>
      <c r="R891" s="590"/>
      <c r="S891" s="302"/>
      <c r="T891" s="302"/>
      <c r="U891" s="590"/>
      <c r="V891" s="303"/>
    </row>
    <row r="892" spans="1:22" ht="15" customHeight="1" x14ac:dyDescent="0.25">
      <c r="A892" s="567"/>
      <c r="B892" s="644"/>
      <c r="C892" s="661"/>
      <c r="D892" s="661"/>
      <c r="E892" s="661"/>
      <c r="F892" s="661"/>
      <c r="G892" s="1163" t="s">
        <v>2011</v>
      </c>
      <c r="H892" s="1163"/>
      <c r="I892" s="1163"/>
      <c r="J892" s="1163"/>
      <c r="K892" s="1163"/>
      <c r="L892" s="1163"/>
      <c r="M892" s="1163"/>
      <c r="N892" s="1163"/>
      <c r="O892" s="590"/>
      <c r="P892" s="590"/>
      <c r="Q892" s="590"/>
      <c r="R892" s="590"/>
      <c r="S892" s="302"/>
      <c r="T892" s="302"/>
      <c r="U892" s="590"/>
      <c r="V892" s="303"/>
    </row>
    <row r="893" spans="1:22" ht="15" customHeight="1" x14ac:dyDescent="0.25">
      <c r="A893" s="567"/>
      <c r="B893" s="644"/>
      <c r="C893" s="661"/>
      <c r="D893" s="661"/>
      <c r="E893" s="661"/>
      <c r="F893" s="661"/>
      <c r="G893" s="596" t="s">
        <v>1970</v>
      </c>
      <c r="H893" s="596" t="s">
        <v>1971</v>
      </c>
      <c r="I893" s="596" t="s">
        <v>2028</v>
      </c>
      <c r="J893" s="286"/>
      <c r="K893" s="286">
        <f>0.025*0.75</f>
        <v>1.8750000000000003E-2</v>
      </c>
      <c r="L893" s="302"/>
      <c r="M893" s="590"/>
      <c r="N893" s="302"/>
      <c r="O893" s="590"/>
      <c r="P893" s="590"/>
      <c r="Q893" s="590"/>
      <c r="R893" s="590"/>
      <c r="S893" s="302"/>
      <c r="T893" s="302"/>
      <c r="U893" s="590"/>
      <c r="V893" s="303"/>
    </row>
    <row r="894" spans="1:22" ht="15" customHeight="1" x14ac:dyDescent="0.25">
      <c r="A894" s="567"/>
      <c r="B894" s="644"/>
      <c r="C894" s="661"/>
      <c r="D894" s="661"/>
      <c r="E894" s="661"/>
      <c r="F894" s="661"/>
      <c r="G894" s="596" t="s">
        <v>2120</v>
      </c>
      <c r="H894" s="596" t="s">
        <v>2121</v>
      </c>
      <c r="I894" s="635" t="s">
        <v>2153</v>
      </c>
      <c r="J894" s="286"/>
      <c r="K894" s="286">
        <f>(0.5-0.1)*0.9</f>
        <v>0.36000000000000004</v>
      </c>
      <c r="L894" s="302"/>
      <c r="M894" s="590"/>
      <c r="N894" s="302"/>
      <c r="O894" s="590"/>
      <c r="P894" s="590"/>
      <c r="Q894" s="590"/>
      <c r="R894" s="590"/>
      <c r="S894" s="302"/>
      <c r="T894" s="302"/>
      <c r="U894" s="590"/>
      <c r="V894" s="303"/>
    </row>
    <row r="895" spans="1:22" ht="15" customHeight="1" x14ac:dyDescent="0.25">
      <c r="A895" s="567"/>
      <c r="B895" s="644"/>
      <c r="C895" s="661"/>
      <c r="D895" s="661"/>
      <c r="E895" s="661"/>
      <c r="F895" s="661"/>
      <c r="G895" s="1163" t="s">
        <v>2290</v>
      </c>
      <c r="H895" s="1163"/>
      <c r="I895" s="1163"/>
      <c r="J895" s="1163"/>
      <c r="K895" s="1163"/>
      <c r="L895" s="1163"/>
      <c r="M895" s="1163"/>
      <c r="N895" s="1163"/>
      <c r="O895" s="590"/>
      <c r="P895" s="590"/>
      <c r="Q895" s="590"/>
      <c r="R895" s="590"/>
      <c r="S895" s="302"/>
      <c r="T895" s="302"/>
      <c r="U895" s="590"/>
      <c r="V895" s="303"/>
    </row>
    <row r="896" spans="1:22" ht="15" customHeight="1" x14ac:dyDescent="0.25">
      <c r="A896" s="567"/>
      <c r="B896" s="644"/>
      <c r="C896" s="661"/>
      <c r="D896" s="661"/>
      <c r="E896" s="661"/>
      <c r="F896" s="661"/>
      <c r="G896" s="596" t="s">
        <v>2399</v>
      </c>
      <c r="H896" s="596" t="s">
        <v>14902</v>
      </c>
      <c r="I896" s="590" t="s">
        <v>14966</v>
      </c>
      <c r="J896" s="302"/>
      <c r="K896" s="302">
        <f>0.25*0.15</f>
        <v>3.7499999999999999E-2</v>
      </c>
      <c r="L896" s="302"/>
      <c r="M896" s="590"/>
      <c r="N896" s="302"/>
      <c r="O896" s="590"/>
      <c r="P896" s="590"/>
      <c r="Q896" s="590"/>
      <c r="R896" s="590"/>
      <c r="S896" s="302"/>
      <c r="T896" s="302"/>
      <c r="U896" s="590"/>
      <c r="V896" s="303"/>
    </row>
    <row r="897" spans="1:22" ht="15" customHeight="1" x14ac:dyDescent="0.25">
      <c r="A897" s="567"/>
      <c r="B897" s="644"/>
      <c r="C897" s="661"/>
      <c r="D897" s="661"/>
      <c r="E897" s="661"/>
      <c r="F897" s="661"/>
      <c r="G897" s="1163" t="s">
        <v>14933</v>
      </c>
      <c r="H897" s="1163"/>
      <c r="I897" s="1163"/>
      <c r="J897" s="1163"/>
      <c r="K897" s="1163"/>
      <c r="L897" s="1163"/>
      <c r="M897" s="1163"/>
      <c r="N897" s="1163"/>
      <c r="O897" s="590"/>
      <c r="P897" s="590"/>
      <c r="Q897" s="590"/>
      <c r="R897" s="590"/>
      <c r="S897" s="302"/>
      <c r="T897" s="302"/>
      <c r="U897" s="590"/>
      <c r="V897" s="303"/>
    </row>
    <row r="898" spans="1:22" ht="15" customHeight="1" x14ac:dyDescent="0.25">
      <c r="A898" s="567"/>
      <c r="B898" s="644"/>
      <c r="C898" s="661"/>
      <c r="D898" s="661"/>
      <c r="E898" s="661"/>
      <c r="F898" s="661"/>
      <c r="G898" s="596" t="s">
        <v>14945</v>
      </c>
      <c r="H898" s="596" t="s">
        <v>14946</v>
      </c>
      <c r="I898" s="590" t="s">
        <v>14947</v>
      </c>
      <c r="J898" s="302"/>
      <c r="K898" s="302">
        <f>3*0.75</f>
        <v>2.25</v>
      </c>
      <c r="L898" s="302"/>
      <c r="M898" s="590"/>
      <c r="N898" s="302"/>
      <c r="O898" s="590"/>
      <c r="P898" s="590"/>
      <c r="Q898" s="590"/>
      <c r="R898" s="590"/>
      <c r="S898" s="302"/>
      <c r="T898" s="302"/>
      <c r="U898" s="590"/>
      <c r="V898" s="303"/>
    </row>
    <row r="899" spans="1:22" ht="15" customHeight="1" x14ac:dyDescent="0.25">
      <c r="A899" s="567"/>
      <c r="B899" s="644"/>
      <c r="C899" s="661"/>
      <c r="D899" s="661"/>
      <c r="E899" s="661"/>
      <c r="F899" s="661"/>
      <c r="G899" s="596" t="s">
        <v>14932</v>
      </c>
      <c r="H899" s="596" t="s">
        <v>17275</v>
      </c>
      <c r="I899" s="590" t="s">
        <v>17276</v>
      </c>
      <c r="J899" s="302"/>
      <c r="K899" s="302">
        <f>0.05*0.75</f>
        <v>3.7500000000000006E-2</v>
      </c>
      <c r="L899" s="302"/>
      <c r="M899" s="590"/>
      <c r="N899" s="302"/>
      <c r="O899" s="590"/>
      <c r="P899" s="590"/>
      <c r="Q899" s="590"/>
      <c r="R899" s="590"/>
      <c r="S899" s="302"/>
      <c r="T899" s="302"/>
      <c r="U899" s="590"/>
      <c r="V899" s="303"/>
    </row>
    <row r="900" spans="1:22" ht="15" customHeight="1" x14ac:dyDescent="0.25">
      <c r="A900" s="567"/>
      <c r="B900" s="644"/>
      <c r="C900" s="661"/>
      <c r="D900" s="661"/>
      <c r="E900" s="661"/>
      <c r="F900" s="661"/>
      <c r="G900" s="596" t="s">
        <v>17320</v>
      </c>
      <c r="H900" s="596" t="s">
        <v>17321</v>
      </c>
      <c r="I900" s="590" t="s">
        <v>17322</v>
      </c>
      <c r="J900" s="302"/>
      <c r="K900" s="302">
        <f>0.06*0.75</f>
        <v>4.4999999999999998E-2</v>
      </c>
      <c r="L900" s="302"/>
      <c r="M900" s="590"/>
      <c r="N900" s="302"/>
      <c r="O900" s="590"/>
      <c r="P900" s="590"/>
      <c r="Q900" s="590"/>
      <c r="R900" s="590"/>
      <c r="S900" s="302"/>
      <c r="T900" s="302"/>
      <c r="U900" s="590"/>
      <c r="V900" s="303"/>
    </row>
    <row r="901" spans="1:22" ht="15" customHeight="1" x14ac:dyDescent="0.25">
      <c r="A901" s="567"/>
      <c r="B901" s="644"/>
      <c r="C901" s="661"/>
      <c r="D901" s="661"/>
      <c r="E901" s="661"/>
      <c r="F901" s="661"/>
      <c r="G901" s="596" t="s">
        <v>14807</v>
      </c>
      <c r="H901" s="596" t="s">
        <v>17388</v>
      </c>
      <c r="I901" s="590" t="s">
        <v>17389</v>
      </c>
      <c r="J901" s="302"/>
      <c r="K901" s="302">
        <f>0.1*0.75</f>
        <v>7.5000000000000011E-2</v>
      </c>
      <c r="L901" s="302"/>
      <c r="M901" s="590"/>
      <c r="N901" s="302"/>
      <c r="O901" s="590"/>
      <c r="P901" s="590"/>
      <c r="Q901" s="590"/>
      <c r="R901" s="590"/>
      <c r="S901" s="302"/>
      <c r="T901" s="302"/>
      <c r="U901" s="590"/>
      <c r="V901" s="303"/>
    </row>
    <row r="902" spans="1:22" ht="15" customHeight="1" x14ac:dyDescent="0.25">
      <c r="A902" s="567"/>
      <c r="B902" s="644"/>
      <c r="C902" s="661"/>
      <c r="D902" s="661"/>
      <c r="E902" s="661"/>
      <c r="F902" s="661"/>
      <c r="G902" s="596" t="s">
        <v>17511</v>
      </c>
      <c r="H902" s="596" t="s">
        <v>17512</v>
      </c>
      <c r="I902" s="590" t="s">
        <v>17513</v>
      </c>
      <c r="J902" s="302"/>
      <c r="K902" s="302">
        <f>0.1*0.75</f>
        <v>7.5000000000000011E-2</v>
      </c>
      <c r="L902" s="302"/>
      <c r="M902" s="590"/>
      <c r="N902" s="302"/>
      <c r="O902" s="590"/>
      <c r="P902" s="590"/>
      <c r="Q902" s="590"/>
      <c r="R902" s="590"/>
      <c r="S902" s="302"/>
      <c r="T902" s="302"/>
      <c r="U902" s="590"/>
      <c r="V902" s="303"/>
    </row>
    <row r="903" spans="1:22" ht="15" customHeight="1" x14ac:dyDescent="0.25">
      <c r="A903" s="567"/>
      <c r="B903" s="644"/>
      <c r="C903" s="661"/>
      <c r="D903" s="661"/>
      <c r="E903" s="661"/>
      <c r="F903" s="661"/>
      <c r="G903" s="596" t="s">
        <v>14751</v>
      </c>
      <c r="H903" s="596" t="s">
        <v>17545</v>
      </c>
      <c r="I903" s="590" t="s">
        <v>17546</v>
      </c>
      <c r="J903" s="302"/>
      <c r="K903" s="302">
        <f>0.16*0.75</f>
        <v>0.12</v>
      </c>
      <c r="L903" s="302"/>
      <c r="M903" s="590"/>
      <c r="N903" s="302"/>
      <c r="O903" s="590"/>
      <c r="P903" s="590"/>
      <c r="Q903" s="590"/>
      <c r="R903" s="590"/>
      <c r="S903" s="302"/>
      <c r="T903" s="302"/>
      <c r="U903" s="590"/>
      <c r="V903" s="303"/>
    </row>
    <row r="904" spans="1:22" ht="15" customHeight="1" x14ac:dyDescent="0.25">
      <c r="A904" s="567"/>
      <c r="B904" s="644"/>
      <c r="C904" s="661"/>
      <c r="D904" s="661"/>
      <c r="E904" s="661"/>
      <c r="F904" s="661"/>
      <c r="G904" s="1164" t="s">
        <v>2262</v>
      </c>
      <c r="H904" s="1164"/>
      <c r="I904" s="1164"/>
      <c r="J904" s="1165">
        <f>0.2155*0.9*0.6</f>
        <v>0.11637</v>
      </c>
      <c r="K904" s="1166"/>
      <c r="L904" s="302"/>
      <c r="M904" s="590"/>
      <c r="N904" s="302"/>
      <c r="O904" s="590"/>
      <c r="P904" s="590"/>
      <c r="Q904" s="590"/>
      <c r="R904" s="590"/>
      <c r="S904" s="302"/>
      <c r="T904" s="302"/>
      <c r="U904" s="590"/>
      <c r="V904" s="303"/>
    </row>
    <row r="905" spans="1:22" ht="15" customHeight="1" x14ac:dyDescent="0.25">
      <c r="A905" s="567"/>
      <c r="B905" s="644"/>
      <c r="C905" s="661"/>
      <c r="D905" s="661"/>
      <c r="E905" s="661"/>
      <c r="F905" s="661"/>
      <c r="G905" s="590" t="s">
        <v>18500</v>
      </c>
      <c r="H905" s="590" t="s">
        <v>18501</v>
      </c>
      <c r="I905" s="590" t="s">
        <v>18502</v>
      </c>
      <c r="J905" s="302"/>
      <c r="K905" s="302">
        <f>0.15*0.9</f>
        <v>0.13500000000000001</v>
      </c>
      <c r="L905" s="302"/>
      <c r="M905" s="590"/>
      <c r="N905" s="302"/>
      <c r="O905" s="590"/>
      <c r="P905" s="590"/>
      <c r="Q905" s="590"/>
      <c r="R905" s="590"/>
      <c r="S905" s="302"/>
      <c r="T905" s="302"/>
      <c r="U905" s="590"/>
      <c r="V905" s="303"/>
    </row>
    <row r="906" spans="1:22" ht="15" customHeight="1" x14ac:dyDescent="0.25">
      <c r="A906" s="567"/>
      <c r="B906" s="644"/>
      <c r="C906" s="661"/>
      <c r="D906" s="661"/>
      <c r="E906" s="661"/>
      <c r="F906" s="661"/>
      <c r="G906" s="1163" t="s">
        <v>18518</v>
      </c>
      <c r="H906" s="1163"/>
      <c r="I906" s="1163"/>
      <c r="J906" s="1163"/>
      <c r="K906" s="1163"/>
      <c r="L906" s="1163"/>
      <c r="M906" s="1163"/>
      <c r="N906" s="1163"/>
      <c r="O906" s="290"/>
      <c r="P906" s="290"/>
      <c r="Q906" s="290"/>
      <c r="R906" s="290"/>
      <c r="S906" s="307"/>
      <c r="T906" s="307"/>
      <c r="U906" s="290"/>
      <c r="V906" s="305"/>
    </row>
    <row r="907" spans="1:22" ht="15" customHeight="1" x14ac:dyDescent="0.25">
      <c r="A907" s="567"/>
      <c r="B907" s="644"/>
      <c r="C907" s="661"/>
      <c r="D907" s="661"/>
      <c r="E907" s="661"/>
      <c r="F907" s="661"/>
      <c r="G907" s="290" t="s">
        <v>18876</v>
      </c>
      <c r="H907" s="290" t="s">
        <v>19621</v>
      </c>
      <c r="I907" s="290" t="s">
        <v>19622</v>
      </c>
      <c r="J907" s="307">
        <f>0.075*0.9</f>
        <v>6.7500000000000004E-2</v>
      </c>
      <c r="K907" s="307">
        <f>0.075*0.9</f>
        <v>6.7500000000000004E-2</v>
      </c>
      <c r="L907" s="307"/>
      <c r="M907" s="290"/>
      <c r="N907" s="307"/>
      <c r="O907" s="290"/>
      <c r="P907" s="290"/>
      <c r="Q907" s="290"/>
      <c r="R907" s="290"/>
      <c r="S907" s="307"/>
      <c r="T907" s="307"/>
      <c r="U907" s="290"/>
      <c r="V907" s="305"/>
    </row>
    <row r="908" spans="1:22" ht="15" customHeight="1" x14ac:dyDescent="0.25">
      <c r="A908" s="567"/>
      <c r="B908" s="644"/>
      <c r="C908" s="661"/>
      <c r="D908" s="661"/>
      <c r="E908" s="661"/>
      <c r="F908" s="661"/>
      <c r="G908" s="290" t="s">
        <v>19015</v>
      </c>
      <c r="H908" s="290" t="s">
        <v>19016</v>
      </c>
      <c r="I908" s="290" t="s">
        <v>19623</v>
      </c>
      <c r="J908" s="307"/>
      <c r="K908" s="307">
        <f>0.15*0.75</f>
        <v>0.11249999999999999</v>
      </c>
      <c r="L908" s="307"/>
      <c r="M908" s="290"/>
      <c r="N908" s="307"/>
      <c r="O908" s="290"/>
      <c r="P908" s="290"/>
      <c r="Q908" s="290"/>
      <c r="R908" s="290"/>
      <c r="S908" s="307"/>
      <c r="T908" s="307"/>
      <c r="U908" s="290"/>
      <c r="V908" s="305"/>
    </row>
    <row r="909" spans="1:22" ht="15" customHeight="1" x14ac:dyDescent="0.25">
      <c r="A909" s="567"/>
      <c r="B909" s="644"/>
      <c r="C909" s="661"/>
      <c r="D909" s="661"/>
      <c r="E909" s="661"/>
      <c r="F909" s="661"/>
      <c r="G909" s="1164" t="s">
        <v>2262</v>
      </c>
      <c r="H909" s="1164"/>
      <c r="I909" s="1164"/>
      <c r="J909" s="1165">
        <f>0.366*0.9*0.6</f>
        <v>0.19764000000000001</v>
      </c>
      <c r="K909" s="1166"/>
      <c r="L909" s="302"/>
      <c r="M909" s="590"/>
      <c r="N909" s="302"/>
      <c r="O909" s="290"/>
      <c r="P909" s="290"/>
      <c r="Q909" s="290"/>
      <c r="R909" s="290"/>
      <c r="S909" s="307"/>
      <c r="T909" s="307"/>
      <c r="U909" s="290"/>
      <c r="V909" s="305"/>
    </row>
    <row r="910" spans="1:22" ht="15" customHeight="1" x14ac:dyDescent="0.25">
      <c r="A910" s="776"/>
      <c r="B910" s="644"/>
      <c r="C910" s="661"/>
      <c r="D910" s="661"/>
      <c r="E910" s="661"/>
      <c r="F910" s="661"/>
      <c r="G910" s="1163" t="s">
        <v>19719</v>
      </c>
      <c r="H910" s="1163"/>
      <c r="I910" s="1163"/>
      <c r="J910" s="1163"/>
      <c r="K910" s="1163"/>
      <c r="L910" s="1163"/>
      <c r="M910" s="1163"/>
      <c r="N910" s="1163"/>
      <c r="O910" s="290"/>
      <c r="P910" s="290"/>
      <c r="Q910" s="290"/>
      <c r="R910" s="290"/>
      <c r="S910" s="786"/>
      <c r="T910" s="786"/>
      <c r="U910" s="290"/>
      <c r="V910" s="305"/>
    </row>
    <row r="911" spans="1:22" ht="15" customHeight="1" x14ac:dyDescent="0.25">
      <c r="A911" s="776"/>
      <c r="B911" s="644"/>
      <c r="C911" s="661"/>
      <c r="D911" s="661"/>
      <c r="E911" s="661"/>
      <c r="F911" s="661"/>
      <c r="G911" s="290" t="s">
        <v>19720</v>
      </c>
      <c r="H911" s="290" t="s">
        <v>19721</v>
      </c>
      <c r="I911" s="290" t="s">
        <v>19722</v>
      </c>
      <c r="J911" s="302"/>
      <c r="K911" s="302">
        <f>0.33*0.9</f>
        <v>0.29700000000000004</v>
      </c>
      <c r="L911" s="786"/>
      <c r="M911" s="290"/>
      <c r="N911" s="786"/>
      <c r="O911" s="290"/>
      <c r="P911" s="290"/>
      <c r="Q911" s="290"/>
      <c r="R911" s="290"/>
      <c r="S911" s="786"/>
      <c r="T911" s="786"/>
      <c r="U911" s="290"/>
      <c r="V911" s="305"/>
    </row>
    <row r="912" spans="1:22" ht="15" customHeight="1" x14ac:dyDescent="0.25">
      <c r="A912" s="776"/>
      <c r="B912" s="644"/>
      <c r="C912" s="661"/>
      <c r="D912" s="661"/>
      <c r="E912" s="661"/>
      <c r="F912" s="661"/>
      <c r="G912" s="290" t="s">
        <v>19723</v>
      </c>
      <c r="H912" s="290" t="s">
        <v>19724</v>
      </c>
      <c r="I912" s="290" t="s">
        <v>19725</v>
      </c>
      <c r="J912" s="302">
        <f>0.1*0.9</f>
        <v>9.0000000000000011E-2</v>
      </c>
      <c r="K912" s="302"/>
      <c r="L912" s="786"/>
      <c r="M912" s="290"/>
      <c r="N912" s="786"/>
      <c r="O912" s="290"/>
      <c r="P912" s="290"/>
      <c r="Q912" s="290"/>
      <c r="R912" s="290"/>
      <c r="S912" s="786"/>
      <c r="T912" s="786"/>
      <c r="U912" s="290"/>
      <c r="V912" s="305"/>
    </row>
    <row r="913" spans="1:22" ht="15" customHeight="1" x14ac:dyDescent="0.25">
      <c r="A913" s="795"/>
      <c r="B913" s="644"/>
      <c r="C913" s="661"/>
      <c r="D913" s="661"/>
      <c r="E913" s="661"/>
      <c r="F913" s="661"/>
      <c r="G913" s="290" t="s">
        <v>19777</v>
      </c>
      <c r="H913" s="290" t="s">
        <v>19778</v>
      </c>
      <c r="I913" s="290" t="s">
        <v>19779</v>
      </c>
      <c r="J913" s="802"/>
      <c r="K913" s="802">
        <f>0.05*0.75</f>
        <v>3.7500000000000006E-2</v>
      </c>
      <c r="L913" s="802"/>
      <c r="M913" s="290"/>
      <c r="N913" s="802"/>
      <c r="O913" s="290"/>
      <c r="P913" s="290"/>
      <c r="Q913" s="290"/>
      <c r="R913" s="290"/>
      <c r="S913" s="802"/>
      <c r="T913" s="802"/>
      <c r="U913" s="290"/>
      <c r="V913" s="305"/>
    </row>
    <row r="914" spans="1:22" ht="15" customHeight="1" thickBot="1" x14ac:dyDescent="0.3">
      <c r="A914" s="242"/>
      <c r="B914" s="648"/>
      <c r="C914" s="699"/>
      <c r="D914" s="699"/>
      <c r="E914" s="699"/>
      <c r="F914" s="699"/>
      <c r="G914" s="1066" t="s">
        <v>1199</v>
      </c>
      <c r="H914" s="1066"/>
      <c r="I914" s="1066"/>
      <c r="J914" s="630"/>
      <c r="K914" s="456">
        <f>SUM(J898:K913)</f>
        <v>3.7235100000000001</v>
      </c>
      <c r="L914" s="631"/>
      <c r="M914" s="632">
        <v>0.92</v>
      </c>
      <c r="N914" s="456">
        <f>K914/M914</f>
        <v>4.0472934782608698</v>
      </c>
      <c r="O914" s="1066" t="s">
        <v>1199</v>
      </c>
      <c r="P914" s="1066"/>
      <c r="Q914" s="1066"/>
      <c r="R914" s="554"/>
      <c r="S914" s="456">
        <f>SUM(S880:S901)</f>
        <v>0.19</v>
      </c>
      <c r="T914" s="631"/>
      <c r="U914" s="554">
        <v>0.92</v>
      </c>
      <c r="V914" s="633">
        <f>S914/U914</f>
        <v>0.20652173913043478</v>
      </c>
    </row>
    <row r="915" spans="1:22" ht="15" customHeight="1" x14ac:dyDescent="0.25">
      <c r="A915" s="566" t="str">
        <f>Итоговая!C352</f>
        <v xml:space="preserve">ПС 110/35/10 кВ Пушкино </v>
      </c>
      <c r="B915" s="563">
        <f>Итоговая!D352</f>
        <v>10</v>
      </c>
      <c r="C915" s="552"/>
      <c r="D915" s="552"/>
      <c r="E915" s="552"/>
      <c r="F915" s="552"/>
      <c r="G915" s="1168" t="s">
        <v>2290</v>
      </c>
      <c r="H915" s="1168"/>
      <c r="I915" s="1168"/>
      <c r="J915" s="1168"/>
      <c r="K915" s="1168"/>
      <c r="L915" s="1168"/>
      <c r="M915" s="1168"/>
      <c r="N915" s="1168"/>
      <c r="O915" s="427"/>
      <c r="P915" s="427"/>
      <c r="Q915" s="427"/>
      <c r="R915" s="427"/>
      <c r="S915" s="459"/>
      <c r="T915" s="460"/>
      <c r="U915" s="427"/>
      <c r="V915" s="634"/>
    </row>
    <row r="916" spans="1:22" ht="15" customHeight="1" x14ac:dyDescent="0.25">
      <c r="A916" s="567"/>
      <c r="B916" s="564"/>
      <c r="C916" s="553"/>
      <c r="D916" s="553"/>
      <c r="E916" s="553"/>
      <c r="F916" s="553"/>
      <c r="G916" s="596" t="s">
        <v>2358</v>
      </c>
      <c r="H916" s="596" t="s">
        <v>2359</v>
      </c>
      <c r="I916" s="596" t="s">
        <v>13385</v>
      </c>
      <c r="J916" s="286"/>
      <c r="K916" s="286">
        <f>0.03606*0.9</f>
        <v>3.2454000000000004E-2</v>
      </c>
      <c r="L916" s="302"/>
      <c r="M916" s="590"/>
      <c r="N916" s="302"/>
      <c r="O916" s="596"/>
      <c r="P916" s="596"/>
      <c r="Q916" s="596"/>
      <c r="R916" s="596"/>
      <c r="S916" s="286"/>
      <c r="T916" s="302"/>
      <c r="U916" s="596"/>
      <c r="V916" s="303"/>
    </row>
    <row r="917" spans="1:22" ht="15" customHeight="1" x14ac:dyDescent="0.25">
      <c r="A917" s="567"/>
      <c r="B917" s="564"/>
      <c r="C917" s="553"/>
      <c r="D917" s="553"/>
      <c r="E917" s="553"/>
      <c r="F917" s="553"/>
      <c r="G917" s="1163" t="s">
        <v>14933</v>
      </c>
      <c r="H917" s="1163"/>
      <c r="I917" s="1163"/>
      <c r="J917" s="1163"/>
      <c r="K917" s="1163"/>
      <c r="L917" s="1163"/>
      <c r="M917" s="1163"/>
      <c r="N917" s="1163"/>
      <c r="O917" s="596"/>
      <c r="P917" s="596"/>
      <c r="Q917" s="596"/>
      <c r="R917" s="596"/>
      <c r="S917" s="286"/>
      <c r="T917" s="302"/>
      <c r="U917" s="596"/>
      <c r="V917" s="303"/>
    </row>
    <row r="918" spans="1:22" ht="15" customHeight="1" x14ac:dyDescent="0.25">
      <c r="A918" s="567"/>
      <c r="B918" s="564"/>
      <c r="C918" s="553"/>
      <c r="D918" s="553"/>
      <c r="E918" s="553"/>
      <c r="F918" s="553"/>
      <c r="G918" s="596" t="s">
        <v>2358</v>
      </c>
      <c r="H918" s="596" t="s">
        <v>13426</v>
      </c>
      <c r="I918" s="596" t="s">
        <v>14994</v>
      </c>
      <c r="J918" s="286"/>
      <c r="K918" s="286">
        <f>0.231*0.9</f>
        <v>0.2079</v>
      </c>
      <c r="L918" s="302"/>
      <c r="M918" s="590"/>
      <c r="N918" s="302"/>
      <c r="O918" s="596"/>
      <c r="P918" s="596"/>
      <c r="Q918" s="596"/>
      <c r="R918" s="596"/>
      <c r="S918" s="286"/>
      <c r="T918" s="302"/>
      <c r="U918" s="596"/>
      <c r="V918" s="303"/>
    </row>
    <row r="919" spans="1:22" ht="15" customHeight="1" x14ac:dyDescent="0.25">
      <c r="A919" s="567"/>
      <c r="B919" s="564"/>
      <c r="C919" s="553"/>
      <c r="D919" s="553"/>
      <c r="E919" s="553"/>
      <c r="F919" s="553"/>
      <c r="G919" s="596" t="s">
        <v>17526</v>
      </c>
      <c r="H919" s="596" t="s">
        <v>17527</v>
      </c>
      <c r="I919" s="596" t="s">
        <v>17528</v>
      </c>
      <c r="J919" s="286"/>
      <c r="K919" s="286">
        <f>0.045*0.75</f>
        <v>3.3750000000000002E-2</v>
      </c>
      <c r="L919" s="302"/>
      <c r="M919" s="590"/>
      <c r="N919" s="302"/>
      <c r="O919" s="596"/>
      <c r="P919" s="596"/>
      <c r="Q919" s="596"/>
      <c r="R919" s="596"/>
      <c r="S919" s="286"/>
      <c r="T919" s="302"/>
      <c r="U919" s="596"/>
      <c r="V919" s="303"/>
    </row>
    <row r="920" spans="1:22" ht="15" customHeight="1" x14ac:dyDescent="0.25">
      <c r="A920" s="567"/>
      <c r="B920" s="564"/>
      <c r="C920" s="553"/>
      <c r="D920" s="553"/>
      <c r="E920" s="553"/>
      <c r="F920" s="553"/>
      <c r="G920" s="1163" t="s">
        <v>18518</v>
      </c>
      <c r="H920" s="1163"/>
      <c r="I920" s="1163"/>
      <c r="J920" s="1163"/>
      <c r="K920" s="1163"/>
      <c r="L920" s="1163"/>
      <c r="M920" s="1163"/>
      <c r="N920" s="1163"/>
      <c r="O920" s="600"/>
      <c r="P920" s="600"/>
      <c r="Q920" s="600"/>
      <c r="R920" s="600"/>
      <c r="S920" s="640"/>
      <c r="T920" s="307"/>
      <c r="U920" s="600"/>
      <c r="V920" s="305"/>
    </row>
    <row r="921" spans="1:22" ht="15" customHeight="1" x14ac:dyDescent="0.25">
      <c r="A921" s="567"/>
      <c r="B921" s="564"/>
      <c r="C921" s="553"/>
      <c r="D921" s="553"/>
      <c r="E921" s="553"/>
      <c r="F921" s="553"/>
      <c r="G921" s="1164" t="s">
        <v>2262</v>
      </c>
      <c r="H921" s="1164"/>
      <c r="I921" s="1164"/>
      <c r="J921" s="1165">
        <f>0.104*0.9*0.6</f>
        <v>5.6160000000000002E-2</v>
      </c>
      <c r="K921" s="1166"/>
      <c r="L921" s="302"/>
      <c r="M921" s="590"/>
      <c r="N921" s="302"/>
      <c r="O921" s="600"/>
      <c r="P921" s="600"/>
      <c r="Q921" s="600"/>
      <c r="R921" s="600"/>
      <c r="S921" s="640"/>
      <c r="T921" s="307"/>
      <c r="U921" s="600"/>
      <c r="V921" s="305"/>
    </row>
    <row r="922" spans="1:22" ht="15" customHeight="1" thickBot="1" x14ac:dyDescent="0.3">
      <c r="A922" s="242"/>
      <c r="B922" s="243"/>
      <c r="C922" s="244"/>
      <c r="D922" s="244"/>
      <c r="E922" s="244"/>
      <c r="F922" s="244"/>
      <c r="G922" s="1066" t="s">
        <v>1199</v>
      </c>
      <c r="H922" s="1066"/>
      <c r="I922" s="1066"/>
      <c r="J922" s="630"/>
      <c r="K922" s="456">
        <f>SUM(J918:K921)</f>
        <v>0.29781000000000002</v>
      </c>
      <c r="L922" s="631"/>
      <c r="M922" s="632">
        <v>0.92</v>
      </c>
      <c r="N922" s="456">
        <f>K922/M922</f>
        <v>0.32370652173913045</v>
      </c>
      <c r="O922" s="1066" t="s">
        <v>1199</v>
      </c>
      <c r="P922" s="1066"/>
      <c r="Q922" s="1066"/>
      <c r="R922" s="554"/>
      <c r="S922" s="456">
        <f>SUM(S915:S915)</f>
        <v>0</v>
      </c>
      <c r="T922" s="631"/>
      <c r="U922" s="554">
        <v>0.92</v>
      </c>
      <c r="V922" s="633">
        <f>S922/U922</f>
        <v>0</v>
      </c>
    </row>
    <row r="923" spans="1:22" ht="15" customHeight="1" x14ac:dyDescent="0.25">
      <c r="A923" s="1093" t="s">
        <v>1671</v>
      </c>
      <c r="B923" s="1023">
        <f>Итоговая!D356</f>
        <v>20</v>
      </c>
      <c r="C923" s="1024" t="str">
        <f>Итоговая!E356</f>
        <v>+</v>
      </c>
      <c r="D923" s="1024">
        <f>Итоговая!F356</f>
        <v>20</v>
      </c>
      <c r="E923" s="1024"/>
      <c r="F923" s="553"/>
      <c r="G923" s="1224" t="s">
        <v>1324</v>
      </c>
      <c r="H923" s="1224"/>
      <c r="I923" s="1224"/>
      <c r="J923" s="1224"/>
      <c r="K923" s="1224"/>
      <c r="L923" s="1224"/>
      <c r="M923" s="1224"/>
      <c r="N923" s="1224"/>
      <c r="O923" s="602"/>
      <c r="P923" s="602"/>
      <c r="Q923" s="602"/>
      <c r="R923" s="602"/>
      <c r="S923" s="700"/>
      <c r="T923" s="701"/>
      <c r="U923" s="602"/>
      <c r="V923" s="702"/>
    </row>
    <row r="924" spans="1:22" ht="15" customHeight="1" x14ac:dyDescent="0.25">
      <c r="A924" s="1093"/>
      <c r="B924" s="1023"/>
      <c r="C924" s="1024"/>
      <c r="D924" s="1024"/>
      <c r="E924" s="1024"/>
      <c r="F924" s="553"/>
      <c r="G924" s="596" t="s">
        <v>523</v>
      </c>
      <c r="H924" s="596" t="s">
        <v>524</v>
      </c>
      <c r="I924" s="596" t="s">
        <v>1581</v>
      </c>
      <c r="J924" s="286"/>
      <c r="K924" s="286">
        <v>2</v>
      </c>
      <c r="L924" s="302"/>
      <c r="M924" s="590"/>
      <c r="N924" s="302"/>
      <c r="O924" s="627"/>
      <c r="P924" s="627"/>
      <c r="Q924" s="627"/>
      <c r="R924" s="627"/>
      <c r="S924" s="286"/>
      <c r="T924" s="302"/>
      <c r="U924" s="596"/>
      <c r="V924" s="303"/>
    </row>
    <row r="925" spans="1:22" ht="15" customHeight="1" x14ac:dyDescent="0.25">
      <c r="A925" s="1093"/>
      <c r="B925" s="1023"/>
      <c r="C925" s="1024"/>
      <c r="D925" s="1024"/>
      <c r="E925" s="1024"/>
      <c r="F925" s="553"/>
      <c r="G925" s="1163" t="s">
        <v>2290</v>
      </c>
      <c r="H925" s="1163"/>
      <c r="I925" s="1163"/>
      <c r="J925" s="1163"/>
      <c r="K925" s="1163"/>
      <c r="L925" s="1163"/>
      <c r="M925" s="1163"/>
      <c r="N925" s="1163"/>
      <c r="O925" s="596"/>
      <c r="P925" s="596"/>
      <c r="Q925" s="596"/>
      <c r="R925" s="596"/>
      <c r="S925" s="286"/>
      <c r="T925" s="302"/>
      <c r="U925" s="596"/>
      <c r="V925" s="303"/>
    </row>
    <row r="926" spans="1:22" ht="15" customHeight="1" x14ac:dyDescent="0.25">
      <c r="A926" s="567"/>
      <c r="B926" s="1023"/>
      <c r="C926" s="1024"/>
      <c r="D926" s="1024"/>
      <c r="E926" s="1024"/>
      <c r="F926" s="553"/>
      <c r="G926" s="596" t="s">
        <v>2126</v>
      </c>
      <c r="H926" s="596" t="s">
        <v>2344</v>
      </c>
      <c r="I926" s="596" t="s">
        <v>13386</v>
      </c>
      <c r="J926" s="286"/>
      <c r="K926" s="286">
        <f>2.15-1.3-0.85</f>
        <v>0</v>
      </c>
      <c r="L926" s="302"/>
      <c r="M926" s="590"/>
      <c r="N926" s="302"/>
      <c r="O926" s="596"/>
      <c r="P926" s="596"/>
      <c r="Q926" s="596"/>
      <c r="R926" s="596"/>
      <c r="S926" s="286"/>
      <c r="T926" s="302"/>
      <c r="U926" s="596"/>
      <c r="V926" s="303"/>
    </row>
    <row r="927" spans="1:22" ht="15" customHeight="1" x14ac:dyDescent="0.25">
      <c r="A927" s="567"/>
      <c r="B927" s="1023"/>
      <c r="C927" s="1024"/>
      <c r="D927" s="1024"/>
      <c r="E927" s="1024"/>
      <c r="F927" s="553"/>
      <c r="G927" s="596" t="s">
        <v>14742</v>
      </c>
      <c r="H927" s="596" t="s">
        <v>14743</v>
      </c>
      <c r="I927" s="596" t="s">
        <v>14952</v>
      </c>
      <c r="J927" s="286"/>
      <c r="K927" s="286">
        <f>1.9318*0.9</f>
        <v>1.7386200000000001</v>
      </c>
      <c r="L927" s="302"/>
      <c r="M927" s="590"/>
      <c r="N927" s="302"/>
      <c r="O927" s="596"/>
      <c r="P927" s="596"/>
      <c r="Q927" s="596"/>
      <c r="R927" s="596"/>
      <c r="S927" s="286"/>
      <c r="T927" s="302"/>
      <c r="U927" s="596"/>
      <c r="V927" s="303"/>
    </row>
    <row r="928" spans="1:22" ht="15" customHeight="1" x14ac:dyDescent="0.25">
      <c r="A928" s="567"/>
      <c r="B928" s="564"/>
      <c r="C928" s="553"/>
      <c r="D928" s="553"/>
      <c r="E928" s="553"/>
      <c r="F928" s="553"/>
      <c r="G928" s="1163" t="s">
        <v>18518</v>
      </c>
      <c r="H928" s="1163"/>
      <c r="I928" s="1163"/>
      <c r="J928" s="1163"/>
      <c r="K928" s="1163"/>
      <c r="L928" s="1163"/>
      <c r="M928" s="1163"/>
      <c r="N928" s="1163"/>
      <c r="O928" s="600"/>
      <c r="P928" s="600"/>
      <c r="Q928" s="600"/>
      <c r="R928" s="600"/>
      <c r="S928" s="640"/>
      <c r="T928" s="307"/>
      <c r="U928" s="600"/>
      <c r="V928" s="305"/>
    </row>
    <row r="929" spans="1:22" ht="15" customHeight="1" x14ac:dyDescent="0.25">
      <c r="A929" s="567"/>
      <c r="B929" s="564"/>
      <c r="C929" s="553"/>
      <c r="D929" s="553"/>
      <c r="E929" s="553"/>
      <c r="F929" s="553"/>
      <c r="G929" s="600" t="s">
        <v>19013</v>
      </c>
      <c r="H929" s="600" t="s">
        <v>19014</v>
      </c>
      <c r="I929" s="600">
        <v>41101757</v>
      </c>
      <c r="J929" s="640"/>
      <c r="K929" s="640">
        <f>3*0.9</f>
        <v>2.7</v>
      </c>
      <c r="L929" s="307"/>
      <c r="M929" s="290"/>
      <c r="N929" s="307"/>
      <c r="O929" s="600"/>
      <c r="P929" s="600"/>
      <c r="Q929" s="600"/>
      <c r="R929" s="600"/>
      <c r="S929" s="640"/>
      <c r="T929" s="307"/>
      <c r="U929" s="600"/>
      <c r="V929" s="305"/>
    </row>
    <row r="930" spans="1:22" ht="15" customHeight="1" thickBot="1" x14ac:dyDescent="0.3">
      <c r="A930" s="567"/>
      <c r="B930" s="564"/>
      <c r="C930" s="553"/>
      <c r="D930" s="553"/>
      <c r="E930" s="553"/>
      <c r="F930" s="553"/>
      <c r="G930" s="1176" t="s">
        <v>1199</v>
      </c>
      <c r="H930" s="1176"/>
      <c r="I930" s="1176"/>
      <c r="J930" s="640"/>
      <c r="K930" s="656">
        <f>SUM(K929)</f>
        <v>2.7</v>
      </c>
      <c r="L930" s="307"/>
      <c r="M930" s="290">
        <v>0.92</v>
      </c>
      <c r="N930" s="656">
        <f>K930/M930</f>
        <v>2.9347826086956523</v>
      </c>
      <c r="O930" s="1176" t="s">
        <v>1199</v>
      </c>
      <c r="P930" s="1176"/>
      <c r="Q930" s="1176"/>
      <c r="R930" s="600"/>
      <c r="S930" s="656">
        <f>SUM(S923:S927)</f>
        <v>0</v>
      </c>
      <c r="T930" s="307"/>
      <c r="U930" s="600">
        <v>0.92</v>
      </c>
      <c r="V930" s="657">
        <f>S930/U930</f>
        <v>0</v>
      </c>
    </row>
    <row r="931" spans="1:22" ht="15" customHeight="1" x14ac:dyDescent="0.25">
      <c r="A931" s="1092" t="s">
        <v>1672</v>
      </c>
      <c r="B931" s="1072">
        <f>Итоговая!D357</f>
        <v>20</v>
      </c>
      <c r="C931" s="1067" t="str">
        <f>Итоговая!E357</f>
        <v>+</v>
      </c>
      <c r="D931" s="1067">
        <f>Итоговая!F357</f>
        <v>20</v>
      </c>
      <c r="E931" s="552"/>
      <c r="F931" s="552"/>
      <c r="G931" s="1168" t="s">
        <v>1288</v>
      </c>
      <c r="H931" s="1168"/>
      <c r="I931" s="1168"/>
      <c r="J931" s="1168"/>
      <c r="K931" s="1168"/>
      <c r="L931" s="1168"/>
      <c r="M931" s="1168"/>
      <c r="N931" s="1168"/>
      <c r="O931" s="1181"/>
      <c r="P931" s="1181"/>
      <c r="Q931" s="1181"/>
      <c r="R931" s="1181"/>
      <c r="S931" s="1181"/>
      <c r="T931" s="1181"/>
      <c r="U931" s="1181"/>
      <c r="V931" s="1182"/>
    </row>
    <row r="932" spans="1:22" ht="15" customHeight="1" x14ac:dyDescent="0.25">
      <c r="A932" s="1093"/>
      <c r="B932" s="1023"/>
      <c r="C932" s="1024"/>
      <c r="D932" s="1024"/>
      <c r="E932" s="553"/>
      <c r="F932" s="553"/>
      <c r="G932" s="627" t="s">
        <v>1074</v>
      </c>
      <c r="H932" s="627" t="s">
        <v>1075</v>
      </c>
      <c r="I932" s="627" t="s">
        <v>1076</v>
      </c>
      <c r="J932" s="628"/>
      <c r="K932" s="659">
        <v>0.11</v>
      </c>
      <c r="L932" s="646"/>
      <c r="M932" s="590"/>
      <c r="N932" s="302"/>
      <c r="O932" s="590"/>
      <c r="P932" s="590"/>
      <c r="Q932" s="590"/>
      <c r="R932" s="590"/>
      <c r="S932" s="646"/>
      <c r="T932" s="646"/>
      <c r="U932" s="590"/>
      <c r="V932" s="303"/>
    </row>
    <row r="933" spans="1:22" ht="15" customHeight="1" x14ac:dyDescent="0.25">
      <c r="A933" s="1093"/>
      <c r="B933" s="1023"/>
      <c r="C933" s="1024"/>
      <c r="D933" s="1024"/>
      <c r="E933" s="553"/>
      <c r="F933" s="553"/>
      <c r="G933" s="627" t="s">
        <v>1077</v>
      </c>
      <c r="H933" s="627" t="s">
        <v>1078</v>
      </c>
      <c r="I933" s="627" t="s">
        <v>1079</v>
      </c>
      <c r="J933" s="628"/>
      <c r="K933" s="628">
        <v>0.11</v>
      </c>
      <c r="L933" s="302"/>
      <c r="M933" s="590"/>
      <c r="N933" s="302"/>
      <c r="O933" s="590"/>
      <c r="P933" s="590"/>
      <c r="Q933" s="590"/>
      <c r="R933" s="590"/>
      <c r="S933" s="302"/>
      <c r="T933" s="302"/>
      <c r="U933" s="590"/>
      <c r="V933" s="303"/>
    </row>
    <row r="934" spans="1:22" ht="15" customHeight="1" x14ac:dyDescent="0.25">
      <c r="A934" s="567"/>
      <c r="B934" s="564"/>
      <c r="C934" s="553"/>
      <c r="D934" s="553"/>
      <c r="E934" s="553"/>
      <c r="F934" s="553"/>
      <c r="G934" s="1163" t="s">
        <v>18518</v>
      </c>
      <c r="H934" s="1163"/>
      <c r="I934" s="1163"/>
      <c r="J934" s="1163"/>
      <c r="K934" s="1163"/>
      <c r="L934" s="1163"/>
      <c r="M934" s="1163"/>
      <c r="N934" s="1163"/>
      <c r="O934" s="290"/>
      <c r="P934" s="290"/>
      <c r="Q934" s="290"/>
      <c r="R934" s="290"/>
      <c r="S934" s="307"/>
      <c r="T934" s="307"/>
      <c r="U934" s="290"/>
      <c r="V934" s="305"/>
    </row>
    <row r="935" spans="1:22" ht="15" customHeight="1" x14ac:dyDescent="0.25">
      <c r="A935" s="567"/>
      <c r="B935" s="564"/>
      <c r="C935" s="553"/>
      <c r="D935" s="553"/>
      <c r="E935" s="553"/>
      <c r="F935" s="553"/>
      <c r="G935" s="673" t="s">
        <v>19013</v>
      </c>
      <c r="H935" s="673" t="s">
        <v>19014</v>
      </c>
      <c r="I935" s="673" t="s">
        <v>19559</v>
      </c>
      <c r="J935" s="674">
        <f>1.5*0.9</f>
        <v>1.35</v>
      </c>
      <c r="K935" s="674">
        <f>1.5*0.9</f>
        <v>1.35</v>
      </c>
      <c r="L935" s="307"/>
      <c r="M935" s="290"/>
      <c r="N935" s="307"/>
      <c r="O935" s="290"/>
      <c r="P935" s="290"/>
      <c r="Q935" s="290"/>
      <c r="R935" s="290"/>
      <c r="S935" s="307"/>
      <c r="T935" s="307"/>
      <c r="U935" s="290"/>
      <c r="V935" s="305"/>
    </row>
    <row r="936" spans="1:22" ht="15" customHeight="1" thickBot="1" x14ac:dyDescent="0.3">
      <c r="A936" s="242"/>
      <c r="B936" s="243"/>
      <c r="C936" s="244"/>
      <c r="D936" s="244"/>
      <c r="E936" s="244"/>
      <c r="F936" s="244"/>
      <c r="G936" s="1066" t="s">
        <v>1199</v>
      </c>
      <c r="H936" s="1066"/>
      <c r="I936" s="1066"/>
      <c r="J936" s="630"/>
      <c r="K936" s="456">
        <f>SUM(J935:K935)</f>
        <v>2.7</v>
      </c>
      <c r="L936" s="631"/>
      <c r="M936" s="632">
        <v>0.92</v>
      </c>
      <c r="N936" s="456">
        <f>K936/M936</f>
        <v>2.9347826086956523</v>
      </c>
      <c r="O936" s="1066" t="s">
        <v>1199</v>
      </c>
      <c r="P936" s="1066"/>
      <c r="Q936" s="1066"/>
      <c r="R936" s="554"/>
      <c r="S936" s="456">
        <f>SUM(0)</f>
        <v>0</v>
      </c>
      <c r="T936" s="631"/>
      <c r="U936" s="554">
        <v>0.92</v>
      </c>
      <c r="V936" s="633">
        <f>S936/U936</f>
        <v>0</v>
      </c>
    </row>
    <row r="937" spans="1:22" ht="15" customHeight="1" x14ac:dyDescent="0.25">
      <c r="A937" s="1092" t="str">
        <f>Итоговая!C358</f>
        <v xml:space="preserve">ПС 110/35/10 кВ Южная </v>
      </c>
      <c r="B937" s="1072">
        <f>Итоговая!D358</f>
        <v>40</v>
      </c>
      <c r="C937" s="1067" t="str">
        <f>Итоговая!E358</f>
        <v>+</v>
      </c>
      <c r="D937" s="1067">
        <f>Итоговая!F358</f>
        <v>40</v>
      </c>
      <c r="E937" s="552"/>
      <c r="F937" s="552"/>
      <c r="G937" s="1168" t="s">
        <v>1290</v>
      </c>
      <c r="H937" s="1168"/>
      <c r="I937" s="1168"/>
      <c r="J937" s="1168"/>
      <c r="K937" s="1168"/>
      <c r="L937" s="1168"/>
      <c r="M937" s="1168"/>
      <c r="N937" s="1168"/>
      <c r="O937" s="1163" t="s">
        <v>2011</v>
      </c>
      <c r="P937" s="1163"/>
      <c r="Q937" s="1163"/>
      <c r="R937" s="1163"/>
      <c r="S937" s="1163"/>
      <c r="T937" s="1163"/>
      <c r="U937" s="1163"/>
      <c r="V937" s="1198"/>
    </row>
    <row r="938" spans="1:22" ht="15" customHeight="1" x14ac:dyDescent="0.25">
      <c r="A938" s="1093"/>
      <c r="B938" s="1023"/>
      <c r="C938" s="1024"/>
      <c r="D938" s="1024"/>
      <c r="E938" s="553"/>
      <c r="F938" s="553"/>
      <c r="G938" s="627" t="s">
        <v>1087</v>
      </c>
      <c r="H938" s="627" t="s">
        <v>1088</v>
      </c>
      <c r="I938" s="627" t="s">
        <v>1089</v>
      </c>
      <c r="J938" s="628"/>
      <c r="K938" s="628">
        <v>0.4</v>
      </c>
      <c r="L938" s="302"/>
      <c r="M938" s="590"/>
      <c r="N938" s="302"/>
      <c r="O938" s="627" t="s">
        <v>1104</v>
      </c>
      <c r="P938" s="627" t="s">
        <v>1105</v>
      </c>
      <c r="Q938" s="627" t="s">
        <v>2171</v>
      </c>
      <c r="R938" s="627"/>
      <c r="S938" s="628">
        <v>0.3952</v>
      </c>
      <c r="T938" s="302"/>
      <c r="U938" s="590"/>
      <c r="V938" s="303"/>
    </row>
    <row r="939" spans="1:22" ht="15" customHeight="1" x14ac:dyDescent="0.25">
      <c r="A939" s="1093"/>
      <c r="B939" s="1023"/>
      <c r="C939" s="1024"/>
      <c r="D939" s="1024"/>
      <c r="E939" s="553"/>
      <c r="F939" s="553"/>
      <c r="G939" s="1163" t="s">
        <v>1288</v>
      </c>
      <c r="H939" s="1163"/>
      <c r="I939" s="1163"/>
      <c r="J939" s="1163"/>
      <c r="K939" s="1163"/>
      <c r="L939" s="1163"/>
      <c r="M939" s="1163"/>
      <c r="N939" s="1163"/>
      <c r="O939" s="543" t="s">
        <v>2003</v>
      </c>
      <c r="P939" s="543" t="s">
        <v>2004</v>
      </c>
      <c r="Q939" s="627" t="s">
        <v>2172</v>
      </c>
      <c r="R939" s="627"/>
      <c r="S939" s="205">
        <v>0.1</v>
      </c>
      <c r="T939" s="519"/>
      <c r="U939" s="627"/>
      <c r="V939" s="303"/>
    </row>
    <row r="940" spans="1:22" ht="15" customHeight="1" x14ac:dyDescent="0.25">
      <c r="A940" s="567"/>
      <c r="B940" s="644"/>
      <c r="C940" s="661"/>
      <c r="D940" s="661"/>
      <c r="E940" s="661"/>
      <c r="F940" s="661"/>
      <c r="G940" s="627" t="s">
        <v>1080</v>
      </c>
      <c r="H940" s="627" t="s">
        <v>1081</v>
      </c>
      <c r="I940" s="627" t="s">
        <v>1082</v>
      </c>
      <c r="J940" s="628"/>
      <c r="K940" s="628">
        <v>0.21</v>
      </c>
      <c r="L940" s="302"/>
      <c r="M940" s="590"/>
      <c r="N940" s="302"/>
      <c r="O940" s="1163" t="s">
        <v>2290</v>
      </c>
      <c r="P940" s="1163"/>
      <c r="Q940" s="1163"/>
      <c r="R940" s="1163"/>
      <c r="S940" s="1163"/>
      <c r="T940" s="1163"/>
      <c r="U940" s="1163"/>
      <c r="V940" s="1198"/>
    </row>
    <row r="941" spans="1:22" ht="15" customHeight="1" x14ac:dyDescent="0.25">
      <c r="A941" s="567"/>
      <c r="B941" s="644"/>
      <c r="C941" s="661"/>
      <c r="D941" s="661"/>
      <c r="E941" s="661"/>
      <c r="F941" s="661"/>
      <c r="G941" s="1163" t="s">
        <v>1287</v>
      </c>
      <c r="H941" s="1163"/>
      <c r="I941" s="1163"/>
      <c r="J941" s="1163"/>
      <c r="K941" s="1163"/>
      <c r="L941" s="1163"/>
      <c r="M941" s="1163"/>
      <c r="N941" s="1163"/>
      <c r="O941" s="596" t="s">
        <v>2139</v>
      </c>
      <c r="P941" s="596" t="s">
        <v>2140</v>
      </c>
      <c r="Q941" s="627" t="s">
        <v>14772</v>
      </c>
      <c r="R941" s="627"/>
      <c r="S941" s="286">
        <v>0.1</v>
      </c>
      <c r="T941" s="302"/>
      <c r="U941" s="590"/>
      <c r="V941" s="303"/>
    </row>
    <row r="942" spans="1:22" ht="15" customHeight="1" x14ac:dyDescent="0.25">
      <c r="A942" s="567"/>
      <c r="B942" s="644"/>
      <c r="C942" s="661"/>
      <c r="D942" s="661"/>
      <c r="E942" s="661"/>
      <c r="F942" s="661"/>
      <c r="G942" s="627" t="s">
        <v>1090</v>
      </c>
      <c r="H942" s="627" t="s">
        <v>1091</v>
      </c>
      <c r="I942" s="627" t="s">
        <v>798</v>
      </c>
      <c r="J942" s="628"/>
      <c r="K942" s="628">
        <v>3.5000000000000003E-2</v>
      </c>
      <c r="L942" s="302"/>
      <c r="M942" s="590"/>
      <c r="N942" s="302"/>
      <c r="O942" s="1163" t="s">
        <v>14933</v>
      </c>
      <c r="P942" s="1163"/>
      <c r="Q942" s="1163"/>
      <c r="R942" s="1163"/>
      <c r="S942" s="1163"/>
      <c r="T942" s="1163"/>
      <c r="U942" s="1163"/>
      <c r="V942" s="1198"/>
    </row>
    <row r="943" spans="1:22" ht="15" customHeight="1" x14ac:dyDescent="0.25">
      <c r="A943" s="567"/>
      <c r="B943" s="644"/>
      <c r="C943" s="661"/>
      <c r="D943" s="661"/>
      <c r="E943" s="661"/>
      <c r="F943" s="661"/>
      <c r="G943" s="627" t="s">
        <v>1095</v>
      </c>
      <c r="H943" s="627" t="s">
        <v>1096</v>
      </c>
      <c r="I943" s="627" t="s">
        <v>1097</v>
      </c>
      <c r="J943" s="628"/>
      <c r="K943" s="628">
        <v>1.6E-2</v>
      </c>
      <c r="L943" s="302"/>
      <c r="M943" s="590"/>
      <c r="N943" s="302"/>
      <c r="O943" s="596" t="s">
        <v>2097</v>
      </c>
      <c r="P943" s="596" t="s">
        <v>2186</v>
      </c>
      <c r="Q943" s="627" t="s">
        <v>17445</v>
      </c>
      <c r="R943" s="627"/>
      <c r="S943" s="628">
        <f>0.45*0.75</f>
        <v>0.33750000000000002</v>
      </c>
      <c r="T943" s="302"/>
      <c r="U943" s="590"/>
      <c r="V943" s="303"/>
    </row>
    <row r="944" spans="1:22" ht="15" customHeight="1" x14ac:dyDescent="0.25">
      <c r="A944" s="567"/>
      <c r="B944" s="644"/>
      <c r="C944" s="661"/>
      <c r="D944" s="661"/>
      <c r="E944" s="661"/>
      <c r="F944" s="661"/>
      <c r="G944" s="627" t="s">
        <v>1083</v>
      </c>
      <c r="H944" s="627" t="s">
        <v>1084</v>
      </c>
      <c r="I944" s="627" t="s">
        <v>1085</v>
      </c>
      <c r="J944" s="628"/>
      <c r="K944" s="628">
        <v>0.1</v>
      </c>
      <c r="L944" s="302"/>
      <c r="M944" s="590"/>
      <c r="N944" s="302"/>
      <c r="O944" s="1163" t="s">
        <v>18518</v>
      </c>
      <c r="P944" s="1163"/>
      <c r="Q944" s="1163"/>
      <c r="R944" s="1163"/>
      <c r="S944" s="1163"/>
      <c r="T944" s="1163"/>
      <c r="U944" s="1163"/>
      <c r="V944" s="1163"/>
    </row>
    <row r="945" spans="1:22" ht="15" customHeight="1" x14ac:dyDescent="0.25">
      <c r="A945" s="567"/>
      <c r="B945" s="644"/>
      <c r="C945" s="661"/>
      <c r="D945" s="661"/>
      <c r="E945" s="661"/>
      <c r="F945" s="661"/>
      <c r="G945" s="1163" t="s">
        <v>1286</v>
      </c>
      <c r="H945" s="1163"/>
      <c r="I945" s="1163"/>
      <c r="J945" s="1163"/>
      <c r="K945" s="1163"/>
      <c r="L945" s="1163"/>
      <c r="M945" s="1163"/>
      <c r="N945" s="1163"/>
      <c r="O945" s="596" t="s">
        <v>1609</v>
      </c>
      <c r="P945" s="596" t="s">
        <v>1817</v>
      </c>
      <c r="Q945" s="627" t="s">
        <v>1818</v>
      </c>
      <c r="R945" s="627"/>
      <c r="S945" s="628">
        <v>0.7</v>
      </c>
      <c r="T945" s="302"/>
      <c r="U945" s="627"/>
      <c r="V945" s="302"/>
    </row>
    <row r="946" spans="1:22" ht="15" customHeight="1" x14ac:dyDescent="0.25">
      <c r="A946" s="567"/>
      <c r="B946" s="644"/>
      <c r="C946" s="661"/>
      <c r="D946" s="661"/>
      <c r="E946" s="661"/>
      <c r="F946" s="661"/>
      <c r="G946" s="596"/>
      <c r="H946" s="596"/>
      <c r="I946" s="627"/>
      <c r="J946" s="628"/>
      <c r="K946" s="628"/>
      <c r="L946" s="302"/>
      <c r="M946" s="590"/>
      <c r="N946" s="302"/>
      <c r="O946" s="596" t="s">
        <v>1609</v>
      </c>
      <c r="P946" s="596" t="s">
        <v>1815</v>
      </c>
      <c r="Q946" s="627" t="s">
        <v>1816</v>
      </c>
      <c r="R946" s="627"/>
      <c r="S946" s="628">
        <v>0.7</v>
      </c>
      <c r="T946" s="302"/>
      <c r="U946" s="627"/>
      <c r="V946" s="302"/>
    </row>
    <row r="947" spans="1:22" ht="15" customHeight="1" x14ac:dyDescent="0.25">
      <c r="A947" s="567"/>
      <c r="B947" s="644"/>
      <c r="C947" s="661"/>
      <c r="D947" s="661"/>
      <c r="E947" s="661"/>
      <c r="F947" s="661"/>
      <c r="G947" s="596" t="s">
        <v>1101</v>
      </c>
      <c r="H947" s="596" t="s">
        <v>1102</v>
      </c>
      <c r="I947" s="627" t="s">
        <v>1103</v>
      </c>
      <c r="J947" s="628"/>
      <c r="K947" s="628">
        <v>0.16</v>
      </c>
      <c r="L947" s="302"/>
      <c r="M947" s="590"/>
      <c r="N947" s="302"/>
      <c r="O947" s="596" t="s">
        <v>1092</v>
      </c>
      <c r="P947" s="596" t="s">
        <v>1093</v>
      </c>
      <c r="Q947" s="627" t="s">
        <v>1094</v>
      </c>
      <c r="R947" s="627"/>
      <c r="S947" s="628">
        <v>0.06</v>
      </c>
      <c r="T947" s="302"/>
      <c r="U947" s="590"/>
      <c r="V947" s="303"/>
    </row>
    <row r="948" spans="1:22" ht="15" customHeight="1" x14ac:dyDescent="0.25">
      <c r="A948" s="567"/>
      <c r="B948" s="644"/>
      <c r="C948" s="661"/>
      <c r="D948" s="661"/>
      <c r="E948" s="661"/>
      <c r="F948" s="661"/>
      <c r="G948" s="596" t="s">
        <v>1098</v>
      </c>
      <c r="H948" s="596" t="s">
        <v>1099</v>
      </c>
      <c r="I948" s="627" t="s">
        <v>1100</v>
      </c>
      <c r="J948" s="628"/>
      <c r="K948" s="286">
        <v>6.5000000000000002E-2</v>
      </c>
      <c r="L948" s="302"/>
      <c r="M948" s="590"/>
      <c r="N948" s="302"/>
      <c r="O948" s="596" t="s">
        <v>46</v>
      </c>
      <c r="P948" s="596" t="s">
        <v>47</v>
      </c>
      <c r="Q948" s="596" t="s">
        <v>1444</v>
      </c>
      <c r="R948" s="596"/>
      <c r="S948" s="286">
        <v>2.5000000000000001E-2</v>
      </c>
      <c r="T948" s="302"/>
      <c r="U948" s="590"/>
      <c r="V948" s="303"/>
    </row>
    <row r="949" spans="1:22" ht="15" customHeight="1" x14ac:dyDescent="0.25">
      <c r="A949" s="567"/>
      <c r="B949" s="644"/>
      <c r="C949" s="661"/>
      <c r="D949" s="661"/>
      <c r="E949" s="661"/>
      <c r="F949" s="661"/>
      <c r="G949" s="1163" t="s">
        <v>1324</v>
      </c>
      <c r="H949" s="1163"/>
      <c r="I949" s="1163"/>
      <c r="J949" s="1163"/>
      <c r="K949" s="1163"/>
      <c r="L949" s="1163"/>
      <c r="M949" s="1163"/>
      <c r="N949" s="1163"/>
      <c r="O949" s="590"/>
      <c r="P949" s="590"/>
      <c r="Q949" s="590"/>
      <c r="R949" s="590"/>
      <c r="S949" s="302"/>
      <c r="T949" s="302"/>
      <c r="U949" s="590"/>
      <c r="V949" s="303"/>
    </row>
    <row r="950" spans="1:22" ht="15" customHeight="1" x14ac:dyDescent="0.25">
      <c r="A950" s="567"/>
      <c r="B950" s="644"/>
      <c r="C950" s="661"/>
      <c r="D950" s="661"/>
      <c r="E950" s="661"/>
      <c r="F950" s="661"/>
      <c r="G950" s="596"/>
      <c r="H950" s="596"/>
      <c r="I950" s="596"/>
      <c r="J950" s="286"/>
      <c r="K950" s="286"/>
      <c r="L950" s="302"/>
      <c r="M950" s="590"/>
      <c r="N950" s="286"/>
      <c r="O950" s="590"/>
      <c r="P950" s="590"/>
      <c r="Q950" s="590"/>
      <c r="R950" s="590"/>
      <c r="S950" s="302"/>
      <c r="T950" s="302"/>
      <c r="U950" s="590"/>
      <c r="V950" s="303"/>
    </row>
    <row r="951" spans="1:22" ht="15" customHeight="1" x14ac:dyDescent="0.25">
      <c r="A951" s="567"/>
      <c r="B951" s="644"/>
      <c r="C951" s="661"/>
      <c r="D951" s="661"/>
      <c r="E951" s="661"/>
      <c r="F951" s="661"/>
      <c r="G951" s="596" t="s">
        <v>544</v>
      </c>
      <c r="H951" s="596" t="s">
        <v>0</v>
      </c>
      <c r="I951" s="596" t="s">
        <v>1583</v>
      </c>
      <c r="J951" s="286"/>
      <c r="K951" s="286">
        <v>0.55000000000000004</v>
      </c>
      <c r="L951" s="302"/>
      <c r="M951" s="590"/>
      <c r="N951" s="286"/>
      <c r="O951" s="590"/>
      <c r="P951" s="590"/>
      <c r="Q951" s="590"/>
      <c r="R951" s="590"/>
      <c r="S951" s="302"/>
      <c r="T951" s="302"/>
      <c r="U951" s="590"/>
      <c r="V951" s="303"/>
    </row>
    <row r="952" spans="1:22" ht="15" customHeight="1" x14ac:dyDescent="0.25">
      <c r="A952" s="567"/>
      <c r="B952" s="644"/>
      <c r="C952" s="661"/>
      <c r="D952" s="661"/>
      <c r="E952" s="661"/>
      <c r="F952" s="661"/>
      <c r="G952" s="1163" t="s">
        <v>1645</v>
      </c>
      <c r="H952" s="1163"/>
      <c r="I952" s="1163"/>
      <c r="J952" s="1163"/>
      <c r="K952" s="1163"/>
      <c r="L952" s="1163"/>
      <c r="M952" s="1163"/>
      <c r="N952" s="1163"/>
      <c r="O952" s="590"/>
      <c r="P952" s="590"/>
      <c r="Q952" s="590"/>
      <c r="R952" s="590"/>
      <c r="S952" s="302"/>
      <c r="T952" s="302"/>
      <c r="U952" s="590"/>
      <c r="V952" s="303"/>
    </row>
    <row r="953" spans="1:22" ht="15" customHeight="1" x14ac:dyDescent="0.25">
      <c r="A953" s="567"/>
      <c r="B953" s="644"/>
      <c r="C953" s="661"/>
      <c r="D953" s="661"/>
      <c r="E953" s="661"/>
      <c r="F953" s="661"/>
      <c r="G953" s="627" t="s">
        <v>1705</v>
      </c>
      <c r="H953" s="627" t="s">
        <v>1706</v>
      </c>
      <c r="I953" s="596" t="s">
        <v>1738</v>
      </c>
      <c r="J953" s="286"/>
      <c r="K953" s="628">
        <v>0.27654000000000001</v>
      </c>
      <c r="L953" s="302"/>
      <c r="M953" s="590"/>
      <c r="N953" s="302"/>
      <c r="O953" s="590"/>
      <c r="P953" s="590"/>
      <c r="Q953" s="590"/>
      <c r="R953" s="590"/>
      <c r="S953" s="302"/>
      <c r="T953" s="302"/>
      <c r="U953" s="590"/>
      <c r="V953" s="303"/>
    </row>
    <row r="954" spans="1:22" ht="15" customHeight="1" x14ac:dyDescent="0.25">
      <c r="A954" s="567"/>
      <c r="B954" s="644"/>
      <c r="C954" s="661"/>
      <c r="D954" s="661"/>
      <c r="E954" s="661"/>
      <c r="F954" s="661"/>
      <c r="G954" s="627" t="s">
        <v>1707</v>
      </c>
      <c r="H954" s="627" t="s">
        <v>1708</v>
      </c>
      <c r="I954" s="596" t="s">
        <v>1739</v>
      </c>
      <c r="J954" s="286"/>
      <c r="K954" s="286">
        <v>0.1</v>
      </c>
      <c r="L954" s="302"/>
      <c r="M954" s="590"/>
      <c r="N954" s="302"/>
      <c r="O954" s="590"/>
      <c r="P954" s="590"/>
      <c r="Q954" s="590"/>
      <c r="R954" s="590"/>
      <c r="S954" s="302"/>
      <c r="T954" s="302"/>
      <c r="U954" s="590"/>
      <c r="V954" s="303"/>
    </row>
    <row r="955" spans="1:22" ht="15" customHeight="1" x14ac:dyDescent="0.25">
      <c r="A955" s="567"/>
      <c r="B955" s="644"/>
      <c r="C955" s="661"/>
      <c r="D955" s="661"/>
      <c r="E955" s="661"/>
      <c r="F955" s="661"/>
      <c r="G955" s="596" t="s">
        <v>1609</v>
      </c>
      <c r="H955" s="596" t="s">
        <v>1815</v>
      </c>
      <c r="I955" s="627" t="s">
        <v>1816</v>
      </c>
      <c r="J955" s="628"/>
      <c r="K955" s="628">
        <v>0.7</v>
      </c>
      <c r="L955" s="302"/>
      <c r="M955" s="590"/>
      <c r="N955" s="302"/>
      <c r="O955" s="590"/>
      <c r="P955" s="590"/>
      <c r="Q955" s="590"/>
      <c r="R955" s="590"/>
      <c r="S955" s="302"/>
      <c r="T955" s="302"/>
      <c r="U955" s="590"/>
      <c r="V955" s="303"/>
    </row>
    <row r="956" spans="1:22" ht="15" customHeight="1" x14ac:dyDescent="0.25">
      <c r="A956" s="567"/>
      <c r="B956" s="644"/>
      <c r="C956" s="661"/>
      <c r="D956" s="661"/>
      <c r="E956" s="661"/>
      <c r="F956" s="661"/>
      <c r="G956" s="596" t="s">
        <v>1609</v>
      </c>
      <c r="H956" s="596" t="s">
        <v>1817</v>
      </c>
      <c r="I956" s="627" t="s">
        <v>1818</v>
      </c>
      <c r="J956" s="628"/>
      <c r="K956" s="628">
        <v>0.7</v>
      </c>
      <c r="L956" s="302"/>
      <c r="M956" s="590"/>
      <c r="N956" s="302"/>
      <c r="O956" s="590"/>
      <c r="P956" s="590"/>
      <c r="Q956" s="590"/>
      <c r="R956" s="590"/>
      <c r="S956" s="302"/>
      <c r="T956" s="302"/>
      <c r="U956" s="590"/>
      <c r="V956" s="303"/>
    </row>
    <row r="957" spans="1:22" ht="15" customHeight="1" x14ac:dyDescent="0.25">
      <c r="A957" s="567"/>
      <c r="B957" s="644"/>
      <c r="C957" s="661"/>
      <c r="D957" s="661"/>
      <c r="E957" s="661"/>
      <c r="F957" s="661"/>
      <c r="G957" s="627" t="s">
        <v>1707</v>
      </c>
      <c r="H957" s="627" t="s">
        <v>1755</v>
      </c>
      <c r="I957" s="627" t="s">
        <v>1863</v>
      </c>
      <c r="J957" s="628"/>
      <c r="K957" s="628">
        <v>0.55000000000000004</v>
      </c>
      <c r="L957" s="302"/>
      <c r="M957" s="590"/>
      <c r="N957" s="302"/>
      <c r="O957" s="590"/>
      <c r="P957" s="590"/>
      <c r="Q957" s="590"/>
      <c r="R957" s="590"/>
      <c r="S957" s="302"/>
      <c r="T957" s="302"/>
      <c r="U957" s="590"/>
      <c r="V957" s="303"/>
    </row>
    <row r="958" spans="1:22" ht="15" customHeight="1" x14ac:dyDescent="0.25">
      <c r="A958" s="567"/>
      <c r="B958" s="644"/>
      <c r="C958" s="661"/>
      <c r="D958" s="661"/>
      <c r="E958" s="661"/>
      <c r="F958" s="661"/>
      <c r="G958" s="543" t="s">
        <v>1603</v>
      </c>
      <c r="H958" s="543" t="s">
        <v>1869</v>
      </c>
      <c r="I958" s="627" t="s">
        <v>1870</v>
      </c>
      <c r="J958" s="628"/>
      <c r="K958" s="628">
        <v>0.65</v>
      </c>
      <c r="L958" s="302"/>
      <c r="M958" s="590"/>
      <c r="N958" s="302"/>
      <c r="O958" s="590"/>
      <c r="P958" s="590"/>
      <c r="Q958" s="590"/>
      <c r="R958" s="590"/>
      <c r="S958" s="302"/>
      <c r="T958" s="302"/>
      <c r="U958" s="590"/>
      <c r="V958" s="303"/>
    </row>
    <row r="959" spans="1:22" ht="15" customHeight="1" x14ac:dyDescent="0.25">
      <c r="A959" s="567"/>
      <c r="B959" s="564"/>
      <c r="C959" s="553"/>
      <c r="D959" s="553"/>
      <c r="E959" s="553"/>
      <c r="F959" s="553"/>
      <c r="G959" s="627" t="s">
        <v>1791</v>
      </c>
      <c r="H959" s="627" t="s">
        <v>1792</v>
      </c>
      <c r="I959" s="627" t="s">
        <v>1893</v>
      </c>
      <c r="J959" s="628"/>
      <c r="K959" s="628">
        <v>2</v>
      </c>
      <c r="L959" s="302"/>
      <c r="M959" s="590"/>
      <c r="N959" s="302"/>
      <c r="O959" s="590"/>
      <c r="P959" s="590"/>
      <c r="Q959" s="590"/>
      <c r="R959" s="590"/>
      <c r="S959" s="302"/>
      <c r="T959" s="302"/>
      <c r="U959" s="590"/>
      <c r="V959" s="303"/>
    </row>
    <row r="960" spans="1:22" ht="15" customHeight="1" x14ac:dyDescent="0.25">
      <c r="A960" s="567"/>
      <c r="B960" s="564"/>
      <c r="C960" s="553"/>
      <c r="D960" s="553"/>
      <c r="E960" s="553"/>
      <c r="F960" s="553"/>
      <c r="G960" s="627" t="s">
        <v>1555</v>
      </c>
      <c r="H960" s="627" t="s">
        <v>1883</v>
      </c>
      <c r="I960" s="627" t="s">
        <v>1897</v>
      </c>
      <c r="J960" s="628"/>
      <c r="K960" s="628">
        <v>0.12</v>
      </c>
      <c r="L960" s="302"/>
      <c r="M960" s="590"/>
      <c r="N960" s="302"/>
      <c r="O960" s="590"/>
      <c r="P960" s="590"/>
      <c r="Q960" s="590"/>
      <c r="R960" s="590"/>
      <c r="S960" s="302"/>
      <c r="T960" s="302"/>
      <c r="U960" s="590"/>
      <c r="V960" s="303"/>
    </row>
    <row r="961" spans="1:22" ht="15" customHeight="1" x14ac:dyDescent="0.25">
      <c r="A961" s="567"/>
      <c r="B961" s="564"/>
      <c r="C961" s="553"/>
      <c r="D961" s="553"/>
      <c r="E961" s="553"/>
      <c r="F961" s="553"/>
      <c r="G961" s="543" t="s">
        <v>1915</v>
      </c>
      <c r="H961" s="543" t="s">
        <v>1916</v>
      </c>
      <c r="I961" s="627" t="s">
        <v>1945</v>
      </c>
      <c r="J961" s="628"/>
      <c r="K961" s="205">
        <v>7.4999999999999997E-2</v>
      </c>
      <c r="L961" s="519"/>
      <c r="M961" s="590"/>
      <c r="N961" s="302"/>
      <c r="O961" s="590"/>
      <c r="P961" s="590"/>
      <c r="Q961" s="590"/>
      <c r="R961" s="590"/>
      <c r="S961" s="302"/>
      <c r="T961" s="302"/>
      <c r="U961" s="590"/>
      <c r="V961" s="303"/>
    </row>
    <row r="962" spans="1:22" ht="15" customHeight="1" x14ac:dyDescent="0.25">
      <c r="A962" s="567"/>
      <c r="B962" s="564"/>
      <c r="C962" s="553"/>
      <c r="D962" s="553"/>
      <c r="E962" s="553"/>
      <c r="F962" s="553"/>
      <c r="G962" s="1163" t="s">
        <v>2011</v>
      </c>
      <c r="H962" s="1163"/>
      <c r="I962" s="1163"/>
      <c r="J962" s="1163"/>
      <c r="K962" s="1163"/>
      <c r="L962" s="1163"/>
      <c r="M962" s="1163"/>
      <c r="N962" s="1163"/>
      <c r="O962" s="590"/>
      <c r="P962" s="590"/>
      <c r="Q962" s="590"/>
      <c r="R962" s="590"/>
      <c r="S962" s="302"/>
      <c r="T962" s="302"/>
      <c r="U962" s="590"/>
      <c r="V962" s="303"/>
    </row>
    <row r="963" spans="1:22" ht="15" customHeight="1" x14ac:dyDescent="0.25">
      <c r="A963" s="567"/>
      <c r="B963" s="564"/>
      <c r="C963" s="553"/>
      <c r="D963" s="553"/>
      <c r="E963" s="553"/>
      <c r="F963" s="553"/>
      <c r="G963" s="543" t="s">
        <v>2003</v>
      </c>
      <c r="H963" s="543" t="s">
        <v>2227</v>
      </c>
      <c r="I963" s="627" t="s">
        <v>13378</v>
      </c>
      <c r="J963" s="628"/>
      <c r="K963" s="205">
        <f>0.1*0.9</f>
        <v>9.0000000000000011E-2</v>
      </c>
      <c r="L963" s="519"/>
      <c r="M963" s="590"/>
      <c r="N963" s="302"/>
      <c r="O963" s="590"/>
      <c r="P963" s="590"/>
      <c r="Q963" s="590"/>
      <c r="R963" s="590"/>
      <c r="S963" s="302"/>
      <c r="T963" s="302"/>
      <c r="U963" s="590"/>
      <c r="V963" s="303"/>
    </row>
    <row r="964" spans="1:22" ht="15" customHeight="1" x14ac:dyDescent="0.25">
      <c r="A964" s="567"/>
      <c r="B964" s="564"/>
      <c r="C964" s="553"/>
      <c r="D964" s="553"/>
      <c r="E964" s="553"/>
      <c r="F964" s="553"/>
      <c r="G964" s="543" t="s">
        <v>2063</v>
      </c>
      <c r="H964" s="543" t="s">
        <v>2064</v>
      </c>
      <c r="I964" s="627" t="s">
        <v>2092</v>
      </c>
      <c r="J964" s="628"/>
      <c r="K964" s="628">
        <f>0.11*0.75</f>
        <v>8.2500000000000004E-2</v>
      </c>
      <c r="L964" s="302"/>
      <c r="M964" s="590"/>
      <c r="N964" s="302"/>
      <c r="O964" s="590"/>
      <c r="P964" s="590"/>
      <c r="Q964" s="590"/>
      <c r="R964" s="590"/>
      <c r="S964" s="302"/>
      <c r="T964" s="302"/>
      <c r="U964" s="590"/>
      <c r="V964" s="303"/>
    </row>
    <row r="965" spans="1:22" ht="15" customHeight="1" x14ac:dyDescent="0.25">
      <c r="A965" s="567"/>
      <c r="B965" s="564"/>
      <c r="C965" s="553"/>
      <c r="D965" s="553"/>
      <c r="E965" s="553"/>
      <c r="F965" s="553"/>
      <c r="G965" s="596" t="s">
        <v>2181</v>
      </c>
      <c r="H965" s="596" t="s">
        <v>2182</v>
      </c>
      <c r="I965" s="627" t="s">
        <v>2199</v>
      </c>
      <c r="J965" s="628"/>
      <c r="K965" s="628">
        <f>8.4*0.9</f>
        <v>7.5600000000000005</v>
      </c>
      <c r="L965" s="302"/>
      <c r="M965" s="590"/>
      <c r="N965" s="302"/>
      <c r="O965" s="590"/>
      <c r="P965" s="590"/>
      <c r="Q965" s="590"/>
      <c r="R965" s="590"/>
      <c r="S965" s="302"/>
      <c r="T965" s="302"/>
      <c r="U965" s="590"/>
      <c r="V965" s="303"/>
    </row>
    <row r="966" spans="1:22" ht="15" customHeight="1" x14ac:dyDescent="0.25">
      <c r="A966" s="567"/>
      <c r="B966" s="564"/>
      <c r="C966" s="553"/>
      <c r="D966" s="553"/>
      <c r="E966" s="553"/>
      <c r="F966" s="553"/>
      <c r="G966" s="1163" t="s">
        <v>2290</v>
      </c>
      <c r="H966" s="1163"/>
      <c r="I966" s="1163"/>
      <c r="J966" s="1163"/>
      <c r="K966" s="1163"/>
      <c r="L966" s="1163"/>
      <c r="M966" s="1163"/>
      <c r="N966" s="1163"/>
      <c r="O966" s="590"/>
      <c r="P966" s="590"/>
      <c r="Q966" s="590"/>
      <c r="R966" s="590"/>
      <c r="S966" s="302"/>
      <c r="T966" s="302"/>
      <c r="U966" s="590"/>
      <c r="V966" s="303"/>
    </row>
    <row r="967" spans="1:22" ht="15" customHeight="1" x14ac:dyDescent="0.25">
      <c r="A967" s="567"/>
      <c r="B967" s="564"/>
      <c r="C967" s="553"/>
      <c r="D967" s="553"/>
      <c r="E967" s="553"/>
      <c r="F967" s="553"/>
      <c r="G967" s="596" t="s">
        <v>2276</v>
      </c>
      <c r="H967" s="596" t="s">
        <v>2277</v>
      </c>
      <c r="I967" s="627" t="s">
        <v>2316</v>
      </c>
      <c r="J967" s="628"/>
      <c r="K967" s="628">
        <f>3*0.9</f>
        <v>2.7</v>
      </c>
      <c r="L967" s="302"/>
      <c r="M967" s="590"/>
      <c r="N967" s="302"/>
      <c r="O967" s="590"/>
      <c r="P967" s="590"/>
      <c r="Q967" s="590"/>
      <c r="R967" s="590"/>
      <c r="S967" s="302"/>
      <c r="T967" s="302"/>
      <c r="U967" s="590"/>
      <c r="V967" s="303"/>
    </row>
    <row r="968" spans="1:22" ht="15" customHeight="1" x14ac:dyDescent="0.25">
      <c r="A968" s="567"/>
      <c r="B968" s="564"/>
      <c r="C968" s="553"/>
      <c r="D968" s="553"/>
      <c r="E968" s="553"/>
      <c r="F968" s="553"/>
      <c r="G968" s="596" t="s">
        <v>2139</v>
      </c>
      <c r="H968" s="596" t="s">
        <v>2334</v>
      </c>
      <c r="I968" s="596" t="s">
        <v>2376</v>
      </c>
      <c r="J968" s="286"/>
      <c r="K968" s="628">
        <f>0.2*0.75</f>
        <v>0.15000000000000002</v>
      </c>
      <c r="L968" s="302"/>
      <c r="M968" s="590"/>
      <c r="N968" s="302"/>
      <c r="O968" s="590"/>
      <c r="P968" s="590"/>
      <c r="Q968" s="590"/>
      <c r="R968" s="590"/>
      <c r="S968" s="302"/>
      <c r="T968" s="302"/>
      <c r="U968" s="590"/>
      <c r="V968" s="303"/>
    </row>
    <row r="969" spans="1:22" ht="15" customHeight="1" x14ac:dyDescent="0.25">
      <c r="A969" s="567"/>
      <c r="B969" s="564"/>
      <c r="C969" s="553"/>
      <c r="D969" s="553"/>
      <c r="E969" s="553"/>
      <c r="F969" s="553"/>
      <c r="G969" s="596" t="s">
        <v>2003</v>
      </c>
      <c r="H969" s="596" t="s">
        <v>14744</v>
      </c>
      <c r="I969" s="596" t="s">
        <v>14870</v>
      </c>
      <c r="J969" s="286"/>
      <c r="K969" s="628">
        <f>4.38*0.9</f>
        <v>3.9420000000000002</v>
      </c>
      <c r="L969" s="302"/>
      <c r="M969" s="590"/>
      <c r="N969" s="302"/>
      <c r="O969" s="590"/>
      <c r="P969" s="590"/>
      <c r="Q969" s="590"/>
      <c r="R969" s="590"/>
      <c r="S969" s="302"/>
      <c r="T969" s="302"/>
      <c r="U969" s="590"/>
      <c r="V969" s="303"/>
    </row>
    <row r="970" spans="1:22" ht="15" customHeight="1" x14ac:dyDescent="0.25">
      <c r="A970" s="567"/>
      <c r="B970" s="564"/>
      <c r="C970" s="553"/>
      <c r="D970" s="553"/>
      <c r="E970" s="553"/>
      <c r="F970" s="553"/>
      <c r="G970" s="596" t="s">
        <v>14778</v>
      </c>
      <c r="H970" s="596" t="s">
        <v>14779</v>
      </c>
      <c r="I970" s="596" t="s">
        <v>14885</v>
      </c>
      <c r="J970" s="286"/>
      <c r="K970" s="628">
        <f>6.5*0.9</f>
        <v>5.8500000000000005</v>
      </c>
      <c r="L970" s="302"/>
      <c r="M970" s="590"/>
      <c r="N970" s="302"/>
      <c r="O970" s="590"/>
      <c r="P970" s="590"/>
      <c r="Q970" s="590"/>
      <c r="R970" s="590"/>
      <c r="S970" s="302"/>
      <c r="T970" s="302"/>
      <c r="U970" s="590"/>
      <c r="V970" s="303"/>
    </row>
    <row r="971" spans="1:22" ht="15" customHeight="1" x14ac:dyDescent="0.25">
      <c r="A971" s="567"/>
      <c r="B971" s="564"/>
      <c r="C971" s="553"/>
      <c r="D971" s="553"/>
      <c r="E971" s="553"/>
      <c r="F971" s="553"/>
      <c r="G971" s="1163" t="s">
        <v>14933</v>
      </c>
      <c r="H971" s="1163"/>
      <c r="I971" s="1163"/>
      <c r="J971" s="1163"/>
      <c r="K971" s="1163"/>
      <c r="L971" s="1163"/>
      <c r="M971" s="1163"/>
      <c r="N971" s="1163"/>
      <c r="O971" s="590"/>
      <c r="P971" s="590"/>
      <c r="Q971" s="590"/>
      <c r="R971" s="590"/>
      <c r="S971" s="302"/>
      <c r="T971" s="302"/>
      <c r="U971" s="590"/>
      <c r="V971" s="303"/>
    </row>
    <row r="972" spans="1:22" ht="15" customHeight="1" x14ac:dyDescent="0.25">
      <c r="A972" s="567"/>
      <c r="B972" s="564"/>
      <c r="C972" s="553"/>
      <c r="D972" s="553"/>
      <c r="E972" s="553"/>
      <c r="F972" s="553"/>
      <c r="G972" s="596" t="s">
        <v>17269</v>
      </c>
      <c r="H972" s="596" t="s">
        <v>17270</v>
      </c>
      <c r="I972" s="596" t="s">
        <v>17271</v>
      </c>
      <c r="J972" s="286"/>
      <c r="K972" s="628">
        <f>0.2*0.9</f>
        <v>0.18000000000000002</v>
      </c>
      <c r="L972" s="302"/>
      <c r="M972" s="590"/>
      <c r="N972" s="302"/>
      <c r="O972" s="590"/>
      <c r="P972" s="590"/>
      <c r="Q972" s="590"/>
      <c r="R972" s="590"/>
      <c r="S972" s="302"/>
      <c r="T972" s="302"/>
      <c r="U972" s="590"/>
      <c r="V972" s="303"/>
    </row>
    <row r="973" spans="1:22" ht="15" customHeight="1" x14ac:dyDescent="0.25">
      <c r="A973" s="567"/>
      <c r="B973" s="564"/>
      <c r="C973" s="553"/>
      <c r="D973" s="553"/>
      <c r="E973" s="553"/>
      <c r="F973" s="553"/>
      <c r="G973" s="596" t="s">
        <v>17285</v>
      </c>
      <c r="H973" s="596" t="s">
        <v>17286</v>
      </c>
      <c r="I973" s="596" t="s">
        <v>17287</v>
      </c>
      <c r="J973" s="286"/>
      <c r="K973" s="628">
        <f>0.1*0.9</f>
        <v>9.0000000000000011E-2</v>
      </c>
      <c r="L973" s="302"/>
      <c r="M973" s="590"/>
      <c r="N973" s="302"/>
      <c r="O973" s="590"/>
      <c r="P973" s="590"/>
      <c r="Q973" s="590"/>
      <c r="R973" s="590"/>
      <c r="S973" s="302"/>
      <c r="T973" s="302"/>
      <c r="U973" s="590"/>
      <c r="V973" s="303"/>
    </row>
    <row r="974" spans="1:22" ht="15" customHeight="1" x14ac:dyDescent="0.25">
      <c r="A974" s="567"/>
      <c r="B974" s="564"/>
      <c r="C974" s="553"/>
      <c r="D974" s="553"/>
      <c r="E974" s="553"/>
      <c r="F974" s="553"/>
      <c r="G974" s="596" t="s">
        <v>17269</v>
      </c>
      <c r="H974" s="596" t="s">
        <v>17270</v>
      </c>
      <c r="I974" s="596" t="s">
        <v>17368</v>
      </c>
      <c r="J974" s="286"/>
      <c r="K974" s="628">
        <f>0.635*0.9</f>
        <v>0.57150000000000001</v>
      </c>
      <c r="L974" s="302"/>
      <c r="M974" s="590"/>
      <c r="N974" s="302"/>
      <c r="O974" s="590"/>
      <c r="P974" s="590"/>
      <c r="Q974" s="590"/>
      <c r="R974" s="590"/>
      <c r="S974" s="302"/>
      <c r="T974" s="302"/>
      <c r="U974" s="590"/>
      <c r="V974" s="303"/>
    </row>
    <row r="975" spans="1:22" ht="15" customHeight="1" x14ac:dyDescent="0.25">
      <c r="A975" s="567"/>
      <c r="B975" s="564"/>
      <c r="C975" s="553"/>
      <c r="D975" s="553"/>
      <c r="E975" s="553"/>
      <c r="F975" s="553"/>
      <c r="G975" s="596" t="s">
        <v>17616</v>
      </c>
      <c r="H975" s="596" t="s">
        <v>17617</v>
      </c>
      <c r="I975" s="596" t="s">
        <v>17618</v>
      </c>
      <c r="J975" s="286"/>
      <c r="K975" s="628">
        <f>0.11*0.15</f>
        <v>1.6500000000000001E-2</v>
      </c>
      <c r="L975" s="302"/>
      <c r="M975" s="590"/>
      <c r="N975" s="302"/>
      <c r="O975" s="590"/>
      <c r="P975" s="590"/>
      <c r="Q975" s="590"/>
      <c r="R975" s="590"/>
      <c r="S975" s="302"/>
      <c r="T975" s="302"/>
      <c r="U975" s="590"/>
      <c r="V975" s="303"/>
    </row>
    <row r="976" spans="1:22" ht="15" customHeight="1" x14ac:dyDescent="0.25">
      <c r="A976" s="567"/>
      <c r="B976" s="564"/>
      <c r="C976" s="553"/>
      <c r="D976" s="553"/>
      <c r="E976" s="553"/>
      <c r="F976" s="553"/>
      <c r="G976" s="596" t="s">
        <v>17682</v>
      </c>
      <c r="H976" s="596" t="s">
        <v>17683</v>
      </c>
      <c r="I976" s="596" t="s">
        <v>17684</v>
      </c>
      <c r="J976" s="286"/>
      <c r="K976" s="628">
        <f>0.35*0.15</f>
        <v>5.2499999999999998E-2</v>
      </c>
      <c r="L976" s="302"/>
      <c r="M976" s="590"/>
      <c r="N976" s="302"/>
      <c r="O976" s="590"/>
      <c r="P976" s="590"/>
      <c r="Q976" s="590"/>
      <c r="R976" s="590"/>
      <c r="S976" s="302"/>
      <c r="T976" s="302"/>
      <c r="U976" s="590"/>
      <c r="V976" s="303"/>
    </row>
    <row r="977" spans="1:22" ht="15" customHeight="1" x14ac:dyDescent="0.25">
      <c r="A977" s="567"/>
      <c r="B977" s="564"/>
      <c r="C977" s="553"/>
      <c r="D977" s="553"/>
      <c r="E977" s="553"/>
      <c r="F977" s="553"/>
      <c r="G977" s="596" t="s">
        <v>17688</v>
      </c>
      <c r="H977" s="596" t="s">
        <v>17689</v>
      </c>
      <c r="I977" s="596" t="s">
        <v>17690</v>
      </c>
      <c r="J977" s="286"/>
      <c r="K977" s="628">
        <f>0.05*0.15</f>
        <v>7.4999999999999997E-3</v>
      </c>
      <c r="L977" s="302"/>
      <c r="M977" s="590"/>
      <c r="N977" s="302"/>
      <c r="O977" s="590"/>
      <c r="P977" s="590"/>
      <c r="Q977" s="590"/>
      <c r="R977" s="590"/>
      <c r="S977" s="302"/>
      <c r="T977" s="302"/>
      <c r="U977" s="590"/>
      <c r="V977" s="303"/>
    </row>
    <row r="978" spans="1:22" ht="15" customHeight="1" x14ac:dyDescent="0.25">
      <c r="A978" s="567"/>
      <c r="B978" s="564"/>
      <c r="C978" s="553"/>
      <c r="D978" s="553"/>
      <c r="E978" s="553"/>
      <c r="F978" s="553"/>
      <c r="G978" s="1164" t="s">
        <v>2262</v>
      </c>
      <c r="H978" s="1164"/>
      <c r="I978" s="1164"/>
      <c r="J978" s="1165">
        <f>0.153*0.9*0.6</f>
        <v>8.2619999999999985E-2</v>
      </c>
      <c r="K978" s="1192"/>
      <c r="L978" s="1166"/>
      <c r="M978" s="590"/>
      <c r="N978" s="302"/>
      <c r="O978" s="590"/>
      <c r="P978" s="590"/>
      <c r="Q978" s="590"/>
      <c r="R978" s="590"/>
      <c r="S978" s="302"/>
      <c r="T978" s="302"/>
      <c r="U978" s="590"/>
      <c r="V978" s="303"/>
    </row>
    <row r="979" spans="1:22" ht="15" customHeight="1" x14ac:dyDescent="0.25">
      <c r="A979" s="567"/>
      <c r="B979" s="564"/>
      <c r="C979" s="553"/>
      <c r="D979" s="553"/>
      <c r="E979" s="553"/>
      <c r="F979" s="553"/>
      <c r="G979" s="1163" t="s">
        <v>18518</v>
      </c>
      <c r="H979" s="1163"/>
      <c r="I979" s="1163"/>
      <c r="J979" s="1163"/>
      <c r="K979" s="1163"/>
      <c r="L979" s="1163"/>
      <c r="M979" s="1163"/>
      <c r="N979" s="1163"/>
      <c r="O979" s="590"/>
      <c r="P979" s="590"/>
      <c r="Q979" s="590"/>
      <c r="R979" s="590"/>
      <c r="S979" s="302"/>
      <c r="T979" s="302"/>
      <c r="U979" s="590"/>
      <c r="V979" s="303"/>
    </row>
    <row r="980" spans="1:22" ht="15" customHeight="1" x14ac:dyDescent="0.25">
      <c r="A980" s="567"/>
      <c r="B980" s="564"/>
      <c r="C980" s="553"/>
      <c r="D980" s="553"/>
      <c r="E980" s="553"/>
      <c r="F980" s="553"/>
      <c r="G980" s="590" t="s">
        <v>19560</v>
      </c>
      <c r="H980" s="590"/>
      <c r="I980" s="590" t="s">
        <v>19561</v>
      </c>
      <c r="J980" s="302">
        <f>0.2*0.9</f>
        <v>0.18000000000000002</v>
      </c>
      <c r="K980" s="302"/>
      <c r="L980" s="302"/>
      <c r="M980" s="590"/>
      <c r="N980" s="302"/>
      <c r="O980" s="590"/>
      <c r="P980" s="590"/>
      <c r="Q980" s="590"/>
      <c r="R980" s="590"/>
      <c r="S980" s="302"/>
      <c r="T980" s="302"/>
      <c r="U980" s="590"/>
      <c r="V980" s="303"/>
    </row>
    <row r="981" spans="1:22" ht="15" customHeight="1" x14ac:dyDescent="0.25">
      <c r="A981" s="567"/>
      <c r="B981" s="564"/>
      <c r="C981" s="553"/>
      <c r="D981" s="553"/>
      <c r="E981" s="553"/>
      <c r="F981" s="553"/>
      <c r="G981" s="290" t="s">
        <v>19562</v>
      </c>
      <c r="H981" s="290" t="s">
        <v>18891</v>
      </c>
      <c r="I981" s="290" t="s">
        <v>19563</v>
      </c>
      <c r="J981" s="307">
        <f>0.17*0.9</f>
        <v>0.15300000000000002</v>
      </c>
      <c r="K981" s="307"/>
      <c r="L981" s="307"/>
      <c r="M981" s="290"/>
      <c r="N981" s="307"/>
      <c r="O981" s="290"/>
      <c r="P981" s="290"/>
      <c r="Q981" s="290"/>
      <c r="R981" s="290"/>
      <c r="S981" s="307"/>
      <c r="T981" s="307"/>
      <c r="U981" s="290"/>
      <c r="V981" s="305"/>
    </row>
    <row r="982" spans="1:22" ht="15" customHeight="1" x14ac:dyDescent="0.25">
      <c r="A982" s="567"/>
      <c r="B982" s="564"/>
      <c r="C982" s="553"/>
      <c r="D982" s="553"/>
      <c r="E982" s="553"/>
      <c r="F982" s="553"/>
      <c r="G982" s="590" t="s">
        <v>19527</v>
      </c>
      <c r="H982" s="590" t="s">
        <v>19528</v>
      </c>
      <c r="I982" s="590" t="s">
        <v>19564</v>
      </c>
      <c r="J982" s="302"/>
      <c r="K982" s="302"/>
      <c r="L982" s="307">
        <f>0.3*0.9</f>
        <v>0.27</v>
      </c>
      <c r="M982" s="290"/>
      <c r="N982" s="307"/>
      <c r="O982" s="290"/>
      <c r="P982" s="290"/>
      <c r="Q982" s="290"/>
      <c r="R982" s="290"/>
      <c r="S982" s="307"/>
      <c r="T982" s="307"/>
      <c r="U982" s="290"/>
      <c r="V982" s="305"/>
    </row>
    <row r="983" spans="1:22" ht="15" customHeight="1" x14ac:dyDescent="0.25">
      <c r="A983" s="567"/>
      <c r="B983" s="564"/>
      <c r="C983" s="553"/>
      <c r="D983" s="553"/>
      <c r="E983" s="553"/>
      <c r="F983" s="553"/>
      <c r="G983" s="590" t="s">
        <v>2161</v>
      </c>
      <c r="H983" s="590" t="s">
        <v>18994</v>
      </c>
      <c r="I983" s="590" t="s">
        <v>19565</v>
      </c>
      <c r="J983" s="302">
        <f>0.70835*0.9</f>
        <v>0.63751500000000005</v>
      </c>
      <c r="K983" s="302"/>
      <c r="L983" s="307"/>
      <c r="M983" s="290"/>
      <c r="N983" s="307"/>
      <c r="O983" s="290"/>
      <c r="P983" s="290"/>
      <c r="Q983" s="290"/>
      <c r="R983" s="290"/>
      <c r="S983" s="307"/>
      <c r="T983" s="307"/>
      <c r="U983" s="290"/>
      <c r="V983" s="305"/>
    </row>
    <row r="984" spans="1:22" ht="15" customHeight="1" x14ac:dyDescent="0.25">
      <c r="A984" s="567"/>
      <c r="B984" s="564"/>
      <c r="C984" s="553"/>
      <c r="D984" s="553"/>
      <c r="E984" s="553"/>
      <c r="F984" s="553"/>
      <c r="G984" s="590" t="s">
        <v>19013</v>
      </c>
      <c r="H984" s="590"/>
      <c r="I984" s="590" t="s">
        <v>19566</v>
      </c>
      <c r="J984" s="302">
        <f>2.5*0.9</f>
        <v>2.25</v>
      </c>
      <c r="K984" s="302">
        <f>2.5*0.9</f>
        <v>2.25</v>
      </c>
      <c r="L984" s="307"/>
      <c r="M984" s="290"/>
      <c r="N984" s="307"/>
      <c r="O984" s="290"/>
      <c r="P984" s="290"/>
      <c r="Q984" s="290"/>
      <c r="R984" s="290"/>
      <c r="S984" s="307"/>
      <c r="T984" s="307"/>
      <c r="U984" s="290"/>
      <c r="V984" s="305"/>
    </row>
    <row r="985" spans="1:22" ht="15" customHeight="1" x14ac:dyDescent="0.25">
      <c r="A985" s="567"/>
      <c r="B985" s="564"/>
      <c r="C985" s="553"/>
      <c r="D985" s="553"/>
      <c r="E985" s="553"/>
      <c r="F985" s="553"/>
      <c r="G985" s="590" t="s">
        <v>19021</v>
      </c>
      <c r="H985" s="590" t="s">
        <v>19022</v>
      </c>
      <c r="I985" s="590" t="s">
        <v>19567</v>
      </c>
      <c r="J985" s="302"/>
      <c r="K985" s="302">
        <f>2*0.9</f>
        <v>1.8</v>
      </c>
      <c r="L985" s="307">
        <f>2*0.9</f>
        <v>1.8</v>
      </c>
      <c r="M985" s="290"/>
      <c r="N985" s="307"/>
      <c r="O985" s="290"/>
      <c r="P985" s="290"/>
      <c r="Q985" s="290"/>
      <c r="R985" s="290"/>
      <c r="S985" s="307"/>
      <c r="T985" s="307"/>
      <c r="U985" s="290"/>
      <c r="V985" s="305"/>
    </row>
    <row r="986" spans="1:22" ht="15" customHeight="1" x14ac:dyDescent="0.25">
      <c r="A986" s="567"/>
      <c r="B986" s="564"/>
      <c r="C986" s="553"/>
      <c r="D986" s="553"/>
      <c r="E986" s="553"/>
      <c r="F986" s="553"/>
      <c r="G986" s="590" t="s">
        <v>19542</v>
      </c>
      <c r="H986" s="590" t="s">
        <v>19543</v>
      </c>
      <c r="I986" s="590" t="s">
        <v>19568</v>
      </c>
      <c r="J986" s="302">
        <f>0.15*0.85</f>
        <v>0.1275</v>
      </c>
      <c r="K986" s="302"/>
      <c r="L986" s="302"/>
      <c r="M986" s="290"/>
      <c r="N986" s="307"/>
      <c r="O986" s="290"/>
      <c r="P986" s="290"/>
      <c r="Q986" s="290"/>
      <c r="R986" s="290"/>
      <c r="S986" s="307"/>
      <c r="T986" s="307"/>
      <c r="U986" s="290"/>
      <c r="V986" s="305"/>
    </row>
    <row r="987" spans="1:22" ht="15" customHeight="1" x14ac:dyDescent="0.25">
      <c r="A987" s="567"/>
      <c r="B987" s="564"/>
      <c r="C987" s="553"/>
      <c r="D987" s="553"/>
      <c r="E987" s="553"/>
      <c r="F987" s="553"/>
      <c r="G987" s="1164" t="s">
        <v>2262</v>
      </c>
      <c r="H987" s="1164"/>
      <c r="I987" s="1164"/>
      <c r="J987" s="1225">
        <f>0.266*0.9*0.6</f>
        <v>0.14364000000000002</v>
      </c>
      <c r="K987" s="1225"/>
      <c r="L987" s="1225"/>
      <c r="M987" s="290"/>
      <c r="N987" s="307"/>
      <c r="O987" s="290"/>
      <c r="P987" s="290"/>
      <c r="Q987" s="290"/>
      <c r="R987" s="290"/>
      <c r="S987" s="307"/>
      <c r="T987" s="307"/>
      <c r="U987" s="290"/>
      <c r="V987" s="305"/>
    </row>
    <row r="988" spans="1:22" ht="15" customHeight="1" thickBot="1" x14ac:dyDescent="0.3">
      <c r="A988" s="242"/>
      <c r="B988" s="243"/>
      <c r="C988" s="244"/>
      <c r="D988" s="244"/>
      <c r="E988" s="244"/>
      <c r="F988" s="244"/>
      <c r="G988" s="1066"/>
      <c r="H988" s="1066"/>
      <c r="I988" s="1066"/>
      <c r="J988" s="630"/>
      <c r="K988" s="456">
        <f>SUM(J972:L987)</f>
        <v>10.612275</v>
      </c>
      <c r="L988" s="631"/>
      <c r="M988" s="632">
        <v>0.92</v>
      </c>
      <c r="N988" s="456">
        <f>K988/M988</f>
        <v>11.53508152173913</v>
      </c>
      <c r="O988" s="1066" t="s">
        <v>1199</v>
      </c>
      <c r="P988" s="1066"/>
      <c r="Q988" s="1066"/>
      <c r="R988" s="554"/>
      <c r="S988" s="456">
        <f>SUM(S937:S974)</f>
        <v>2.4177</v>
      </c>
      <c r="T988" s="631"/>
      <c r="U988" s="554">
        <v>0.92</v>
      </c>
      <c r="V988" s="633">
        <f>S988/U988</f>
        <v>2.6279347826086954</v>
      </c>
    </row>
    <row r="989" spans="1:22" ht="15" customHeight="1" x14ac:dyDescent="0.25">
      <c r="A989" s="1092" t="str">
        <f>Итоговая!C361</f>
        <v xml:space="preserve">ПС 110/35/10 кВ Северная </v>
      </c>
      <c r="B989" s="1072">
        <f>Итоговая!D361</f>
        <v>40</v>
      </c>
      <c r="C989" s="1067" t="str">
        <f>Итоговая!E361</f>
        <v>+</v>
      </c>
      <c r="D989" s="1067">
        <f>Итоговая!F361</f>
        <v>40</v>
      </c>
      <c r="E989" s="552"/>
      <c r="F989" s="552"/>
      <c r="G989" s="1168" t="s">
        <v>1288</v>
      </c>
      <c r="H989" s="1168"/>
      <c r="I989" s="1168"/>
      <c r="J989" s="1168"/>
      <c r="K989" s="1168"/>
      <c r="L989" s="1168"/>
      <c r="M989" s="1168"/>
      <c r="N989" s="1168"/>
      <c r="O989" s="1163" t="s">
        <v>1325</v>
      </c>
      <c r="P989" s="1163"/>
      <c r="Q989" s="1163"/>
      <c r="R989" s="1163"/>
      <c r="S989" s="1163"/>
      <c r="T989" s="1163"/>
      <c r="U989" s="1163"/>
      <c r="V989" s="1163"/>
    </row>
    <row r="990" spans="1:22" ht="15" customHeight="1" x14ac:dyDescent="0.25">
      <c r="A990" s="1093"/>
      <c r="B990" s="1023"/>
      <c r="C990" s="1024"/>
      <c r="D990" s="1024"/>
      <c r="E990" s="553"/>
      <c r="F990" s="553"/>
      <c r="G990" s="627" t="s">
        <v>1107</v>
      </c>
      <c r="H990" s="627" t="s">
        <v>1108</v>
      </c>
      <c r="I990" s="627" t="s">
        <v>1109</v>
      </c>
      <c r="J990" s="628"/>
      <c r="K990" s="628">
        <v>0.46</v>
      </c>
      <c r="L990" s="302"/>
      <c r="M990" s="590"/>
      <c r="N990" s="302"/>
      <c r="O990" s="627" t="s">
        <v>1627</v>
      </c>
      <c r="P990" s="627" t="s">
        <v>1628</v>
      </c>
      <c r="Q990" s="660" t="s">
        <v>1629</v>
      </c>
      <c r="R990" s="659"/>
      <c r="S990" s="628">
        <v>0.3</v>
      </c>
      <c r="T990" s="302"/>
      <c r="U990" s="743"/>
      <c r="V990" s="302"/>
    </row>
    <row r="991" spans="1:22" ht="15" customHeight="1" x14ac:dyDescent="0.25">
      <c r="A991" s="567"/>
      <c r="B991" s="644"/>
      <c r="C991" s="661"/>
      <c r="D991" s="661"/>
      <c r="E991" s="661"/>
      <c r="F991" s="661"/>
      <c r="G991" s="1163" t="s">
        <v>1287</v>
      </c>
      <c r="H991" s="1163"/>
      <c r="I991" s="1163"/>
      <c r="J991" s="1163"/>
      <c r="K991" s="1163"/>
      <c r="L991" s="1163"/>
      <c r="M991" s="1163"/>
      <c r="N991" s="1163"/>
      <c r="O991" s="1163" t="s">
        <v>14933</v>
      </c>
      <c r="P991" s="1163"/>
      <c r="Q991" s="1163"/>
      <c r="R991" s="1163"/>
      <c r="S991" s="1163"/>
      <c r="T991" s="1163"/>
      <c r="U991" s="1163"/>
      <c r="V991" s="1163"/>
    </row>
    <row r="992" spans="1:22" ht="15" customHeight="1" x14ac:dyDescent="0.25">
      <c r="A992" s="567"/>
      <c r="B992" s="644"/>
      <c r="C992" s="661"/>
      <c r="D992" s="661"/>
      <c r="E992" s="661"/>
      <c r="F992" s="661"/>
      <c r="G992" s="627" t="s">
        <v>898</v>
      </c>
      <c r="H992" s="627" t="s">
        <v>899</v>
      </c>
      <c r="I992" s="627" t="s">
        <v>900</v>
      </c>
      <c r="J992" s="628"/>
      <c r="K992" s="628">
        <v>6</v>
      </c>
      <c r="L992" s="302"/>
      <c r="M992" s="590"/>
      <c r="N992" s="302"/>
      <c r="O992" s="627" t="s">
        <v>1110</v>
      </c>
      <c r="P992" s="627" t="s">
        <v>1111</v>
      </c>
      <c r="Q992" s="627" t="s">
        <v>17441</v>
      </c>
      <c r="R992" s="627"/>
      <c r="S992" s="628">
        <v>0.128</v>
      </c>
      <c r="T992" s="302"/>
      <c r="U992" s="743"/>
      <c r="V992" s="303"/>
    </row>
    <row r="993" spans="1:22" ht="15" customHeight="1" x14ac:dyDescent="0.25">
      <c r="A993" s="567"/>
      <c r="B993" s="644"/>
      <c r="C993" s="661"/>
      <c r="D993" s="661"/>
      <c r="E993" s="661"/>
      <c r="F993" s="661"/>
      <c r="G993" s="627" t="s">
        <v>901</v>
      </c>
      <c r="H993" s="627" t="s">
        <v>902</v>
      </c>
      <c r="I993" s="627" t="s">
        <v>903</v>
      </c>
      <c r="J993" s="628"/>
      <c r="K993" s="628">
        <v>0.14000000000000001</v>
      </c>
      <c r="L993" s="302"/>
      <c r="M993" s="590"/>
      <c r="N993" s="302"/>
      <c r="O993" s="590"/>
      <c r="P993" s="590"/>
      <c r="Q993" s="590"/>
      <c r="R993" s="590"/>
      <c r="S993" s="302"/>
      <c r="T993" s="302"/>
      <c r="U993" s="590"/>
      <c r="V993" s="303"/>
    </row>
    <row r="994" spans="1:22" ht="15" customHeight="1" x14ac:dyDescent="0.25">
      <c r="A994" s="567"/>
      <c r="B994" s="644"/>
      <c r="C994" s="661"/>
      <c r="D994" s="661"/>
      <c r="E994" s="661"/>
      <c r="F994" s="661"/>
      <c r="G994" s="1163" t="s">
        <v>1286</v>
      </c>
      <c r="H994" s="1163"/>
      <c r="I994" s="1163"/>
      <c r="J994" s="1163"/>
      <c r="K994" s="1163"/>
      <c r="L994" s="1163"/>
      <c r="M994" s="1163"/>
      <c r="N994" s="1163"/>
      <c r="O994" s="1185"/>
      <c r="P994" s="1185"/>
      <c r="Q994" s="1185"/>
      <c r="R994" s="1185"/>
      <c r="S994" s="1185"/>
      <c r="T994" s="1185"/>
      <c r="U994" s="1185"/>
      <c r="V994" s="1186"/>
    </row>
    <row r="995" spans="1:22" ht="15" customHeight="1" x14ac:dyDescent="0.25">
      <c r="A995" s="567"/>
      <c r="B995" s="644"/>
      <c r="C995" s="661"/>
      <c r="D995" s="661"/>
      <c r="E995" s="661"/>
      <c r="F995" s="661"/>
      <c r="G995" s="627" t="s">
        <v>904</v>
      </c>
      <c r="H995" s="627" t="s">
        <v>905</v>
      </c>
      <c r="I995" s="627" t="s">
        <v>906</v>
      </c>
      <c r="J995" s="628"/>
      <c r="K995" s="628">
        <v>2.5000000000000001E-2</v>
      </c>
      <c r="L995" s="302"/>
      <c r="M995" s="590"/>
      <c r="N995" s="302"/>
      <c r="O995" s="590"/>
      <c r="P995" s="590"/>
      <c r="Q995" s="590"/>
      <c r="R995" s="590"/>
      <c r="S995" s="302"/>
      <c r="T995" s="302"/>
      <c r="U995" s="590"/>
      <c r="V995" s="303"/>
    </row>
    <row r="996" spans="1:22" ht="15" customHeight="1" x14ac:dyDescent="0.25">
      <c r="A996" s="567"/>
      <c r="B996" s="644"/>
      <c r="C996" s="661"/>
      <c r="D996" s="661"/>
      <c r="E996" s="661"/>
      <c r="F996" s="661"/>
      <c r="G996" s="627" t="s">
        <v>907</v>
      </c>
      <c r="H996" s="627" t="s">
        <v>908</v>
      </c>
      <c r="I996" s="627" t="s">
        <v>909</v>
      </c>
      <c r="J996" s="628"/>
      <c r="K996" s="628">
        <v>0.185</v>
      </c>
      <c r="L996" s="302"/>
      <c r="M996" s="590"/>
      <c r="N996" s="302"/>
      <c r="O996" s="590"/>
      <c r="P996" s="590"/>
      <c r="Q996" s="590"/>
      <c r="R996" s="590"/>
      <c r="S996" s="302"/>
      <c r="T996" s="302"/>
      <c r="U996" s="590"/>
      <c r="V996" s="303"/>
    </row>
    <row r="997" spans="1:22" ht="15" customHeight="1" x14ac:dyDescent="0.25">
      <c r="A997" s="567"/>
      <c r="B997" s="644"/>
      <c r="C997" s="661"/>
      <c r="D997" s="661"/>
      <c r="E997" s="661"/>
      <c r="F997" s="661"/>
      <c r="G997" s="1163" t="s">
        <v>1740</v>
      </c>
      <c r="H997" s="1163"/>
      <c r="I997" s="1163"/>
      <c r="J997" s="1163"/>
      <c r="K997" s="1163"/>
      <c r="L997" s="1163"/>
      <c r="M997" s="1163"/>
      <c r="N997" s="1163"/>
      <c r="O997" s="590"/>
      <c r="P997" s="590"/>
      <c r="Q997" s="626"/>
      <c r="R997" s="626"/>
      <c r="S997" s="302"/>
      <c r="T997" s="302"/>
      <c r="U997" s="590"/>
      <c r="V997" s="303"/>
    </row>
    <row r="998" spans="1:22" ht="15" customHeight="1" x14ac:dyDescent="0.25">
      <c r="A998" s="567"/>
      <c r="B998" s="644"/>
      <c r="C998" s="661"/>
      <c r="D998" s="661"/>
      <c r="E998" s="661"/>
      <c r="F998" s="661"/>
      <c r="G998" s="627" t="s">
        <v>897</v>
      </c>
      <c r="H998" s="627" t="s">
        <v>1716</v>
      </c>
      <c r="I998" s="660" t="s">
        <v>1892</v>
      </c>
      <c r="J998" s="659"/>
      <c r="K998" s="628">
        <v>0</v>
      </c>
      <c r="L998" s="302"/>
      <c r="M998" s="590"/>
      <c r="N998" s="302"/>
      <c r="O998" s="590"/>
      <c r="P998" s="590"/>
      <c r="Q998" s="626"/>
      <c r="R998" s="626"/>
      <c r="S998" s="302"/>
      <c r="T998" s="302"/>
      <c r="U998" s="590"/>
      <c r="V998" s="303"/>
    </row>
    <row r="999" spans="1:22" ht="15" customHeight="1" x14ac:dyDescent="0.25">
      <c r="A999" s="567"/>
      <c r="B999" s="644"/>
      <c r="C999" s="661"/>
      <c r="D999" s="661"/>
      <c r="E999" s="661"/>
      <c r="F999" s="661"/>
      <c r="G999" s="627" t="s">
        <v>1814</v>
      </c>
      <c r="H999" s="627" t="s">
        <v>1853</v>
      </c>
      <c r="I999" s="660" t="s">
        <v>1904</v>
      </c>
      <c r="J999" s="659"/>
      <c r="K999" s="628">
        <f>0.7-0.2</f>
        <v>0.49999999999999994</v>
      </c>
      <c r="L999" s="302"/>
      <c r="M999" s="590"/>
      <c r="N999" s="302"/>
      <c r="O999" s="590"/>
      <c r="P999" s="590"/>
      <c r="Q999" s="626"/>
      <c r="R999" s="626"/>
      <c r="S999" s="302"/>
      <c r="T999" s="302"/>
      <c r="U999" s="590"/>
      <c r="V999" s="303"/>
    </row>
    <row r="1000" spans="1:22" ht="15" customHeight="1" x14ac:dyDescent="0.25">
      <c r="A1000" s="567"/>
      <c r="B1000" s="644"/>
      <c r="C1000" s="661"/>
      <c r="D1000" s="661"/>
      <c r="E1000" s="661"/>
      <c r="F1000" s="661"/>
      <c r="G1000" s="1163" t="s">
        <v>2266</v>
      </c>
      <c r="H1000" s="1163"/>
      <c r="I1000" s="1163"/>
      <c r="J1000" s="1163"/>
      <c r="K1000" s="1163"/>
      <c r="L1000" s="1163"/>
      <c r="M1000" s="1163"/>
      <c r="N1000" s="1163"/>
      <c r="O1000" s="590"/>
      <c r="P1000" s="590"/>
      <c r="Q1000" s="626"/>
      <c r="R1000" s="626"/>
      <c r="S1000" s="302"/>
      <c r="T1000" s="302"/>
      <c r="U1000" s="590"/>
      <c r="V1000" s="303"/>
    </row>
    <row r="1001" spans="1:22" ht="15" customHeight="1" x14ac:dyDescent="0.25">
      <c r="A1001" s="567"/>
      <c r="B1001" s="644"/>
      <c r="C1001" s="661"/>
      <c r="D1001" s="661"/>
      <c r="E1001" s="661"/>
      <c r="F1001" s="661"/>
      <c r="G1001" s="627" t="s">
        <v>2370</v>
      </c>
      <c r="H1001" s="627" t="s">
        <v>2371</v>
      </c>
      <c r="I1001" s="660" t="s">
        <v>2412</v>
      </c>
      <c r="J1001" s="659"/>
      <c r="K1001" s="628">
        <f>(0.04-0.015)*0.15</f>
        <v>3.7499999999999999E-3</v>
      </c>
      <c r="L1001" s="302"/>
      <c r="M1001" s="590"/>
      <c r="N1001" s="302"/>
      <c r="O1001" s="590"/>
      <c r="P1001" s="590"/>
      <c r="Q1001" s="626"/>
      <c r="R1001" s="626"/>
      <c r="S1001" s="302"/>
      <c r="T1001" s="302"/>
      <c r="U1001" s="590"/>
      <c r="V1001" s="303"/>
    </row>
    <row r="1002" spans="1:22" ht="15" customHeight="1" x14ac:dyDescent="0.25">
      <c r="A1002" s="567"/>
      <c r="B1002" s="644"/>
      <c r="C1002" s="661"/>
      <c r="D1002" s="661"/>
      <c r="E1002" s="661"/>
      <c r="F1002" s="661"/>
      <c r="G1002" s="627" t="s">
        <v>2403</v>
      </c>
      <c r="H1002" s="627" t="s">
        <v>2404</v>
      </c>
      <c r="I1002" s="660" t="s">
        <v>13393</v>
      </c>
      <c r="J1002" s="659"/>
      <c r="K1002" s="628">
        <f>(0.13-0.053)*0.15</f>
        <v>1.1550000000000001E-2</v>
      </c>
      <c r="L1002" s="302"/>
      <c r="M1002" s="590"/>
      <c r="N1002" s="302"/>
      <c r="O1002" s="590"/>
      <c r="P1002" s="590"/>
      <c r="Q1002" s="626"/>
      <c r="R1002" s="626"/>
      <c r="S1002" s="302"/>
      <c r="T1002" s="302"/>
      <c r="U1002" s="590"/>
      <c r="V1002" s="303"/>
    </row>
    <row r="1003" spans="1:22" ht="15" customHeight="1" x14ac:dyDescent="0.25">
      <c r="A1003" s="567"/>
      <c r="B1003" s="644"/>
      <c r="C1003" s="661"/>
      <c r="D1003" s="661"/>
      <c r="E1003" s="661"/>
      <c r="F1003" s="661"/>
      <c r="G1003" s="1163" t="s">
        <v>18518</v>
      </c>
      <c r="H1003" s="1163"/>
      <c r="I1003" s="1163"/>
      <c r="J1003" s="1163"/>
      <c r="K1003" s="1163"/>
      <c r="L1003" s="1163"/>
      <c r="M1003" s="1163"/>
      <c r="N1003" s="1163"/>
      <c r="O1003" s="290"/>
      <c r="P1003" s="290"/>
      <c r="Q1003" s="629"/>
      <c r="R1003" s="629"/>
      <c r="S1003" s="307"/>
      <c r="T1003" s="307"/>
      <c r="U1003" s="290"/>
      <c r="V1003" s="305"/>
    </row>
    <row r="1004" spans="1:22" ht="15" customHeight="1" x14ac:dyDescent="0.25">
      <c r="A1004" s="567"/>
      <c r="B1004" s="644"/>
      <c r="C1004" s="661"/>
      <c r="D1004" s="661"/>
      <c r="E1004" s="661"/>
      <c r="F1004" s="661"/>
      <c r="G1004" s="673" t="s">
        <v>19001</v>
      </c>
      <c r="H1004" s="673" t="s">
        <v>19002</v>
      </c>
      <c r="I1004" s="703">
        <v>41124150</v>
      </c>
      <c r="J1004" s="704"/>
      <c r="K1004" s="674">
        <f>1*0.15</f>
        <v>0.15</v>
      </c>
      <c r="L1004" s="307"/>
      <c r="M1004" s="290"/>
      <c r="N1004" s="307"/>
      <c r="O1004" s="290"/>
      <c r="P1004" s="290"/>
      <c r="Q1004" s="629"/>
      <c r="R1004" s="629"/>
      <c r="S1004" s="307"/>
      <c r="T1004" s="307"/>
      <c r="U1004" s="290"/>
      <c r="V1004" s="305"/>
    </row>
    <row r="1005" spans="1:22" ht="15" customHeight="1" thickBot="1" x14ac:dyDescent="0.3">
      <c r="A1005" s="242"/>
      <c r="B1005" s="243"/>
      <c r="C1005" s="244"/>
      <c r="D1005" s="244"/>
      <c r="E1005" s="244"/>
      <c r="F1005" s="244"/>
      <c r="G1005" s="1066" t="s">
        <v>1199</v>
      </c>
      <c r="H1005" s="1066"/>
      <c r="I1005" s="1066"/>
      <c r="J1005" s="630"/>
      <c r="K1005" s="456">
        <f>SUM(J1004:K1004)</f>
        <v>0.15</v>
      </c>
      <c r="L1005" s="631"/>
      <c r="M1005" s="632">
        <v>0.92</v>
      </c>
      <c r="N1005" s="456">
        <f>K1005/M1005</f>
        <v>0.16304347826086954</v>
      </c>
      <c r="O1005" s="1066" t="s">
        <v>1199</v>
      </c>
      <c r="P1005" s="1066"/>
      <c r="Q1005" s="1066"/>
      <c r="R1005" s="554"/>
      <c r="S1005" s="456">
        <f>SUM(S992:S1002)</f>
        <v>0.128</v>
      </c>
      <c r="T1005" s="631"/>
      <c r="U1005" s="554">
        <v>0.92</v>
      </c>
      <c r="V1005" s="633">
        <f>S1005/U1005</f>
        <v>0.1391304347826087</v>
      </c>
    </row>
    <row r="1006" spans="1:22" s="475" customFormat="1" ht="15" customHeight="1" x14ac:dyDescent="0.25">
      <c r="A1006" s="1092" t="str">
        <f>Итоговая!C364</f>
        <v xml:space="preserve">ПС 110/35/10 кВ Лазурная </v>
      </c>
      <c r="B1006" s="1072">
        <f>Итоговая!D364</f>
        <v>40</v>
      </c>
      <c r="C1006" s="1067" t="str">
        <f>Итоговая!E364</f>
        <v>+</v>
      </c>
      <c r="D1006" s="1067">
        <f>Итоговая!F364</f>
        <v>40</v>
      </c>
      <c r="E1006" s="552"/>
      <c r="F1006" s="552"/>
      <c r="G1006" s="1168" t="s">
        <v>1290</v>
      </c>
      <c r="H1006" s="1168"/>
      <c r="I1006" s="1168"/>
      <c r="J1006" s="1168"/>
      <c r="K1006" s="1168"/>
      <c r="L1006" s="1168"/>
      <c r="M1006" s="1168"/>
      <c r="N1006" s="1168"/>
      <c r="O1006" s="1181"/>
      <c r="P1006" s="1181"/>
      <c r="Q1006" s="1181"/>
      <c r="R1006" s="1181"/>
      <c r="S1006" s="1181"/>
      <c r="T1006" s="1181"/>
      <c r="U1006" s="1181"/>
      <c r="V1006" s="1182"/>
    </row>
    <row r="1007" spans="1:22" ht="15" customHeight="1" x14ac:dyDescent="0.25">
      <c r="A1007" s="1093"/>
      <c r="B1007" s="1023"/>
      <c r="C1007" s="1024"/>
      <c r="D1007" s="1024"/>
      <c r="E1007" s="553"/>
      <c r="F1007" s="553"/>
      <c r="G1007" s="596" t="s">
        <v>910</v>
      </c>
      <c r="H1007" s="596" t="s">
        <v>911</v>
      </c>
      <c r="I1007" s="596" t="s">
        <v>912</v>
      </c>
      <c r="J1007" s="286"/>
      <c r="K1007" s="286">
        <v>0.3</v>
      </c>
      <c r="L1007" s="302"/>
      <c r="M1007" s="590"/>
      <c r="N1007" s="302"/>
      <c r="O1007" s="590"/>
      <c r="P1007" s="590"/>
      <c r="Q1007" s="590"/>
      <c r="R1007" s="590"/>
      <c r="S1007" s="302"/>
      <c r="T1007" s="302"/>
      <c r="U1007" s="590"/>
      <c r="V1007" s="303"/>
    </row>
    <row r="1008" spans="1:22" ht="15" customHeight="1" x14ac:dyDescent="0.25">
      <c r="A1008" s="1093"/>
      <c r="B1008" s="1023"/>
      <c r="C1008" s="1024"/>
      <c r="D1008" s="1024"/>
      <c r="E1008" s="553"/>
      <c r="F1008" s="553"/>
      <c r="G1008" s="1163" t="s">
        <v>1288</v>
      </c>
      <c r="H1008" s="1163"/>
      <c r="I1008" s="1163"/>
      <c r="J1008" s="1163"/>
      <c r="K1008" s="1163"/>
      <c r="L1008" s="1163"/>
      <c r="M1008" s="1163"/>
      <c r="N1008" s="1163"/>
      <c r="O1008" s="1185"/>
      <c r="P1008" s="1185"/>
      <c r="Q1008" s="1185"/>
      <c r="R1008" s="1185"/>
      <c r="S1008" s="1185"/>
      <c r="T1008" s="1185"/>
      <c r="U1008" s="1185"/>
      <c r="V1008" s="1186"/>
    </row>
    <row r="1009" spans="1:22" ht="15" customHeight="1" x14ac:dyDescent="0.25">
      <c r="A1009" s="1093"/>
      <c r="B1009" s="1023"/>
      <c r="C1009" s="1024"/>
      <c r="D1009" s="1024"/>
      <c r="E1009" s="553"/>
      <c r="F1009" s="553"/>
      <c r="G1009" s="596" t="s">
        <v>913</v>
      </c>
      <c r="H1009" s="596" t="s">
        <v>914</v>
      </c>
      <c r="I1009" s="596" t="s">
        <v>915</v>
      </c>
      <c r="J1009" s="286"/>
      <c r="K1009" s="286">
        <v>0.192</v>
      </c>
      <c r="L1009" s="302"/>
      <c r="M1009" s="590"/>
      <c r="N1009" s="302"/>
      <c r="O1009" s="590"/>
      <c r="P1009" s="590"/>
      <c r="Q1009" s="590"/>
      <c r="R1009" s="590"/>
      <c r="S1009" s="302"/>
      <c r="T1009" s="302"/>
      <c r="U1009" s="590"/>
      <c r="V1009" s="303"/>
    </row>
    <row r="1010" spans="1:22" ht="15" customHeight="1" x14ac:dyDescent="0.25">
      <c r="A1010" s="1093"/>
      <c r="B1010" s="1023"/>
      <c r="C1010" s="1024"/>
      <c r="D1010" s="1024"/>
      <c r="E1010" s="553"/>
      <c r="F1010" s="553"/>
      <c r="G1010" s="596" t="s">
        <v>916</v>
      </c>
      <c r="H1010" s="596" t="s">
        <v>917</v>
      </c>
      <c r="I1010" s="596" t="s">
        <v>918</v>
      </c>
      <c r="J1010" s="286"/>
      <c r="K1010" s="286">
        <v>0.93</v>
      </c>
      <c r="L1010" s="302"/>
      <c r="M1010" s="590"/>
      <c r="N1010" s="302"/>
      <c r="O1010" s="590"/>
      <c r="P1010" s="590"/>
      <c r="Q1010" s="590"/>
      <c r="R1010" s="590"/>
      <c r="S1010" s="302"/>
      <c r="T1010" s="302"/>
      <c r="U1010" s="590"/>
      <c r="V1010" s="303"/>
    </row>
    <row r="1011" spans="1:22" ht="15" customHeight="1" x14ac:dyDescent="0.25">
      <c r="A1011" s="567"/>
      <c r="B1011" s="644"/>
      <c r="C1011" s="661"/>
      <c r="D1011" s="661"/>
      <c r="E1011" s="661"/>
      <c r="F1011" s="661"/>
      <c r="G1011" s="596" t="s">
        <v>919</v>
      </c>
      <c r="H1011" s="596" t="s">
        <v>920</v>
      </c>
      <c r="I1011" s="596" t="s">
        <v>921</v>
      </c>
      <c r="J1011" s="286"/>
      <c r="K1011" s="286">
        <v>2.125</v>
      </c>
      <c r="L1011" s="302"/>
      <c r="M1011" s="590"/>
      <c r="N1011" s="302"/>
      <c r="O1011" s="590"/>
      <c r="P1011" s="590"/>
      <c r="Q1011" s="590"/>
      <c r="R1011" s="590"/>
      <c r="S1011" s="302"/>
      <c r="T1011" s="302"/>
      <c r="U1011" s="590"/>
      <c r="V1011" s="303"/>
    </row>
    <row r="1012" spans="1:22" ht="15" customHeight="1" x14ac:dyDescent="0.25">
      <c r="A1012" s="567"/>
      <c r="B1012" s="644"/>
      <c r="C1012" s="661"/>
      <c r="D1012" s="661"/>
      <c r="E1012" s="661"/>
      <c r="F1012" s="661"/>
      <c r="G1012" s="1163" t="s">
        <v>1287</v>
      </c>
      <c r="H1012" s="1163"/>
      <c r="I1012" s="1163"/>
      <c r="J1012" s="1163"/>
      <c r="K1012" s="1163"/>
      <c r="L1012" s="1163"/>
      <c r="M1012" s="1163"/>
      <c r="N1012" s="1163"/>
      <c r="O1012" s="1185"/>
      <c r="P1012" s="1185"/>
      <c r="Q1012" s="1185"/>
      <c r="R1012" s="1185"/>
      <c r="S1012" s="1185"/>
      <c r="T1012" s="1185"/>
      <c r="U1012" s="1185"/>
      <c r="V1012" s="1186"/>
    </row>
    <row r="1013" spans="1:22" ht="15" customHeight="1" x14ac:dyDescent="0.25">
      <c r="A1013" s="567"/>
      <c r="B1013" s="644"/>
      <c r="C1013" s="661"/>
      <c r="D1013" s="661"/>
      <c r="E1013" s="661"/>
      <c r="F1013" s="661"/>
      <c r="G1013" s="596" t="s">
        <v>922</v>
      </c>
      <c r="H1013" s="596" t="s">
        <v>923</v>
      </c>
      <c r="I1013" s="596" t="s">
        <v>924</v>
      </c>
      <c r="J1013" s="286"/>
      <c r="K1013" s="286">
        <v>3</v>
      </c>
      <c r="L1013" s="302"/>
      <c r="M1013" s="590"/>
      <c r="N1013" s="302"/>
      <c r="O1013" s="590"/>
      <c r="P1013" s="590"/>
      <c r="Q1013" s="590"/>
      <c r="R1013" s="590"/>
      <c r="S1013" s="302"/>
      <c r="T1013" s="302"/>
      <c r="U1013" s="590"/>
      <c r="V1013" s="303"/>
    </row>
    <row r="1014" spans="1:22" ht="15" customHeight="1" x14ac:dyDescent="0.25">
      <c r="A1014" s="567"/>
      <c r="B1014" s="644"/>
      <c r="C1014" s="661"/>
      <c r="D1014" s="661"/>
      <c r="E1014" s="661"/>
      <c r="F1014" s="661"/>
      <c r="G1014" s="1163" t="s">
        <v>1286</v>
      </c>
      <c r="H1014" s="1163"/>
      <c r="I1014" s="1163"/>
      <c r="J1014" s="1163"/>
      <c r="K1014" s="1163"/>
      <c r="L1014" s="1163"/>
      <c r="M1014" s="1163"/>
      <c r="N1014" s="1163"/>
      <c r="O1014" s="1185"/>
      <c r="P1014" s="1185"/>
      <c r="Q1014" s="1185"/>
      <c r="R1014" s="1185"/>
      <c r="S1014" s="1185"/>
      <c r="T1014" s="1185"/>
      <c r="U1014" s="1185"/>
      <c r="V1014" s="1186"/>
    </row>
    <row r="1015" spans="1:22" ht="15" customHeight="1" x14ac:dyDescent="0.25">
      <c r="A1015" s="567"/>
      <c r="B1015" s="644"/>
      <c r="C1015" s="661"/>
      <c r="D1015" s="661"/>
      <c r="E1015" s="661"/>
      <c r="F1015" s="661"/>
      <c r="G1015" s="596" t="s">
        <v>421</v>
      </c>
      <c r="H1015" s="596" t="s">
        <v>925</v>
      </c>
      <c r="I1015" s="596" t="s">
        <v>926</v>
      </c>
      <c r="J1015" s="286"/>
      <c r="K1015" s="286">
        <v>0.17</v>
      </c>
      <c r="L1015" s="302"/>
      <c r="M1015" s="590"/>
      <c r="N1015" s="302"/>
      <c r="O1015" s="590"/>
      <c r="P1015" s="590"/>
      <c r="Q1015" s="590"/>
      <c r="R1015" s="590"/>
      <c r="S1015" s="302"/>
      <c r="T1015" s="302"/>
      <c r="U1015" s="590"/>
      <c r="V1015" s="303"/>
    </row>
    <row r="1016" spans="1:22" ht="15" customHeight="1" x14ac:dyDescent="0.25">
      <c r="A1016" s="567"/>
      <c r="B1016" s="644"/>
      <c r="C1016" s="661"/>
      <c r="D1016" s="661"/>
      <c r="E1016" s="661"/>
      <c r="F1016" s="661"/>
      <c r="G1016" s="596" t="s">
        <v>1694</v>
      </c>
      <c r="H1016" s="596" t="s">
        <v>927</v>
      </c>
      <c r="I1016" s="596" t="s">
        <v>928</v>
      </c>
      <c r="J1016" s="286"/>
      <c r="K1016" s="286">
        <v>0.1</v>
      </c>
      <c r="L1016" s="302"/>
      <c r="M1016" s="590"/>
      <c r="N1016" s="302"/>
      <c r="O1016" s="590"/>
      <c r="P1016" s="590"/>
      <c r="Q1016" s="590"/>
      <c r="R1016" s="590"/>
      <c r="S1016" s="302"/>
      <c r="T1016" s="302"/>
      <c r="U1016" s="590"/>
      <c r="V1016" s="303"/>
    </row>
    <row r="1017" spans="1:22" ht="15" customHeight="1" x14ac:dyDescent="0.25">
      <c r="A1017" s="567"/>
      <c r="B1017" s="564"/>
      <c r="C1017" s="553"/>
      <c r="D1017" s="553"/>
      <c r="E1017" s="553"/>
      <c r="F1017" s="553"/>
      <c r="G1017" s="596" t="s">
        <v>1694</v>
      </c>
      <c r="H1017" s="596" t="s">
        <v>1294</v>
      </c>
      <c r="I1017" s="596" t="s">
        <v>1693</v>
      </c>
      <c r="J1017" s="286"/>
      <c r="K1017" s="286">
        <v>0.1</v>
      </c>
      <c r="L1017" s="302"/>
      <c r="M1017" s="590"/>
      <c r="N1017" s="302"/>
      <c r="O1017" s="590"/>
      <c r="P1017" s="590"/>
      <c r="Q1017" s="590"/>
      <c r="R1017" s="590"/>
      <c r="S1017" s="302"/>
      <c r="T1017" s="302"/>
      <c r="U1017" s="590"/>
      <c r="V1017" s="303"/>
    </row>
    <row r="1018" spans="1:22" ht="15" customHeight="1" x14ac:dyDescent="0.25">
      <c r="A1018" s="567"/>
      <c r="B1018" s="564"/>
      <c r="C1018" s="553"/>
      <c r="D1018" s="553"/>
      <c r="E1018" s="553"/>
      <c r="F1018" s="553"/>
      <c r="G1018" s="1163" t="s">
        <v>1324</v>
      </c>
      <c r="H1018" s="1163"/>
      <c r="I1018" s="1163"/>
      <c r="J1018" s="1163"/>
      <c r="K1018" s="1163"/>
      <c r="L1018" s="1163"/>
      <c r="M1018" s="1163"/>
      <c r="N1018" s="1163"/>
      <c r="O1018" s="1185"/>
      <c r="P1018" s="1185"/>
      <c r="Q1018" s="1185"/>
      <c r="R1018" s="1185"/>
      <c r="S1018" s="1185"/>
      <c r="T1018" s="1185"/>
      <c r="U1018" s="1185"/>
      <c r="V1018" s="1186"/>
    </row>
    <row r="1019" spans="1:22" ht="15" customHeight="1" x14ac:dyDescent="0.25">
      <c r="A1019" s="567"/>
      <c r="B1019" s="564"/>
      <c r="C1019" s="553"/>
      <c r="D1019" s="553"/>
      <c r="E1019" s="553"/>
      <c r="F1019" s="553"/>
      <c r="G1019" s="596" t="s">
        <v>541</v>
      </c>
      <c r="H1019" s="596" t="s">
        <v>542</v>
      </c>
      <c r="I1019" s="596" t="s">
        <v>1493</v>
      </c>
      <c r="J1019" s="286"/>
      <c r="K1019" s="302">
        <v>0.05</v>
      </c>
      <c r="L1019" s="302"/>
      <c r="M1019" s="590"/>
      <c r="N1019" s="302"/>
      <c r="O1019" s="590"/>
      <c r="P1019" s="590"/>
      <c r="Q1019" s="590"/>
      <c r="R1019" s="590"/>
      <c r="S1019" s="302"/>
      <c r="T1019" s="302"/>
      <c r="U1019" s="590"/>
      <c r="V1019" s="303"/>
    </row>
    <row r="1020" spans="1:22" ht="15" customHeight="1" x14ac:dyDescent="0.25">
      <c r="A1020" s="567"/>
      <c r="B1020" s="564"/>
      <c r="C1020" s="553"/>
      <c r="D1020" s="553"/>
      <c r="E1020" s="553"/>
      <c r="F1020" s="553"/>
      <c r="G1020" s="596" t="s">
        <v>1412</v>
      </c>
      <c r="H1020" s="596" t="s">
        <v>1413</v>
      </c>
      <c r="I1020" s="596" t="s">
        <v>1558</v>
      </c>
      <c r="J1020" s="286"/>
      <c r="K1020" s="302">
        <v>0.06</v>
      </c>
      <c r="L1020" s="302"/>
      <c r="M1020" s="590"/>
      <c r="N1020" s="302"/>
      <c r="O1020" s="590"/>
      <c r="P1020" s="590"/>
      <c r="Q1020" s="590"/>
      <c r="R1020" s="590"/>
      <c r="S1020" s="302"/>
      <c r="T1020" s="302"/>
      <c r="U1020" s="590"/>
      <c r="V1020" s="303"/>
    </row>
    <row r="1021" spans="1:22" ht="15" customHeight="1" x14ac:dyDescent="0.25">
      <c r="A1021" s="567"/>
      <c r="B1021" s="564"/>
      <c r="C1021" s="553"/>
      <c r="D1021" s="553"/>
      <c r="E1021" s="553"/>
      <c r="F1021" s="553"/>
      <c r="G1021" s="590" t="s">
        <v>1414</v>
      </c>
      <c r="H1021" s="590" t="s">
        <v>1560</v>
      </c>
      <c r="I1021" s="596" t="s">
        <v>1561</v>
      </c>
      <c r="J1021" s="286"/>
      <c r="K1021" s="302">
        <v>0.1</v>
      </c>
      <c r="L1021" s="302"/>
      <c r="M1021" s="590"/>
      <c r="N1021" s="302"/>
      <c r="O1021" s="590"/>
      <c r="P1021" s="590"/>
      <c r="Q1021" s="590"/>
      <c r="R1021" s="590"/>
      <c r="S1021" s="302"/>
      <c r="T1021" s="302"/>
      <c r="U1021" s="590"/>
      <c r="V1021" s="303"/>
    </row>
    <row r="1022" spans="1:22" ht="15" customHeight="1" x14ac:dyDescent="0.25">
      <c r="A1022" s="567"/>
      <c r="B1022" s="564"/>
      <c r="C1022" s="553"/>
      <c r="D1022" s="553"/>
      <c r="E1022" s="553"/>
      <c r="F1022" s="553"/>
      <c r="G1022" s="1163" t="s">
        <v>2011</v>
      </c>
      <c r="H1022" s="1163"/>
      <c r="I1022" s="1163"/>
      <c r="J1022" s="1163"/>
      <c r="K1022" s="1163"/>
      <c r="L1022" s="1163"/>
      <c r="M1022" s="1163"/>
      <c r="N1022" s="1163"/>
      <c r="O1022" s="590"/>
      <c r="P1022" s="590"/>
      <c r="Q1022" s="590"/>
      <c r="R1022" s="590"/>
      <c r="S1022" s="302"/>
      <c r="T1022" s="302"/>
      <c r="U1022" s="590"/>
      <c r="V1022" s="303"/>
    </row>
    <row r="1023" spans="1:22" ht="15" customHeight="1" x14ac:dyDescent="0.25">
      <c r="A1023" s="567"/>
      <c r="B1023" s="564"/>
      <c r="C1023" s="553"/>
      <c r="D1023" s="553"/>
      <c r="E1023" s="553"/>
      <c r="F1023" s="553"/>
      <c r="G1023" s="590" t="s">
        <v>916</v>
      </c>
      <c r="H1023" s="590" t="s">
        <v>1993</v>
      </c>
      <c r="I1023" s="596" t="s">
        <v>2026</v>
      </c>
      <c r="J1023" s="286"/>
      <c r="K1023" s="302">
        <f>0.29*0.9</f>
        <v>0.26100000000000001</v>
      </c>
      <c r="L1023" s="302"/>
      <c r="M1023" s="590"/>
      <c r="N1023" s="302"/>
      <c r="O1023" s="590"/>
      <c r="P1023" s="590"/>
      <c r="Q1023" s="590"/>
      <c r="R1023" s="590"/>
      <c r="S1023" s="302"/>
      <c r="T1023" s="302"/>
      <c r="U1023" s="590"/>
      <c r="V1023" s="303"/>
    </row>
    <row r="1024" spans="1:22" ht="15" customHeight="1" x14ac:dyDescent="0.25">
      <c r="A1024" s="567"/>
      <c r="B1024" s="564"/>
      <c r="C1024" s="553"/>
      <c r="D1024" s="553"/>
      <c r="E1024" s="553"/>
      <c r="F1024" s="553"/>
      <c r="G1024" s="590" t="s">
        <v>2158</v>
      </c>
      <c r="H1024" s="590" t="s">
        <v>2159</v>
      </c>
      <c r="I1024" s="596" t="s">
        <v>2202</v>
      </c>
      <c r="J1024" s="286"/>
      <c r="K1024" s="302">
        <f>0.1*0.75</f>
        <v>7.5000000000000011E-2</v>
      </c>
      <c r="L1024" s="302"/>
      <c r="M1024" s="590"/>
      <c r="N1024" s="302"/>
      <c r="O1024" s="590"/>
      <c r="P1024" s="590"/>
      <c r="Q1024" s="590"/>
      <c r="R1024" s="590"/>
      <c r="S1024" s="302"/>
      <c r="T1024" s="302"/>
      <c r="U1024" s="590"/>
      <c r="V1024" s="303"/>
    </row>
    <row r="1025" spans="1:22" ht="15" customHeight="1" x14ac:dyDescent="0.25">
      <c r="A1025" s="567"/>
      <c r="B1025" s="564"/>
      <c r="C1025" s="553"/>
      <c r="D1025" s="553"/>
      <c r="E1025" s="553"/>
      <c r="F1025" s="553"/>
      <c r="G1025" s="1163" t="s">
        <v>2290</v>
      </c>
      <c r="H1025" s="1163"/>
      <c r="I1025" s="1163"/>
      <c r="J1025" s="1163"/>
      <c r="K1025" s="1163"/>
      <c r="L1025" s="1163"/>
      <c r="M1025" s="1163"/>
      <c r="N1025" s="1163"/>
      <c r="O1025" s="590"/>
      <c r="P1025" s="590"/>
      <c r="Q1025" s="590"/>
      <c r="R1025" s="590"/>
      <c r="S1025" s="302"/>
      <c r="T1025" s="302"/>
      <c r="U1025" s="590"/>
      <c r="V1025" s="303"/>
    </row>
    <row r="1026" spans="1:22" ht="15" customHeight="1" x14ac:dyDescent="0.25">
      <c r="A1026" s="567"/>
      <c r="B1026" s="564"/>
      <c r="C1026" s="553"/>
      <c r="D1026" s="553"/>
      <c r="E1026" s="553"/>
      <c r="F1026" s="553"/>
      <c r="G1026" s="590" t="s">
        <v>2065</v>
      </c>
      <c r="H1026" s="590" t="s">
        <v>2066</v>
      </c>
      <c r="I1026" s="596" t="s">
        <v>2317</v>
      </c>
      <c r="J1026" s="286"/>
      <c r="K1026" s="302">
        <f>(0.053-0.023)*0.75</f>
        <v>2.2499999999999999E-2</v>
      </c>
      <c r="L1026" s="302"/>
      <c r="M1026" s="590"/>
      <c r="N1026" s="302"/>
      <c r="O1026" s="590"/>
      <c r="P1026" s="590"/>
      <c r="Q1026" s="590"/>
      <c r="R1026" s="590"/>
      <c r="S1026" s="302"/>
      <c r="T1026" s="302"/>
      <c r="U1026" s="590"/>
      <c r="V1026" s="303"/>
    </row>
    <row r="1027" spans="1:22" ht="15" customHeight="1" x14ac:dyDescent="0.25">
      <c r="A1027" s="567"/>
      <c r="B1027" s="564"/>
      <c r="C1027" s="553"/>
      <c r="D1027" s="553"/>
      <c r="E1027" s="553"/>
      <c r="F1027" s="553"/>
      <c r="G1027" s="590" t="s">
        <v>14746</v>
      </c>
      <c r="H1027" s="590" t="s">
        <v>14747</v>
      </c>
      <c r="I1027" s="596" t="s">
        <v>14833</v>
      </c>
      <c r="J1027" s="286"/>
      <c r="K1027" s="302">
        <f>(2.18-0.93)*0.75</f>
        <v>0.9375</v>
      </c>
      <c r="L1027" s="302"/>
      <c r="M1027" s="590"/>
      <c r="N1027" s="302"/>
      <c r="O1027" s="590"/>
      <c r="P1027" s="590"/>
      <c r="Q1027" s="590"/>
      <c r="R1027" s="590"/>
      <c r="S1027" s="302"/>
      <c r="T1027" s="302"/>
      <c r="U1027" s="590"/>
      <c r="V1027" s="303"/>
    </row>
    <row r="1028" spans="1:22" ht="15" customHeight="1" x14ac:dyDescent="0.25">
      <c r="A1028" s="567"/>
      <c r="B1028" s="564"/>
      <c r="C1028" s="553"/>
      <c r="D1028" s="553"/>
      <c r="E1028" s="553"/>
      <c r="F1028" s="553"/>
      <c r="G1028" s="1163" t="s">
        <v>14933</v>
      </c>
      <c r="H1028" s="1163"/>
      <c r="I1028" s="1163"/>
      <c r="J1028" s="1163"/>
      <c r="K1028" s="1163"/>
      <c r="L1028" s="1163"/>
      <c r="M1028" s="1163"/>
      <c r="N1028" s="1163"/>
      <c r="O1028" s="590"/>
      <c r="P1028" s="590"/>
      <c r="Q1028" s="590"/>
      <c r="R1028" s="590"/>
      <c r="S1028" s="302"/>
      <c r="T1028" s="302"/>
      <c r="U1028" s="590"/>
      <c r="V1028" s="303"/>
    </row>
    <row r="1029" spans="1:22" ht="15" customHeight="1" x14ac:dyDescent="0.25">
      <c r="A1029" s="567"/>
      <c r="B1029" s="564"/>
      <c r="C1029" s="553"/>
      <c r="D1029" s="553"/>
      <c r="E1029" s="553"/>
      <c r="F1029" s="553"/>
      <c r="G1029" s="590" t="s">
        <v>1422</v>
      </c>
      <c r="H1029" s="590" t="s">
        <v>17419</v>
      </c>
      <c r="I1029" s="596" t="s">
        <v>17420</v>
      </c>
      <c r="J1029" s="286"/>
      <c r="K1029" s="302">
        <f>0.25*0.75</f>
        <v>0.1875</v>
      </c>
      <c r="L1029" s="302"/>
      <c r="M1029" s="590"/>
      <c r="N1029" s="302"/>
      <c r="O1029" s="590"/>
      <c r="P1029" s="590"/>
      <c r="Q1029" s="590"/>
      <c r="R1029" s="590"/>
      <c r="S1029" s="302"/>
      <c r="T1029" s="302"/>
      <c r="U1029" s="590"/>
      <c r="V1029" s="303"/>
    </row>
    <row r="1030" spans="1:22" ht="15" customHeight="1" x14ac:dyDescent="0.25">
      <c r="A1030" s="567"/>
      <c r="B1030" s="564"/>
      <c r="C1030" s="553"/>
      <c r="D1030" s="553"/>
      <c r="E1030" s="553"/>
      <c r="F1030" s="553"/>
      <c r="G1030" s="590" t="s">
        <v>17460</v>
      </c>
      <c r="H1030" s="590" t="s">
        <v>17529</v>
      </c>
      <c r="I1030" s="596" t="s">
        <v>17530</v>
      </c>
      <c r="J1030" s="286"/>
      <c r="K1030" s="302">
        <f>2*0.75</f>
        <v>1.5</v>
      </c>
      <c r="L1030" s="302"/>
      <c r="M1030" s="590"/>
      <c r="N1030" s="302"/>
      <c r="O1030" s="590"/>
      <c r="P1030" s="590"/>
      <c r="Q1030" s="590"/>
      <c r="R1030" s="590"/>
      <c r="S1030" s="302"/>
      <c r="T1030" s="302"/>
      <c r="U1030" s="590"/>
      <c r="V1030" s="303"/>
    </row>
    <row r="1031" spans="1:22" ht="15" customHeight="1" x14ac:dyDescent="0.25">
      <c r="A1031" s="567"/>
      <c r="B1031" s="564"/>
      <c r="C1031" s="553"/>
      <c r="D1031" s="553"/>
      <c r="E1031" s="553"/>
      <c r="F1031" s="553"/>
      <c r="G1031" s="590" t="s">
        <v>14746</v>
      </c>
      <c r="H1031" s="590" t="s">
        <v>17664</v>
      </c>
      <c r="I1031" s="596" t="s">
        <v>17665</v>
      </c>
      <c r="J1031" s="286"/>
      <c r="K1031" s="302">
        <f>(1.805-0.855)*0.75</f>
        <v>0.71249999999999991</v>
      </c>
      <c r="L1031" s="302"/>
      <c r="M1031" s="590"/>
      <c r="N1031" s="302"/>
      <c r="O1031" s="590"/>
      <c r="P1031" s="590"/>
      <c r="Q1031" s="590"/>
      <c r="R1031" s="590"/>
      <c r="S1031" s="302"/>
      <c r="T1031" s="302"/>
      <c r="U1031" s="590"/>
      <c r="V1031" s="303"/>
    </row>
    <row r="1032" spans="1:22" ht="15" customHeight="1" x14ac:dyDescent="0.25">
      <c r="A1032" s="567"/>
      <c r="B1032" s="564"/>
      <c r="C1032" s="553"/>
      <c r="D1032" s="553"/>
      <c r="E1032" s="553"/>
      <c r="F1032" s="553"/>
      <c r="G1032" s="590" t="s">
        <v>18509</v>
      </c>
      <c r="H1032" s="590" t="s">
        <v>18510</v>
      </c>
      <c r="I1032" s="596" t="s">
        <v>18511</v>
      </c>
      <c r="J1032" s="286"/>
      <c r="K1032" s="302">
        <f>(0.065-0.035)*0.15</f>
        <v>4.4999999999999997E-3</v>
      </c>
      <c r="L1032" s="302"/>
      <c r="M1032" s="590"/>
      <c r="N1032" s="302"/>
      <c r="O1032" s="590"/>
      <c r="P1032" s="590"/>
      <c r="Q1032" s="590"/>
      <c r="R1032" s="590"/>
      <c r="S1032" s="302"/>
      <c r="T1032" s="302"/>
      <c r="U1032" s="590"/>
      <c r="V1032" s="303"/>
    </row>
    <row r="1033" spans="1:22" ht="15" customHeight="1" x14ac:dyDescent="0.25">
      <c r="A1033" s="567"/>
      <c r="B1033" s="564"/>
      <c r="C1033" s="553"/>
      <c r="D1033" s="553"/>
      <c r="E1033" s="553"/>
      <c r="F1033" s="553"/>
      <c r="G1033" s="1163" t="s">
        <v>18518</v>
      </c>
      <c r="H1033" s="1163"/>
      <c r="I1033" s="1163"/>
      <c r="J1033" s="1163"/>
      <c r="K1033" s="1163"/>
      <c r="L1033" s="1163"/>
      <c r="M1033" s="1163"/>
      <c r="N1033" s="1163"/>
      <c r="O1033" s="290"/>
      <c r="P1033" s="290"/>
      <c r="Q1033" s="290"/>
      <c r="R1033" s="290"/>
      <c r="S1033" s="307"/>
      <c r="T1033" s="307"/>
      <c r="U1033" s="290"/>
      <c r="V1033" s="305"/>
    </row>
    <row r="1034" spans="1:22" ht="15" customHeight="1" x14ac:dyDescent="0.25">
      <c r="A1034" s="567"/>
      <c r="B1034" s="564"/>
      <c r="C1034" s="553"/>
      <c r="D1034" s="553"/>
      <c r="E1034" s="553"/>
      <c r="F1034" s="553"/>
      <c r="G1034" s="290" t="s">
        <v>19017</v>
      </c>
      <c r="H1034" s="290" t="s">
        <v>19018</v>
      </c>
      <c r="I1034" s="600" t="s">
        <v>19605</v>
      </c>
      <c r="J1034" s="640">
        <f>0.2764*0.15</f>
        <v>4.1459999999999997E-2</v>
      </c>
      <c r="K1034" s="307">
        <f>0.2464*0.15</f>
        <v>3.696E-2</v>
      </c>
      <c r="L1034" s="307"/>
      <c r="M1034" s="290"/>
      <c r="N1034" s="307"/>
      <c r="O1034" s="290"/>
      <c r="P1034" s="290"/>
      <c r="Q1034" s="290"/>
      <c r="R1034" s="290"/>
      <c r="S1034" s="307"/>
      <c r="T1034" s="307"/>
      <c r="U1034" s="290"/>
      <c r="V1034" s="305"/>
    </row>
    <row r="1035" spans="1:22" ht="15" customHeight="1" thickBot="1" x14ac:dyDescent="0.3">
      <c r="A1035" s="242"/>
      <c r="B1035" s="243"/>
      <c r="C1035" s="244"/>
      <c r="D1035" s="244"/>
      <c r="E1035" s="244"/>
      <c r="F1035" s="244"/>
      <c r="G1035" s="1066" t="s">
        <v>1199</v>
      </c>
      <c r="H1035" s="1066"/>
      <c r="I1035" s="1066"/>
      <c r="J1035" s="630"/>
      <c r="K1035" s="456">
        <f>SUM(J1029:K1034)</f>
        <v>2.48292</v>
      </c>
      <c r="L1035" s="631"/>
      <c r="M1035" s="632">
        <v>0.92</v>
      </c>
      <c r="N1035" s="456">
        <f>K1035/M1035</f>
        <v>2.6988260869565215</v>
      </c>
      <c r="O1035" s="1066" t="s">
        <v>1199</v>
      </c>
      <c r="P1035" s="1066"/>
      <c r="Q1035" s="1066"/>
      <c r="R1035" s="554"/>
      <c r="S1035" s="456">
        <f>SUM(S1013,S1015:S1017,S1019:S1021)</f>
        <v>0</v>
      </c>
      <c r="T1035" s="631"/>
      <c r="U1035" s="554">
        <v>0.92</v>
      </c>
      <c r="V1035" s="633">
        <f>S1035/U1035</f>
        <v>0</v>
      </c>
    </row>
    <row r="1036" spans="1:22" ht="15" customHeight="1" x14ac:dyDescent="0.25">
      <c r="A1036" s="1226" t="s">
        <v>1673</v>
      </c>
      <c r="B1036" s="1072">
        <f>Итоговая!D368</f>
        <v>20</v>
      </c>
      <c r="C1036" s="1067" t="str">
        <f>Итоговая!E368</f>
        <v>+</v>
      </c>
      <c r="D1036" s="1067">
        <f>Итоговая!F368</f>
        <v>20</v>
      </c>
      <c r="E1036" s="552"/>
      <c r="F1036" s="552"/>
      <c r="G1036" s="1168" t="s">
        <v>1288</v>
      </c>
      <c r="H1036" s="1168"/>
      <c r="I1036" s="1168"/>
      <c r="J1036" s="1168"/>
      <c r="K1036" s="1168"/>
      <c r="L1036" s="1168"/>
      <c r="M1036" s="1168"/>
      <c r="N1036" s="1168"/>
      <c r="O1036" s="1181"/>
      <c r="P1036" s="1181"/>
      <c r="Q1036" s="1181"/>
      <c r="R1036" s="1181"/>
      <c r="S1036" s="1181"/>
      <c r="T1036" s="1181"/>
      <c r="U1036" s="1181"/>
      <c r="V1036" s="1182"/>
    </row>
    <row r="1037" spans="1:22" ht="15" customHeight="1" x14ac:dyDescent="0.25">
      <c r="A1037" s="1227"/>
      <c r="B1037" s="1023"/>
      <c r="C1037" s="1024"/>
      <c r="D1037" s="1024"/>
      <c r="E1037" s="553"/>
      <c r="F1037" s="553"/>
      <c r="G1037" s="627" t="s">
        <v>929</v>
      </c>
      <c r="H1037" s="705" t="s">
        <v>930</v>
      </c>
      <c r="I1037" s="627" t="s">
        <v>931</v>
      </c>
      <c r="J1037" s="628"/>
      <c r="K1037" s="628">
        <v>0.13300000000000001</v>
      </c>
      <c r="L1037" s="302"/>
      <c r="M1037" s="590"/>
      <c r="N1037" s="302"/>
      <c r="O1037" s="590"/>
      <c r="P1037" s="706"/>
      <c r="Q1037" s="590"/>
      <c r="R1037" s="590"/>
      <c r="S1037" s="302"/>
      <c r="T1037" s="302"/>
      <c r="U1037" s="590"/>
      <c r="V1037" s="303"/>
    </row>
    <row r="1038" spans="1:22" ht="15" customHeight="1" x14ac:dyDescent="0.25">
      <c r="A1038" s="707"/>
      <c r="B1038" s="564"/>
      <c r="C1038" s="553"/>
      <c r="D1038" s="553"/>
      <c r="E1038" s="553"/>
      <c r="F1038" s="553"/>
      <c r="G1038" s="1163" t="s">
        <v>1287</v>
      </c>
      <c r="H1038" s="1163"/>
      <c r="I1038" s="1163"/>
      <c r="J1038" s="1163"/>
      <c r="K1038" s="1163"/>
      <c r="L1038" s="1163"/>
      <c r="M1038" s="1163"/>
      <c r="N1038" s="1163"/>
      <c r="O1038" s="1185"/>
      <c r="P1038" s="1185"/>
      <c r="Q1038" s="1185"/>
      <c r="R1038" s="1185"/>
      <c r="S1038" s="1185"/>
      <c r="T1038" s="1185"/>
      <c r="U1038" s="1185"/>
      <c r="V1038" s="1186"/>
    </row>
    <row r="1039" spans="1:22" ht="15" customHeight="1" x14ac:dyDescent="0.25">
      <c r="A1039" s="567"/>
      <c r="B1039" s="564"/>
      <c r="C1039" s="553"/>
      <c r="D1039" s="553"/>
      <c r="E1039" s="553"/>
      <c r="F1039" s="553"/>
      <c r="G1039" s="627" t="s">
        <v>932</v>
      </c>
      <c r="H1039" s="627" t="s">
        <v>1112</v>
      </c>
      <c r="I1039" s="627" t="s">
        <v>1113</v>
      </c>
      <c r="J1039" s="628"/>
      <c r="K1039" s="628">
        <v>1.95E-2</v>
      </c>
      <c r="L1039" s="302"/>
      <c r="M1039" s="590"/>
      <c r="N1039" s="302"/>
      <c r="O1039" s="590"/>
      <c r="P1039" s="590"/>
      <c r="Q1039" s="590"/>
      <c r="R1039" s="590"/>
      <c r="S1039" s="302"/>
      <c r="T1039" s="302"/>
      <c r="U1039" s="590"/>
      <c r="V1039" s="303"/>
    </row>
    <row r="1040" spans="1:22" ht="15" customHeight="1" x14ac:dyDescent="0.25">
      <c r="A1040" s="567"/>
      <c r="B1040" s="564"/>
      <c r="C1040" s="553"/>
      <c r="D1040" s="553"/>
      <c r="E1040" s="553"/>
      <c r="F1040" s="553"/>
      <c r="G1040" s="627" t="s">
        <v>1114</v>
      </c>
      <c r="H1040" s="627" t="s">
        <v>1115</v>
      </c>
      <c r="I1040" s="627" t="s">
        <v>1116</v>
      </c>
      <c r="J1040" s="628"/>
      <c r="K1040" s="628">
        <v>0.20499999999999999</v>
      </c>
      <c r="L1040" s="302"/>
      <c r="M1040" s="590"/>
      <c r="N1040" s="302"/>
      <c r="O1040" s="590"/>
      <c r="P1040" s="590"/>
      <c r="Q1040" s="590"/>
      <c r="R1040" s="590"/>
      <c r="S1040" s="302"/>
      <c r="T1040" s="302"/>
      <c r="U1040" s="590"/>
      <c r="V1040" s="303"/>
    </row>
    <row r="1041" spans="1:22" ht="15" customHeight="1" x14ac:dyDescent="0.25">
      <c r="A1041" s="567"/>
      <c r="B1041" s="564"/>
      <c r="C1041" s="553"/>
      <c r="D1041" s="553"/>
      <c r="E1041" s="553"/>
      <c r="F1041" s="553"/>
      <c r="G1041" s="627" t="s">
        <v>1117</v>
      </c>
      <c r="H1041" s="660" t="s">
        <v>1118</v>
      </c>
      <c r="I1041" s="627" t="s">
        <v>1119</v>
      </c>
      <c r="J1041" s="628"/>
      <c r="K1041" s="628">
        <v>0.03</v>
      </c>
      <c r="L1041" s="302"/>
      <c r="M1041" s="590"/>
      <c r="N1041" s="302"/>
      <c r="O1041" s="590"/>
      <c r="P1041" s="467"/>
      <c r="Q1041" s="590"/>
      <c r="R1041" s="590"/>
      <c r="S1041" s="302"/>
      <c r="T1041" s="302"/>
      <c r="U1041" s="590"/>
      <c r="V1041" s="303"/>
    </row>
    <row r="1042" spans="1:22" ht="15" customHeight="1" x14ac:dyDescent="0.25">
      <c r="A1042" s="567"/>
      <c r="B1042" s="564"/>
      <c r="C1042" s="553"/>
      <c r="D1042" s="553"/>
      <c r="E1042" s="553"/>
      <c r="F1042" s="553"/>
      <c r="G1042" s="627" t="s">
        <v>1120</v>
      </c>
      <c r="H1042" s="627" t="s">
        <v>1121</v>
      </c>
      <c r="I1042" s="627" t="s">
        <v>1122</v>
      </c>
      <c r="J1042" s="628"/>
      <c r="K1042" s="628">
        <v>0.1</v>
      </c>
      <c r="L1042" s="302"/>
      <c r="M1042" s="590"/>
      <c r="N1042" s="302"/>
      <c r="O1042" s="590"/>
      <c r="P1042" s="590"/>
      <c r="Q1042" s="590"/>
      <c r="R1042" s="590"/>
      <c r="S1042" s="302"/>
      <c r="T1042" s="302"/>
      <c r="U1042" s="590"/>
      <c r="V1042" s="303"/>
    </row>
    <row r="1043" spans="1:22" ht="15" customHeight="1" x14ac:dyDescent="0.25">
      <c r="A1043" s="567"/>
      <c r="B1043" s="564"/>
      <c r="C1043" s="553"/>
      <c r="D1043" s="553"/>
      <c r="E1043" s="553"/>
      <c r="F1043" s="553"/>
      <c r="G1043" s="1163" t="s">
        <v>1286</v>
      </c>
      <c r="H1043" s="1163"/>
      <c r="I1043" s="1163"/>
      <c r="J1043" s="1163"/>
      <c r="K1043" s="1163"/>
      <c r="L1043" s="1163"/>
      <c r="M1043" s="1163"/>
      <c r="N1043" s="1163"/>
      <c r="O1043" s="1185"/>
      <c r="P1043" s="1185"/>
      <c r="Q1043" s="1185"/>
      <c r="R1043" s="1185"/>
      <c r="S1043" s="1185"/>
      <c r="T1043" s="1185"/>
      <c r="U1043" s="1185"/>
      <c r="V1043" s="1186"/>
    </row>
    <row r="1044" spans="1:22" ht="15" customHeight="1" x14ac:dyDescent="0.25">
      <c r="A1044" s="567"/>
      <c r="B1044" s="564"/>
      <c r="C1044" s="553"/>
      <c r="D1044" s="553"/>
      <c r="E1044" s="553"/>
      <c r="F1044" s="553"/>
      <c r="G1044" s="596" t="s">
        <v>1123</v>
      </c>
      <c r="H1044" s="596" t="s">
        <v>1124</v>
      </c>
      <c r="I1044" s="627" t="s">
        <v>1125</v>
      </c>
      <c r="J1044" s="628"/>
      <c r="K1044" s="628">
        <v>7.0000000000000007E-2</v>
      </c>
      <c r="L1044" s="302"/>
      <c r="M1044" s="590"/>
      <c r="N1044" s="302"/>
      <c r="O1044" s="590"/>
      <c r="P1044" s="590"/>
      <c r="Q1044" s="590"/>
      <c r="R1044" s="590"/>
      <c r="S1044" s="302"/>
      <c r="T1044" s="302"/>
      <c r="U1044" s="590"/>
      <c r="V1044" s="303"/>
    </row>
    <row r="1045" spans="1:22" ht="15" customHeight="1" x14ac:dyDescent="0.25">
      <c r="A1045" s="567"/>
      <c r="B1045" s="564"/>
      <c r="C1045" s="553"/>
      <c r="D1045" s="553"/>
      <c r="E1045" s="553"/>
      <c r="F1045" s="553"/>
      <c r="G1045" s="1163" t="s">
        <v>1324</v>
      </c>
      <c r="H1045" s="1163"/>
      <c r="I1045" s="1163"/>
      <c r="J1045" s="1163"/>
      <c r="K1045" s="1163"/>
      <c r="L1045" s="1163"/>
      <c r="M1045" s="1163"/>
      <c r="N1045" s="1163"/>
      <c r="O1045" s="1185"/>
      <c r="P1045" s="1185"/>
      <c r="Q1045" s="1185"/>
      <c r="R1045" s="1185"/>
      <c r="S1045" s="1185"/>
      <c r="T1045" s="1185"/>
      <c r="U1045" s="1185"/>
      <c r="V1045" s="1186"/>
    </row>
    <row r="1046" spans="1:22" ht="15" customHeight="1" x14ac:dyDescent="0.25">
      <c r="A1046" s="567"/>
      <c r="B1046" s="564"/>
      <c r="C1046" s="553"/>
      <c r="D1046" s="553"/>
      <c r="E1046" s="553"/>
      <c r="F1046" s="553"/>
      <c r="G1046" s="596" t="s">
        <v>1330</v>
      </c>
      <c r="H1046" s="596" t="s">
        <v>1331</v>
      </c>
      <c r="I1046" s="596" t="s">
        <v>1466</v>
      </c>
      <c r="J1046" s="286"/>
      <c r="K1046" s="628">
        <v>9.5000000000000001E-2</v>
      </c>
      <c r="L1046" s="302"/>
      <c r="M1046" s="590"/>
      <c r="N1046" s="302"/>
      <c r="O1046" s="590"/>
      <c r="P1046" s="590"/>
      <c r="Q1046" s="590"/>
      <c r="R1046" s="590"/>
      <c r="S1046" s="302"/>
      <c r="T1046" s="302"/>
      <c r="U1046" s="590"/>
      <c r="V1046" s="303"/>
    </row>
    <row r="1047" spans="1:22" ht="15" customHeight="1" thickBot="1" x14ac:dyDescent="0.3">
      <c r="A1047" s="242"/>
      <c r="B1047" s="243"/>
      <c r="C1047" s="244"/>
      <c r="D1047" s="244"/>
      <c r="E1047" s="244"/>
      <c r="F1047" s="244"/>
      <c r="G1047" s="1066" t="s">
        <v>1199</v>
      </c>
      <c r="H1047" s="1066"/>
      <c r="I1047" s="1066"/>
      <c r="J1047" s="630"/>
      <c r="K1047" s="456">
        <f>SUM(0)</f>
        <v>0</v>
      </c>
      <c r="L1047" s="631"/>
      <c r="M1047" s="632">
        <v>0.92</v>
      </c>
      <c r="N1047" s="456">
        <f>K1047/M1047</f>
        <v>0</v>
      </c>
      <c r="O1047" s="1066" t="s">
        <v>1199</v>
      </c>
      <c r="P1047" s="1066"/>
      <c r="Q1047" s="1066"/>
      <c r="R1047" s="554"/>
      <c r="S1047" s="456">
        <f>SUM(S1039:S1046)</f>
        <v>0</v>
      </c>
      <c r="T1047" s="631"/>
      <c r="U1047" s="554">
        <v>0.92</v>
      </c>
      <c r="V1047" s="633">
        <f>S1047/U1047</f>
        <v>0</v>
      </c>
    </row>
    <row r="1048" spans="1:22" ht="15" customHeight="1" x14ac:dyDescent="0.25">
      <c r="A1048" s="1226" t="s">
        <v>1674</v>
      </c>
      <c r="B1048" s="1072">
        <f>Итоговая!D369</f>
        <v>20</v>
      </c>
      <c r="C1048" s="1067" t="str">
        <f>Итоговая!E369</f>
        <v>+</v>
      </c>
      <c r="D1048" s="1067">
        <f>Итоговая!F369</f>
        <v>20</v>
      </c>
      <c r="E1048" s="552"/>
      <c r="F1048" s="552"/>
      <c r="G1048" s="1168" t="s">
        <v>1287</v>
      </c>
      <c r="H1048" s="1168"/>
      <c r="I1048" s="1168"/>
      <c r="J1048" s="1168"/>
      <c r="K1048" s="1168"/>
      <c r="L1048" s="1168"/>
      <c r="M1048" s="1168"/>
      <c r="N1048" s="1168"/>
      <c r="O1048" s="1168" t="s">
        <v>1287</v>
      </c>
      <c r="P1048" s="1168"/>
      <c r="Q1048" s="1168"/>
      <c r="R1048" s="1168"/>
      <c r="S1048" s="1168"/>
      <c r="T1048" s="1168"/>
      <c r="U1048" s="1168"/>
      <c r="V1048" s="1169"/>
    </row>
    <row r="1049" spans="1:22" ht="15" customHeight="1" x14ac:dyDescent="0.25">
      <c r="A1049" s="1227"/>
      <c r="B1049" s="1023"/>
      <c r="C1049" s="1024"/>
      <c r="D1049" s="1024"/>
      <c r="E1049" s="553"/>
      <c r="F1049" s="553"/>
      <c r="G1049" s="596" t="s">
        <v>1126</v>
      </c>
      <c r="H1049" s="596" t="s">
        <v>1127</v>
      </c>
      <c r="I1049" s="596" t="s">
        <v>1128</v>
      </c>
      <c r="J1049" s="286"/>
      <c r="K1049" s="286">
        <v>0.245</v>
      </c>
      <c r="L1049" s="302"/>
      <c r="M1049" s="590"/>
      <c r="N1049" s="302"/>
      <c r="O1049" s="596" t="s">
        <v>1129</v>
      </c>
      <c r="P1049" s="596" t="s">
        <v>1130</v>
      </c>
      <c r="Q1049" s="596" t="s">
        <v>1813</v>
      </c>
      <c r="R1049" s="596"/>
      <c r="S1049" s="302">
        <v>0.2</v>
      </c>
      <c r="T1049" s="302"/>
      <c r="U1049" s="590"/>
      <c r="V1049" s="303"/>
    </row>
    <row r="1050" spans="1:22" ht="15" customHeight="1" x14ac:dyDescent="0.25">
      <c r="A1050" s="1227"/>
      <c r="B1050" s="644"/>
      <c r="C1050" s="661"/>
      <c r="D1050" s="661"/>
      <c r="E1050" s="661"/>
      <c r="F1050" s="661"/>
      <c r="G1050" s="596"/>
      <c r="H1050" s="596"/>
      <c r="I1050" s="596"/>
      <c r="J1050" s="286"/>
      <c r="K1050" s="286"/>
      <c r="L1050" s="302"/>
      <c r="M1050" s="590"/>
      <c r="N1050" s="302"/>
      <c r="O1050" s="1163" t="s">
        <v>1645</v>
      </c>
      <c r="P1050" s="1163"/>
      <c r="Q1050" s="1163"/>
      <c r="R1050" s="1163"/>
      <c r="S1050" s="1163"/>
      <c r="T1050" s="1163"/>
      <c r="U1050" s="1163"/>
      <c r="V1050" s="1163"/>
    </row>
    <row r="1051" spans="1:22" ht="15" customHeight="1" x14ac:dyDescent="0.25">
      <c r="A1051" s="567"/>
      <c r="B1051" s="644"/>
      <c r="C1051" s="661"/>
      <c r="D1051" s="661"/>
      <c r="E1051" s="661"/>
      <c r="F1051" s="661"/>
      <c r="G1051" s="596" t="s">
        <v>575</v>
      </c>
      <c r="H1051" s="596" t="s">
        <v>1131</v>
      </c>
      <c r="I1051" s="596" t="s">
        <v>1132</v>
      </c>
      <c r="J1051" s="286"/>
      <c r="K1051" s="286">
        <v>0.745</v>
      </c>
      <c r="L1051" s="302"/>
      <c r="M1051" s="590"/>
      <c r="N1051" s="302"/>
      <c r="O1051" s="627" t="s">
        <v>1133</v>
      </c>
      <c r="P1051" s="627" t="s">
        <v>896</v>
      </c>
      <c r="Q1051" s="725" t="s">
        <v>1801</v>
      </c>
      <c r="R1051" s="286"/>
      <c r="S1051" s="628">
        <v>0.3</v>
      </c>
      <c r="T1051" s="302"/>
      <c r="U1051" s="743"/>
      <c r="V1051" s="302"/>
    </row>
    <row r="1052" spans="1:22" ht="15" customHeight="1" x14ac:dyDescent="0.25">
      <c r="A1052" s="567"/>
      <c r="B1052" s="644"/>
      <c r="C1052" s="661"/>
      <c r="D1052" s="661"/>
      <c r="E1052" s="661"/>
      <c r="F1052" s="661"/>
      <c r="G1052" s="590" t="s">
        <v>1134</v>
      </c>
      <c r="H1052" s="590" t="s">
        <v>219</v>
      </c>
      <c r="I1052" s="596" t="s">
        <v>220</v>
      </c>
      <c r="J1052" s="286"/>
      <c r="K1052" s="302">
        <v>0.55000000000000004</v>
      </c>
      <c r="L1052" s="302"/>
      <c r="M1052" s="590"/>
      <c r="N1052" s="302"/>
      <c r="O1052" s="1163" t="s">
        <v>18518</v>
      </c>
      <c r="P1052" s="1163"/>
      <c r="Q1052" s="1163"/>
      <c r="R1052" s="1163"/>
      <c r="S1052" s="1163"/>
      <c r="T1052" s="1163"/>
      <c r="U1052" s="1163"/>
      <c r="V1052" s="1163"/>
    </row>
    <row r="1053" spans="1:22" ht="15" customHeight="1" x14ac:dyDescent="0.25">
      <c r="A1053" s="567"/>
      <c r="B1053" s="644"/>
      <c r="C1053" s="661"/>
      <c r="D1053" s="661"/>
      <c r="E1053" s="661"/>
      <c r="F1053" s="661"/>
      <c r="G1053" s="596" t="s">
        <v>759</v>
      </c>
      <c r="H1053" s="596" t="s">
        <v>221</v>
      </c>
      <c r="I1053" s="596" t="s">
        <v>222</v>
      </c>
      <c r="J1053" s="286"/>
      <c r="K1053" s="286">
        <v>6.9000000000000006E-2</v>
      </c>
      <c r="L1053" s="302"/>
      <c r="M1053" s="590"/>
      <c r="N1053" s="302"/>
      <c r="O1053" s="743" t="s">
        <v>1555</v>
      </c>
      <c r="P1053" s="743" t="s">
        <v>2067</v>
      </c>
      <c r="Q1053" s="725" t="s">
        <v>2198</v>
      </c>
      <c r="R1053" s="725"/>
      <c r="S1053" s="286">
        <f>0.185*0.9</f>
        <v>0.16650000000000001</v>
      </c>
      <c r="T1053" s="302"/>
      <c r="U1053" s="725"/>
      <c r="V1053" s="302"/>
    </row>
    <row r="1054" spans="1:22" ht="15" customHeight="1" x14ac:dyDescent="0.25">
      <c r="A1054" s="567"/>
      <c r="B1054" s="644"/>
      <c r="C1054" s="661"/>
      <c r="D1054" s="661"/>
      <c r="E1054" s="661"/>
      <c r="F1054" s="661"/>
      <c r="G1054" s="596" t="s">
        <v>223</v>
      </c>
      <c r="H1054" s="596" t="s">
        <v>224</v>
      </c>
      <c r="I1054" s="596" t="s">
        <v>225</v>
      </c>
      <c r="J1054" s="286"/>
      <c r="K1054" s="286">
        <v>0.16</v>
      </c>
      <c r="L1054" s="302"/>
      <c r="M1054" s="590"/>
      <c r="N1054" s="302"/>
      <c r="O1054" s="590"/>
      <c r="P1054" s="590"/>
      <c r="Q1054" s="590"/>
      <c r="R1054" s="590"/>
      <c r="S1054" s="302"/>
      <c r="T1054" s="302"/>
      <c r="U1054" s="590"/>
      <c r="V1054" s="303"/>
    </row>
    <row r="1055" spans="1:22" ht="15" customHeight="1" x14ac:dyDescent="0.25">
      <c r="A1055" s="567"/>
      <c r="B1055" s="644"/>
      <c r="C1055" s="661"/>
      <c r="D1055" s="661"/>
      <c r="E1055" s="661"/>
      <c r="F1055" s="661"/>
      <c r="G1055" s="1163" t="s">
        <v>1286</v>
      </c>
      <c r="H1055" s="1163"/>
      <c r="I1055" s="1163"/>
      <c r="J1055" s="1163"/>
      <c r="K1055" s="1163"/>
      <c r="L1055" s="1163"/>
      <c r="M1055" s="1163"/>
      <c r="N1055" s="1163"/>
      <c r="O1055" s="1185"/>
      <c r="P1055" s="1185"/>
      <c r="Q1055" s="1185"/>
      <c r="R1055" s="1185"/>
      <c r="S1055" s="1185"/>
      <c r="T1055" s="1185"/>
      <c r="U1055" s="1185"/>
      <c r="V1055" s="1186"/>
    </row>
    <row r="1056" spans="1:22" ht="15" customHeight="1" x14ac:dyDescent="0.25">
      <c r="A1056" s="567"/>
      <c r="B1056" s="644"/>
      <c r="C1056" s="661"/>
      <c r="D1056" s="661"/>
      <c r="E1056" s="661"/>
      <c r="F1056" s="661"/>
      <c r="G1056" s="596" t="s">
        <v>226</v>
      </c>
      <c r="H1056" s="596" t="s">
        <v>227</v>
      </c>
      <c r="I1056" s="596" t="s">
        <v>228</v>
      </c>
      <c r="J1056" s="286"/>
      <c r="K1056" s="286">
        <v>0.4</v>
      </c>
      <c r="L1056" s="302"/>
      <c r="M1056" s="590"/>
      <c r="N1056" s="302"/>
      <c r="O1056" s="590"/>
      <c r="P1056" s="590"/>
      <c r="Q1056" s="590"/>
      <c r="R1056" s="590"/>
      <c r="S1056" s="302"/>
      <c r="T1056" s="302"/>
      <c r="U1056" s="590"/>
      <c r="V1056" s="303"/>
    </row>
    <row r="1057" spans="1:22" ht="15" customHeight="1" x14ac:dyDescent="0.25">
      <c r="A1057" s="567"/>
      <c r="B1057" s="644"/>
      <c r="C1057" s="661"/>
      <c r="D1057" s="661"/>
      <c r="E1057" s="661"/>
      <c r="F1057" s="661"/>
      <c r="G1057" s="1163" t="s">
        <v>1324</v>
      </c>
      <c r="H1057" s="1163"/>
      <c r="I1057" s="1163"/>
      <c r="J1057" s="1163"/>
      <c r="K1057" s="1163"/>
      <c r="L1057" s="1163"/>
      <c r="M1057" s="1163"/>
      <c r="N1057" s="1163"/>
      <c r="O1057" s="590"/>
      <c r="P1057" s="590"/>
      <c r="Q1057" s="590"/>
      <c r="R1057" s="590"/>
      <c r="S1057" s="302"/>
      <c r="T1057" s="302"/>
      <c r="U1057" s="590"/>
      <c r="V1057" s="303"/>
    </row>
    <row r="1058" spans="1:22" ht="15" customHeight="1" x14ac:dyDescent="0.25">
      <c r="A1058" s="567"/>
      <c r="B1058" s="644"/>
      <c r="C1058" s="661"/>
      <c r="D1058" s="661"/>
      <c r="E1058" s="661"/>
      <c r="F1058" s="661"/>
      <c r="G1058" s="596" t="s">
        <v>606</v>
      </c>
      <c r="H1058" s="596" t="s">
        <v>607</v>
      </c>
      <c r="I1058" s="596" t="s">
        <v>1559</v>
      </c>
      <c r="J1058" s="286"/>
      <c r="K1058" s="286">
        <v>0.504</v>
      </c>
      <c r="L1058" s="302"/>
      <c r="M1058" s="590"/>
      <c r="N1058" s="302"/>
      <c r="O1058" s="590"/>
      <c r="P1058" s="590"/>
      <c r="Q1058" s="590"/>
      <c r="R1058" s="590"/>
      <c r="S1058" s="302"/>
      <c r="T1058" s="302"/>
      <c r="U1058" s="590"/>
      <c r="V1058" s="303"/>
    </row>
    <row r="1059" spans="1:22" ht="15" customHeight="1" x14ac:dyDescent="0.25">
      <c r="A1059" s="567"/>
      <c r="B1059" s="644"/>
      <c r="C1059" s="661"/>
      <c r="D1059" s="661"/>
      <c r="E1059" s="661"/>
      <c r="F1059" s="661"/>
      <c r="G1059" s="1163" t="s">
        <v>1645</v>
      </c>
      <c r="H1059" s="1163"/>
      <c r="I1059" s="1163"/>
      <c r="J1059" s="1163"/>
      <c r="K1059" s="1163"/>
      <c r="L1059" s="1163"/>
      <c r="M1059" s="1163"/>
      <c r="N1059" s="1163"/>
      <c r="O1059" s="590"/>
      <c r="P1059" s="590"/>
      <c r="Q1059" s="590"/>
      <c r="R1059" s="590"/>
      <c r="S1059" s="302"/>
      <c r="T1059" s="302"/>
      <c r="U1059" s="590"/>
      <c r="V1059" s="303"/>
    </row>
    <row r="1060" spans="1:22" ht="15" customHeight="1" x14ac:dyDescent="0.25">
      <c r="A1060" s="567"/>
      <c r="B1060" s="644"/>
      <c r="C1060" s="661"/>
      <c r="D1060" s="661"/>
      <c r="E1060" s="661"/>
      <c r="F1060" s="661"/>
      <c r="G1060" s="596" t="s">
        <v>1724</v>
      </c>
      <c r="H1060" s="596" t="s">
        <v>1790</v>
      </c>
      <c r="I1060" s="596" t="s">
        <v>1822</v>
      </c>
      <c r="J1060" s="286"/>
      <c r="K1060" s="286">
        <v>2.5</v>
      </c>
      <c r="L1060" s="302"/>
      <c r="M1060" s="590"/>
      <c r="N1060" s="302"/>
      <c r="O1060" s="590"/>
      <c r="P1060" s="590"/>
      <c r="Q1060" s="590"/>
      <c r="R1060" s="590"/>
      <c r="S1060" s="302"/>
      <c r="T1060" s="302"/>
      <c r="U1060" s="590"/>
      <c r="V1060" s="303"/>
    </row>
    <row r="1061" spans="1:22" ht="15" customHeight="1" x14ac:dyDescent="0.25">
      <c r="A1061" s="567"/>
      <c r="B1061" s="644"/>
      <c r="C1061" s="661"/>
      <c r="D1061" s="661"/>
      <c r="E1061" s="661"/>
      <c r="F1061" s="661"/>
      <c r="G1061" s="1163" t="s">
        <v>2011</v>
      </c>
      <c r="H1061" s="1163"/>
      <c r="I1061" s="1163"/>
      <c r="J1061" s="1163"/>
      <c r="K1061" s="1163"/>
      <c r="L1061" s="1163"/>
      <c r="M1061" s="1163"/>
      <c r="N1061" s="1163"/>
      <c r="O1061" s="590"/>
      <c r="P1061" s="590"/>
      <c r="Q1061" s="590"/>
      <c r="R1061" s="590"/>
      <c r="S1061" s="302"/>
      <c r="T1061" s="302"/>
      <c r="U1061" s="590"/>
      <c r="V1061" s="303"/>
    </row>
    <row r="1062" spans="1:22" ht="15" customHeight="1" x14ac:dyDescent="0.25">
      <c r="A1062" s="567"/>
      <c r="B1062" s="644"/>
      <c r="C1062" s="661"/>
      <c r="D1062" s="661"/>
      <c r="E1062" s="661"/>
      <c r="F1062" s="661"/>
      <c r="G1062" s="627" t="s">
        <v>1310</v>
      </c>
      <c r="H1062" s="627" t="s">
        <v>1754</v>
      </c>
      <c r="I1062" s="596" t="s">
        <v>2136</v>
      </c>
      <c r="J1062" s="286"/>
      <c r="K1062" s="286">
        <f>3*0.75</f>
        <v>2.25</v>
      </c>
      <c r="L1062" s="302"/>
      <c r="M1062" s="590"/>
      <c r="N1062" s="302"/>
      <c r="O1062" s="590"/>
      <c r="P1062" s="590"/>
      <c r="Q1062" s="590"/>
      <c r="R1062" s="590"/>
      <c r="S1062" s="302"/>
      <c r="T1062" s="302"/>
      <c r="U1062" s="590"/>
      <c r="V1062" s="303"/>
    </row>
    <row r="1063" spans="1:22" ht="15" customHeight="1" x14ac:dyDescent="0.25">
      <c r="A1063" s="567"/>
      <c r="B1063" s="644"/>
      <c r="C1063" s="661"/>
      <c r="D1063" s="661"/>
      <c r="E1063" s="661"/>
      <c r="F1063" s="661"/>
      <c r="G1063" s="590"/>
      <c r="H1063" s="590"/>
      <c r="I1063" s="596"/>
      <c r="J1063" s="286"/>
      <c r="K1063" s="286"/>
      <c r="L1063" s="302"/>
      <c r="M1063" s="590"/>
      <c r="N1063" s="302"/>
      <c r="O1063" s="590"/>
      <c r="P1063" s="590"/>
      <c r="Q1063" s="590"/>
      <c r="R1063" s="590"/>
      <c r="S1063" s="302"/>
      <c r="T1063" s="302"/>
      <c r="U1063" s="590"/>
      <c r="V1063" s="303"/>
    </row>
    <row r="1064" spans="1:22" ht="15" customHeight="1" thickBot="1" x14ac:dyDescent="0.3">
      <c r="A1064" s="242"/>
      <c r="B1064" s="243"/>
      <c r="C1064" s="244"/>
      <c r="D1064" s="244"/>
      <c r="E1064" s="244"/>
      <c r="F1064" s="244"/>
      <c r="G1064" s="1066" t="s">
        <v>1199</v>
      </c>
      <c r="H1064" s="1066"/>
      <c r="I1064" s="1066"/>
      <c r="J1064" s="630"/>
      <c r="K1064" s="456">
        <f>SUM(0)</f>
        <v>0</v>
      </c>
      <c r="L1064" s="631"/>
      <c r="M1064" s="632">
        <v>0.92</v>
      </c>
      <c r="N1064" s="456">
        <f>K1064/M1064</f>
        <v>0</v>
      </c>
      <c r="O1064" s="1066" t="s">
        <v>1199</v>
      </c>
      <c r="P1064" s="1066"/>
      <c r="Q1064" s="1066"/>
      <c r="R1064" s="554"/>
      <c r="S1064" s="456">
        <f>SUM(S1049:S1059)</f>
        <v>0.66649999999999998</v>
      </c>
      <c r="T1064" s="631"/>
      <c r="U1064" s="554">
        <v>0.92</v>
      </c>
      <c r="V1064" s="633">
        <f>S1064/U1064</f>
        <v>0.72445652173913033</v>
      </c>
    </row>
    <row r="1065" spans="1:22" ht="15" customHeight="1" x14ac:dyDescent="0.25">
      <c r="A1065" s="1230" t="str">
        <f>Итоговая!C370</f>
        <v xml:space="preserve">ПС 110/35/10 кВ Медновский в-ор </v>
      </c>
      <c r="B1065" s="563">
        <f>Итоговая!D370</f>
        <v>10</v>
      </c>
      <c r="C1065" s="552" t="str">
        <f>Итоговая!E370</f>
        <v>+</v>
      </c>
      <c r="D1065" s="552">
        <f>Итоговая!F370</f>
        <v>10</v>
      </c>
      <c r="E1065" s="552"/>
      <c r="F1065" s="552"/>
      <c r="G1065" s="1168">
        <v>2014</v>
      </c>
      <c r="H1065" s="1168"/>
      <c r="I1065" s="1168"/>
      <c r="J1065" s="1168"/>
      <c r="K1065" s="1168"/>
      <c r="L1065" s="1168"/>
      <c r="M1065" s="1168"/>
      <c r="N1065" s="1168"/>
      <c r="O1065" s="1168">
        <v>2015</v>
      </c>
      <c r="P1065" s="1168"/>
      <c r="Q1065" s="1168"/>
      <c r="R1065" s="1168"/>
      <c r="S1065" s="1168"/>
      <c r="T1065" s="1168"/>
      <c r="U1065" s="1168"/>
      <c r="V1065" s="1168"/>
    </row>
    <row r="1066" spans="1:22" ht="15" customHeight="1" x14ac:dyDescent="0.25">
      <c r="A1066" s="1231"/>
      <c r="B1066" s="564"/>
      <c r="C1066" s="553"/>
      <c r="D1066" s="553"/>
      <c r="E1066" s="553"/>
      <c r="F1066" s="553"/>
      <c r="G1066" s="1164" t="s">
        <v>2262</v>
      </c>
      <c r="H1066" s="1164"/>
      <c r="I1066" s="1164"/>
      <c r="J1066" s="1165">
        <f>0.162*0.9</f>
        <v>0.14580000000000001</v>
      </c>
      <c r="K1066" s="1166"/>
      <c r="L1066" s="302"/>
      <c r="M1066" s="590"/>
      <c r="N1066" s="302"/>
      <c r="O1066" s="590" t="s">
        <v>17669</v>
      </c>
      <c r="P1066" s="590" t="s">
        <v>17670</v>
      </c>
      <c r="Q1066" s="590" t="s">
        <v>17671</v>
      </c>
      <c r="R1066" s="590"/>
      <c r="S1066" s="302">
        <f>0.131*0.9</f>
        <v>0.1179</v>
      </c>
      <c r="T1066" s="302"/>
      <c r="U1066" s="590"/>
      <c r="V1066" s="302"/>
    </row>
    <row r="1067" spans="1:22" ht="15" customHeight="1" x14ac:dyDescent="0.25">
      <c r="A1067" s="1231"/>
      <c r="B1067" s="564"/>
      <c r="C1067" s="553"/>
      <c r="D1067" s="553"/>
      <c r="E1067" s="553"/>
      <c r="F1067" s="553"/>
      <c r="G1067" s="590"/>
      <c r="H1067" s="590"/>
      <c r="I1067" s="590"/>
      <c r="J1067" s="302"/>
      <c r="K1067" s="302"/>
      <c r="L1067" s="302"/>
      <c r="M1067" s="590"/>
      <c r="N1067" s="302"/>
      <c r="O1067" s="596"/>
      <c r="P1067" s="596"/>
      <c r="Q1067" s="596"/>
      <c r="R1067" s="596"/>
      <c r="S1067" s="286"/>
      <c r="T1067" s="302"/>
      <c r="U1067" s="596"/>
      <c r="V1067" s="303"/>
    </row>
    <row r="1068" spans="1:22" ht="15" customHeight="1" x14ac:dyDescent="0.25">
      <c r="A1068" s="1231"/>
      <c r="B1068" s="564"/>
      <c r="C1068" s="553"/>
      <c r="D1068" s="553"/>
      <c r="E1068" s="553"/>
      <c r="F1068" s="553"/>
      <c r="G1068" s="1197" t="s">
        <v>18842</v>
      </c>
      <c r="H1068" s="1197"/>
      <c r="I1068" s="1197"/>
      <c r="J1068" s="1197"/>
      <c r="K1068" s="1197"/>
      <c r="L1068" s="1197"/>
      <c r="M1068" s="1197"/>
      <c r="N1068" s="1197"/>
      <c r="O1068" s="600"/>
      <c r="P1068" s="600"/>
      <c r="Q1068" s="600"/>
      <c r="R1068" s="600"/>
      <c r="S1068" s="640"/>
      <c r="T1068" s="307"/>
      <c r="U1068" s="600"/>
      <c r="V1068" s="305"/>
    </row>
    <row r="1069" spans="1:22" ht="15" customHeight="1" x14ac:dyDescent="0.25">
      <c r="A1069" s="1231"/>
      <c r="B1069" s="564"/>
      <c r="C1069" s="553"/>
      <c r="D1069" s="553"/>
      <c r="E1069" s="553"/>
      <c r="F1069" s="553"/>
      <c r="G1069" s="467" t="s">
        <v>17669</v>
      </c>
      <c r="H1069" s="467" t="s">
        <v>18991</v>
      </c>
      <c r="I1069" s="467">
        <v>41053959</v>
      </c>
      <c r="J1069" s="646"/>
      <c r="K1069" s="646">
        <f>0.131*0.9</f>
        <v>0.1179</v>
      </c>
      <c r="L1069" s="687"/>
      <c r="M1069" s="695"/>
      <c r="N1069" s="695"/>
      <c r="O1069" s="600"/>
      <c r="P1069" s="600"/>
      <c r="Q1069" s="600"/>
      <c r="R1069" s="600"/>
      <c r="S1069" s="640"/>
      <c r="T1069" s="307"/>
      <c r="U1069" s="600"/>
      <c r="V1069" s="305"/>
    </row>
    <row r="1070" spans="1:22" ht="15" customHeight="1" x14ac:dyDescent="0.25">
      <c r="A1070" s="1231"/>
      <c r="B1070" s="564"/>
      <c r="C1070" s="553"/>
      <c r="D1070" s="553"/>
      <c r="E1070" s="553"/>
      <c r="F1070" s="553"/>
      <c r="G1070" s="1164" t="s">
        <v>2262</v>
      </c>
      <c r="H1070" s="1164"/>
      <c r="I1070" s="1164"/>
      <c r="J1070" s="1165">
        <f>0.209*0.9*0.6</f>
        <v>0.11285999999999999</v>
      </c>
      <c r="K1070" s="1166"/>
      <c r="L1070" s="307"/>
      <c r="M1070" s="695"/>
      <c r="N1070" s="687"/>
      <c r="O1070" s="600"/>
      <c r="P1070" s="600"/>
      <c r="Q1070" s="600"/>
      <c r="R1070" s="600"/>
      <c r="S1070" s="640"/>
      <c r="T1070" s="307"/>
      <c r="U1070" s="600"/>
      <c r="V1070" s="305"/>
    </row>
    <row r="1071" spans="1:22" ht="15" customHeight="1" thickBot="1" x14ac:dyDescent="0.3">
      <c r="A1071" s="1232"/>
      <c r="B1071" s="243"/>
      <c r="C1071" s="244"/>
      <c r="D1071" s="244"/>
      <c r="E1071" s="244"/>
      <c r="F1071" s="244"/>
      <c r="G1071" s="1066"/>
      <c r="H1071" s="1066"/>
      <c r="I1071" s="1066"/>
      <c r="J1071" s="630"/>
      <c r="K1071" s="456">
        <f>SUM(J1066:K1070)</f>
        <v>0.37656000000000001</v>
      </c>
      <c r="L1071" s="631"/>
      <c r="M1071" s="632">
        <v>0.92</v>
      </c>
      <c r="N1071" s="456">
        <f>K1071/M1071</f>
        <v>0.40930434782608693</v>
      </c>
      <c r="O1071" s="1066" t="s">
        <v>1199</v>
      </c>
      <c r="P1071" s="1066"/>
      <c r="Q1071" s="1066"/>
      <c r="R1071" s="554"/>
      <c r="S1071" s="456">
        <f>SUM(S1066)</f>
        <v>0.1179</v>
      </c>
      <c r="T1071" s="631"/>
      <c r="U1071" s="554">
        <v>0.92</v>
      </c>
      <c r="V1071" s="633">
        <f>S1071/U1071</f>
        <v>0.12815217391304348</v>
      </c>
    </row>
    <row r="1072" spans="1:22" s="475" customFormat="1" ht="15" customHeight="1" x14ac:dyDescent="0.25">
      <c r="A1072" s="1092" t="str">
        <f>Итоговая!C373</f>
        <v xml:space="preserve">ПС 110/35/10 кВ Лихославль </v>
      </c>
      <c r="B1072" s="1072">
        <f>Итоговая!D373</f>
        <v>25</v>
      </c>
      <c r="C1072" s="1067" t="str">
        <f>Итоговая!E373</f>
        <v>+</v>
      </c>
      <c r="D1072" s="1067">
        <f>Итоговая!F373</f>
        <v>25</v>
      </c>
      <c r="E1072" s="552"/>
      <c r="F1072" s="552"/>
      <c r="G1072" s="1168" t="s">
        <v>1288</v>
      </c>
      <c r="H1072" s="1168"/>
      <c r="I1072" s="1168"/>
      <c r="J1072" s="1168"/>
      <c r="K1072" s="1168"/>
      <c r="L1072" s="1168"/>
      <c r="M1072" s="1168"/>
      <c r="N1072" s="1168"/>
      <c r="O1072" s="1168" t="s">
        <v>2290</v>
      </c>
      <c r="P1072" s="1168"/>
      <c r="Q1072" s="1168"/>
      <c r="R1072" s="1168"/>
      <c r="S1072" s="1168"/>
      <c r="T1072" s="1168"/>
      <c r="U1072" s="1168"/>
      <c r="V1072" s="1169"/>
    </row>
    <row r="1073" spans="1:22" ht="15" customHeight="1" x14ac:dyDescent="0.25">
      <c r="A1073" s="1093"/>
      <c r="B1073" s="1023"/>
      <c r="C1073" s="1024"/>
      <c r="D1073" s="1024"/>
      <c r="E1073" s="553"/>
      <c r="F1073" s="553"/>
      <c r="G1073" s="690" t="s">
        <v>344</v>
      </c>
      <c r="H1073" s="596" t="s">
        <v>345</v>
      </c>
      <c r="I1073" s="596" t="s">
        <v>346</v>
      </c>
      <c r="J1073" s="286"/>
      <c r="K1073" s="645">
        <v>0.105</v>
      </c>
      <c r="L1073" s="646"/>
      <c r="M1073" s="590"/>
      <c r="N1073" s="302"/>
      <c r="O1073" s="596" t="s">
        <v>1636</v>
      </c>
      <c r="P1073" s="596" t="s">
        <v>1637</v>
      </c>
      <c r="Q1073" s="596" t="s">
        <v>14774</v>
      </c>
      <c r="R1073" s="596"/>
      <c r="S1073" s="286">
        <v>3.5000000000000003E-2</v>
      </c>
      <c r="T1073" s="302"/>
      <c r="U1073" s="590"/>
      <c r="V1073" s="303"/>
    </row>
    <row r="1074" spans="1:22" ht="15" customHeight="1" x14ac:dyDescent="0.25">
      <c r="A1074" s="567"/>
      <c r="B1074" s="564"/>
      <c r="C1074" s="553"/>
      <c r="D1074" s="553"/>
      <c r="E1074" s="553"/>
      <c r="F1074" s="553"/>
      <c r="G1074" s="1197" t="s">
        <v>1286</v>
      </c>
      <c r="H1074" s="1197"/>
      <c r="I1074" s="1197"/>
      <c r="J1074" s="1197"/>
      <c r="K1074" s="1197"/>
      <c r="L1074" s="1197"/>
      <c r="M1074" s="1197"/>
      <c r="N1074" s="1197"/>
      <c r="O1074" s="1197" t="s">
        <v>14933</v>
      </c>
      <c r="P1074" s="1197"/>
      <c r="Q1074" s="1197"/>
      <c r="R1074" s="1197"/>
      <c r="S1074" s="1197"/>
      <c r="T1074" s="1197"/>
      <c r="U1074" s="1197"/>
      <c r="V1074" s="1206"/>
    </row>
    <row r="1075" spans="1:22" ht="15" customHeight="1" x14ac:dyDescent="0.25">
      <c r="A1075" s="567"/>
      <c r="B1075" s="564"/>
      <c r="C1075" s="553"/>
      <c r="D1075" s="553"/>
      <c r="E1075" s="553"/>
      <c r="F1075" s="553"/>
      <c r="G1075" s="596" t="s">
        <v>347</v>
      </c>
      <c r="H1075" s="596" t="s">
        <v>348</v>
      </c>
      <c r="I1075" s="596" t="s">
        <v>349</v>
      </c>
      <c r="J1075" s="286"/>
      <c r="K1075" s="286">
        <v>0.23100000000000001</v>
      </c>
      <c r="L1075" s="302"/>
      <c r="M1075" s="590"/>
      <c r="N1075" s="302"/>
      <c r="O1075" s="543" t="s">
        <v>1876</v>
      </c>
      <c r="P1075" s="543" t="s">
        <v>1877</v>
      </c>
      <c r="Q1075" s="596" t="s">
        <v>17444</v>
      </c>
      <c r="R1075" s="596"/>
      <c r="S1075" s="286">
        <v>0.03</v>
      </c>
      <c r="T1075" s="302"/>
      <c r="U1075" s="590"/>
      <c r="V1075" s="303"/>
    </row>
    <row r="1076" spans="1:22" ht="15" customHeight="1" x14ac:dyDescent="0.25">
      <c r="A1076" s="567"/>
      <c r="B1076" s="564"/>
      <c r="C1076" s="553"/>
      <c r="D1076" s="553"/>
      <c r="E1076" s="553"/>
      <c r="F1076" s="553"/>
      <c r="G1076" s="1197" t="s">
        <v>1325</v>
      </c>
      <c r="H1076" s="1197"/>
      <c r="I1076" s="1197"/>
      <c r="J1076" s="1197"/>
      <c r="K1076" s="1197"/>
      <c r="L1076" s="1197"/>
      <c r="M1076" s="1197"/>
      <c r="N1076" s="1197"/>
      <c r="O1076" s="590" t="s">
        <v>1220</v>
      </c>
      <c r="P1076" s="590" t="s">
        <v>18186</v>
      </c>
      <c r="Q1076" s="590" t="s">
        <v>18187</v>
      </c>
      <c r="R1076" s="590"/>
      <c r="S1076" s="302">
        <v>0.15</v>
      </c>
      <c r="T1076" s="302"/>
      <c r="U1076" s="590"/>
      <c r="V1076" s="303"/>
    </row>
    <row r="1077" spans="1:22" ht="15" customHeight="1" x14ac:dyDescent="0.25">
      <c r="A1077" s="567"/>
      <c r="B1077" s="564"/>
      <c r="C1077" s="553"/>
      <c r="D1077" s="553"/>
      <c r="E1077" s="553"/>
      <c r="F1077" s="553"/>
      <c r="G1077" s="596" t="s">
        <v>1405</v>
      </c>
      <c r="H1077" s="596" t="s">
        <v>1406</v>
      </c>
      <c r="I1077" s="596" t="s">
        <v>1675</v>
      </c>
      <c r="J1077" s="286"/>
      <c r="K1077" s="286">
        <v>0.15</v>
      </c>
      <c r="L1077" s="302"/>
      <c r="M1077" s="590"/>
      <c r="N1077" s="302"/>
      <c r="O1077" s="590"/>
      <c r="P1077" s="590"/>
      <c r="Q1077" s="590"/>
      <c r="R1077" s="590"/>
      <c r="S1077" s="302"/>
      <c r="T1077" s="302"/>
      <c r="U1077" s="590"/>
      <c r="V1077" s="303"/>
    </row>
    <row r="1078" spans="1:22" ht="15" customHeight="1" x14ac:dyDescent="0.25">
      <c r="A1078" s="567"/>
      <c r="B1078" s="564"/>
      <c r="C1078" s="553"/>
      <c r="D1078" s="553"/>
      <c r="E1078" s="553"/>
      <c r="F1078" s="553"/>
      <c r="G1078" s="1197" t="s">
        <v>1740</v>
      </c>
      <c r="H1078" s="1197"/>
      <c r="I1078" s="1197"/>
      <c r="J1078" s="1197"/>
      <c r="K1078" s="1197"/>
      <c r="L1078" s="1197"/>
      <c r="M1078" s="1197"/>
      <c r="N1078" s="1197"/>
      <c r="O1078" s="590"/>
      <c r="P1078" s="590"/>
      <c r="Q1078" s="590"/>
      <c r="R1078" s="590"/>
      <c r="S1078" s="302"/>
      <c r="T1078" s="302"/>
      <c r="U1078" s="590"/>
      <c r="V1078" s="303"/>
    </row>
    <row r="1079" spans="1:22" ht="15" customHeight="1" x14ac:dyDescent="0.25">
      <c r="A1079" s="567"/>
      <c r="B1079" s="564"/>
      <c r="C1079" s="553"/>
      <c r="D1079" s="553"/>
      <c r="E1079" s="553"/>
      <c r="F1079" s="553"/>
      <c r="G1079" s="596" t="s">
        <v>1731</v>
      </c>
      <c r="H1079" s="596" t="s">
        <v>1732</v>
      </c>
      <c r="I1079" s="596" t="s">
        <v>1782</v>
      </c>
      <c r="J1079" s="286"/>
      <c r="K1079" s="286">
        <f>0.88-0.3028</f>
        <v>0.57719999999999994</v>
      </c>
      <c r="L1079" s="302"/>
      <c r="M1079" s="590"/>
      <c r="N1079" s="302"/>
      <c r="O1079" s="590"/>
      <c r="P1079" s="590"/>
      <c r="Q1079" s="590"/>
      <c r="R1079" s="590"/>
      <c r="S1079" s="302"/>
      <c r="T1079" s="302"/>
      <c r="U1079" s="590"/>
      <c r="V1079" s="303"/>
    </row>
    <row r="1080" spans="1:22" ht="15" customHeight="1" x14ac:dyDescent="0.25">
      <c r="A1080" s="567"/>
      <c r="B1080" s="564"/>
      <c r="C1080" s="553"/>
      <c r="D1080" s="553"/>
      <c r="E1080" s="553"/>
      <c r="F1080" s="553"/>
      <c r="G1080" s="596" t="s">
        <v>1882</v>
      </c>
      <c r="H1080" s="596" t="s">
        <v>1934</v>
      </c>
      <c r="I1080" s="596" t="s">
        <v>1986</v>
      </c>
      <c r="J1080" s="286"/>
      <c r="K1080" s="286">
        <v>0.25230000000000002</v>
      </c>
      <c r="L1080" s="302"/>
      <c r="M1080" s="590"/>
      <c r="N1080" s="302"/>
      <c r="O1080" s="590"/>
      <c r="P1080" s="590"/>
      <c r="Q1080" s="590"/>
      <c r="R1080" s="590"/>
      <c r="S1080" s="302"/>
      <c r="T1080" s="302"/>
      <c r="U1080" s="590"/>
      <c r="V1080" s="303"/>
    </row>
    <row r="1081" spans="1:22" ht="15" customHeight="1" x14ac:dyDescent="0.25">
      <c r="A1081" s="567"/>
      <c r="B1081" s="564"/>
      <c r="C1081" s="553"/>
      <c r="D1081" s="553"/>
      <c r="E1081" s="553"/>
      <c r="F1081" s="553"/>
      <c r="G1081" s="1197" t="s">
        <v>2266</v>
      </c>
      <c r="H1081" s="1197"/>
      <c r="I1081" s="1197"/>
      <c r="J1081" s="1197"/>
      <c r="K1081" s="1197"/>
      <c r="L1081" s="1197"/>
      <c r="M1081" s="1197"/>
      <c r="N1081" s="1197"/>
      <c r="O1081" s="590"/>
      <c r="P1081" s="590"/>
      <c r="Q1081" s="590"/>
      <c r="R1081" s="590"/>
      <c r="S1081" s="302"/>
      <c r="T1081" s="302"/>
      <c r="U1081" s="590"/>
      <c r="V1081" s="303"/>
    </row>
    <row r="1082" spans="1:22" ht="15" customHeight="1" x14ac:dyDescent="0.25">
      <c r="A1082" s="567"/>
      <c r="B1082" s="564"/>
      <c r="C1082" s="553"/>
      <c r="D1082" s="553"/>
      <c r="E1082" s="553"/>
      <c r="F1082" s="553"/>
      <c r="G1082" s="596" t="s">
        <v>1636</v>
      </c>
      <c r="H1082" s="596" t="s">
        <v>2218</v>
      </c>
      <c r="I1082" s="467" t="s">
        <v>2293</v>
      </c>
      <c r="J1082" s="646"/>
      <c r="K1082" s="646">
        <v>2.3E-2</v>
      </c>
      <c r="L1082" s="646"/>
      <c r="M1082" s="467"/>
      <c r="N1082" s="646"/>
      <c r="O1082" s="590"/>
      <c r="P1082" s="590"/>
      <c r="Q1082" s="590"/>
      <c r="R1082" s="590"/>
      <c r="S1082" s="302"/>
      <c r="T1082" s="302"/>
      <c r="U1082" s="590"/>
      <c r="V1082" s="303"/>
    </row>
    <row r="1083" spans="1:22" ht="15" customHeight="1" x14ac:dyDescent="0.25">
      <c r="A1083" s="567"/>
      <c r="B1083" s="564"/>
      <c r="C1083" s="553"/>
      <c r="D1083" s="553"/>
      <c r="E1083" s="553"/>
      <c r="F1083" s="553"/>
      <c r="G1083" s="1197" t="s">
        <v>14978</v>
      </c>
      <c r="H1083" s="1197"/>
      <c r="I1083" s="1197"/>
      <c r="J1083" s="1197"/>
      <c r="K1083" s="1197"/>
      <c r="L1083" s="1197"/>
      <c r="M1083" s="1197"/>
      <c r="N1083" s="1197"/>
      <c r="O1083" s="590"/>
      <c r="P1083" s="590"/>
      <c r="Q1083" s="590"/>
      <c r="R1083" s="590"/>
      <c r="S1083" s="302"/>
      <c r="T1083" s="302"/>
      <c r="U1083" s="590"/>
      <c r="V1083" s="303"/>
    </row>
    <row r="1084" spans="1:22" ht="15" customHeight="1" x14ac:dyDescent="0.25">
      <c r="A1084" s="567"/>
      <c r="B1084" s="564"/>
      <c r="C1084" s="553"/>
      <c r="D1084" s="553"/>
      <c r="E1084" s="553"/>
      <c r="F1084" s="553"/>
      <c r="G1084" s="590" t="s">
        <v>17288</v>
      </c>
      <c r="H1084" s="590" t="s">
        <v>17289</v>
      </c>
      <c r="I1084" s="467" t="s">
        <v>17290</v>
      </c>
      <c r="J1084" s="646"/>
      <c r="K1084" s="302">
        <f>0.149*0.15</f>
        <v>2.2349999999999998E-2</v>
      </c>
      <c r="L1084" s="302"/>
      <c r="M1084" s="467"/>
      <c r="N1084" s="646"/>
      <c r="O1084" s="590"/>
      <c r="P1084" s="590"/>
      <c r="Q1084" s="590"/>
      <c r="R1084" s="590"/>
      <c r="S1084" s="302"/>
      <c r="T1084" s="302"/>
      <c r="U1084" s="590"/>
      <c r="V1084" s="303"/>
    </row>
    <row r="1085" spans="1:22" ht="15" customHeight="1" x14ac:dyDescent="0.25">
      <c r="A1085" s="567"/>
      <c r="B1085" s="564"/>
      <c r="C1085" s="553"/>
      <c r="D1085" s="553"/>
      <c r="E1085" s="553"/>
      <c r="F1085" s="553"/>
      <c r="G1085" s="590" t="s">
        <v>17385</v>
      </c>
      <c r="H1085" s="590" t="s">
        <v>17386</v>
      </c>
      <c r="I1085" s="467" t="s">
        <v>17387</v>
      </c>
      <c r="J1085" s="646"/>
      <c r="K1085" s="302">
        <f>(0.1-0.03)*0.75</f>
        <v>5.2500000000000005E-2</v>
      </c>
      <c r="L1085" s="302"/>
      <c r="M1085" s="467"/>
      <c r="N1085" s="646"/>
      <c r="O1085" s="590"/>
      <c r="P1085" s="590"/>
      <c r="Q1085" s="590"/>
      <c r="R1085" s="590"/>
      <c r="S1085" s="302"/>
      <c r="T1085" s="302"/>
      <c r="U1085" s="590"/>
      <c r="V1085" s="303"/>
    </row>
    <row r="1086" spans="1:22" ht="15" customHeight="1" x14ac:dyDescent="0.25">
      <c r="A1086" s="567"/>
      <c r="B1086" s="564"/>
      <c r="C1086" s="553"/>
      <c r="D1086" s="553"/>
      <c r="E1086" s="553"/>
      <c r="F1086" s="553"/>
      <c r="G1086" s="1164" t="s">
        <v>2262</v>
      </c>
      <c r="H1086" s="1164"/>
      <c r="I1086" s="1164"/>
      <c r="J1086" s="1165">
        <f>0.2375*0.9</f>
        <v>0.21375</v>
      </c>
      <c r="K1086" s="1166"/>
      <c r="L1086" s="302"/>
      <c r="M1086" s="467"/>
      <c r="N1086" s="646"/>
      <c r="O1086" s="590"/>
      <c r="P1086" s="590"/>
      <c r="Q1086" s="590"/>
      <c r="R1086" s="590"/>
      <c r="S1086" s="302"/>
      <c r="T1086" s="302"/>
      <c r="U1086" s="590"/>
      <c r="V1086" s="303"/>
    </row>
    <row r="1087" spans="1:22" ht="15" customHeight="1" x14ac:dyDescent="0.25">
      <c r="A1087" s="567"/>
      <c r="B1087" s="564"/>
      <c r="C1087" s="553"/>
      <c r="D1087" s="553"/>
      <c r="E1087" s="553"/>
      <c r="F1087" s="553"/>
      <c r="G1087" s="1197" t="s">
        <v>18842</v>
      </c>
      <c r="H1087" s="1197"/>
      <c r="I1087" s="1197"/>
      <c r="J1087" s="1197"/>
      <c r="K1087" s="1197"/>
      <c r="L1087" s="1197"/>
      <c r="M1087" s="1197"/>
      <c r="N1087" s="1197"/>
      <c r="O1087" s="290"/>
      <c r="P1087" s="290"/>
      <c r="Q1087" s="290"/>
      <c r="R1087" s="290"/>
      <c r="S1087" s="307"/>
      <c r="T1087" s="307"/>
      <c r="U1087" s="290"/>
      <c r="V1087" s="305"/>
    </row>
    <row r="1088" spans="1:22" ht="15" customHeight="1" x14ac:dyDescent="0.25">
      <c r="A1088" s="567"/>
      <c r="B1088" s="564"/>
      <c r="C1088" s="553"/>
      <c r="D1088" s="553"/>
      <c r="E1088" s="553"/>
      <c r="F1088" s="553"/>
      <c r="G1088" s="1164" t="s">
        <v>2262</v>
      </c>
      <c r="H1088" s="1164"/>
      <c r="I1088" s="1164"/>
      <c r="J1088" s="1165">
        <f>0.441*0.9*0.6</f>
        <v>0.23814000000000002</v>
      </c>
      <c r="K1088" s="1166"/>
      <c r="L1088" s="307"/>
      <c r="M1088" s="695"/>
      <c r="N1088" s="687"/>
      <c r="O1088" s="290"/>
      <c r="P1088" s="290"/>
      <c r="Q1088" s="290"/>
      <c r="R1088" s="290"/>
      <c r="S1088" s="307"/>
      <c r="T1088" s="307"/>
      <c r="U1088" s="290"/>
      <c r="V1088" s="305"/>
    </row>
    <row r="1089" spans="1:22" ht="15" customHeight="1" thickBot="1" x14ac:dyDescent="0.3">
      <c r="A1089" s="242"/>
      <c r="B1089" s="243"/>
      <c r="C1089" s="244"/>
      <c r="D1089" s="244"/>
      <c r="E1089" s="244"/>
      <c r="F1089" s="244"/>
      <c r="G1089" s="1066" t="s">
        <v>1199</v>
      </c>
      <c r="H1089" s="1066"/>
      <c r="I1089" s="1066"/>
      <c r="J1089" s="630"/>
      <c r="K1089" s="456">
        <f>SUM(J1084:K1088)</f>
        <v>0.52673999999999999</v>
      </c>
      <c r="L1089" s="631"/>
      <c r="M1089" s="632">
        <v>0.93</v>
      </c>
      <c r="N1089" s="456">
        <f>K1089/M1089</f>
        <v>0.56638709677419352</v>
      </c>
      <c r="O1089" s="1066" t="s">
        <v>1199</v>
      </c>
      <c r="P1089" s="1066"/>
      <c r="Q1089" s="1066"/>
      <c r="R1089" s="554"/>
      <c r="S1089" s="456">
        <f>SUM(S1073:S1086)</f>
        <v>0.215</v>
      </c>
      <c r="T1089" s="631"/>
      <c r="U1089" s="554">
        <v>0.92</v>
      </c>
      <c r="V1089" s="633">
        <f>S1089/U1089</f>
        <v>0.23369565217391303</v>
      </c>
    </row>
    <row r="1090" spans="1:22" ht="15" customHeight="1" x14ac:dyDescent="0.25">
      <c r="A1090" s="566" t="str">
        <f>Итоговая!C376</f>
        <v xml:space="preserve">ПС 110/35/6 кВ Безбородово </v>
      </c>
      <c r="B1090" s="563">
        <f>Итоговая!D376</f>
        <v>25</v>
      </c>
      <c r="C1090" s="552" t="str">
        <f>Итоговая!E376</f>
        <v>+</v>
      </c>
      <c r="D1090" s="552">
        <f>Итоговая!F376</f>
        <v>25</v>
      </c>
      <c r="E1090" s="552"/>
      <c r="F1090" s="552"/>
      <c r="G1090" s="588"/>
      <c r="H1090" s="588"/>
      <c r="I1090" s="588"/>
      <c r="J1090" s="460"/>
      <c r="K1090" s="460"/>
      <c r="L1090" s="460"/>
      <c r="M1090" s="588"/>
      <c r="N1090" s="460"/>
      <c r="O1090" s="588"/>
      <c r="P1090" s="588"/>
      <c r="Q1090" s="588"/>
      <c r="R1090" s="588"/>
      <c r="S1090" s="460"/>
      <c r="T1090" s="460"/>
      <c r="U1090" s="588"/>
      <c r="V1090" s="634"/>
    </row>
    <row r="1091" spans="1:22" ht="15" customHeight="1" thickBot="1" x14ac:dyDescent="0.3">
      <c r="A1091" s="242"/>
      <c r="B1091" s="243"/>
      <c r="C1091" s="244"/>
      <c r="D1091" s="244"/>
      <c r="E1091" s="244"/>
      <c r="F1091" s="244"/>
      <c r="G1091" s="1066" t="s">
        <v>1199</v>
      </c>
      <c r="H1091" s="1066"/>
      <c r="I1091" s="1066"/>
      <c r="J1091" s="630"/>
      <c r="K1091" s="456">
        <f>SUM(0)</f>
        <v>0</v>
      </c>
      <c r="L1091" s="631"/>
      <c r="M1091" s="632">
        <v>0.92</v>
      </c>
      <c r="N1091" s="456">
        <f>K1091/M1091</f>
        <v>0</v>
      </c>
      <c r="O1091" s="1066" t="s">
        <v>1199</v>
      </c>
      <c r="P1091" s="1066"/>
      <c r="Q1091" s="1066"/>
      <c r="R1091" s="554"/>
      <c r="S1091" s="456">
        <f>SUM(S1077:S1090)</f>
        <v>0.215</v>
      </c>
      <c r="T1091" s="631"/>
      <c r="U1091" s="554">
        <v>0.92</v>
      </c>
      <c r="V1091" s="633">
        <f>S1091/U1091</f>
        <v>0.23369565217391303</v>
      </c>
    </row>
    <row r="1092" spans="1:22" s="475" customFormat="1" ht="15" customHeight="1" x14ac:dyDescent="0.25">
      <c r="A1092" s="1092" t="str">
        <f>Итоговая!C379</f>
        <v xml:space="preserve">ПС 110/35/6 кВ Редкино  </v>
      </c>
      <c r="B1092" s="1072">
        <f>Итоговая!D379</f>
        <v>40</v>
      </c>
      <c r="C1092" s="1067" t="str">
        <f>Итоговая!E379</f>
        <v>+</v>
      </c>
      <c r="D1092" s="1067">
        <f>Итоговая!F379</f>
        <v>40.5</v>
      </c>
      <c r="E1092" s="552"/>
      <c r="F1092" s="552"/>
      <c r="G1092" s="1168" t="s">
        <v>1288</v>
      </c>
      <c r="H1092" s="1168"/>
      <c r="I1092" s="1168"/>
      <c r="J1092" s="1168"/>
      <c r="K1092" s="1168"/>
      <c r="L1092" s="1168"/>
      <c r="M1092" s="1168"/>
      <c r="N1092" s="1168"/>
      <c r="O1092" s="1181"/>
      <c r="P1092" s="1181"/>
      <c r="Q1092" s="1181"/>
      <c r="R1092" s="1181"/>
      <c r="S1092" s="1181"/>
      <c r="T1092" s="1181"/>
      <c r="U1092" s="1181"/>
      <c r="V1092" s="1182"/>
    </row>
    <row r="1093" spans="1:22" ht="15" customHeight="1" x14ac:dyDescent="0.25">
      <c r="A1093" s="1093"/>
      <c r="B1093" s="1023"/>
      <c r="C1093" s="1024"/>
      <c r="D1093" s="1024"/>
      <c r="E1093" s="553"/>
      <c r="F1093" s="553"/>
      <c r="G1093" s="627" t="s">
        <v>484</v>
      </c>
      <c r="H1093" s="627" t="s">
        <v>485</v>
      </c>
      <c r="I1093" s="596" t="s">
        <v>486</v>
      </c>
      <c r="J1093" s="286"/>
      <c r="K1093" s="628">
        <v>1.5</v>
      </c>
      <c r="L1093" s="302"/>
      <c r="M1093" s="590"/>
      <c r="N1093" s="302"/>
      <c r="O1093" s="590"/>
      <c r="P1093" s="590"/>
      <c r="Q1093" s="590"/>
      <c r="R1093" s="590"/>
      <c r="S1093" s="302"/>
      <c r="T1093" s="302"/>
      <c r="U1093" s="590"/>
      <c r="V1093" s="303"/>
    </row>
    <row r="1094" spans="1:22" ht="15" customHeight="1" x14ac:dyDescent="0.25">
      <c r="A1094" s="567"/>
      <c r="B1094" s="564"/>
      <c r="C1094" s="553"/>
      <c r="D1094" s="553"/>
      <c r="E1094" s="553"/>
      <c r="F1094" s="553"/>
      <c r="G1094" s="1163" t="s">
        <v>1287</v>
      </c>
      <c r="H1094" s="1163"/>
      <c r="I1094" s="1163"/>
      <c r="J1094" s="1163"/>
      <c r="K1094" s="1163"/>
      <c r="L1094" s="1163"/>
      <c r="M1094" s="1163"/>
      <c r="N1094" s="1163"/>
      <c r="O1094" s="1185"/>
      <c r="P1094" s="1185"/>
      <c r="Q1094" s="1185"/>
      <c r="R1094" s="1185"/>
      <c r="S1094" s="1185"/>
      <c r="T1094" s="1185"/>
      <c r="U1094" s="1185"/>
      <c r="V1094" s="1186"/>
    </row>
    <row r="1095" spans="1:22" ht="15" customHeight="1" x14ac:dyDescent="0.25">
      <c r="A1095" s="567"/>
      <c r="B1095" s="564"/>
      <c r="C1095" s="553"/>
      <c r="D1095" s="553"/>
      <c r="E1095" s="553"/>
      <c r="F1095" s="553"/>
      <c r="G1095" s="596" t="s">
        <v>487</v>
      </c>
      <c r="H1095" s="596" t="s">
        <v>488</v>
      </c>
      <c r="I1095" s="596" t="s">
        <v>489</v>
      </c>
      <c r="J1095" s="286"/>
      <c r="K1095" s="286">
        <v>1.5</v>
      </c>
      <c r="L1095" s="302"/>
      <c r="M1095" s="590"/>
      <c r="N1095" s="302"/>
      <c r="O1095" s="590"/>
      <c r="P1095" s="590"/>
      <c r="Q1095" s="590"/>
      <c r="R1095" s="590"/>
      <c r="S1095" s="302"/>
      <c r="T1095" s="302"/>
      <c r="U1095" s="590"/>
      <c r="V1095" s="303"/>
    </row>
    <row r="1096" spans="1:22" ht="15" customHeight="1" x14ac:dyDescent="0.25">
      <c r="A1096" s="567"/>
      <c r="B1096" s="564"/>
      <c r="C1096" s="553"/>
      <c r="D1096" s="553"/>
      <c r="E1096" s="553"/>
      <c r="F1096" s="553"/>
      <c r="G1096" s="1163" t="s">
        <v>2290</v>
      </c>
      <c r="H1096" s="1163"/>
      <c r="I1096" s="1163"/>
      <c r="J1096" s="1163"/>
      <c r="K1096" s="1163"/>
      <c r="L1096" s="1163"/>
      <c r="M1096" s="1163"/>
      <c r="N1096" s="1163"/>
      <c r="O1096" s="590"/>
      <c r="P1096" s="590"/>
      <c r="Q1096" s="626"/>
      <c r="R1096" s="626"/>
      <c r="S1096" s="302"/>
      <c r="T1096" s="302"/>
      <c r="U1096" s="590"/>
      <c r="V1096" s="303"/>
    </row>
    <row r="1097" spans="1:22" ht="15" customHeight="1" thickBot="1" x14ac:dyDescent="0.3">
      <c r="A1097" s="567"/>
      <c r="B1097" s="564"/>
      <c r="C1097" s="553"/>
      <c r="D1097" s="553"/>
      <c r="E1097" s="553"/>
      <c r="F1097" s="553"/>
      <c r="G1097" s="590" t="s">
        <v>490</v>
      </c>
      <c r="H1097" s="596" t="s">
        <v>2289</v>
      </c>
      <c r="I1097" s="596" t="s">
        <v>2325</v>
      </c>
      <c r="J1097" s="286"/>
      <c r="K1097" s="286">
        <f>0.25*0.75</f>
        <v>0.1875</v>
      </c>
      <c r="L1097" s="302"/>
      <c r="M1097" s="590"/>
      <c r="N1097" s="302"/>
      <c r="O1097" s="590"/>
      <c r="P1097" s="590"/>
      <c r="Q1097" s="626"/>
      <c r="R1097" s="626"/>
      <c r="S1097" s="302"/>
      <c r="T1097" s="302"/>
      <c r="U1097" s="590"/>
      <c r="V1097" s="303"/>
    </row>
    <row r="1098" spans="1:22" ht="15" customHeight="1" x14ac:dyDescent="0.25">
      <c r="A1098" s="567"/>
      <c r="B1098" s="564"/>
      <c r="C1098" s="553"/>
      <c r="D1098" s="553"/>
      <c r="E1098" s="553"/>
      <c r="F1098" s="553"/>
      <c r="G1098" s="1168" t="s">
        <v>18518</v>
      </c>
      <c r="H1098" s="1168"/>
      <c r="I1098" s="1168"/>
      <c r="J1098" s="1168"/>
      <c r="K1098" s="1168"/>
      <c r="L1098" s="1168"/>
      <c r="M1098" s="1168"/>
      <c r="N1098" s="1168"/>
      <c r="O1098" s="290"/>
      <c r="P1098" s="290"/>
      <c r="Q1098" s="629"/>
      <c r="R1098" s="629"/>
      <c r="S1098" s="307"/>
      <c r="T1098" s="307"/>
      <c r="U1098" s="290"/>
      <c r="V1098" s="305"/>
    </row>
    <row r="1099" spans="1:22" ht="15" customHeight="1" x14ac:dyDescent="0.25">
      <c r="A1099" s="567"/>
      <c r="B1099" s="564"/>
      <c r="C1099" s="553"/>
      <c r="D1099" s="553"/>
      <c r="E1099" s="553"/>
      <c r="F1099" s="553"/>
      <c r="G1099" s="290" t="s">
        <v>19544</v>
      </c>
      <c r="H1099" s="600" t="s">
        <v>19545</v>
      </c>
      <c r="I1099" s="600" t="s">
        <v>19546</v>
      </c>
      <c r="J1099" s="640">
        <f>1.5*0.15</f>
        <v>0.22499999999999998</v>
      </c>
      <c r="K1099" s="640">
        <f>1.5*0.15</f>
        <v>0.22499999999999998</v>
      </c>
      <c r="L1099" s="307"/>
      <c r="M1099" s="290"/>
      <c r="N1099" s="307"/>
      <c r="O1099" s="290"/>
      <c r="P1099" s="290"/>
      <c r="Q1099" s="629"/>
      <c r="R1099" s="629"/>
      <c r="S1099" s="307"/>
      <c r="T1099" s="307"/>
      <c r="U1099" s="290"/>
      <c r="V1099" s="305"/>
    </row>
    <row r="1100" spans="1:22" ht="15" customHeight="1" thickBot="1" x14ac:dyDescent="0.3">
      <c r="A1100" s="242"/>
      <c r="B1100" s="243"/>
      <c r="C1100" s="244"/>
      <c r="D1100" s="244"/>
      <c r="E1100" s="244"/>
      <c r="F1100" s="244"/>
      <c r="G1100" s="1066" t="s">
        <v>1199</v>
      </c>
      <c r="H1100" s="1066"/>
      <c r="I1100" s="1066"/>
      <c r="J1100" s="630"/>
      <c r="K1100" s="456">
        <f>SUM(J1099:K1099)</f>
        <v>0.44999999999999996</v>
      </c>
      <c r="L1100" s="631"/>
      <c r="M1100" s="632">
        <v>0.92</v>
      </c>
      <c r="N1100" s="456">
        <f>K1100/M1100</f>
        <v>0.48913043478260865</v>
      </c>
      <c r="O1100" s="1066" t="s">
        <v>1199</v>
      </c>
      <c r="P1100" s="1066"/>
      <c r="Q1100" s="1066"/>
      <c r="R1100" s="554"/>
      <c r="S1100" s="456">
        <f>SUM(S1095:S1097)</f>
        <v>0</v>
      </c>
      <c r="T1100" s="631"/>
      <c r="U1100" s="554">
        <v>0.92</v>
      </c>
      <c r="V1100" s="633">
        <f>S1100/U1100</f>
        <v>0</v>
      </c>
    </row>
    <row r="1101" spans="1:22" s="475" customFormat="1" ht="15" customHeight="1" x14ac:dyDescent="0.25">
      <c r="A1101" s="1092" t="str">
        <f>Итоговая!C382</f>
        <v xml:space="preserve">ПС 110/35/10 кВ Рамешки </v>
      </c>
      <c r="B1101" s="1072">
        <f>Итоговая!D382</f>
        <v>10</v>
      </c>
      <c r="C1101" s="1067" t="str">
        <f>Итоговая!E382</f>
        <v>+</v>
      </c>
      <c r="D1101" s="1067">
        <f>Итоговая!F382</f>
        <v>16</v>
      </c>
      <c r="E1101" s="552"/>
      <c r="F1101" s="552"/>
      <c r="G1101" s="1168" t="s">
        <v>1288</v>
      </c>
      <c r="H1101" s="1168"/>
      <c r="I1101" s="1168"/>
      <c r="J1101" s="1168"/>
      <c r="K1101" s="1168"/>
      <c r="L1101" s="1168"/>
      <c r="M1101" s="1168"/>
      <c r="N1101" s="1168"/>
      <c r="O1101" s="1163" t="s">
        <v>1287</v>
      </c>
      <c r="P1101" s="1163"/>
      <c r="Q1101" s="1163"/>
      <c r="R1101" s="1163"/>
      <c r="S1101" s="1163"/>
      <c r="T1101" s="1163"/>
      <c r="U1101" s="1163"/>
      <c r="V1101" s="1163"/>
    </row>
    <row r="1102" spans="1:22" ht="15" customHeight="1" x14ac:dyDescent="0.25">
      <c r="A1102" s="1093"/>
      <c r="B1102" s="1023"/>
      <c r="C1102" s="1024"/>
      <c r="D1102" s="1024"/>
      <c r="E1102" s="553"/>
      <c r="F1102" s="553"/>
      <c r="G1102" s="627" t="s">
        <v>1220</v>
      </c>
      <c r="H1102" s="627" t="s">
        <v>491</v>
      </c>
      <c r="I1102" s="627" t="s">
        <v>492</v>
      </c>
      <c r="J1102" s="628"/>
      <c r="K1102" s="628">
        <v>3.5000000000000003E-2</v>
      </c>
      <c r="L1102" s="302"/>
      <c r="M1102" s="590"/>
      <c r="N1102" s="302"/>
      <c r="O1102" s="627" t="s">
        <v>496</v>
      </c>
      <c r="P1102" s="627" t="s">
        <v>971</v>
      </c>
      <c r="Q1102" s="627" t="s">
        <v>497</v>
      </c>
      <c r="R1102" s="628"/>
      <c r="S1102" s="659">
        <v>2.5000000000000001E-2</v>
      </c>
      <c r="T1102" s="646"/>
      <c r="U1102" s="743"/>
      <c r="V1102" s="302"/>
    </row>
    <row r="1103" spans="1:22" ht="15" customHeight="1" x14ac:dyDescent="0.25">
      <c r="A1103" s="567"/>
      <c r="B1103" s="564"/>
      <c r="C1103" s="553"/>
      <c r="D1103" s="553"/>
      <c r="E1103" s="553"/>
      <c r="F1103" s="553"/>
      <c r="G1103" s="1197" t="s">
        <v>1325</v>
      </c>
      <c r="H1103" s="1197"/>
      <c r="I1103" s="1197"/>
      <c r="J1103" s="1197"/>
      <c r="K1103" s="1197"/>
      <c r="L1103" s="1197"/>
      <c r="M1103" s="1197"/>
      <c r="N1103" s="1197"/>
      <c r="O1103" s="590"/>
      <c r="P1103" s="590"/>
      <c r="Q1103" s="590"/>
      <c r="R1103" s="590"/>
      <c r="S1103" s="646"/>
      <c r="T1103" s="646"/>
      <c r="U1103" s="590"/>
      <c r="V1103" s="303"/>
    </row>
    <row r="1104" spans="1:22" ht="15" customHeight="1" x14ac:dyDescent="0.25">
      <c r="A1104" s="567"/>
      <c r="B1104" s="564"/>
      <c r="C1104" s="553"/>
      <c r="D1104" s="553"/>
      <c r="E1104" s="553"/>
      <c r="F1104" s="553"/>
      <c r="G1104" s="627" t="s">
        <v>494</v>
      </c>
      <c r="H1104" s="627" t="s">
        <v>495</v>
      </c>
      <c r="I1104" s="660" t="s">
        <v>1584</v>
      </c>
      <c r="J1104" s="659"/>
      <c r="K1104" s="286">
        <v>2.8000000000000001E-2</v>
      </c>
      <c r="L1104" s="302"/>
      <c r="M1104" s="590"/>
      <c r="N1104" s="302"/>
      <c r="O1104" s="590"/>
      <c r="P1104" s="590"/>
      <c r="Q1104" s="467"/>
      <c r="R1104" s="467"/>
      <c r="S1104" s="302"/>
      <c r="T1104" s="302"/>
      <c r="U1104" s="590"/>
      <c r="V1104" s="303"/>
    </row>
    <row r="1105" spans="1:22" ht="15" customHeight="1" x14ac:dyDescent="0.25">
      <c r="A1105" s="567"/>
      <c r="B1105" s="564"/>
      <c r="C1105" s="553"/>
      <c r="D1105" s="553"/>
      <c r="E1105" s="553"/>
      <c r="F1105" s="553"/>
      <c r="G1105" s="1197" t="s">
        <v>1740</v>
      </c>
      <c r="H1105" s="1197"/>
      <c r="I1105" s="1197"/>
      <c r="J1105" s="1197"/>
      <c r="K1105" s="1197"/>
      <c r="L1105" s="1197"/>
      <c r="M1105" s="1197"/>
      <c r="N1105" s="1197"/>
      <c r="O1105" s="590"/>
      <c r="P1105" s="590"/>
      <c r="Q1105" s="467"/>
      <c r="R1105" s="467"/>
      <c r="S1105" s="302"/>
      <c r="T1105" s="302"/>
      <c r="U1105" s="590"/>
      <c r="V1105" s="303"/>
    </row>
    <row r="1106" spans="1:22" ht="15" customHeight="1" x14ac:dyDescent="0.25">
      <c r="A1106" s="567"/>
      <c r="B1106" s="564"/>
      <c r="C1106" s="553"/>
      <c r="D1106" s="553"/>
      <c r="E1106" s="553"/>
      <c r="F1106" s="553"/>
      <c r="G1106" s="627" t="s">
        <v>1699</v>
      </c>
      <c r="H1106" s="627" t="s">
        <v>1700</v>
      </c>
      <c r="I1106" s="660" t="s">
        <v>1741</v>
      </c>
      <c r="J1106" s="659"/>
      <c r="K1106" s="628">
        <f>0.042-0.012</f>
        <v>3.0000000000000002E-2</v>
      </c>
      <c r="L1106" s="302"/>
      <c r="M1106" s="590"/>
      <c r="N1106" s="302"/>
      <c r="O1106" s="590"/>
      <c r="P1106" s="590"/>
      <c r="Q1106" s="467"/>
      <c r="R1106" s="467"/>
      <c r="S1106" s="302"/>
      <c r="T1106" s="302"/>
      <c r="U1106" s="590"/>
      <c r="V1106" s="303"/>
    </row>
    <row r="1107" spans="1:22" ht="15" customHeight="1" x14ac:dyDescent="0.25">
      <c r="A1107" s="567"/>
      <c r="B1107" s="564"/>
      <c r="C1107" s="553"/>
      <c r="D1107" s="553"/>
      <c r="E1107" s="553"/>
      <c r="F1107" s="553"/>
      <c r="G1107" s="627" t="s">
        <v>493</v>
      </c>
      <c r="H1107" s="627" t="s">
        <v>1726</v>
      </c>
      <c r="I1107" s="660" t="s">
        <v>1903</v>
      </c>
      <c r="J1107" s="659"/>
      <c r="K1107" s="628">
        <v>0.06</v>
      </c>
      <c r="L1107" s="302"/>
      <c r="M1107" s="590"/>
      <c r="N1107" s="302"/>
      <c r="O1107" s="590"/>
      <c r="P1107" s="590"/>
      <c r="Q1107" s="467"/>
      <c r="R1107" s="467"/>
      <c r="S1107" s="302"/>
      <c r="T1107" s="302"/>
      <c r="U1107" s="590"/>
      <c r="V1107" s="303"/>
    </row>
    <row r="1108" spans="1:22" ht="15" customHeight="1" x14ac:dyDescent="0.25">
      <c r="A1108" s="567"/>
      <c r="B1108" s="564"/>
      <c r="C1108" s="553"/>
      <c r="D1108" s="553"/>
      <c r="E1108" s="553"/>
      <c r="F1108" s="553"/>
      <c r="G1108" s="543" t="s">
        <v>1679</v>
      </c>
      <c r="H1108" s="543" t="s">
        <v>1919</v>
      </c>
      <c r="I1108" s="660" t="s">
        <v>1940</v>
      </c>
      <c r="J1108" s="659"/>
      <c r="K1108" s="628">
        <v>2.3E-2</v>
      </c>
      <c r="L1108" s="302"/>
      <c r="M1108" s="590"/>
      <c r="N1108" s="302"/>
      <c r="O1108" s="590"/>
      <c r="P1108" s="590"/>
      <c r="Q1108" s="467"/>
      <c r="R1108" s="467"/>
      <c r="S1108" s="302"/>
      <c r="T1108" s="302"/>
      <c r="U1108" s="590"/>
      <c r="V1108" s="303"/>
    </row>
    <row r="1109" spans="1:22" ht="15" customHeight="1" x14ac:dyDescent="0.25">
      <c r="A1109" s="567"/>
      <c r="B1109" s="564"/>
      <c r="C1109" s="553"/>
      <c r="D1109" s="553"/>
      <c r="E1109" s="553"/>
      <c r="F1109" s="553"/>
      <c r="G1109" s="1197" t="s">
        <v>14978</v>
      </c>
      <c r="H1109" s="1197"/>
      <c r="I1109" s="1197"/>
      <c r="J1109" s="1197"/>
      <c r="K1109" s="1197"/>
      <c r="L1109" s="1197"/>
      <c r="M1109" s="1197"/>
      <c r="N1109" s="1197"/>
      <c r="O1109" s="590"/>
      <c r="P1109" s="590"/>
      <c r="Q1109" s="467"/>
      <c r="R1109" s="467"/>
      <c r="S1109" s="302"/>
      <c r="T1109" s="302"/>
      <c r="U1109" s="590"/>
      <c r="V1109" s="303"/>
    </row>
    <row r="1110" spans="1:22" ht="15" customHeight="1" x14ac:dyDescent="0.25">
      <c r="A1110" s="567"/>
      <c r="B1110" s="564"/>
      <c r="C1110" s="553"/>
      <c r="D1110" s="553"/>
      <c r="E1110" s="553"/>
      <c r="F1110" s="553"/>
      <c r="G1110" s="1157" t="s">
        <v>2262</v>
      </c>
      <c r="H1110" s="1157"/>
      <c r="I1110" s="1157"/>
      <c r="J1110" s="1165">
        <f>0.26*0.9*0.6</f>
        <v>0.1404</v>
      </c>
      <c r="K1110" s="1166"/>
      <c r="L1110" s="302"/>
      <c r="M1110" s="590"/>
      <c r="N1110" s="302"/>
      <c r="O1110" s="590"/>
      <c r="P1110" s="590"/>
      <c r="Q1110" s="467"/>
      <c r="R1110" s="467"/>
      <c r="S1110" s="302"/>
      <c r="T1110" s="302"/>
      <c r="U1110" s="590"/>
      <c r="V1110" s="303"/>
    </row>
    <row r="1111" spans="1:22" ht="15" customHeight="1" x14ac:dyDescent="0.25">
      <c r="A1111" s="567"/>
      <c r="B1111" s="564"/>
      <c r="C1111" s="553"/>
      <c r="D1111" s="553"/>
      <c r="E1111" s="553"/>
      <c r="F1111" s="553"/>
      <c r="G1111" s="548" t="s">
        <v>17607</v>
      </c>
      <c r="H1111" s="548" t="s">
        <v>17608</v>
      </c>
      <c r="I1111" s="548" t="s">
        <v>17609</v>
      </c>
      <c r="J1111" s="519"/>
      <c r="K1111" s="302">
        <f>(0.026-0.015)*0.9</f>
        <v>9.8999999999999991E-3</v>
      </c>
      <c r="L1111" s="302"/>
      <c r="M1111" s="590"/>
      <c r="N1111" s="302"/>
      <c r="O1111" s="590"/>
      <c r="P1111" s="590"/>
      <c r="Q1111" s="467"/>
      <c r="R1111" s="467"/>
      <c r="S1111" s="302"/>
      <c r="T1111" s="302"/>
      <c r="U1111" s="590"/>
      <c r="V1111" s="303"/>
    </row>
    <row r="1112" spans="1:22" ht="15" customHeight="1" x14ac:dyDescent="0.25">
      <c r="A1112" s="567"/>
      <c r="B1112" s="564"/>
      <c r="C1112" s="553"/>
      <c r="D1112" s="553"/>
      <c r="E1112" s="553"/>
      <c r="F1112" s="553"/>
      <c r="G1112" s="548" t="s">
        <v>17622</v>
      </c>
      <c r="H1112" s="548" t="s">
        <v>17623</v>
      </c>
      <c r="I1112" s="548" t="s">
        <v>17624</v>
      </c>
      <c r="J1112" s="519"/>
      <c r="K1112" s="302">
        <f>0.04*0.9</f>
        <v>3.6000000000000004E-2</v>
      </c>
      <c r="L1112" s="302"/>
      <c r="M1112" s="590"/>
      <c r="N1112" s="302"/>
      <c r="O1112" s="590"/>
      <c r="P1112" s="590"/>
      <c r="Q1112" s="467"/>
      <c r="R1112" s="467"/>
      <c r="S1112" s="302"/>
      <c r="T1112" s="302"/>
      <c r="U1112" s="590"/>
      <c r="V1112" s="303"/>
    </row>
    <row r="1113" spans="1:22" ht="15" customHeight="1" x14ac:dyDescent="0.25">
      <c r="A1113" s="567"/>
      <c r="B1113" s="564"/>
      <c r="C1113" s="553"/>
      <c r="D1113" s="553"/>
      <c r="E1113" s="553"/>
      <c r="F1113" s="553"/>
      <c r="G1113" s="1197" t="s">
        <v>18842</v>
      </c>
      <c r="H1113" s="1197"/>
      <c r="I1113" s="1197"/>
      <c r="J1113" s="1197"/>
      <c r="K1113" s="1197"/>
      <c r="L1113" s="1197"/>
      <c r="M1113" s="1197"/>
      <c r="N1113" s="1197"/>
      <c r="O1113" s="290"/>
      <c r="P1113" s="290"/>
      <c r="Q1113" s="695"/>
      <c r="R1113" s="695"/>
      <c r="S1113" s="307"/>
      <c r="T1113" s="307"/>
      <c r="U1113" s="290"/>
      <c r="V1113" s="305"/>
    </row>
    <row r="1114" spans="1:22" ht="15" customHeight="1" x14ac:dyDescent="0.25">
      <c r="A1114" s="567"/>
      <c r="B1114" s="564"/>
      <c r="C1114" s="553"/>
      <c r="D1114" s="553"/>
      <c r="E1114" s="553"/>
      <c r="F1114" s="553"/>
      <c r="G1114" s="1164" t="s">
        <v>2262</v>
      </c>
      <c r="H1114" s="1164"/>
      <c r="I1114" s="1164"/>
      <c r="J1114" s="1165">
        <f>0.681*0.9*0.6</f>
        <v>0.36774000000000007</v>
      </c>
      <c r="K1114" s="1166"/>
      <c r="L1114" s="307"/>
      <c r="M1114" s="695"/>
      <c r="N1114" s="687"/>
      <c r="O1114" s="290"/>
      <c r="P1114" s="290"/>
      <c r="Q1114" s="695"/>
      <c r="R1114" s="695"/>
      <c r="S1114" s="307"/>
      <c r="T1114" s="307"/>
      <c r="U1114" s="290"/>
      <c r="V1114" s="305"/>
    </row>
    <row r="1115" spans="1:22" ht="15" customHeight="1" thickBot="1" x14ac:dyDescent="0.3">
      <c r="A1115" s="242"/>
      <c r="B1115" s="243"/>
      <c r="C1115" s="244"/>
      <c r="D1115" s="244"/>
      <c r="E1115" s="244"/>
      <c r="F1115" s="244"/>
      <c r="G1115" s="1066" t="s">
        <v>1199</v>
      </c>
      <c r="H1115" s="1066"/>
      <c r="I1115" s="1066"/>
      <c r="J1115" s="630"/>
      <c r="K1115" s="456">
        <f>SUM(J1110:K1114)</f>
        <v>0.55404000000000009</v>
      </c>
      <c r="L1115" s="631"/>
      <c r="M1115" s="632">
        <v>0.92</v>
      </c>
      <c r="N1115" s="456">
        <f>K1115/M1115</f>
        <v>0.60221739130434793</v>
      </c>
      <c r="O1115" s="1066" t="s">
        <v>1199</v>
      </c>
      <c r="P1115" s="1066"/>
      <c r="Q1115" s="1066"/>
      <c r="R1115" s="554"/>
      <c r="S1115" s="456">
        <f>SUM(S1103:S1104)</f>
        <v>0</v>
      </c>
      <c r="T1115" s="631"/>
      <c r="U1115" s="554">
        <v>0.92</v>
      </c>
      <c r="V1115" s="633">
        <f>S1115/U1115</f>
        <v>0</v>
      </c>
    </row>
    <row r="1116" spans="1:22" ht="15" customHeight="1" x14ac:dyDescent="0.25">
      <c r="A1116" s="566" t="str">
        <f>Итоговая!C385</f>
        <v xml:space="preserve">ПС 110/35/10 кВ Тучево </v>
      </c>
      <c r="B1116" s="563">
        <f>Итоговая!D385</f>
        <v>25</v>
      </c>
      <c r="C1116" s="552" t="str">
        <f>Итоговая!E385</f>
        <v>+</v>
      </c>
      <c r="D1116" s="552">
        <f>Итоговая!F385</f>
        <v>25</v>
      </c>
      <c r="E1116" s="552"/>
      <c r="F1116" s="552"/>
      <c r="G1116" s="427"/>
      <c r="H1116" s="427"/>
      <c r="I1116" s="427"/>
      <c r="J1116" s="459"/>
      <c r="K1116" s="459"/>
      <c r="L1116" s="460"/>
      <c r="M1116" s="588"/>
      <c r="N1116" s="460"/>
      <c r="O1116" s="427"/>
      <c r="P1116" s="427"/>
      <c r="Q1116" s="427"/>
      <c r="R1116" s="427"/>
      <c r="S1116" s="459"/>
      <c r="T1116" s="460"/>
      <c r="U1116" s="427"/>
      <c r="V1116" s="634"/>
    </row>
    <row r="1117" spans="1:22" ht="15" customHeight="1" thickBot="1" x14ac:dyDescent="0.3">
      <c r="A1117" s="242"/>
      <c r="B1117" s="243"/>
      <c r="C1117" s="244"/>
      <c r="D1117" s="244"/>
      <c r="E1117" s="244"/>
      <c r="F1117" s="244"/>
      <c r="G1117" s="1066" t="s">
        <v>1199</v>
      </c>
      <c r="H1117" s="1066"/>
      <c r="I1117" s="1066"/>
      <c r="J1117" s="630"/>
      <c r="K1117" s="456">
        <f>SUM(K1116:K1116)</f>
        <v>0</v>
      </c>
      <c r="L1117" s="631"/>
      <c r="M1117" s="632">
        <v>0.92</v>
      </c>
      <c r="N1117" s="456">
        <f>K1117/M1117</f>
        <v>0</v>
      </c>
      <c r="O1117" s="1066" t="s">
        <v>1199</v>
      </c>
      <c r="P1117" s="1066"/>
      <c r="Q1117" s="1066"/>
      <c r="R1117" s="554"/>
      <c r="S1117" s="456">
        <f>SUM(S1116:S1116)</f>
        <v>0</v>
      </c>
      <c r="T1117" s="631"/>
      <c r="U1117" s="554">
        <v>0.92</v>
      </c>
      <c r="V1117" s="633">
        <f>S1117/U1117</f>
        <v>0</v>
      </c>
    </row>
    <row r="1118" spans="1:22" ht="15" customHeight="1" thickBot="1" x14ac:dyDescent="0.3">
      <c r="A1118" s="1171" t="s">
        <v>1289</v>
      </c>
      <c r="B1118" s="1172"/>
      <c r="C1118" s="587"/>
      <c r="D1118" s="587"/>
      <c r="E1118" s="587"/>
      <c r="F1118" s="587"/>
      <c r="G1118" s="322"/>
      <c r="H1118" s="587"/>
      <c r="I1118" s="587"/>
      <c r="J1118" s="324"/>
      <c r="K1118" s="324">
        <f>K16+K26+K38+K186+K40+K48+K69+K77+K85+K90+K93+K99+K102+K105+K120+K137+K148+K151+K154+K162+K195+K204+K209+K212+K220+K224+K250+K262+K265+K285+K354+K373+K387+K408+K427+K444+K460+K473+K491+K496+K506+K519+K569+K571+K580+K601+K621+K644+K656+K672+K686+K710+K724+K729+K744+K764+K787+K829+K833+K856+K874+K878+K914+K922+K936+K988+K1005+K1035+K1047+K1089+K1117</f>
        <v>75.264494000000028</v>
      </c>
      <c r="L1118" s="324"/>
      <c r="M1118" s="587"/>
      <c r="N1118" s="324">
        <f>N16+N26+N38+N186+N40+N48+N69+N77+N85+N90+N93+N99+N102+N105+N120+N137+N148+N151+N154+N162+N195+N204+N209+N212+N220+N224+N250+N262+N265+N285+N354+N373+N387+N408+N427+N444+N460+N473+N491+N496+N506+N519+N569+N571+N580+N601+N621+N644+N656+N672+N686+N710+N724+N729+N744+N764+N787+N829+N833+N856+N874+N878+N914+N922+N936+N988+N1005+N1035+N1047+N1089+N1117</f>
        <v>81.800619939223935</v>
      </c>
      <c r="O1118" s="708"/>
      <c r="P1118" s="709"/>
      <c r="Q1118" s="709"/>
      <c r="R1118" s="709"/>
      <c r="S1118" s="710"/>
      <c r="T1118" s="711"/>
      <c r="U1118" s="709"/>
      <c r="V1118" s="712"/>
    </row>
    <row r="1119" spans="1:22" ht="15" customHeight="1" x14ac:dyDescent="0.25">
      <c r="N1119" s="713"/>
    </row>
    <row r="1120" spans="1:22" ht="15" customHeight="1" x14ac:dyDescent="0.25">
      <c r="N1120" s="713"/>
    </row>
    <row r="1121" spans="1:15" ht="15" customHeight="1" x14ac:dyDescent="0.25">
      <c r="N1121" s="713"/>
    </row>
    <row r="1122" spans="1:15" ht="15" customHeight="1" x14ac:dyDescent="0.25">
      <c r="A1122" s="301"/>
      <c r="B1122" s="301"/>
      <c r="C1122" s="301"/>
      <c r="D1122" s="301"/>
      <c r="E1122" s="301"/>
      <c r="F1122" s="301"/>
      <c r="G1122" s="301"/>
      <c r="H1122" s="301"/>
      <c r="I1122" s="301"/>
      <c r="J1122" s="336"/>
      <c r="K1122" s="336"/>
      <c r="L1122" s="337"/>
      <c r="M1122" s="475"/>
      <c r="N1122" s="713"/>
      <c r="O1122" s="301"/>
    </row>
    <row r="1123" spans="1:15" ht="15" customHeight="1" x14ac:dyDescent="0.25">
      <c r="A1123" s="301"/>
      <c r="B1123" s="301"/>
      <c r="C1123" s="301"/>
      <c r="D1123" s="301"/>
      <c r="E1123" s="301"/>
      <c r="F1123" s="301"/>
      <c r="G1123" s="301"/>
      <c r="H1123" s="301"/>
      <c r="I1123" s="301"/>
      <c r="J1123" s="336"/>
      <c r="K1123" s="336"/>
      <c r="L1123" s="337"/>
      <c r="M1123" s="475"/>
      <c r="N1123" s="713"/>
      <c r="O1123" s="301"/>
    </row>
    <row r="1124" spans="1:15" ht="15" customHeight="1" x14ac:dyDescent="0.25">
      <c r="A1124" s="301"/>
      <c r="B1124" s="301"/>
      <c r="C1124" s="301"/>
      <c r="D1124" s="301"/>
      <c r="E1124" s="301"/>
      <c r="F1124" s="301"/>
      <c r="G1124" s="301"/>
      <c r="H1124" s="301"/>
      <c r="I1124" s="301"/>
      <c r="J1124" s="336"/>
      <c r="K1124" s="336"/>
      <c r="L1124" s="337"/>
      <c r="M1124" s="475"/>
      <c r="N1124" s="713"/>
      <c r="O1124" s="301"/>
    </row>
    <row r="1125" spans="1:15" ht="15" customHeight="1" x14ac:dyDescent="0.25">
      <c r="A1125" s="301"/>
      <c r="B1125" s="301"/>
      <c r="C1125" s="301"/>
      <c r="D1125" s="301"/>
      <c r="E1125" s="301"/>
      <c r="F1125" s="301"/>
      <c r="G1125" s="301"/>
      <c r="H1125" s="301"/>
      <c r="I1125" s="301"/>
      <c r="J1125" s="336"/>
      <c r="K1125" s="336"/>
      <c r="L1125" s="337"/>
      <c r="M1125" s="475"/>
      <c r="N1125" s="713"/>
      <c r="O1125" s="301"/>
    </row>
    <row r="1126" spans="1:15" ht="15" customHeight="1" x14ac:dyDescent="0.25">
      <c r="A1126" s="301"/>
      <c r="B1126" s="301"/>
      <c r="C1126" s="301"/>
      <c r="D1126" s="301"/>
      <c r="E1126" s="301"/>
      <c r="F1126" s="301"/>
      <c r="G1126" s="301"/>
      <c r="H1126" s="301"/>
      <c r="I1126" s="301"/>
      <c r="J1126" s="336"/>
      <c r="K1126" s="336"/>
      <c r="L1126" s="337"/>
      <c r="M1126" s="475"/>
      <c r="N1126" s="713"/>
      <c r="O1126" s="301"/>
    </row>
    <row r="1127" spans="1:15" ht="15" customHeight="1" x14ac:dyDescent="0.25">
      <c r="A1127" s="301"/>
      <c r="B1127" s="301"/>
      <c r="C1127" s="301"/>
      <c r="D1127" s="301"/>
      <c r="E1127" s="301"/>
      <c r="F1127" s="301"/>
      <c r="G1127" s="301"/>
      <c r="H1127" s="301"/>
      <c r="I1127" s="301"/>
      <c r="J1127" s="336"/>
      <c r="K1127" s="336"/>
      <c r="L1127" s="337"/>
      <c r="M1127" s="475"/>
      <c r="N1127" s="713"/>
      <c r="O1127" s="301"/>
    </row>
    <row r="1128" spans="1:15" ht="15" customHeight="1" x14ac:dyDescent="0.25">
      <c r="A1128" s="301"/>
      <c r="B1128" s="301"/>
      <c r="C1128" s="301"/>
      <c r="D1128" s="301"/>
      <c r="E1128" s="301"/>
      <c r="F1128" s="301"/>
      <c r="G1128" s="301"/>
      <c r="H1128" s="301"/>
      <c r="I1128" s="301"/>
      <c r="J1128" s="336"/>
      <c r="K1128" s="336"/>
      <c r="L1128" s="337"/>
      <c r="M1128" s="475"/>
      <c r="N1128" s="713"/>
      <c r="O1128" s="301"/>
    </row>
    <row r="1129" spans="1:15" ht="15" customHeight="1" x14ac:dyDescent="0.25">
      <c r="A1129" s="301"/>
      <c r="B1129" s="301"/>
      <c r="C1129" s="301"/>
      <c r="D1129" s="301"/>
      <c r="E1129" s="301"/>
      <c r="F1129" s="301"/>
      <c r="G1129" s="301"/>
      <c r="H1129" s="301"/>
      <c r="I1129" s="301"/>
      <c r="J1129" s="336"/>
      <c r="K1129" s="336"/>
      <c r="L1129" s="337"/>
      <c r="M1129" s="475"/>
      <c r="N1129" s="713"/>
      <c r="O1129" s="301"/>
    </row>
    <row r="1130" spans="1:15" ht="15" customHeight="1" x14ac:dyDescent="0.25">
      <c r="A1130" s="301"/>
      <c r="B1130" s="301"/>
      <c r="C1130" s="301"/>
      <c r="D1130" s="301"/>
      <c r="E1130" s="301"/>
      <c r="F1130" s="301"/>
      <c r="G1130" s="301"/>
      <c r="H1130" s="301"/>
      <c r="I1130" s="301"/>
      <c r="J1130" s="336"/>
      <c r="K1130" s="336"/>
      <c r="L1130" s="337"/>
      <c r="M1130" s="475"/>
      <c r="N1130" s="713"/>
      <c r="O1130" s="301"/>
    </row>
    <row r="1131" spans="1:15" ht="15" customHeight="1" x14ac:dyDescent="0.25">
      <c r="A1131" s="301"/>
      <c r="B1131" s="301"/>
      <c r="C1131" s="301"/>
      <c r="D1131" s="301"/>
      <c r="E1131" s="301"/>
      <c r="F1131" s="301"/>
      <c r="G1131" s="301"/>
      <c r="H1131" s="301"/>
      <c r="I1131" s="301"/>
      <c r="J1131" s="336"/>
      <c r="K1131" s="336"/>
      <c r="L1131" s="337"/>
      <c r="M1131" s="475"/>
      <c r="N1131" s="713"/>
      <c r="O1131" s="301"/>
    </row>
    <row r="1132" spans="1:15" ht="15" customHeight="1" x14ac:dyDescent="0.25">
      <c r="A1132" s="301"/>
      <c r="B1132" s="301"/>
      <c r="C1132" s="301"/>
      <c r="D1132" s="301"/>
      <c r="E1132" s="301"/>
      <c r="F1132" s="301"/>
      <c r="G1132" s="301"/>
      <c r="H1132" s="301"/>
      <c r="I1132" s="301"/>
      <c r="J1132" s="336"/>
      <c r="K1132" s="336"/>
      <c r="L1132" s="337"/>
      <c r="M1132" s="475"/>
      <c r="N1132" s="713"/>
      <c r="O1132" s="301"/>
    </row>
    <row r="1133" spans="1:15" ht="15" customHeight="1" x14ac:dyDescent="0.25">
      <c r="A1133" s="301"/>
      <c r="B1133" s="301"/>
      <c r="C1133" s="301"/>
      <c r="D1133" s="301"/>
      <c r="E1133" s="301"/>
      <c r="F1133" s="301"/>
      <c r="G1133" s="301"/>
      <c r="H1133" s="301"/>
      <c r="I1133" s="301"/>
      <c r="J1133" s="336"/>
      <c r="K1133" s="336"/>
      <c r="L1133" s="337"/>
      <c r="M1133" s="475"/>
      <c r="N1133" s="713"/>
      <c r="O1133" s="301"/>
    </row>
    <row r="1134" spans="1:15" ht="15" customHeight="1" x14ac:dyDescent="0.25">
      <c r="A1134" s="301"/>
      <c r="B1134" s="301"/>
      <c r="C1134" s="301"/>
      <c r="D1134" s="301"/>
      <c r="E1134" s="301"/>
      <c r="F1134" s="301"/>
      <c r="G1134" s="301"/>
      <c r="H1134" s="301"/>
      <c r="I1134" s="301"/>
      <c r="J1134" s="336"/>
      <c r="K1134" s="336"/>
      <c r="L1134" s="337"/>
      <c r="M1134" s="475"/>
      <c r="N1134" s="713"/>
      <c r="O1134" s="301"/>
    </row>
    <row r="1135" spans="1:15" ht="15" customHeight="1" x14ac:dyDescent="0.25">
      <c r="A1135" s="301"/>
      <c r="B1135" s="301"/>
      <c r="C1135" s="301"/>
      <c r="D1135" s="301"/>
      <c r="E1135" s="301"/>
      <c r="F1135" s="301"/>
      <c r="G1135" s="301"/>
      <c r="H1135" s="301"/>
      <c r="I1135" s="301"/>
      <c r="J1135" s="336"/>
      <c r="K1135" s="336"/>
      <c r="L1135" s="337"/>
      <c r="M1135" s="475"/>
      <c r="N1135" s="713"/>
      <c r="O1135" s="301"/>
    </row>
    <row r="1136" spans="1:15" ht="15" customHeight="1" x14ac:dyDescent="0.25">
      <c r="A1136" s="301"/>
      <c r="B1136" s="301"/>
      <c r="C1136" s="301"/>
      <c r="D1136" s="301"/>
      <c r="E1136" s="301"/>
      <c r="F1136" s="301"/>
      <c r="G1136" s="301"/>
      <c r="H1136" s="301"/>
      <c r="I1136" s="301"/>
      <c r="J1136" s="336"/>
      <c r="K1136" s="336"/>
      <c r="L1136" s="337"/>
      <c r="M1136" s="475"/>
      <c r="N1136" s="713"/>
      <c r="O1136" s="301"/>
    </row>
    <row r="1137" spans="1:22" ht="15" customHeight="1" x14ac:dyDescent="0.25">
      <c r="A1137" s="301"/>
      <c r="B1137" s="301"/>
      <c r="C1137" s="301"/>
      <c r="D1137" s="301"/>
      <c r="E1137" s="301"/>
      <c r="F1137" s="301"/>
      <c r="G1137" s="301"/>
      <c r="H1137" s="301"/>
      <c r="I1137" s="301"/>
      <c r="J1137" s="336"/>
      <c r="K1137" s="336"/>
      <c r="L1137" s="337"/>
      <c r="M1137" s="475"/>
      <c r="N1137" s="713"/>
      <c r="O1137" s="301"/>
    </row>
    <row r="1138" spans="1:22" ht="15" customHeight="1" x14ac:dyDescent="0.25">
      <c r="A1138" s="301"/>
      <c r="B1138" s="301"/>
      <c r="C1138" s="301"/>
      <c r="D1138" s="301"/>
      <c r="E1138" s="301"/>
      <c r="F1138" s="301"/>
      <c r="G1138" s="301"/>
      <c r="H1138" s="301"/>
      <c r="I1138" s="301"/>
      <c r="J1138" s="336"/>
      <c r="K1138" s="336"/>
      <c r="L1138" s="337"/>
      <c r="M1138" s="475"/>
      <c r="N1138" s="713"/>
    </row>
    <row r="1139" spans="1:22" ht="15" customHeight="1" x14ac:dyDescent="0.25">
      <c r="A1139" s="301"/>
      <c r="B1139" s="301"/>
      <c r="C1139" s="301"/>
      <c r="D1139" s="301"/>
      <c r="E1139" s="301"/>
      <c r="F1139" s="301"/>
      <c r="G1139" s="301"/>
      <c r="H1139" s="301"/>
      <c r="I1139" s="301"/>
      <c r="J1139" s="336"/>
      <c r="K1139" s="336"/>
      <c r="L1139" s="337"/>
      <c r="M1139" s="475"/>
      <c r="N1139" s="713"/>
    </row>
    <row r="1140" spans="1:22" ht="15" customHeight="1" x14ac:dyDescent="0.25">
      <c r="A1140" s="301"/>
      <c r="B1140" s="301"/>
      <c r="C1140" s="301"/>
      <c r="D1140" s="301"/>
      <c r="E1140" s="301"/>
      <c r="F1140" s="301"/>
      <c r="G1140" s="301"/>
      <c r="H1140" s="301"/>
      <c r="I1140" s="301"/>
      <c r="J1140" s="336"/>
      <c r="K1140" s="336"/>
      <c r="L1140" s="337"/>
      <c r="M1140" s="475"/>
      <c r="N1140" s="713"/>
    </row>
    <row r="1141" spans="1:22" ht="15" customHeight="1" x14ac:dyDescent="0.25">
      <c r="A1141" s="301"/>
      <c r="B1141" s="301"/>
      <c r="C1141" s="301"/>
      <c r="D1141" s="301"/>
      <c r="E1141" s="301"/>
      <c r="F1141" s="301"/>
      <c r="G1141" s="301"/>
      <c r="H1141" s="301"/>
      <c r="I1141" s="301"/>
      <c r="J1141" s="336"/>
      <c r="K1141" s="336"/>
      <c r="L1141" s="337"/>
      <c r="M1141" s="475"/>
      <c r="N1141" s="713"/>
    </row>
    <row r="1142" spans="1:22" ht="15" customHeight="1" x14ac:dyDescent="0.25">
      <c r="A1142" s="301"/>
      <c r="B1142" s="301"/>
      <c r="C1142" s="301"/>
      <c r="D1142" s="301"/>
      <c r="E1142" s="301"/>
      <c r="F1142" s="301"/>
      <c r="G1142" s="301"/>
      <c r="H1142" s="301"/>
      <c r="I1142" s="301"/>
      <c r="J1142" s="336"/>
      <c r="K1142" s="336"/>
      <c r="L1142" s="337"/>
      <c r="M1142" s="475"/>
      <c r="N1142" s="713"/>
    </row>
    <row r="1143" spans="1:22" ht="15" customHeight="1" x14ac:dyDescent="0.25">
      <c r="A1143" s="301"/>
      <c r="B1143" s="301"/>
      <c r="C1143" s="301"/>
      <c r="D1143" s="301"/>
      <c r="E1143" s="301"/>
      <c r="F1143" s="301"/>
      <c r="G1143" s="301"/>
      <c r="H1143" s="301"/>
      <c r="I1143" s="301"/>
      <c r="J1143" s="336"/>
      <c r="K1143" s="336"/>
      <c r="L1143" s="337"/>
      <c r="M1143" s="475"/>
      <c r="N1143" s="713"/>
    </row>
    <row r="1144" spans="1:22" ht="15" customHeight="1" x14ac:dyDescent="0.25">
      <c r="A1144" s="301"/>
      <c r="B1144" s="301"/>
      <c r="C1144" s="301"/>
      <c r="D1144" s="301"/>
      <c r="E1144" s="301"/>
      <c r="F1144" s="301"/>
      <c r="G1144" s="301"/>
      <c r="H1144" s="301"/>
      <c r="I1144" s="301"/>
      <c r="J1144" s="336"/>
      <c r="K1144" s="336"/>
      <c r="L1144" s="337"/>
      <c r="M1144" s="475"/>
      <c r="N1144" s="713"/>
    </row>
    <row r="1145" spans="1:22" ht="15" customHeight="1" x14ac:dyDescent="0.25">
      <c r="A1145" s="301"/>
      <c r="B1145" s="301"/>
      <c r="C1145" s="301"/>
      <c r="D1145" s="301"/>
      <c r="E1145" s="301"/>
      <c r="F1145" s="301"/>
      <c r="G1145" s="301"/>
      <c r="H1145" s="301"/>
      <c r="I1145" s="301"/>
      <c r="J1145" s="336"/>
      <c r="K1145" s="336"/>
      <c r="L1145" s="337"/>
      <c r="M1145" s="475"/>
      <c r="N1145" s="713"/>
      <c r="P1145" s="475"/>
      <c r="Q1145" s="475"/>
      <c r="R1145" s="475"/>
      <c r="S1145" s="337"/>
      <c r="U1145" s="475"/>
      <c r="V1145" s="337"/>
    </row>
    <row r="1146" spans="1:22" ht="15" customHeight="1" x14ac:dyDescent="0.25">
      <c r="A1146" s="301"/>
      <c r="B1146" s="301"/>
      <c r="C1146" s="301"/>
      <c r="D1146" s="301"/>
      <c r="E1146" s="301"/>
      <c r="F1146" s="301"/>
      <c r="G1146" s="301"/>
      <c r="H1146" s="301"/>
      <c r="I1146" s="301"/>
      <c r="J1146" s="336"/>
      <c r="K1146" s="336"/>
      <c r="L1146" s="337"/>
      <c r="M1146" s="475"/>
      <c r="N1146" s="713"/>
      <c r="P1146" s="475"/>
      <c r="Q1146" s="475"/>
      <c r="R1146" s="475"/>
      <c r="S1146" s="337"/>
      <c r="U1146" s="475"/>
      <c r="V1146" s="337"/>
    </row>
    <row r="1147" spans="1:22" ht="15" customHeight="1" x14ac:dyDescent="0.25">
      <c r="A1147" s="301"/>
      <c r="B1147" s="301"/>
      <c r="C1147" s="301"/>
      <c r="D1147" s="301"/>
      <c r="E1147" s="301"/>
      <c r="F1147" s="301"/>
      <c r="G1147" s="301"/>
      <c r="H1147" s="301"/>
      <c r="I1147" s="301"/>
      <c r="J1147" s="336"/>
      <c r="K1147" s="336"/>
      <c r="L1147" s="337"/>
      <c r="M1147" s="475"/>
      <c r="N1147" s="713"/>
      <c r="P1147" s="475"/>
      <c r="Q1147" s="475"/>
      <c r="R1147" s="475"/>
      <c r="S1147" s="337"/>
      <c r="U1147" s="475"/>
      <c r="V1147" s="337"/>
    </row>
    <row r="1148" spans="1:22" ht="15" customHeight="1" x14ac:dyDescent="0.25">
      <c r="A1148" s="301"/>
      <c r="B1148" s="301"/>
      <c r="C1148" s="301"/>
      <c r="D1148" s="301"/>
      <c r="E1148" s="301"/>
      <c r="F1148" s="301"/>
      <c r="G1148" s="301"/>
      <c r="H1148" s="301"/>
      <c r="I1148" s="301"/>
      <c r="J1148" s="336"/>
      <c r="K1148" s="336"/>
      <c r="L1148" s="337"/>
      <c r="M1148" s="475"/>
      <c r="N1148" s="713"/>
      <c r="P1148" s="475"/>
      <c r="Q1148" s="475"/>
      <c r="R1148" s="475"/>
      <c r="S1148" s="337"/>
      <c r="U1148" s="475"/>
      <c r="V1148" s="337"/>
    </row>
    <row r="1149" spans="1:22" ht="15" customHeight="1" x14ac:dyDescent="0.25">
      <c r="A1149" s="301"/>
      <c r="B1149" s="301"/>
      <c r="C1149" s="301"/>
      <c r="D1149" s="301"/>
      <c r="E1149" s="301"/>
      <c r="F1149" s="301"/>
      <c r="G1149" s="301"/>
      <c r="H1149" s="301"/>
      <c r="I1149" s="301"/>
      <c r="J1149" s="336"/>
      <c r="K1149" s="336"/>
      <c r="L1149" s="337"/>
      <c r="M1149" s="475"/>
      <c r="N1149" s="713"/>
      <c r="P1149" s="475"/>
      <c r="Q1149" s="475"/>
      <c r="R1149" s="475"/>
      <c r="S1149" s="337"/>
      <c r="U1149" s="475"/>
      <c r="V1149" s="337"/>
    </row>
    <row r="1150" spans="1:22" ht="15" customHeight="1" x14ac:dyDescent="0.25">
      <c r="A1150" s="301"/>
      <c r="B1150" s="301"/>
      <c r="C1150" s="301"/>
      <c r="D1150" s="301"/>
      <c r="E1150" s="301"/>
      <c r="F1150" s="301"/>
      <c r="G1150" s="301"/>
      <c r="H1150" s="301"/>
      <c r="I1150" s="301"/>
      <c r="J1150" s="336"/>
      <c r="K1150" s="336"/>
      <c r="L1150" s="337"/>
      <c r="M1150" s="475"/>
      <c r="N1150" s="713"/>
      <c r="P1150" s="475"/>
      <c r="Q1150" s="475"/>
      <c r="R1150" s="475"/>
      <c r="S1150" s="337"/>
      <c r="U1150" s="475"/>
      <c r="V1150" s="337"/>
    </row>
    <row r="1151" spans="1:22" ht="15" customHeight="1" x14ac:dyDescent="0.25">
      <c r="A1151" s="301"/>
      <c r="B1151" s="301"/>
      <c r="C1151" s="301"/>
      <c r="D1151" s="301"/>
      <c r="E1151" s="301"/>
      <c r="F1151" s="301"/>
      <c r="G1151" s="301"/>
      <c r="H1151" s="301"/>
      <c r="I1151" s="301"/>
      <c r="J1151" s="336"/>
      <c r="K1151" s="336"/>
      <c r="L1151" s="337"/>
      <c r="M1151" s="475"/>
      <c r="N1151" s="713"/>
      <c r="P1151" s="475"/>
      <c r="Q1151" s="475"/>
      <c r="R1151" s="475"/>
      <c r="S1151" s="337"/>
      <c r="U1151" s="475"/>
      <c r="V1151" s="337"/>
    </row>
    <row r="1152" spans="1:22" ht="15" customHeight="1" x14ac:dyDescent="0.25">
      <c r="A1152" s="301"/>
      <c r="B1152" s="301"/>
      <c r="C1152" s="301"/>
      <c r="D1152" s="301"/>
      <c r="E1152" s="301"/>
      <c r="F1152" s="301"/>
      <c r="G1152" s="301"/>
      <c r="H1152" s="301"/>
      <c r="I1152" s="301"/>
      <c r="J1152" s="336"/>
      <c r="K1152" s="336"/>
      <c r="L1152" s="337"/>
      <c r="M1152" s="475"/>
      <c r="N1152" s="713"/>
      <c r="P1152" s="475"/>
      <c r="Q1152" s="475"/>
      <c r="R1152" s="475"/>
      <c r="S1152" s="337"/>
      <c r="U1152" s="475"/>
      <c r="V1152" s="337"/>
    </row>
    <row r="1153" spans="1:15" ht="15" customHeight="1" x14ac:dyDescent="0.25">
      <c r="A1153" s="301"/>
      <c r="B1153" s="301"/>
      <c r="C1153" s="301"/>
      <c r="D1153" s="301"/>
      <c r="E1153" s="301"/>
      <c r="F1153" s="301"/>
      <c r="G1153" s="301"/>
      <c r="H1153" s="301"/>
      <c r="I1153" s="301"/>
      <c r="J1153" s="336"/>
      <c r="K1153" s="336"/>
      <c r="L1153" s="337"/>
      <c r="M1153" s="475"/>
      <c r="N1153" s="713"/>
    </row>
    <row r="1154" spans="1:15" ht="15" customHeight="1" x14ac:dyDescent="0.25">
      <c r="A1154" s="301"/>
      <c r="B1154" s="301"/>
      <c r="C1154" s="301"/>
      <c r="D1154" s="301"/>
      <c r="E1154" s="301"/>
      <c r="F1154" s="301"/>
      <c r="G1154" s="301"/>
      <c r="H1154" s="301"/>
      <c r="I1154" s="301"/>
      <c r="J1154" s="336"/>
      <c r="K1154" s="336"/>
      <c r="L1154" s="337"/>
      <c r="M1154" s="475"/>
      <c r="N1154" s="713"/>
      <c r="O1154" s="301"/>
    </row>
    <row r="1155" spans="1:15" ht="15" customHeight="1" x14ac:dyDescent="0.25">
      <c r="A1155" s="301"/>
      <c r="B1155" s="301"/>
      <c r="C1155" s="301"/>
      <c r="D1155" s="301"/>
      <c r="E1155" s="301"/>
      <c r="F1155" s="301"/>
      <c r="G1155" s="301"/>
      <c r="H1155" s="301"/>
      <c r="I1155" s="301"/>
      <c r="J1155" s="336"/>
      <c r="K1155" s="336"/>
      <c r="L1155" s="337"/>
      <c r="M1155" s="475"/>
      <c r="N1155" s="713"/>
      <c r="O1155" s="301"/>
    </row>
    <row r="1156" spans="1:15" ht="15" customHeight="1" x14ac:dyDescent="0.25">
      <c r="A1156" s="301"/>
      <c r="B1156" s="301"/>
      <c r="C1156" s="301"/>
      <c r="D1156" s="301"/>
      <c r="E1156" s="301"/>
      <c r="F1156" s="301"/>
      <c r="G1156" s="301"/>
      <c r="H1156" s="301"/>
      <c r="I1156" s="301"/>
      <c r="J1156" s="336"/>
      <c r="K1156" s="336"/>
      <c r="L1156" s="337"/>
      <c r="M1156" s="475"/>
      <c r="N1156" s="713"/>
      <c r="O1156" s="301"/>
    </row>
    <row r="1157" spans="1:15" ht="15" customHeight="1" x14ac:dyDescent="0.25">
      <c r="A1157" s="301"/>
      <c r="B1157" s="301"/>
      <c r="C1157" s="301"/>
      <c r="D1157" s="301"/>
      <c r="E1157" s="301"/>
      <c r="F1157" s="301"/>
      <c r="G1157" s="301"/>
      <c r="H1157" s="301"/>
      <c r="I1157" s="301"/>
      <c r="J1157" s="336"/>
      <c r="K1157" s="336"/>
      <c r="L1157" s="337"/>
      <c r="M1157" s="475"/>
      <c r="N1157" s="713"/>
      <c r="O1157" s="301"/>
    </row>
    <row r="1158" spans="1:15" ht="15" customHeight="1" x14ac:dyDescent="0.25">
      <c r="A1158" s="301"/>
      <c r="B1158" s="301"/>
      <c r="C1158" s="301"/>
      <c r="D1158" s="301"/>
      <c r="E1158" s="301"/>
      <c r="F1158" s="301"/>
      <c r="G1158" s="301"/>
      <c r="H1158" s="301"/>
      <c r="I1158" s="301"/>
      <c r="J1158" s="336"/>
      <c r="K1158" s="336"/>
      <c r="L1158" s="337"/>
      <c r="M1158" s="475"/>
      <c r="N1158" s="713"/>
      <c r="O1158" s="301"/>
    </row>
    <row r="1159" spans="1:15" ht="15" customHeight="1" x14ac:dyDescent="0.25">
      <c r="A1159" s="301"/>
      <c r="B1159" s="301"/>
      <c r="C1159" s="301"/>
      <c r="D1159" s="301"/>
      <c r="E1159" s="301"/>
      <c r="F1159" s="301"/>
      <c r="G1159" s="301"/>
      <c r="H1159" s="301"/>
      <c r="I1159" s="301"/>
      <c r="J1159" s="336"/>
      <c r="K1159" s="336"/>
      <c r="L1159" s="337"/>
      <c r="M1159" s="475"/>
      <c r="N1159" s="713"/>
      <c r="O1159" s="301"/>
    </row>
    <row r="1160" spans="1:15" ht="15" customHeight="1" x14ac:dyDescent="0.25">
      <c r="A1160" s="301"/>
      <c r="B1160" s="301"/>
      <c r="C1160" s="301"/>
      <c r="D1160" s="301"/>
      <c r="E1160" s="301"/>
      <c r="F1160" s="301"/>
      <c r="G1160" s="301"/>
      <c r="H1160" s="301"/>
      <c r="I1160" s="301"/>
      <c r="J1160" s="336"/>
      <c r="K1160" s="336"/>
      <c r="L1160" s="337"/>
      <c r="M1160" s="475"/>
      <c r="N1160" s="713"/>
      <c r="O1160" s="301"/>
    </row>
    <row r="1161" spans="1:15" ht="15" customHeight="1" x14ac:dyDescent="0.25">
      <c r="A1161" s="301"/>
      <c r="B1161" s="301"/>
      <c r="C1161" s="301"/>
      <c r="D1161" s="301"/>
      <c r="E1161" s="301"/>
      <c r="F1161" s="301"/>
      <c r="G1161" s="301"/>
      <c r="H1161" s="301"/>
      <c r="I1161" s="301"/>
      <c r="J1161" s="336"/>
      <c r="K1161" s="336"/>
      <c r="L1161" s="337"/>
      <c r="M1161" s="475"/>
      <c r="N1161" s="713"/>
      <c r="O1161" s="301"/>
    </row>
    <row r="1162" spans="1:15" ht="15" customHeight="1" x14ac:dyDescent="0.25">
      <c r="A1162" s="301"/>
      <c r="B1162" s="301"/>
      <c r="C1162" s="301"/>
      <c r="D1162" s="301"/>
      <c r="E1162" s="301"/>
      <c r="F1162" s="301"/>
      <c r="G1162" s="301"/>
      <c r="H1162" s="301"/>
      <c r="I1162" s="301"/>
      <c r="J1162" s="336"/>
      <c r="K1162" s="336"/>
      <c r="L1162" s="337"/>
      <c r="M1162" s="475"/>
      <c r="N1162" s="713"/>
      <c r="O1162" s="301"/>
    </row>
    <row r="1163" spans="1:15" ht="15" customHeight="1" x14ac:dyDescent="0.25">
      <c r="A1163" s="301"/>
      <c r="B1163" s="301"/>
      <c r="C1163" s="301"/>
      <c r="D1163" s="301"/>
      <c r="E1163" s="301"/>
      <c r="F1163" s="301"/>
      <c r="G1163" s="301"/>
      <c r="H1163" s="301"/>
      <c r="I1163" s="301"/>
      <c r="J1163" s="336"/>
      <c r="K1163" s="336"/>
      <c r="L1163" s="337"/>
      <c r="M1163" s="475"/>
      <c r="N1163" s="713"/>
      <c r="O1163" s="301"/>
    </row>
    <row r="1164" spans="1:15" ht="15" customHeight="1" x14ac:dyDescent="0.25">
      <c r="A1164" s="301"/>
      <c r="B1164" s="301"/>
      <c r="C1164" s="301"/>
      <c r="D1164" s="301"/>
      <c r="E1164" s="301"/>
      <c r="F1164" s="301"/>
      <c r="G1164" s="301"/>
      <c r="H1164" s="301"/>
      <c r="I1164" s="301"/>
      <c r="J1164" s="336"/>
      <c r="K1164" s="336"/>
      <c r="L1164" s="337"/>
      <c r="M1164" s="475"/>
      <c r="N1164" s="713"/>
      <c r="O1164" s="301"/>
    </row>
    <row r="1165" spans="1:15" ht="15" customHeight="1" x14ac:dyDescent="0.25"/>
    <row r="1166" spans="1:15" ht="15" customHeight="1" x14ac:dyDescent="0.25"/>
    <row r="1167" spans="1:15" ht="15" customHeight="1" x14ac:dyDescent="0.25"/>
    <row r="1168" spans="1:15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spans="1:15" ht="15" customHeight="1" x14ac:dyDescent="0.25"/>
    <row r="1186" spans="1:15" ht="15" customHeight="1" x14ac:dyDescent="0.25"/>
    <row r="1187" spans="1:15" ht="15" customHeight="1" x14ac:dyDescent="0.25"/>
    <row r="1188" spans="1:15" ht="15" customHeight="1" x14ac:dyDescent="0.25">
      <c r="A1188" s="301"/>
      <c r="B1188" s="301"/>
      <c r="C1188" s="301"/>
      <c r="D1188" s="301"/>
      <c r="E1188" s="301"/>
      <c r="F1188" s="301"/>
      <c r="G1188" s="301"/>
      <c r="H1188" s="301"/>
      <c r="I1188" s="301"/>
      <c r="J1188" s="336"/>
      <c r="K1188" s="336"/>
      <c r="L1188" s="337"/>
      <c r="M1188" s="475"/>
      <c r="N1188" s="713"/>
      <c r="O1188" s="301"/>
    </row>
    <row r="1189" spans="1:15" ht="15" customHeight="1" x14ac:dyDescent="0.25">
      <c r="A1189" s="301"/>
      <c r="B1189" s="301"/>
      <c r="C1189" s="301"/>
      <c r="D1189" s="301"/>
      <c r="E1189" s="301"/>
      <c r="F1189" s="301"/>
      <c r="G1189" s="301"/>
      <c r="H1189" s="301"/>
      <c r="I1189" s="301"/>
      <c r="J1189" s="336"/>
      <c r="K1189" s="336"/>
      <c r="L1189" s="337"/>
      <c r="M1189" s="475"/>
      <c r="N1189" s="713"/>
      <c r="O1189" s="301"/>
    </row>
    <row r="1190" spans="1:15" ht="15" customHeight="1" x14ac:dyDescent="0.25">
      <c r="A1190" s="301"/>
      <c r="B1190" s="301"/>
      <c r="C1190" s="301"/>
      <c r="D1190" s="301"/>
      <c r="E1190" s="301"/>
      <c r="F1190" s="301"/>
      <c r="G1190" s="301"/>
      <c r="H1190" s="301"/>
      <c r="I1190" s="301"/>
      <c r="J1190" s="336"/>
      <c r="K1190" s="336"/>
      <c r="L1190" s="337"/>
      <c r="M1190" s="475"/>
      <c r="N1190" s="713"/>
      <c r="O1190" s="301"/>
    </row>
    <row r="1191" spans="1:15" ht="15" customHeight="1" x14ac:dyDescent="0.25">
      <c r="A1191" s="301"/>
      <c r="B1191" s="301"/>
      <c r="C1191" s="301"/>
      <c r="D1191" s="301"/>
      <c r="E1191" s="301"/>
      <c r="F1191" s="301"/>
      <c r="G1191" s="301"/>
      <c r="H1191" s="301"/>
      <c r="I1191" s="301"/>
      <c r="J1191" s="336"/>
      <c r="K1191" s="336"/>
      <c r="L1191" s="337"/>
      <c r="M1191" s="475"/>
      <c r="N1191" s="713"/>
      <c r="O1191" s="301"/>
    </row>
    <row r="1192" spans="1:15" ht="15" customHeight="1" x14ac:dyDescent="0.25">
      <c r="A1192" s="301"/>
      <c r="B1192" s="301"/>
      <c r="C1192" s="301"/>
      <c r="D1192" s="301"/>
      <c r="E1192" s="301"/>
      <c r="F1192" s="301"/>
      <c r="G1192" s="301"/>
      <c r="H1192" s="301"/>
      <c r="I1192" s="301"/>
      <c r="J1192" s="336"/>
      <c r="K1192" s="336"/>
      <c r="L1192" s="337"/>
      <c r="M1192" s="475"/>
      <c r="N1192" s="713"/>
      <c r="O1192" s="301"/>
    </row>
    <row r="1193" spans="1:15" ht="15" customHeight="1" x14ac:dyDescent="0.25">
      <c r="A1193" s="301"/>
      <c r="B1193" s="301"/>
      <c r="C1193" s="301"/>
      <c r="D1193" s="301"/>
      <c r="E1193" s="301"/>
      <c r="F1193" s="301"/>
      <c r="G1193" s="301"/>
      <c r="H1193" s="301"/>
      <c r="I1193" s="301"/>
      <c r="J1193" s="336"/>
      <c r="K1193" s="336"/>
      <c r="L1193" s="337"/>
      <c r="M1193" s="475"/>
      <c r="N1193" s="713"/>
      <c r="O1193" s="301"/>
    </row>
    <row r="1194" spans="1:15" ht="15" customHeight="1" x14ac:dyDescent="0.25">
      <c r="A1194" s="301"/>
      <c r="B1194" s="301"/>
      <c r="C1194" s="301"/>
      <c r="D1194" s="301"/>
      <c r="E1194" s="301"/>
      <c r="F1194" s="301"/>
      <c r="G1194" s="301"/>
      <c r="H1194" s="301"/>
      <c r="I1194" s="301"/>
      <c r="J1194" s="336"/>
      <c r="K1194" s="336"/>
      <c r="L1194" s="337"/>
      <c r="M1194" s="475"/>
      <c r="N1194" s="713"/>
      <c r="O1194" s="301"/>
    </row>
    <row r="1195" spans="1:15" ht="15" customHeight="1" x14ac:dyDescent="0.25">
      <c r="A1195" s="301"/>
      <c r="B1195" s="301"/>
      <c r="C1195" s="301"/>
      <c r="D1195" s="301"/>
      <c r="E1195" s="301"/>
      <c r="F1195" s="301"/>
      <c r="G1195" s="301"/>
      <c r="H1195" s="301"/>
      <c r="I1195" s="301"/>
      <c r="J1195" s="336"/>
      <c r="K1195" s="336"/>
      <c r="L1195" s="337"/>
      <c r="M1195" s="475"/>
      <c r="N1195" s="713"/>
      <c r="O1195" s="301"/>
    </row>
    <row r="1196" spans="1:15" ht="15" customHeight="1" x14ac:dyDescent="0.25">
      <c r="A1196" s="301"/>
      <c r="B1196" s="301"/>
      <c r="C1196" s="301"/>
      <c r="D1196" s="301"/>
      <c r="E1196" s="301"/>
      <c r="F1196" s="301"/>
      <c r="G1196" s="301"/>
      <c r="H1196" s="301"/>
      <c r="I1196" s="301"/>
      <c r="J1196" s="336"/>
      <c r="K1196" s="336"/>
      <c r="L1196" s="337"/>
      <c r="M1196" s="475"/>
      <c r="N1196" s="713"/>
      <c r="O1196" s="301"/>
    </row>
    <row r="1197" spans="1:15" ht="15" customHeight="1" x14ac:dyDescent="0.25">
      <c r="A1197" s="301"/>
      <c r="B1197" s="301"/>
      <c r="C1197" s="301"/>
      <c r="D1197" s="301"/>
      <c r="E1197" s="301"/>
      <c r="F1197" s="301"/>
      <c r="G1197" s="301"/>
      <c r="H1197" s="301"/>
      <c r="I1197" s="301"/>
      <c r="J1197" s="336"/>
      <c r="K1197" s="336"/>
      <c r="L1197" s="337"/>
      <c r="M1197" s="475"/>
      <c r="N1197" s="713"/>
      <c r="O1197" s="301"/>
    </row>
    <row r="1198" spans="1:15" ht="15" customHeight="1" x14ac:dyDescent="0.25">
      <c r="A1198" s="301"/>
      <c r="B1198" s="301"/>
      <c r="C1198" s="301"/>
      <c r="D1198" s="301"/>
      <c r="E1198" s="301"/>
      <c r="F1198" s="301"/>
      <c r="G1198" s="301"/>
      <c r="H1198" s="301"/>
      <c r="I1198" s="301"/>
      <c r="J1198" s="336"/>
      <c r="K1198" s="336"/>
      <c r="L1198" s="337"/>
      <c r="M1198" s="475"/>
      <c r="N1198" s="713"/>
      <c r="O1198" s="301"/>
    </row>
    <row r="1199" spans="1:15" ht="15" customHeight="1" x14ac:dyDescent="0.25">
      <c r="A1199" s="301"/>
      <c r="B1199" s="301"/>
      <c r="C1199" s="301"/>
      <c r="D1199" s="301"/>
      <c r="E1199" s="301"/>
      <c r="F1199" s="301"/>
      <c r="G1199" s="301"/>
      <c r="H1199" s="301"/>
      <c r="I1199" s="301"/>
      <c r="J1199" s="336"/>
      <c r="K1199" s="336"/>
      <c r="L1199" s="337"/>
      <c r="M1199" s="475"/>
      <c r="N1199" s="713"/>
      <c r="O1199" s="301"/>
    </row>
    <row r="1200" spans="1:15" ht="15" customHeight="1" x14ac:dyDescent="0.25">
      <c r="A1200" s="301"/>
      <c r="B1200" s="301"/>
      <c r="C1200" s="301"/>
      <c r="D1200" s="301"/>
      <c r="E1200" s="301"/>
      <c r="F1200" s="301"/>
      <c r="G1200" s="301"/>
      <c r="H1200" s="301"/>
      <c r="I1200" s="301"/>
      <c r="J1200" s="336"/>
      <c r="K1200" s="336"/>
      <c r="L1200" s="337"/>
      <c r="M1200" s="475"/>
      <c r="N1200" s="713"/>
      <c r="O1200" s="301"/>
    </row>
    <row r="1201" spans="1:15" ht="15" customHeight="1" x14ac:dyDescent="0.25">
      <c r="A1201" s="301"/>
      <c r="B1201" s="301"/>
      <c r="C1201" s="301"/>
      <c r="D1201" s="301"/>
      <c r="E1201" s="301"/>
      <c r="F1201" s="301"/>
      <c r="G1201" s="301"/>
      <c r="H1201" s="301"/>
      <c r="I1201" s="301"/>
      <c r="J1201" s="336"/>
      <c r="K1201" s="336"/>
      <c r="L1201" s="337"/>
      <c r="M1201" s="475"/>
      <c r="N1201" s="713"/>
      <c r="O1201" s="301"/>
    </row>
    <row r="1202" spans="1:15" ht="15" customHeight="1" x14ac:dyDescent="0.25">
      <c r="A1202" s="301"/>
      <c r="B1202" s="301"/>
      <c r="C1202" s="301"/>
      <c r="D1202" s="301"/>
      <c r="E1202" s="301"/>
      <c r="F1202" s="301"/>
      <c r="G1202" s="301"/>
      <c r="H1202" s="301"/>
      <c r="I1202" s="301"/>
      <c r="J1202" s="336"/>
      <c r="K1202" s="336"/>
      <c r="L1202" s="337"/>
      <c r="M1202" s="475"/>
      <c r="N1202" s="713"/>
      <c r="O1202" s="301"/>
    </row>
    <row r="1203" spans="1:15" ht="15" customHeight="1" x14ac:dyDescent="0.25">
      <c r="A1203" s="301"/>
      <c r="B1203" s="301"/>
      <c r="C1203" s="301"/>
      <c r="D1203" s="301"/>
      <c r="E1203" s="301"/>
      <c r="F1203" s="301"/>
      <c r="G1203" s="301"/>
      <c r="H1203" s="301"/>
      <c r="I1203" s="301"/>
      <c r="J1203" s="336"/>
      <c r="K1203" s="336"/>
      <c r="L1203" s="337"/>
      <c r="M1203" s="475"/>
      <c r="N1203" s="713"/>
      <c r="O1203" s="301"/>
    </row>
    <row r="1204" spans="1:15" ht="15" customHeight="1" x14ac:dyDescent="0.25">
      <c r="A1204" s="301"/>
      <c r="B1204" s="301"/>
      <c r="C1204" s="301"/>
      <c r="D1204" s="301"/>
      <c r="E1204" s="301"/>
      <c r="F1204" s="301"/>
      <c r="G1204" s="301"/>
      <c r="H1204" s="301"/>
      <c r="I1204" s="301"/>
      <c r="J1204" s="336"/>
      <c r="K1204" s="336"/>
      <c r="L1204" s="337"/>
      <c r="M1204" s="475"/>
      <c r="N1204" s="713"/>
      <c r="O1204" s="301"/>
    </row>
    <row r="1205" spans="1:15" ht="15" customHeight="1" x14ac:dyDescent="0.25">
      <c r="A1205" s="301"/>
      <c r="B1205" s="301"/>
      <c r="C1205" s="301"/>
      <c r="D1205" s="301"/>
      <c r="E1205" s="301"/>
      <c r="F1205" s="301"/>
      <c r="G1205" s="301"/>
      <c r="H1205" s="301"/>
      <c r="I1205" s="301"/>
      <c r="J1205" s="336"/>
      <c r="K1205" s="336"/>
      <c r="L1205" s="337"/>
      <c r="M1205" s="475"/>
      <c r="N1205" s="713"/>
      <c r="O1205" s="301"/>
    </row>
    <row r="1206" spans="1:15" ht="15" customHeight="1" x14ac:dyDescent="0.25">
      <c r="A1206" s="301"/>
      <c r="B1206" s="301"/>
      <c r="C1206" s="301"/>
      <c r="D1206" s="301"/>
      <c r="E1206" s="301"/>
      <c r="F1206" s="301"/>
      <c r="G1206" s="301"/>
      <c r="H1206" s="301"/>
      <c r="I1206" s="301"/>
      <c r="J1206" s="336"/>
      <c r="K1206" s="336"/>
      <c r="L1206" s="337"/>
      <c r="M1206" s="475"/>
      <c r="N1206" s="713"/>
      <c r="O1206" s="301"/>
    </row>
    <row r="1207" spans="1:15" ht="15" customHeight="1" x14ac:dyDescent="0.25">
      <c r="A1207" s="301"/>
      <c r="B1207" s="301"/>
      <c r="C1207" s="301"/>
      <c r="D1207" s="301"/>
      <c r="E1207" s="301"/>
      <c r="F1207" s="301"/>
      <c r="G1207" s="301"/>
      <c r="H1207" s="301"/>
      <c r="I1207" s="301"/>
      <c r="J1207" s="336"/>
      <c r="K1207" s="336"/>
      <c r="L1207" s="337"/>
      <c r="M1207" s="475"/>
      <c r="N1207" s="713"/>
      <c r="O1207" s="301"/>
    </row>
    <row r="1208" spans="1:15" ht="15" customHeight="1" x14ac:dyDescent="0.25">
      <c r="A1208" s="301"/>
      <c r="B1208" s="301"/>
      <c r="C1208" s="301"/>
      <c r="D1208" s="301"/>
      <c r="E1208" s="301"/>
      <c r="F1208" s="301"/>
      <c r="G1208" s="301"/>
      <c r="H1208" s="301"/>
      <c r="I1208" s="301"/>
      <c r="J1208" s="336"/>
      <c r="K1208" s="336"/>
      <c r="L1208" s="337"/>
      <c r="M1208" s="475"/>
      <c r="N1208" s="713"/>
      <c r="O1208" s="301"/>
    </row>
    <row r="1209" spans="1:15" ht="15" customHeight="1" x14ac:dyDescent="0.25">
      <c r="A1209" s="301"/>
      <c r="B1209" s="301"/>
      <c r="C1209" s="301"/>
      <c r="D1209" s="301"/>
      <c r="E1209" s="301"/>
      <c r="F1209" s="301"/>
      <c r="G1209" s="301"/>
      <c r="H1209" s="301"/>
      <c r="I1209" s="301"/>
      <c r="J1209" s="336"/>
      <c r="K1209" s="336"/>
      <c r="L1209" s="337"/>
      <c r="M1209" s="475"/>
      <c r="N1209" s="713"/>
      <c r="O1209" s="301"/>
    </row>
    <row r="1210" spans="1:15" ht="15" customHeight="1" x14ac:dyDescent="0.25">
      <c r="A1210" s="301"/>
      <c r="B1210" s="301"/>
      <c r="C1210" s="301"/>
      <c r="D1210" s="301"/>
      <c r="E1210" s="301"/>
      <c r="F1210" s="301"/>
      <c r="G1210" s="301"/>
      <c r="H1210" s="301"/>
      <c r="I1210" s="301"/>
      <c r="J1210" s="336"/>
      <c r="K1210" s="336"/>
      <c r="L1210" s="337"/>
      <c r="M1210" s="475"/>
      <c r="N1210" s="713"/>
      <c r="O1210" s="301"/>
    </row>
    <row r="1211" spans="1:15" ht="15" customHeight="1" x14ac:dyDescent="0.25">
      <c r="A1211" s="301"/>
      <c r="B1211" s="301"/>
      <c r="C1211" s="301"/>
      <c r="D1211" s="301"/>
      <c r="E1211" s="301"/>
      <c r="F1211" s="301"/>
      <c r="G1211" s="301"/>
      <c r="H1211" s="301"/>
      <c r="I1211" s="301"/>
      <c r="J1211" s="336"/>
      <c r="K1211" s="336"/>
      <c r="L1211" s="337"/>
      <c r="M1211" s="475"/>
      <c r="N1211" s="713"/>
      <c r="O1211" s="301"/>
    </row>
    <row r="1212" spans="1:15" ht="15" customHeight="1" x14ac:dyDescent="0.25">
      <c r="A1212" s="301"/>
      <c r="B1212" s="301"/>
      <c r="C1212" s="301"/>
      <c r="D1212" s="301"/>
      <c r="E1212" s="301"/>
      <c r="F1212" s="301"/>
      <c r="G1212" s="301"/>
      <c r="H1212" s="301"/>
      <c r="I1212" s="301"/>
      <c r="J1212" s="336"/>
      <c r="K1212" s="336"/>
      <c r="L1212" s="337"/>
      <c r="M1212" s="475"/>
      <c r="N1212" s="713"/>
      <c r="O1212" s="301"/>
    </row>
    <row r="1213" spans="1:15" ht="15" customHeight="1" x14ac:dyDescent="0.25">
      <c r="A1213" s="301"/>
      <c r="B1213" s="301"/>
      <c r="C1213" s="301"/>
      <c r="D1213" s="301"/>
      <c r="E1213" s="301"/>
      <c r="F1213" s="301"/>
      <c r="G1213" s="301"/>
      <c r="H1213" s="301"/>
      <c r="I1213" s="301"/>
      <c r="J1213" s="336"/>
      <c r="K1213" s="336"/>
      <c r="L1213" s="337"/>
      <c r="M1213" s="475"/>
      <c r="N1213" s="713"/>
      <c r="O1213" s="301"/>
    </row>
    <row r="1214" spans="1:15" ht="15" customHeight="1" x14ac:dyDescent="0.25">
      <c r="A1214" s="301"/>
      <c r="B1214" s="301"/>
      <c r="C1214" s="301"/>
      <c r="D1214" s="301"/>
      <c r="E1214" s="301"/>
      <c r="F1214" s="301"/>
      <c r="G1214" s="301"/>
      <c r="H1214" s="301"/>
      <c r="I1214" s="301"/>
      <c r="J1214" s="336"/>
      <c r="K1214" s="336"/>
      <c r="L1214" s="337"/>
      <c r="M1214" s="475"/>
      <c r="N1214" s="713"/>
      <c r="O1214" s="301"/>
    </row>
    <row r="1215" spans="1:15" ht="15" customHeight="1" x14ac:dyDescent="0.25">
      <c r="A1215" s="301"/>
      <c r="B1215" s="301"/>
      <c r="C1215" s="301"/>
      <c r="D1215" s="301"/>
      <c r="E1215" s="301"/>
      <c r="F1215" s="301"/>
      <c r="G1215" s="301"/>
      <c r="H1215" s="301"/>
      <c r="I1215" s="301"/>
      <c r="J1215" s="336"/>
      <c r="K1215" s="336"/>
      <c r="L1215" s="337"/>
      <c r="M1215" s="475"/>
      <c r="N1215" s="713"/>
      <c r="O1215" s="301"/>
    </row>
    <row r="1216" spans="1:15" ht="15" customHeight="1" x14ac:dyDescent="0.25">
      <c r="A1216" s="301"/>
      <c r="B1216" s="301"/>
      <c r="C1216" s="301"/>
      <c r="D1216" s="301"/>
      <c r="E1216" s="301"/>
      <c r="F1216" s="301"/>
      <c r="G1216" s="301"/>
      <c r="H1216" s="301"/>
      <c r="I1216" s="301"/>
      <c r="J1216" s="336"/>
      <c r="K1216" s="336"/>
      <c r="L1216" s="337"/>
      <c r="M1216" s="475"/>
      <c r="N1216" s="713"/>
      <c r="O1216" s="301"/>
    </row>
    <row r="1217" spans="1:15" ht="15" customHeight="1" x14ac:dyDescent="0.25">
      <c r="A1217" s="301"/>
      <c r="B1217" s="301"/>
      <c r="C1217" s="301"/>
      <c r="D1217" s="301"/>
      <c r="E1217" s="301"/>
      <c r="F1217" s="301"/>
      <c r="G1217" s="301"/>
      <c r="H1217" s="301"/>
      <c r="I1217" s="301"/>
      <c r="J1217" s="336"/>
      <c r="K1217" s="336"/>
      <c r="L1217" s="337"/>
      <c r="M1217" s="475"/>
      <c r="N1217" s="713"/>
      <c r="O1217" s="301"/>
    </row>
    <row r="1218" spans="1:15" ht="15" customHeight="1" x14ac:dyDescent="0.25">
      <c r="A1218" s="301"/>
      <c r="B1218" s="301"/>
      <c r="C1218" s="301"/>
      <c r="D1218" s="301"/>
      <c r="E1218" s="301"/>
      <c r="F1218" s="301"/>
      <c r="G1218" s="301"/>
      <c r="H1218" s="301"/>
      <c r="I1218" s="301"/>
      <c r="J1218" s="336"/>
      <c r="K1218" s="336"/>
      <c r="L1218" s="337"/>
      <c r="M1218" s="475"/>
      <c r="N1218" s="713"/>
      <c r="O1218" s="301"/>
    </row>
    <row r="1219" spans="1:15" ht="15" customHeight="1" x14ac:dyDescent="0.25">
      <c r="A1219" s="301"/>
      <c r="B1219" s="301"/>
      <c r="C1219" s="301"/>
      <c r="D1219" s="301"/>
      <c r="E1219" s="301"/>
      <c r="F1219" s="301"/>
      <c r="G1219" s="301"/>
      <c r="H1219" s="301"/>
      <c r="I1219" s="301"/>
      <c r="J1219" s="336"/>
      <c r="K1219" s="336"/>
      <c r="L1219" s="337"/>
      <c r="M1219" s="475"/>
      <c r="N1219" s="713"/>
      <c r="O1219" s="301"/>
    </row>
    <row r="1220" spans="1:15" ht="15" customHeight="1" x14ac:dyDescent="0.25">
      <c r="A1220" s="301"/>
      <c r="B1220" s="301"/>
      <c r="C1220" s="301"/>
      <c r="D1220" s="301"/>
      <c r="E1220" s="301"/>
      <c r="F1220" s="301"/>
      <c r="G1220" s="301"/>
      <c r="H1220" s="301"/>
      <c r="I1220" s="301"/>
      <c r="J1220" s="336"/>
      <c r="K1220" s="336"/>
      <c r="L1220" s="337"/>
      <c r="M1220" s="475"/>
      <c r="N1220" s="713"/>
      <c r="O1220" s="301"/>
    </row>
    <row r="1221" spans="1:15" ht="15" customHeight="1" x14ac:dyDescent="0.25">
      <c r="A1221" s="301"/>
      <c r="B1221" s="301"/>
      <c r="C1221" s="301"/>
      <c r="D1221" s="301"/>
      <c r="E1221" s="301"/>
      <c r="F1221" s="301"/>
      <c r="G1221" s="301"/>
      <c r="H1221" s="301"/>
      <c r="I1221" s="301"/>
      <c r="J1221" s="336"/>
      <c r="K1221" s="336"/>
      <c r="L1221" s="337"/>
      <c r="M1221" s="475"/>
      <c r="N1221" s="713"/>
      <c r="O1221" s="301"/>
    </row>
    <row r="1222" spans="1:15" ht="15" customHeight="1" x14ac:dyDescent="0.25">
      <c r="A1222" s="301"/>
      <c r="B1222" s="301"/>
      <c r="C1222" s="301"/>
      <c r="D1222" s="301"/>
      <c r="E1222" s="301"/>
      <c r="F1222" s="301"/>
      <c r="G1222" s="301"/>
      <c r="H1222" s="301"/>
      <c r="I1222" s="301"/>
      <c r="J1222" s="336"/>
      <c r="K1222" s="336"/>
      <c r="L1222" s="337"/>
      <c r="M1222" s="475"/>
      <c r="N1222" s="713"/>
      <c r="O1222" s="301"/>
    </row>
    <row r="1223" spans="1:15" ht="15" customHeight="1" x14ac:dyDescent="0.25">
      <c r="A1223" s="301"/>
      <c r="B1223" s="301"/>
      <c r="C1223" s="301"/>
      <c r="D1223" s="301"/>
      <c r="E1223" s="301"/>
      <c r="F1223" s="301"/>
      <c r="G1223" s="301"/>
      <c r="H1223" s="301"/>
      <c r="I1223" s="301"/>
      <c r="J1223" s="336"/>
      <c r="K1223" s="336"/>
      <c r="L1223" s="337"/>
      <c r="M1223" s="475"/>
      <c r="N1223" s="713"/>
      <c r="O1223" s="301"/>
    </row>
    <row r="1224" spans="1:15" ht="15" customHeight="1" x14ac:dyDescent="0.25">
      <c r="A1224" s="301"/>
      <c r="B1224" s="301"/>
      <c r="C1224" s="301"/>
      <c r="D1224" s="301"/>
      <c r="E1224" s="301"/>
      <c r="F1224" s="301"/>
      <c r="G1224" s="301"/>
      <c r="H1224" s="301"/>
      <c r="I1224" s="301"/>
      <c r="J1224" s="336"/>
      <c r="K1224" s="336"/>
      <c r="L1224" s="337"/>
      <c r="M1224" s="475"/>
      <c r="N1224" s="713"/>
      <c r="O1224" s="301"/>
    </row>
    <row r="1225" spans="1:15" ht="15" customHeight="1" x14ac:dyDescent="0.25">
      <c r="A1225" s="301"/>
      <c r="B1225" s="301"/>
      <c r="C1225" s="301"/>
      <c r="D1225" s="301"/>
      <c r="E1225" s="301"/>
      <c r="F1225" s="301"/>
      <c r="G1225" s="301"/>
      <c r="H1225" s="301"/>
      <c r="I1225" s="301"/>
      <c r="J1225" s="336"/>
      <c r="K1225" s="336"/>
      <c r="L1225" s="337"/>
      <c r="M1225" s="475"/>
      <c r="N1225" s="713"/>
      <c r="O1225" s="301"/>
    </row>
    <row r="1226" spans="1:15" ht="15" customHeight="1" x14ac:dyDescent="0.25">
      <c r="A1226" s="301"/>
      <c r="B1226" s="301"/>
      <c r="C1226" s="301"/>
      <c r="D1226" s="301"/>
      <c r="E1226" s="301"/>
      <c r="F1226" s="301"/>
      <c r="G1226" s="301"/>
      <c r="H1226" s="301"/>
      <c r="I1226" s="301"/>
      <c r="J1226" s="336"/>
      <c r="K1226" s="336"/>
      <c r="L1226" s="337"/>
      <c r="M1226" s="475"/>
      <c r="N1226" s="713"/>
      <c r="O1226" s="301"/>
    </row>
    <row r="1227" spans="1:15" ht="15" customHeight="1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36"/>
      <c r="K1227" s="336"/>
      <c r="L1227" s="337"/>
      <c r="M1227" s="475"/>
      <c r="N1227" s="713"/>
      <c r="O1227" s="301"/>
    </row>
    <row r="1228" spans="1:15" ht="15" customHeight="1" x14ac:dyDescent="0.25">
      <c r="A1228" s="301"/>
      <c r="B1228" s="301"/>
      <c r="C1228" s="301"/>
      <c r="D1228" s="301"/>
      <c r="E1228" s="301"/>
      <c r="F1228" s="301"/>
      <c r="G1228" s="301"/>
      <c r="H1228" s="301"/>
      <c r="I1228" s="301"/>
      <c r="J1228" s="336"/>
      <c r="K1228" s="336"/>
      <c r="L1228" s="337"/>
      <c r="M1228" s="475"/>
      <c r="N1228" s="713"/>
      <c r="O1228" s="301"/>
    </row>
    <row r="1229" spans="1:15" ht="15" customHeight="1" x14ac:dyDescent="0.25">
      <c r="A1229" s="301"/>
      <c r="B1229" s="301"/>
      <c r="C1229" s="301"/>
      <c r="D1229" s="301"/>
      <c r="E1229" s="301"/>
      <c r="F1229" s="301"/>
      <c r="G1229" s="301"/>
      <c r="H1229" s="301"/>
      <c r="I1229" s="301"/>
      <c r="J1229" s="336"/>
      <c r="K1229" s="336"/>
      <c r="L1229" s="337"/>
      <c r="M1229" s="475"/>
      <c r="N1229" s="713"/>
      <c r="O1229" s="301"/>
    </row>
    <row r="1230" spans="1:15" ht="15" customHeight="1" x14ac:dyDescent="0.25">
      <c r="A1230" s="301"/>
      <c r="B1230" s="301"/>
      <c r="C1230" s="301"/>
      <c r="D1230" s="301"/>
      <c r="E1230" s="301"/>
      <c r="F1230" s="301"/>
      <c r="G1230" s="301"/>
      <c r="H1230" s="301"/>
      <c r="I1230" s="301"/>
      <c r="J1230" s="336"/>
      <c r="K1230" s="336"/>
      <c r="L1230" s="337"/>
      <c r="M1230" s="475"/>
      <c r="N1230" s="713"/>
      <c r="O1230" s="301"/>
    </row>
    <row r="1231" spans="1:15" ht="15" customHeight="1" x14ac:dyDescent="0.25">
      <c r="A1231" s="301"/>
      <c r="B1231" s="301"/>
      <c r="C1231" s="301"/>
      <c r="D1231" s="301"/>
      <c r="E1231" s="301"/>
      <c r="F1231" s="301"/>
      <c r="G1231" s="301"/>
      <c r="H1231" s="301"/>
      <c r="I1231" s="301"/>
      <c r="J1231" s="336"/>
      <c r="K1231" s="336"/>
      <c r="L1231" s="337"/>
      <c r="M1231" s="475"/>
      <c r="N1231" s="713"/>
      <c r="O1231" s="301"/>
    </row>
    <row r="1232" spans="1:15" ht="15" customHeight="1" x14ac:dyDescent="0.25">
      <c r="A1232" s="301"/>
      <c r="B1232" s="301"/>
      <c r="C1232" s="301"/>
      <c r="D1232" s="301"/>
      <c r="E1232" s="301"/>
      <c r="F1232" s="301"/>
      <c r="G1232" s="301"/>
      <c r="H1232" s="301"/>
      <c r="I1232" s="301"/>
      <c r="J1232" s="336"/>
      <c r="K1232" s="336"/>
      <c r="L1232" s="337"/>
      <c r="M1232" s="475"/>
      <c r="N1232" s="713"/>
      <c r="O1232" s="301"/>
    </row>
    <row r="1233" spans="1:15" ht="15" customHeight="1" x14ac:dyDescent="0.25">
      <c r="A1233" s="301"/>
      <c r="B1233" s="301"/>
      <c r="C1233" s="301"/>
      <c r="D1233" s="301"/>
      <c r="E1233" s="301"/>
      <c r="F1233" s="301"/>
      <c r="G1233" s="301"/>
      <c r="H1233" s="301"/>
      <c r="I1233" s="301"/>
      <c r="J1233" s="336"/>
      <c r="K1233" s="336"/>
      <c r="L1233" s="337"/>
      <c r="M1233" s="475"/>
      <c r="N1233" s="713"/>
      <c r="O1233" s="301"/>
    </row>
    <row r="1234" spans="1:15" ht="15" customHeight="1" x14ac:dyDescent="0.25">
      <c r="A1234" s="301"/>
      <c r="B1234" s="301"/>
      <c r="C1234" s="301"/>
      <c r="D1234" s="301"/>
      <c r="E1234" s="301"/>
      <c r="F1234" s="301"/>
      <c r="G1234" s="301"/>
      <c r="H1234" s="301"/>
      <c r="I1234" s="301"/>
      <c r="J1234" s="336"/>
      <c r="K1234" s="336"/>
      <c r="L1234" s="337"/>
      <c r="M1234" s="475"/>
      <c r="N1234" s="713"/>
      <c r="O1234" s="301"/>
    </row>
    <row r="1235" spans="1:15" ht="15" customHeight="1" x14ac:dyDescent="0.25">
      <c r="A1235" s="301"/>
      <c r="B1235" s="301"/>
      <c r="C1235" s="301"/>
      <c r="D1235" s="301"/>
      <c r="E1235" s="301"/>
      <c r="F1235" s="301"/>
      <c r="G1235" s="301"/>
      <c r="H1235" s="301"/>
      <c r="I1235" s="301"/>
      <c r="J1235" s="336"/>
      <c r="K1235" s="336"/>
      <c r="L1235" s="337"/>
      <c r="M1235" s="475"/>
      <c r="N1235" s="713"/>
      <c r="O1235" s="301"/>
    </row>
    <row r="1236" spans="1:15" ht="15" customHeight="1" x14ac:dyDescent="0.25">
      <c r="A1236" s="301"/>
      <c r="B1236" s="301"/>
      <c r="C1236" s="301"/>
      <c r="D1236" s="301"/>
      <c r="E1236" s="301"/>
      <c r="F1236" s="301"/>
      <c r="G1236" s="301"/>
      <c r="H1236" s="301"/>
      <c r="I1236" s="301"/>
      <c r="J1236" s="336"/>
      <c r="K1236" s="336"/>
      <c r="L1236" s="337"/>
      <c r="M1236" s="475"/>
      <c r="N1236" s="713"/>
      <c r="O1236" s="301"/>
    </row>
    <row r="1237" spans="1:15" ht="15" customHeight="1" x14ac:dyDescent="0.25">
      <c r="A1237" s="301"/>
      <c r="B1237" s="301"/>
      <c r="C1237" s="301"/>
      <c r="D1237" s="301"/>
      <c r="E1237" s="301"/>
      <c r="F1237" s="301"/>
      <c r="G1237" s="301"/>
      <c r="H1237" s="301"/>
      <c r="I1237" s="301"/>
      <c r="J1237" s="336"/>
      <c r="K1237" s="336"/>
      <c r="L1237" s="337"/>
      <c r="M1237" s="475"/>
      <c r="N1237" s="713"/>
      <c r="O1237" s="301"/>
    </row>
    <row r="1238" spans="1:15" ht="15" customHeight="1" x14ac:dyDescent="0.25">
      <c r="A1238" s="301"/>
      <c r="B1238" s="301"/>
      <c r="C1238" s="301"/>
      <c r="D1238" s="301"/>
      <c r="E1238" s="301"/>
      <c r="F1238" s="301"/>
      <c r="G1238" s="301"/>
      <c r="H1238" s="301"/>
      <c r="I1238" s="301"/>
      <c r="J1238" s="336"/>
      <c r="K1238" s="336"/>
      <c r="L1238" s="337"/>
      <c r="M1238" s="475"/>
      <c r="N1238" s="713"/>
      <c r="O1238" s="301"/>
    </row>
    <row r="1239" spans="1:15" ht="15" customHeight="1" x14ac:dyDescent="0.25">
      <c r="A1239" s="301"/>
      <c r="B1239" s="301"/>
      <c r="C1239" s="301"/>
      <c r="D1239" s="301"/>
      <c r="E1239" s="301"/>
      <c r="F1239" s="301"/>
      <c r="G1239" s="301"/>
      <c r="H1239" s="301"/>
      <c r="I1239" s="301"/>
      <c r="J1239" s="336"/>
      <c r="K1239" s="336"/>
      <c r="L1239" s="337"/>
      <c r="M1239" s="475"/>
      <c r="N1239" s="713"/>
      <c r="O1239" s="301"/>
    </row>
    <row r="1240" spans="1:15" ht="15" customHeight="1" x14ac:dyDescent="0.25">
      <c r="A1240" s="301"/>
      <c r="B1240" s="301"/>
      <c r="C1240" s="301"/>
      <c r="D1240" s="301"/>
      <c r="E1240" s="301"/>
      <c r="F1240" s="301"/>
      <c r="G1240" s="301"/>
      <c r="H1240" s="301"/>
      <c r="I1240" s="301"/>
      <c r="J1240" s="336"/>
      <c r="K1240" s="336"/>
      <c r="L1240" s="337"/>
      <c r="M1240" s="475"/>
      <c r="N1240" s="713"/>
      <c r="O1240" s="301"/>
    </row>
    <row r="1241" spans="1:15" ht="15" customHeight="1" x14ac:dyDescent="0.25">
      <c r="A1241" s="301"/>
      <c r="B1241" s="301"/>
      <c r="C1241" s="301"/>
      <c r="D1241" s="301"/>
      <c r="E1241" s="301"/>
      <c r="F1241" s="301"/>
      <c r="G1241" s="301"/>
      <c r="H1241" s="301"/>
      <c r="I1241" s="301"/>
      <c r="J1241" s="336"/>
      <c r="K1241" s="336"/>
      <c r="L1241" s="337"/>
      <c r="M1241" s="475"/>
      <c r="N1241" s="713"/>
      <c r="O1241" s="301"/>
    </row>
    <row r="1242" spans="1:15" ht="15" customHeight="1" x14ac:dyDescent="0.25">
      <c r="A1242" s="301"/>
      <c r="B1242" s="301"/>
      <c r="C1242" s="301"/>
      <c r="D1242" s="301"/>
      <c r="E1242" s="301"/>
      <c r="F1242" s="301"/>
      <c r="G1242" s="301"/>
      <c r="H1242" s="301"/>
      <c r="I1242" s="301"/>
      <c r="J1242" s="336"/>
      <c r="K1242" s="336"/>
      <c r="L1242" s="337"/>
      <c r="M1242" s="475"/>
      <c r="N1242" s="713"/>
      <c r="O1242" s="301"/>
    </row>
    <row r="1243" spans="1:15" ht="15" customHeight="1" x14ac:dyDescent="0.25">
      <c r="A1243" s="301"/>
      <c r="B1243" s="301"/>
      <c r="C1243" s="301"/>
      <c r="D1243" s="301"/>
      <c r="E1243" s="301"/>
      <c r="F1243" s="301"/>
      <c r="G1243" s="301"/>
      <c r="H1243" s="301"/>
      <c r="I1243" s="301"/>
      <c r="J1243" s="336"/>
      <c r="K1243" s="336"/>
      <c r="L1243" s="337"/>
      <c r="M1243" s="475"/>
      <c r="N1243" s="713"/>
      <c r="O1243" s="301"/>
    </row>
    <row r="1244" spans="1:15" ht="15" customHeight="1" x14ac:dyDescent="0.25">
      <c r="A1244" s="301"/>
      <c r="B1244" s="301"/>
      <c r="C1244" s="301"/>
      <c r="D1244" s="301"/>
      <c r="E1244" s="301"/>
      <c r="F1244" s="301"/>
      <c r="G1244" s="301"/>
      <c r="H1244" s="301"/>
      <c r="I1244" s="301"/>
      <c r="J1244" s="336"/>
      <c r="K1244" s="336"/>
      <c r="L1244" s="337"/>
      <c r="M1244" s="475"/>
      <c r="N1244" s="713"/>
      <c r="O1244" s="301"/>
    </row>
    <row r="1245" spans="1:15" ht="15" customHeight="1" x14ac:dyDescent="0.25">
      <c r="A1245" s="301"/>
      <c r="B1245" s="301"/>
      <c r="C1245" s="301"/>
      <c r="D1245" s="301"/>
      <c r="E1245" s="301"/>
      <c r="F1245" s="301"/>
      <c r="G1245" s="301"/>
      <c r="H1245" s="301"/>
      <c r="I1245" s="301"/>
      <c r="J1245" s="336"/>
      <c r="K1245" s="336"/>
      <c r="L1245" s="337"/>
      <c r="M1245" s="475"/>
      <c r="N1245" s="713"/>
      <c r="O1245" s="301"/>
    </row>
    <row r="1246" spans="1:15" ht="15" customHeight="1" x14ac:dyDescent="0.25">
      <c r="A1246" s="301"/>
      <c r="B1246" s="301"/>
      <c r="C1246" s="301"/>
      <c r="D1246" s="301"/>
      <c r="E1246" s="301"/>
      <c r="F1246" s="301"/>
      <c r="G1246" s="301"/>
      <c r="H1246" s="301"/>
      <c r="I1246" s="301"/>
      <c r="J1246" s="336"/>
      <c r="K1246" s="336"/>
      <c r="L1246" s="337"/>
      <c r="M1246" s="475"/>
      <c r="N1246" s="713"/>
      <c r="O1246" s="301"/>
    </row>
    <row r="1247" spans="1:15" ht="15" customHeight="1" x14ac:dyDescent="0.25">
      <c r="A1247" s="301"/>
      <c r="B1247" s="301"/>
      <c r="C1247" s="301"/>
      <c r="D1247" s="301"/>
      <c r="E1247" s="301"/>
      <c r="F1247" s="301"/>
      <c r="G1247" s="301"/>
      <c r="H1247" s="301"/>
      <c r="I1247" s="301"/>
      <c r="J1247" s="336"/>
      <c r="K1247" s="336"/>
      <c r="L1247" s="337"/>
      <c r="M1247" s="475"/>
      <c r="N1247" s="713"/>
      <c r="O1247" s="301"/>
    </row>
    <row r="1248" spans="1:15" ht="15" customHeight="1" x14ac:dyDescent="0.25">
      <c r="A1248" s="301"/>
      <c r="B1248" s="301"/>
      <c r="C1248" s="301"/>
      <c r="D1248" s="301"/>
      <c r="E1248" s="301"/>
      <c r="F1248" s="301"/>
      <c r="G1248" s="301"/>
      <c r="H1248" s="301"/>
      <c r="I1248" s="301"/>
      <c r="J1248" s="336"/>
      <c r="K1248" s="336"/>
      <c r="L1248" s="337"/>
      <c r="M1248" s="475"/>
      <c r="N1248" s="713"/>
      <c r="O1248" s="301"/>
    </row>
    <row r="1249" spans="1:15" ht="15" customHeight="1" x14ac:dyDescent="0.25">
      <c r="A1249" s="301"/>
      <c r="B1249" s="301"/>
      <c r="C1249" s="301"/>
      <c r="D1249" s="301"/>
      <c r="E1249" s="301"/>
      <c r="F1249" s="301"/>
      <c r="G1249" s="301"/>
      <c r="H1249" s="301"/>
      <c r="I1249" s="301"/>
      <c r="J1249" s="336"/>
      <c r="K1249" s="336"/>
      <c r="L1249" s="337"/>
      <c r="M1249" s="475"/>
      <c r="N1249" s="713"/>
      <c r="O1249" s="301"/>
    </row>
    <row r="1250" spans="1:15" ht="15" customHeight="1" x14ac:dyDescent="0.25">
      <c r="A1250" s="301"/>
      <c r="B1250" s="301"/>
      <c r="C1250" s="301"/>
      <c r="D1250" s="301"/>
      <c r="E1250" s="301"/>
      <c r="F1250" s="301"/>
      <c r="G1250" s="301"/>
      <c r="H1250" s="301"/>
      <c r="I1250" s="301"/>
      <c r="J1250" s="336"/>
      <c r="K1250" s="336"/>
      <c r="L1250" s="337"/>
      <c r="M1250" s="475"/>
      <c r="N1250" s="713"/>
      <c r="O1250" s="301"/>
    </row>
    <row r="1251" spans="1:15" ht="15" customHeight="1" x14ac:dyDescent="0.25">
      <c r="A1251" s="301"/>
      <c r="B1251" s="301"/>
      <c r="C1251" s="301"/>
      <c r="D1251" s="301"/>
      <c r="E1251" s="301"/>
      <c r="F1251" s="301"/>
      <c r="G1251" s="301"/>
      <c r="H1251" s="301"/>
      <c r="I1251" s="301"/>
      <c r="J1251" s="336"/>
      <c r="K1251" s="336"/>
      <c r="L1251" s="337"/>
      <c r="M1251" s="475"/>
      <c r="N1251" s="713"/>
      <c r="O1251" s="301"/>
    </row>
    <row r="1252" spans="1:15" ht="15" customHeight="1" x14ac:dyDescent="0.25">
      <c r="A1252" s="301"/>
      <c r="B1252" s="301"/>
      <c r="C1252" s="301"/>
      <c r="D1252" s="301"/>
      <c r="E1252" s="301"/>
      <c r="F1252" s="301"/>
      <c r="G1252" s="301"/>
      <c r="H1252" s="301"/>
      <c r="I1252" s="301"/>
      <c r="J1252" s="336"/>
      <c r="K1252" s="336"/>
      <c r="L1252" s="337"/>
      <c r="M1252" s="475"/>
      <c r="N1252" s="713"/>
      <c r="O1252" s="301"/>
    </row>
    <row r="1253" spans="1:15" ht="15" customHeight="1" x14ac:dyDescent="0.25">
      <c r="A1253" s="301"/>
      <c r="B1253" s="301"/>
      <c r="C1253" s="301"/>
      <c r="D1253" s="301"/>
      <c r="E1253" s="301"/>
      <c r="F1253" s="301"/>
      <c r="G1253" s="301"/>
      <c r="H1253" s="301"/>
      <c r="I1253" s="301"/>
      <c r="J1253" s="336"/>
      <c r="K1253" s="336"/>
      <c r="L1253" s="337"/>
      <c r="M1253" s="475"/>
      <c r="N1253" s="713"/>
      <c r="O1253" s="301"/>
    </row>
    <row r="1254" spans="1:15" ht="15" customHeight="1" x14ac:dyDescent="0.25">
      <c r="A1254" s="301"/>
      <c r="B1254" s="301"/>
      <c r="C1254" s="301"/>
      <c r="D1254" s="301"/>
      <c r="E1254" s="301"/>
      <c r="F1254" s="301"/>
      <c r="G1254" s="301"/>
      <c r="H1254" s="301"/>
      <c r="I1254" s="301"/>
      <c r="J1254" s="336"/>
      <c r="K1254" s="336"/>
      <c r="L1254" s="337"/>
      <c r="M1254" s="475"/>
      <c r="N1254" s="713"/>
      <c r="O1254" s="301"/>
    </row>
    <row r="1255" spans="1:15" ht="15" customHeight="1" x14ac:dyDescent="0.25">
      <c r="A1255" s="301"/>
      <c r="B1255" s="301"/>
      <c r="C1255" s="301"/>
      <c r="D1255" s="301"/>
      <c r="E1255" s="301"/>
      <c r="F1255" s="301"/>
      <c r="G1255" s="301"/>
      <c r="H1255" s="301"/>
      <c r="I1255" s="301"/>
      <c r="J1255" s="336"/>
      <c r="K1255" s="336"/>
      <c r="L1255" s="337"/>
      <c r="M1255" s="475"/>
      <c r="N1255" s="713"/>
      <c r="O1255" s="301"/>
    </row>
    <row r="1256" spans="1:15" ht="15" customHeight="1" x14ac:dyDescent="0.25">
      <c r="A1256" s="301"/>
      <c r="B1256" s="301"/>
      <c r="C1256" s="301"/>
      <c r="D1256" s="301"/>
      <c r="E1256" s="301"/>
      <c r="F1256" s="301"/>
      <c r="G1256" s="301"/>
      <c r="H1256" s="301"/>
      <c r="I1256" s="301"/>
      <c r="J1256" s="336"/>
      <c r="K1256" s="336"/>
      <c r="L1256" s="337"/>
      <c r="M1256" s="475"/>
      <c r="N1256" s="713"/>
      <c r="O1256" s="301"/>
    </row>
    <row r="1257" spans="1:15" ht="15" customHeight="1" x14ac:dyDescent="0.25">
      <c r="A1257" s="301"/>
      <c r="B1257" s="301"/>
      <c r="C1257" s="301"/>
      <c r="D1257" s="301"/>
      <c r="E1257" s="301"/>
      <c r="F1257" s="301"/>
      <c r="G1257" s="301"/>
      <c r="H1257" s="301"/>
      <c r="I1257" s="301"/>
      <c r="J1257" s="336"/>
      <c r="K1257" s="336"/>
      <c r="L1257" s="337"/>
      <c r="M1257" s="475"/>
      <c r="N1257" s="713"/>
      <c r="O1257" s="301"/>
    </row>
    <row r="1258" spans="1:15" ht="15" customHeight="1" x14ac:dyDescent="0.25">
      <c r="A1258" s="301"/>
      <c r="B1258" s="301"/>
      <c r="C1258" s="301"/>
      <c r="D1258" s="301"/>
      <c r="E1258" s="301"/>
      <c r="F1258" s="301"/>
      <c r="G1258" s="301"/>
      <c r="H1258" s="301"/>
      <c r="I1258" s="301"/>
      <c r="J1258" s="336"/>
      <c r="K1258" s="336"/>
      <c r="L1258" s="337"/>
      <c r="M1258" s="475"/>
      <c r="N1258" s="713"/>
      <c r="O1258" s="301"/>
    </row>
    <row r="1259" spans="1:15" ht="15" customHeight="1" x14ac:dyDescent="0.25">
      <c r="A1259" s="301"/>
      <c r="B1259" s="301"/>
      <c r="C1259" s="301"/>
      <c r="D1259" s="301"/>
      <c r="E1259" s="301"/>
      <c r="F1259" s="301"/>
      <c r="G1259" s="301"/>
      <c r="H1259" s="301"/>
      <c r="I1259" s="301"/>
      <c r="J1259" s="336"/>
      <c r="K1259" s="336"/>
      <c r="L1259" s="337"/>
      <c r="M1259" s="475"/>
      <c r="N1259" s="713"/>
      <c r="O1259" s="301"/>
    </row>
    <row r="1260" spans="1:15" ht="15" customHeight="1" x14ac:dyDescent="0.25">
      <c r="A1260" s="301"/>
      <c r="B1260" s="301"/>
      <c r="C1260" s="301"/>
      <c r="D1260" s="301"/>
      <c r="E1260" s="301"/>
      <c r="F1260" s="301"/>
      <c r="G1260" s="301"/>
      <c r="H1260" s="301"/>
      <c r="I1260" s="301"/>
      <c r="J1260" s="336"/>
      <c r="K1260" s="336"/>
      <c r="L1260" s="337"/>
      <c r="M1260" s="475"/>
      <c r="N1260" s="713"/>
      <c r="O1260" s="301"/>
    </row>
    <row r="1261" spans="1:15" ht="15" customHeight="1" x14ac:dyDescent="0.25">
      <c r="A1261" s="301"/>
      <c r="B1261" s="301"/>
      <c r="C1261" s="301"/>
      <c r="D1261" s="301"/>
      <c r="E1261" s="301"/>
      <c r="F1261" s="301"/>
      <c r="G1261" s="301"/>
      <c r="H1261" s="301"/>
      <c r="I1261" s="301"/>
      <c r="J1261" s="336"/>
      <c r="K1261" s="336"/>
      <c r="L1261" s="337"/>
      <c r="M1261" s="475"/>
      <c r="N1261" s="713"/>
      <c r="O1261" s="301"/>
    </row>
    <row r="1262" spans="1:15" ht="15" customHeight="1" x14ac:dyDescent="0.25">
      <c r="A1262" s="301"/>
      <c r="B1262" s="301"/>
      <c r="C1262" s="301"/>
      <c r="D1262" s="301"/>
      <c r="E1262" s="301"/>
      <c r="F1262" s="301"/>
      <c r="G1262" s="301"/>
      <c r="H1262" s="301"/>
      <c r="I1262" s="301"/>
      <c r="J1262" s="336"/>
      <c r="K1262" s="336"/>
      <c r="L1262" s="337"/>
      <c r="M1262" s="475"/>
      <c r="N1262" s="713"/>
      <c r="O1262" s="301"/>
    </row>
    <row r="1263" spans="1:15" ht="15" customHeight="1" x14ac:dyDescent="0.25">
      <c r="A1263" s="301"/>
      <c r="B1263" s="301"/>
      <c r="C1263" s="301"/>
      <c r="D1263" s="301"/>
      <c r="E1263" s="301"/>
      <c r="F1263" s="301"/>
      <c r="G1263" s="301"/>
      <c r="H1263" s="301"/>
      <c r="I1263" s="301"/>
      <c r="J1263" s="336"/>
      <c r="K1263" s="336"/>
      <c r="L1263" s="337"/>
      <c r="M1263" s="475"/>
      <c r="N1263" s="713"/>
      <c r="O1263" s="301"/>
    </row>
    <row r="1264" spans="1:15" ht="15" customHeight="1" x14ac:dyDescent="0.25">
      <c r="A1264" s="301"/>
      <c r="B1264" s="301"/>
      <c r="C1264" s="301"/>
      <c r="D1264" s="301"/>
      <c r="E1264" s="301"/>
      <c r="F1264" s="301"/>
      <c r="G1264" s="301"/>
      <c r="H1264" s="301"/>
      <c r="I1264" s="301"/>
      <c r="J1264" s="336"/>
      <c r="K1264" s="336"/>
      <c r="L1264" s="337"/>
      <c r="M1264" s="475"/>
      <c r="N1264" s="713"/>
      <c r="O1264" s="301"/>
    </row>
    <row r="1265" spans="1:15" ht="15" customHeight="1" x14ac:dyDescent="0.25">
      <c r="A1265" s="301"/>
      <c r="B1265" s="301"/>
      <c r="C1265" s="301"/>
      <c r="D1265" s="301"/>
      <c r="E1265" s="301"/>
      <c r="F1265" s="301"/>
      <c r="G1265" s="301"/>
      <c r="H1265" s="301"/>
      <c r="I1265" s="301"/>
      <c r="J1265" s="336"/>
      <c r="K1265" s="336"/>
      <c r="L1265" s="337"/>
      <c r="M1265" s="475"/>
      <c r="N1265" s="713"/>
      <c r="O1265" s="301"/>
    </row>
    <row r="1266" spans="1:15" ht="15" customHeight="1" x14ac:dyDescent="0.25">
      <c r="A1266" s="301"/>
      <c r="B1266" s="301"/>
      <c r="C1266" s="301"/>
      <c r="D1266" s="301"/>
      <c r="E1266" s="301"/>
      <c r="F1266" s="301"/>
      <c r="G1266" s="301"/>
      <c r="H1266" s="301"/>
      <c r="I1266" s="301"/>
      <c r="J1266" s="336"/>
      <c r="K1266" s="336"/>
      <c r="L1266" s="337"/>
      <c r="M1266" s="475"/>
      <c r="N1266" s="713"/>
      <c r="O1266" s="301"/>
    </row>
    <row r="1267" spans="1:15" ht="15" customHeight="1" x14ac:dyDescent="0.25">
      <c r="A1267" s="301"/>
      <c r="B1267" s="301"/>
      <c r="C1267" s="301"/>
      <c r="D1267" s="301"/>
      <c r="E1267" s="301"/>
      <c r="F1267" s="301"/>
      <c r="G1267" s="301"/>
      <c r="H1267" s="301"/>
      <c r="I1267" s="301"/>
      <c r="J1267" s="336"/>
      <c r="K1267" s="336"/>
      <c r="L1267" s="337"/>
      <c r="M1267" s="475"/>
      <c r="N1267" s="713"/>
      <c r="O1267" s="301"/>
    </row>
    <row r="1268" spans="1:15" ht="15" customHeight="1" x14ac:dyDescent="0.25">
      <c r="A1268" s="301"/>
      <c r="B1268" s="301"/>
      <c r="C1268" s="301"/>
      <c r="D1268" s="301"/>
      <c r="E1268" s="301"/>
      <c r="F1268" s="301"/>
      <c r="G1268" s="301"/>
      <c r="H1268" s="301"/>
      <c r="I1268" s="301"/>
      <c r="J1268" s="336"/>
      <c r="K1268" s="336"/>
      <c r="L1268" s="337"/>
      <c r="M1268" s="475"/>
      <c r="N1268" s="713"/>
      <c r="O1268" s="301"/>
    </row>
    <row r="1269" spans="1:15" ht="15" customHeight="1" x14ac:dyDescent="0.25">
      <c r="A1269" s="301"/>
      <c r="B1269" s="301"/>
      <c r="C1269" s="301"/>
      <c r="D1269" s="301"/>
      <c r="E1269" s="301"/>
      <c r="F1269" s="301"/>
      <c r="G1269" s="301"/>
      <c r="H1269" s="301"/>
      <c r="I1269" s="301"/>
      <c r="J1269" s="336"/>
      <c r="K1269" s="336"/>
      <c r="L1269" s="337"/>
      <c r="M1269" s="475"/>
      <c r="N1269" s="713"/>
      <c r="O1269" s="301"/>
    </row>
    <row r="1270" spans="1:15" ht="15" customHeight="1" x14ac:dyDescent="0.25">
      <c r="A1270" s="301"/>
      <c r="B1270" s="301"/>
      <c r="C1270" s="301"/>
      <c r="D1270" s="301"/>
      <c r="E1270" s="301"/>
      <c r="F1270" s="301"/>
      <c r="G1270" s="301"/>
      <c r="H1270" s="301"/>
      <c r="I1270" s="301"/>
      <c r="J1270" s="336"/>
      <c r="K1270" s="336"/>
      <c r="L1270" s="337"/>
      <c r="M1270" s="475"/>
      <c r="N1270" s="713"/>
      <c r="O1270" s="301"/>
    </row>
    <row r="1271" spans="1:15" ht="15" customHeight="1" x14ac:dyDescent="0.25">
      <c r="A1271" s="301"/>
      <c r="B1271" s="301"/>
      <c r="C1271" s="301"/>
      <c r="D1271" s="301"/>
      <c r="E1271" s="301"/>
      <c r="F1271" s="301"/>
      <c r="G1271" s="301"/>
      <c r="H1271" s="301"/>
      <c r="I1271" s="301"/>
      <c r="J1271" s="336"/>
      <c r="K1271" s="336"/>
      <c r="L1271" s="337"/>
      <c r="M1271" s="475"/>
      <c r="N1271" s="713"/>
      <c r="O1271" s="301"/>
    </row>
    <row r="1272" spans="1:15" ht="15" customHeight="1" x14ac:dyDescent="0.25">
      <c r="A1272" s="301"/>
      <c r="B1272" s="301"/>
      <c r="C1272" s="301"/>
      <c r="D1272" s="301"/>
      <c r="E1272" s="301"/>
      <c r="F1272" s="301"/>
      <c r="G1272" s="301"/>
      <c r="H1272" s="301"/>
      <c r="I1272" s="301"/>
      <c r="J1272" s="336"/>
      <c r="K1272" s="336"/>
      <c r="L1272" s="337"/>
      <c r="M1272" s="475"/>
      <c r="N1272" s="713"/>
      <c r="O1272" s="301"/>
    </row>
    <row r="1273" spans="1:15" ht="15" customHeight="1" x14ac:dyDescent="0.25">
      <c r="A1273" s="301"/>
      <c r="B1273" s="301"/>
      <c r="C1273" s="301"/>
      <c r="D1273" s="301"/>
      <c r="E1273" s="301"/>
      <c r="F1273" s="301"/>
      <c r="G1273" s="301"/>
      <c r="H1273" s="301"/>
      <c r="I1273" s="301"/>
      <c r="J1273" s="336"/>
      <c r="K1273" s="336"/>
      <c r="L1273" s="337"/>
      <c r="M1273" s="475"/>
      <c r="N1273" s="713"/>
      <c r="O1273" s="301"/>
    </row>
    <row r="1274" spans="1:15" ht="15" customHeight="1" x14ac:dyDescent="0.25">
      <c r="A1274" s="301"/>
      <c r="B1274" s="301"/>
      <c r="C1274" s="301"/>
      <c r="D1274" s="301"/>
      <c r="E1274" s="301"/>
      <c r="F1274" s="301"/>
      <c r="G1274" s="301"/>
      <c r="H1274" s="301"/>
      <c r="I1274" s="301"/>
      <c r="J1274" s="336"/>
      <c r="K1274" s="336"/>
      <c r="L1274" s="337"/>
      <c r="M1274" s="475"/>
      <c r="N1274" s="713"/>
      <c r="O1274" s="301"/>
    </row>
    <row r="1275" spans="1:15" ht="15" customHeight="1" x14ac:dyDescent="0.25">
      <c r="A1275" s="301"/>
      <c r="B1275" s="301"/>
      <c r="C1275" s="301"/>
      <c r="D1275" s="301"/>
      <c r="E1275" s="301"/>
      <c r="F1275" s="301"/>
      <c r="G1275" s="301"/>
      <c r="H1275" s="301"/>
      <c r="I1275" s="301"/>
      <c r="J1275" s="336"/>
      <c r="K1275" s="336"/>
      <c r="L1275" s="337"/>
      <c r="M1275" s="475"/>
      <c r="N1275" s="713"/>
      <c r="O1275" s="301"/>
    </row>
    <row r="1276" spans="1:15" ht="15" customHeight="1" x14ac:dyDescent="0.25">
      <c r="A1276" s="301"/>
      <c r="B1276" s="301"/>
      <c r="C1276" s="301"/>
      <c r="D1276" s="301"/>
      <c r="E1276" s="301"/>
      <c r="F1276" s="301"/>
      <c r="G1276" s="301"/>
      <c r="H1276" s="301"/>
      <c r="I1276" s="301"/>
      <c r="J1276" s="336"/>
      <c r="K1276" s="336"/>
      <c r="L1276" s="337"/>
      <c r="M1276" s="475"/>
      <c r="N1276" s="713"/>
      <c r="O1276" s="301"/>
    </row>
    <row r="1277" spans="1:15" ht="15" customHeight="1" x14ac:dyDescent="0.25">
      <c r="A1277" s="301"/>
      <c r="B1277" s="301"/>
      <c r="C1277" s="301"/>
      <c r="D1277" s="301"/>
      <c r="E1277" s="301"/>
      <c r="F1277" s="301"/>
      <c r="G1277" s="301"/>
      <c r="H1277" s="301"/>
      <c r="I1277" s="301"/>
      <c r="J1277" s="336"/>
      <c r="K1277" s="336"/>
      <c r="L1277" s="337"/>
      <c r="M1277" s="475"/>
      <c r="N1277" s="713"/>
      <c r="O1277" s="301"/>
    </row>
    <row r="1278" spans="1:15" ht="15" customHeight="1" x14ac:dyDescent="0.25">
      <c r="A1278" s="301"/>
      <c r="B1278" s="301"/>
      <c r="C1278" s="301"/>
      <c r="D1278" s="301"/>
      <c r="E1278" s="301"/>
      <c r="F1278" s="301"/>
      <c r="G1278" s="301"/>
      <c r="H1278" s="301"/>
      <c r="I1278" s="301"/>
      <c r="J1278" s="336"/>
      <c r="K1278" s="336"/>
      <c r="L1278" s="337"/>
      <c r="M1278" s="475"/>
      <c r="N1278" s="713"/>
      <c r="O1278" s="301"/>
    </row>
    <row r="1279" spans="1:15" ht="15" customHeight="1" x14ac:dyDescent="0.25">
      <c r="A1279" s="301"/>
      <c r="B1279" s="301"/>
      <c r="C1279" s="301"/>
      <c r="D1279" s="301"/>
      <c r="E1279" s="301"/>
      <c r="F1279" s="301"/>
      <c r="G1279" s="301"/>
      <c r="H1279" s="301"/>
      <c r="I1279" s="301"/>
      <c r="J1279" s="336"/>
      <c r="K1279" s="336"/>
      <c r="L1279" s="337"/>
      <c r="M1279" s="475"/>
      <c r="N1279" s="713"/>
      <c r="O1279" s="301"/>
    </row>
    <row r="1280" spans="1:15" ht="15" customHeight="1" x14ac:dyDescent="0.25">
      <c r="A1280" s="301"/>
      <c r="B1280" s="301"/>
      <c r="C1280" s="301"/>
      <c r="D1280" s="301"/>
      <c r="E1280" s="301"/>
      <c r="F1280" s="301"/>
      <c r="G1280" s="301"/>
      <c r="H1280" s="301"/>
      <c r="I1280" s="301"/>
      <c r="J1280" s="336"/>
      <c r="K1280" s="336"/>
      <c r="L1280" s="337"/>
      <c r="M1280" s="475"/>
      <c r="N1280" s="713"/>
      <c r="O1280" s="301"/>
    </row>
    <row r="1281" spans="1:15" ht="15" customHeight="1" x14ac:dyDescent="0.25">
      <c r="A1281" s="301"/>
      <c r="B1281" s="301"/>
      <c r="C1281" s="301"/>
      <c r="D1281" s="301"/>
      <c r="E1281" s="301"/>
      <c r="F1281" s="301"/>
      <c r="G1281" s="301"/>
      <c r="H1281" s="301"/>
      <c r="I1281" s="301"/>
      <c r="J1281" s="336"/>
      <c r="K1281" s="336"/>
      <c r="L1281" s="337"/>
      <c r="M1281" s="475"/>
      <c r="N1281" s="713"/>
      <c r="O1281" s="301"/>
    </row>
    <row r="1282" spans="1:15" ht="15" customHeight="1" x14ac:dyDescent="0.25">
      <c r="A1282" s="301"/>
      <c r="B1282" s="301"/>
      <c r="C1282" s="301"/>
      <c r="D1282" s="301"/>
      <c r="E1282" s="301"/>
      <c r="F1282" s="301"/>
      <c r="G1282" s="301"/>
      <c r="H1282" s="301"/>
      <c r="I1282" s="301"/>
      <c r="J1282" s="336"/>
      <c r="K1282" s="336"/>
      <c r="L1282" s="337"/>
      <c r="M1282" s="475"/>
      <c r="N1282" s="713"/>
      <c r="O1282" s="301"/>
    </row>
    <row r="1283" spans="1:15" ht="15" customHeight="1" x14ac:dyDescent="0.25">
      <c r="A1283" s="301"/>
      <c r="B1283" s="301"/>
      <c r="C1283" s="301"/>
      <c r="D1283" s="301"/>
      <c r="E1283" s="301"/>
      <c r="F1283" s="301"/>
      <c r="G1283" s="301"/>
      <c r="H1283" s="301"/>
      <c r="I1283" s="301"/>
      <c r="J1283" s="336"/>
      <c r="K1283" s="336"/>
      <c r="L1283" s="337"/>
      <c r="M1283" s="475"/>
      <c r="N1283" s="713"/>
      <c r="O1283" s="301"/>
    </row>
    <row r="1284" spans="1:15" ht="15" customHeight="1" x14ac:dyDescent="0.25">
      <c r="A1284" s="301"/>
      <c r="B1284" s="301"/>
      <c r="C1284" s="301"/>
      <c r="D1284" s="301"/>
      <c r="E1284" s="301"/>
      <c r="F1284" s="301"/>
      <c r="G1284" s="301"/>
      <c r="H1284" s="301"/>
      <c r="I1284" s="301"/>
      <c r="J1284" s="336"/>
      <c r="K1284" s="336"/>
      <c r="L1284" s="337"/>
      <c r="M1284" s="475"/>
      <c r="N1284" s="713"/>
      <c r="O1284" s="301"/>
    </row>
    <row r="1285" spans="1:15" ht="15" customHeight="1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36"/>
      <c r="K1285" s="336"/>
      <c r="L1285" s="337"/>
      <c r="M1285" s="475"/>
      <c r="N1285" s="713"/>
      <c r="O1285" s="301"/>
    </row>
    <row r="1286" spans="1:15" ht="15" customHeight="1" x14ac:dyDescent="0.25">
      <c r="A1286" s="301"/>
      <c r="B1286" s="301"/>
      <c r="C1286" s="301"/>
      <c r="D1286" s="301"/>
      <c r="E1286" s="301"/>
      <c r="F1286" s="301"/>
      <c r="G1286" s="301"/>
      <c r="H1286" s="301"/>
      <c r="I1286" s="301"/>
      <c r="J1286" s="336"/>
      <c r="K1286" s="336"/>
      <c r="L1286" s="337"/>
      <c r="M1286" s="475"/>
      <c r="N1286" s="713"/>
      <c r="O1286" s="301"/>
    </row>
    <row r="1287" spans="1:15" ht="15" customHeight="1" x14ac:dyDescent="0.25">
      <c r="A1287" s="301"/>
      <c r="B1287" s="301"/>
      <c r="C1287" s="301"/>
      <c r="D1287" s="301"/>
      <c r="E1287" s="301"/>
      <c r="F1287" s="301"/>
      <c r="G1287" s="301"/>
      <c r="H1287" s="301"/>
      <c r="I1287" s="301"/>
      <c r="J1287" s="336"/>
      <c r="K1287" s="336"/>
      <c r="L1287" s="337"/>
      <c r="M1287" s="475"/>
      <c r="N1287" s="713"/>
      <c r="O1287" s="301"/>
    </row>
    <row r="1288" spans="1:15" ht="15" customHeight="1" x14ac:dyDescent="0.25">
      <c r="A1288" s="301"/>
      <c r="B1288" s="301"/>
      <c r="C1288" s="301"/>
      <c r="D1288" s="301"/>
      <c r="E1288" s="301"/>
      <c r="F1288" s="301"/>
      <c r="G1288" s="301"/>
      <c r="H1288" s="301"/>
      <c r="I1288" s="301"/>
      <c r="J1288" s="336"/>
      <c r="K1288" s="336"/>
      <c r="L1288" s="337"/>
      <c r="M1288" s="475"/>
      <c r="N1288" s="713"/>
      <c r="O1288" s="301"/>
    </row>
    <row r="1289" spans="1:15" ht="15" customHeight="1" x14ac:dyDescent="0.25">
      <c r="A1289" s="301"/>
      <c r="B1289" s="301"/>
      <c r="C1289" s="301"/>
      <c r="D1289" s="301"/>
      <c r="E1289" s="301"/>
      <c r="F1289" s="301"/>
      <c r="G1289" s="301"/>
      <c r="H1289" s="301"/>
      <c r="I1289" s="301"/>
      <c r="J1289" s="336"/>
      <c r="K1289" s="336"/>
      <c r="L1289" s="337"/>
      <c r="M1289" s="475"/>
      <c r="N1289" s="713"/>
      <c r="O1289" s="301"/>
    </row>
    <row r="1290" spans="1:15" ht="15" customHeight="1" x14ac:dyDescent="0.25">
      <c r="A1290" s="301"/>
      <c r="B1290" s="301"/>
      <c r="C1290" s="301"/>
      <c r="D1290" s="301"/>
      <c r="E1290" s="301"/>
      <c r="F1290" s="301"/>
      <c r="G1290" s="301"/>
      <c r="H1290" s="301"/>
      <c r="I1290" s="301"/>
      <c r="J1290" s="336"/>
      <c r="K1290" s="336"/>
      <c r="L1290" s="337"/>
      <c r="M1290" s="475"/>
      <c r="N1290" s="713"/>
      <c r="O1290" s="301"/>
    </row>
    <row r="1291" spans="1:15" ht="15" customHeight="1" x14ac:dyDescent="0.25">
      <c r="A1291" s="301"/>
      <c r="B1291" s="301"/>
      <c r="C1291" s="301"/>
      <c r="D1291" s="301"/>
      <c r="E1291" s="301"/>
      <c r="F1291" s="301"/>
      <c r="G1291" s="301"/>
      <c r="H1291" s="301"/>
      <c r="I1291" s="301"/>
      <c r="J1291" s="336"/>
      <c r="K1291" s="336"/>
      <c r="L1291" s="337"/>
      <c r="M1291" s="475"/>
      <c r="N1291" s="713"/>
      <c r="O1291" s="301"/>
    </row>
    <row r="1292" spans="1:15" ht="15" customHeight="1" x14ac:dyDescent="0.25">
      <c r="A1292" s="301"/>
      <c r="B1292" s="301"/>
      <c r="C1292" s="301"/>
      <c r="D1292" s="301"/>
      <c r="E1292" s="301"/>
      <c r="F1292" s="301"/>
      <c r="G1292" s="301"/>
      <c r="H1292" s="301"/>
      <c r="I1292" s="301"/>
      <c r="J1292" s="336"/>
      <c r="K1292" s="336"/>
      <c r="L1292" s="337"/>
      <c r="M1292" s="475"/>
      <c r="N1292" s="713"/>
      <c r="O1292" s="301"/>
    </row>
    <row r="1293" spans="1:15" ht="15" customHeight="1" x14ac:dyDescent="0.25">
      <c r="A1293" s="301"/>
      <c r="B1293" s="301"/>
      <c r="C1293" s="301"/>
      <c r="D1293" s="301"/>
      <c r="E1293" s="301"/>
      <c r="F1293" s="301"/>
      <c r="G1293" s="301"/>
      <c r="H1293" s="301"/>
      <c r="I1293" s="301"/>
      <c r="J1293" s="336"/>
      <c r="K1293" s="336"/>
      <c r="L1293" s="337"/>
      <c r="M1293" s="475"/>
      <c r="N1293" s="713"/>
      <c r="O1293" s="301"/>
    </row>
    <row r="1294" spans="1:15" ht="15" customHeight="1" x14ac:dyDescent="0.25">
      <c r="A1294" s="301"/>
      <c r="B1294" s="301"/>
      <c r="C1294" s="301"/>
      <c r="D1294" s="301"/>
      <c r="E1294" s="301"/>
      <c r="F1294" s="301"/>
      <c r="G1294" s="301"/>
      <c r="H1294" s="301"/>
      <c r="I1294" s="301"/>
      <c r="J1294" s="336"/>
      <c r="K1294" s="336"/>
      <c r="L1294" s="337"/>
      <c r="M1294" s="475"/>
      <c r="N1294" s="713"/>
      <c r="O1294" s="301"/>
    </row>
    <row r="1295" spans="1:15" ht="15" customHeight="1" x14ac:dyDescent="0.25">
      <c r="A1295" s="301"/>
      <c r="B1295" s="301"/>
      <c r="C1295" s="301"/>
      <c r="D1295" s="301"/>
      <c r="E1295" s="301"/>
      <c r="F1295" s="301"/>
      <c r="G1295" s="301"/>
      <c r="H1295" s="301"/>
      <c r="I1295" s="301"/>
      <c r="J1295" s="336"/>
      <c r="K1295" s="336"/>
      <c r="L1295" s="337"/>
      <c r="M1295" s="475"/>
      <c r="N1295" s="713"/>
      <c r="O1295" s="301"/>
    </row>
    <row r="1296" spans="1:15" ht="15" customHeight="1" x14ac:dyDescent="0.25">
      <c r="A1296" s="301"/>
      <c r="B1296" s="301"/>
      <c r="C1296" s="301"/>
      <c r="D1296" s="301"/>
      <c r="E1296" s="301"/>
      <c r="F1296" s="301"/>
      <c r="G1296" s="301"/>
      <c r="H1296" s="301"/>
      <c r="I1296" s="301"/>
      <c r="J1296" s="336"/>
      <c r="K1296" s="336"/>
      <c r="L1296" s="337"/>
      <c r="M1296" s="475"/>
      <c r="N1296" s="713"/>
      <c r="O1296" s="301"/>
    </row>
    <row r="1297" spans="1:15" ht="15" customHeight="1" x14ac:dyDescent="0.25">
      <c r="A1297" s="301"/>
      <c r="B1297" s="301"/>
      <c r="C1297" s="301"/>
      <c r="D1297" s="301"/>
      <c r="E1297" s="301"/>
      <c r="F1297" s="301"/>
      <c r="G1297" s="301"/>
      <c r="H1297" s="301"/>
      <c r="I1297" s="301"/>
      <c r="J1297" s="336"/>
      <c r="K1297" s="336"/>
      <c r="L1297" s="337"/>
      <c r="M1297" s="475"/>
      <c r="N1297" s="713"/>
      <c r="O1297" s="301"/>
    </row>
    <row r="1298" spans="1:15" ht="15" customHeight="1" x14ac:dyDescent="0.25">
      <c r="A1298" s="301"/>
      <c r="B1298" s="301"/>
      <c r="C1298" s="301"/>
      <c r="D1298" s="301"/>
      <c r="E1298" s="301"/>
      <c r="F1298" s="301"/>
      <c r="G1298" s="301"/>
      <c r="H1298" s="301"/>
      <c r="I1298" s="301"/>
      <c r="J1298" s="336"/>
      <c r="K1298" s="336"/>
      <c r="L1298" s="337"/>
      <c r="M1298" s="475"/>
      <c r="N1298" s="713"/>
      <c r="O1298" s="301"/>
    </row>
    <row r="1299" spans="1:15" ht="15" customHeight="1" x14ac:dyDescent="0.25">
      <c r="A1299" s="301"/>
      <c r="B1299" s="301"/>
      <c r="C1299" s="301"/>
      <c r="D1299" s="301"/>
      <c r="E1299" s="301"/>
      <c r="F1299" s="301"/>
      <c r="G1299" s="301"/>
      <c r="H1299" s="301"/>
      <c r="I1299" s="301"/>
      <c r="J1299" s="336"/>
      <c r="K1299" s="336"/>
      <c r="L1299" s="337"/>
      <c r="M1299" s="475"/>
      <c r="N1299" s="713"/>
      <c r="O1299" s="301"/>
    </row>
    <row r="1300" spans="1:15" ht="15" customHeight="1" x14ac:dyDescent="0.25">
      <c r="A1300" s="301"/>
      <c r="B1300" s="301"/>
      <c r="C1300" s="301"/>
      <c r="D1300" s="301"/>
      <c r="E1300" s="301"/>
      <c r="F1300" s="301"/>
      <c r="G1300" s="301"/>
      <c r="H1300" s="301"/>
      <c r="I1300" s="301"/>
      <c r="J1300" s="336"/>
      <c r="K1300" s="336"/>
      <c r="L1300" s="337"/>
      <c r="M1300" s="475"/>
      <c r="N1300" s="713"/>
      <c r="O1300" s="301"/>
    </row>
    <row r="1301" spans="1:15" ht="15" customHeight="1" x14ac:dyDescent="0.25">
      <c r="A1301" s="301"/>
      <c r="B1301" s="301"/>
      <c r="C1301" s="301"/>
      <c r="D1301" s="301"/>
      <c r="E1301" s="301"/>
      <c r="F1301" s="301"/>
      <c r="G1301" s="301"/>
      <c r="H1301" s="301"/>
      <c r="I1301" s="301"/>
      <c r="J1301" s="336"/>
      <c r="K1301" s="336"/>
      <c r="L1301" s="337"/>
      <c r="M1301" s="475"/>
      <c r="N1301" s="713"/>
      <c r="O1301" s="301"/>
    </row>
    <row r="1302" spans="1:15" ht="15" customHeight="1" x14ac:dyDescent="0.25">
      <c r="A1302" s="301"/>
      <c r="B1302" s="301"/>
      <c r="C1302" s="301"/>
      <c r="D1302" s="301"/>
      <c r="E1302" s="301"/>
      <c r="F1302" s="301"/>
      <c r="G1302" s="301"/>
      <c r="H1302" s="301"/>
      <c r="I1302" s="301"/>
      <c r="J1302" s="336"/>
      <c r="K1302" s="336"/>
      <c r="L1302" s="337"/>
      <c r="M1302" s="475"/>
      <c r="N1302" s="713"/>
      <c r="O1302" s="301"/>
    </row>
    <row r="1303" spans="1:15" ht="15" customHeight="1" x14ac:dyDescent="0.25">
      <c r="A1303" s="301"/>
      <c r="B1303" s="301"/>
      <c r="C1303" s="301"/>
      <c r="D1303" s="301"/>
      <c r="E1303" s="301"/>
      <c r="F1303" s="301"/>
      <c r="G1303" s="301"/>
      <c r="H1303" s="301"/>
      <c r="I1303" s="301"/>
      <c r="J1303" s="336"/>
      <c r="K1303" s="336"/>
      <c r="L1303" s="337"/>
      <c r="M1303" s="475"/>
      <c r="N1303" s="713"/>
      <c r="O1303" s="301"/>
    </row>
    <row r="1304" spans="1:15" ht="15" customHeight="1" x14ac:dyDescent="0.25">
      <c r="A1304" s="301"/>
      <c r="B1304" s="301"/>
      <c r="C1304" s="301"/>
      <c r="D1304" s="301"/>
      <c r="E1304" s="301"/>
      <c r="F1304" s="301"/>
      <c r="G1304" s="301"/>
      <c r="H1304" s="301"/>
      <c r="I1304" s="301"/>
      <c r="J1304" s="336"/>
      <c r="K1304" s="336"/>
      <c r="L1304" s="337"/>
      <c r="M1304" s="475"/>
      <c r="N1304" s="713"/>
      <c r="O1304" s="301"/>
    </row>
    <row r="1305" spans="1:15" ht="15" customHeight="1" x14ac:dyDescent="0.25">
      <c r="A1305" s="301"/>
      <c r="B1305" s="301"/>
      <c r="C1305" s="301"/>
      <c r="D1305" s="301"/>
      <c r="E1305" s="301"/>
      <c r="F1305" s="301"/>
      <c r="G1305" s="301"/>
      <c r="H1305" s="301"/>
      <c r="I1305" s="301"/>
      <c r="J1305" s="336"/>
      <c r="K1305" s="336"/>
      <c r="L1305" s="337"/>
      <c r="M1305" s="475"/>
      <c r="N1305" s="713"/>
      <c r="O1305" s="301"/>
    </row>
    <row r="1306" spans="1:15" ht="15" customHeight="1" x14ac:dyDescent="0.25">
      <c r="A1306" s="301"/>
      <c r="B1306" s="301"/>
      <c r="C1306" s="301"/>
      <c r="D1306" s="301"/>
      <c r="E1306" s="301"/>
      <c r="F1306" s="301"/>
      <c r="G1306" s="301"/>
      <c r="H1306" s="301"/>
      <c r="I1306" s="301"/>
      <c r="J1306" s="336"/>
      <c r="K1306" s="336"/>
      <c r="L1306" s="337"/>
      <c r="M1306" s="475"/>
      <c r="N1306" s="713"/>
      <c r="O1306" s="301"/>
    </row>
    <row r="1307" spans="1:15" ht="15" customHeight="1" x14ac:dyDescent="0.25">
      <c r="A1307" s="301"/>
      <c r="B1307" s="301"/>
      <c r="C1307" s="301"/>
      <c r="D1307" s="301"/>
      <c r="E1307" s="301"/>
      <c r="F1307" s="301"/>
      <c r="G1307" s="301"/>
      <c r="H1307" s="301"/>
      <c r="I1307" s="301"/>
      <c r="J1307" s="336"/>
      <c r="K1307" s="336"/>
      <c r="L1307" s="337"/>
      <c r="M1307" s="475"/>
      <c r="N1307" s="713"/>
      <c r="O1307" s="301"/>
    </row>
    <row r="1308" spans="1:15" ht="15" customHeight="1" x14ac:dyDescent="0.25">
      <c r="A1308" s="301"/>
      <c r="B1308" s="301"/>
      <c r="C1308" s="301"/>
      <c r="D1308" s="301"/>
      <c r="E1308" s="301"/>
      <c r="F1308" s="301"/>
      <c r="G1308" s="301"/>
      <c r="H1308" s="301"/>
      <c r="I1308" s="301"/>
      <c r="J1308" s="336"/>
      <c r="K1308" s="336"/>
      <c r="L1308" s="337"/>
      <c r="M1308" s="475"/>
      <c r="N1308" s="713"/>
      <c r="O1308" s="301"/>
    </row>
    <row r="1309" spans="1:15" ht="15" customHeight="1" x14ac:dyDescent="0.25">
      <c r="A1309" s="301"/>
      <c r="B1309" s="301"/>
      <c r="C1309" s="301"/>
      <c r="D1309" s="301"/>
      <c r="E1309" s="301"/>
      <c r="F1309" s="301"/>
      <c r="G1309" s="301"/>
      <c r="H1309" s="301"/>
      <c r="I1309" s="301"/>
      <c r="J1309" s="336"/>
      <c r="K1309" s="336"/>
      <c r="L1309" s="337"/>
      <c r="M1309" s="475"/>
      <c r="N1309" s="713"/>
      <c r="O1309" s="301"/>
    </row>
    <row r="1310" spans="1:15" ht="15" customHeight="1" x14ac:dyDescent="0.25">
      <c r="A1310" s="301"/>
      <c r="B1310" s="301"/>
      <c r="C1310" s="301"/>
      <c r="D1310" s="301"/>
      <c r="E1310" s="301"/>
      <c r="F1310" s="301"/>
      <c r="G1310" s="301"/>
      <c r="H1310" s="301"/>
      <c r="I1310" s="301"/>
      <c r="J1310" s="336"/>
      <c r="K1310" s="336"/>
      <c r="L1310" s="337"/>
      <c r="M1310" s="475"/>
      <c r="N1310" s="713"/>
      <c r="O1310" s="301"/>
    </row>
    <row r="1311" spans="1:15" ht="15" customHeight="1" x14ac:dyDescent="0.25">
      <c r="A1311" s="301"/>
      <c r="B1311" s="301"/>
      <c r="C1311" s="301"/>
      <c r="D1311" s="301"/>
      <c r="E1311" s="301"/>
      <c r="F1311" s="301"/>
      <c r="G1311" s="301"/>
      <c r="H1311" s="301"/>
      <c r="I1311" s="301"/>
      <c r="J1311" s="336"/>
      <c r="K1311" s="336"/>
      <c r="L1311" s="337"/>
      <c r="M1311" s="475"/>
      <c r="N1311" s="713"/>
      <c r="O1311" s="301"/>
    </row>
    <row r="1312" spans="1:15" ht="15" customHeight="1" x14ac:dyDescent="0.25">
      <c r="A1312" s="301"/>
      <c r="B1312" s="301"/>
      <c r="C1312" s="301"/>
      <c r="D1312" s="301"/>
      <c r="E1312" s="301"/>
      <c r="F1312" s="301"/>
      <c r="G1312" s="301"/>
      <c r="H1312" s="301"/>
      <c r="I1312" s="301"/>
      <c r="J1312" s="336"/>
      <c r="K1312" s="336"/>
      <c r="L1312" s="337"/>
      <c r="M1312" s="475"/>
      <c r="N1312" s="713"/>
      <c r="O1312" s="301"/>
    </row>
    <row r="1313" spans="1:15" ht="15" customHeight="1" x14ac:dyDescent="0.25">
      <c r="A1313" s="301"/>
      <c r="B1313" s="301"/>
      <c r="C1313" s="301"/>
      <c r="D1313" s="301"/>
      <c r="E1313" s="301"/>
      <c r="F1313" s="301"/>
      <c r="G1313" s="301"/>
      <c r="H1313" s="301"/>
      <c r="I1313" s="301"/>
      <c r="J1313" s="336"/>
      <c r="K1313" s="336"/>
      <c r="L1313" s="337"/>
      <c r="M1313" s="475"/>
      <c r="N1313" s="713"/>
      <c r="O1313" s="301"/>
    </row>
    <row r="1314" spans="1:15" ht="15" customHeight="1" x14ac:dyDescent="0.25">
      <c r="A1314" s="618"/>
      <c r="B1314" s="618"/>
      <c r="C1314" s="618"/>
      <c r="D1314" s="618"/>
      <c r="E1314" s="618"/>
      <c r="F1314" s="618"/>
      <c r="G1314" s="618"/>
      <c r="H1314" s="618"/>
      <c r="I1314" s="618"/>
      <c r="J1314" s="715"/>
      <c r="K1314" s="715"/>
      <c r="L1314" s="715"/>
      <c r="M1314" s="618"/>
      <c r="N1314" s="715"/>
      <c r="O1314" s="619"/>
    </row>
    <row r="1315" spans="1:15" ht="15" customHeight="1" x14ac:dyDescent="0.25">
      <c r="A1315" s="618"/>
      <c r="B1315" s="618"/>
      <c r="C1315" s="618"/>
      <c r="D1315" s="618"/>
      <c r="E1315" s="618"/>
      <c r="F1315" s="618"/>
      <c r="G1315" s="618"/>
      <c r="H1315" s="618"/>
      <c r="I1315" s="618"/>
      <c r="J1315" s="715"/>
      <c r="K1315" s="715"/>
      <c r="L1315" s="715"/>
      <c r="M1315" s="618"/>
      <c r="N1315" s="715"/>
      <c r="O1315" s="619"/>
    </row>
    <row r="1316" spans="1:15" ht="15" customHeight="1" x14ac:dyDescent="0.25">
      <c r="A1316" s="618"/>
      <c r="B1316" s="618"/>
      <c r="C1316" s="618"/>
      <c r="D1316" s="618"/>
      <c r="E1316" s="618"/>
      <c r="F1316" s="618"/>
      <c r="G1316" s="618"/>
      <c r="H1316" s="618"/>
      <c r="I1316" s="618"/>
      <c r="J1316" s="715"/>
      <c r="K1316" s="715"/>
      <c r="L1316" s="715"/>
      <c r="M1316" s="618"/>
      <c r="N1316" s="715"/>
      <c r="O1316" s="619"/>
    </row>
    <row r="1317" spans="1:15" ht="15" customHeight="1" x14ac:dyDescent="0.25">
      <c r="A1317" s="618"/>
      <c r="B1317" s="618"/>
      <c r="C1317" s="618"/>
      <c r="D1317" s="618"/>
      <c r="E1317" s="618"/>
      <c r="F1317" s="618"/>
      <c r="G1317" s="618"/>
      <c r="H1317" s="618"/>
      <c r="I1317" s="618"/>
      <c r="J1317" s="715"/>
      <c r="K1317" s="715"/>
      <c r="L1317" s="715"/>
      <c r="M1317" s="618"/>
      <c r="N1317" s="715"/>
      <c r="O1317" s="619"/>
    </row>
    <row r="1318" spans="1:15" ht="15" customHeight="1" x14ac:dyDescent="0.25">
      <c r="A1318" s="618"/>
      <c r="B1318" s="618"/>
      <c r="C1318" s="618"/>
      <c r="D1318" s="618"/>
      <c r="E1318" s="618"/>
      <c r="F1318" s="618"/>
      <c r="G1318" s="618"/>
      <c r="H1318" s="618"/>
      <c r="I1318" s="618"/>
      <c r="J1318" s="715"/>
      <c r="K1318" s="715"/>
      <c r="L1318" s="715"/>
      <c r="M1318" s="618"/>
      <c r="N1318" s="715"/>
      <c r="O1318" s="619"/>
    </row>
    <row r="1319" spans="1:15" ht="15" customHeight="1" x14ac:dyDescent="0.25">
      <c r="A1319" s="618"/>
      <c r="B1319" s="618"/>
      <c r="C1319" s="618"/>
      <c r="D1319" s="618"/>
      <c r="E1319" s="618"/>
      <c r="F1319" s="618"/>
      <c r="G1319" s="618"/>
      <c r="H1319" s="618"/>
      <c r="I1319" s="618"/>
      <c r="J1319" s="715"/>
      <c r="K1319" s="715"/>
      <c r="L1319" s="715"/>
      <c r="M1319" s="618"/>
      <c r="N1319" s="715"/>
      <c r="O1319" s="619"/>
    </row>
    <row r="1320" spans="1:15" ht="15" customHeight="1" x14ac:dyDescent="0.25">
      <c r="A1320" s="618"/>
      <c r="B1320" s="618"/>
      <c r="C1320" s="618"/>
      <c r="D1320" s="618"/>
      <c r="E1320" s="618"/>
      <c r="F1320" s="618"/>
      <c r="G1320" s="618"/>
      <c r="H1320" s="618"/>
      <c r="I1320" s="618"/>
      <c r="J1320" s="715"/>
      <c r="K1320" s="715"/>
      <c r="L1320" s="715"/>
      <c r="M1320" s="618"/>
      <c r="N1320" s="715"/>
      <c r="O1320" s="619"/>
    </row>
    <row r="1321" spans="1:15" ht="15" customHeight="1" x14ac:dyDescent="0.25">
      <c r="A1321" s="618"/>
      <c r="B1321" s="618"/>
      <c r="C1321" s="618"/>
      <c r="D1321" s="618"/>
      <c r="E1321" s="618"/>
      <c r="F1321" s="618"/>
      <c r="G1321" s="618"/>
      <c r="H1321" s="618"/>
      <c r="I1321" s="618"/>
      <c r="J1321" s="715"/>
      <c r="K1321" s="715"/>
      <c r="L1321" s="715"/>
      <c r="M1321" s="618"/>
      <c r="N1321" s="715"/>
      <c r="O1321" s="619"/>
    </row>
    <row r="1322" spans="1:15" ht="15" customHeight="1" x14ac:dyDescent="0.25">
      <c r="A1322" s="618"/>
      <c r="B1322" s="618"/>
      <c r="C1322" s="618"/>
      <c r="D1322" s="618"/>
      <c r="E1322" s="618"/>
      <c r="F1322" s="618"/>
      <c r="G1322" s="618"/>
      <c r="H1322" s="618"/>
      <c r="I1322" s="618"/>
      <c r="J1322" s="715"/>
      <c r="K1322" s="715"/>
      <c r="L1322" s="715"/>
      <c r="M1322" s="618"/>
      <c r="N1322" s="715"/>
      <c r="O1322" s="619"/>
    </row>
    <row r="1323" spans="1:15" ht="15" customHeight="1" x14ac:dyDescent="0.25">
      <c r="A1323" s="618"/>
      <c r="B1323" s="618"/>
      <c r="C1323" s="618"/>
      <c r="D1323" s="618"/>
      <c r="E1323" s="618"/>
      <c r="F1323" s="618"/>
      <c r="G1323" s="618"/>
      <c r="H1323" s="618"/>
      <c r="I1323" s="618"/>
      <c r="J1323" s="715"/>
      <c r="K1323" s="715"/>
      <c r="L1323" s="715"/>
      <c r="M1323" s="618"/>
      <c r="N1323" s="715"/>
      <c r="O1323" s="619"/>
    </row>
    <row r="1324" spans="1:15" ht="15" customHeight="1" x14ac:dyDescent="0.25">
      <c r="A1324" s="618"/>
      <c r="B1324" s="618"/>
      <c r="C1324" s="618"/>
      <c r="D1324" s="618"/>
      <c r="E1324" s="618"/>
      <c r="F1324" s="618"/>
      <c r="G1324" s="618"/>
      <c r="H1324" s="618"/>
      <c r="I1324" s="618"/>
      <c r="J1324" s="715"/>
      <c r="K1324" s="715"/>
      <c r="L1324" s="715"/>
      <c r="M1324" s="618"/>
      <c r="N1324" s="715"/>
      <c r="O1324" s="619"/>
    </row>
    <row r="1325" spans="1:15" ht="15" customHeight="1" x14ac:dyDescent="0.25">
      <c r="A1325" s="618"/>
      <c r="B1325" s="618"/>
      <c r="C1325" s="618"/>
      <c r="D1325" s="618"/>
      <c r="E1325" s="618"/>
      <c r="F1325" s="618"/>
      <c r="G1325" s="618"/>
      <c r="H1325" s="618"/>
      <c r="I1325" s="618"/>
      <c r="J1325" s="715"/>
      <c r="K1325" s="715"/>
      <c r="L1325" s="715"/>
      <c r="M1325" s="618"/>
      <c r="N1325" s="715"/>
      <c r="O1325" s="619"/>
    </row>
    <row r="1326" spans="1:15" ht="15" customHeight="1" x14ac:dyDescent="0.25">
      <c r="A1326" s="618"/>
      <c r="B1326" s="618"/>
      <c r="C1326" s="618"/>
      <c r="D1326" s="618"/>
      <c r="E1326" s="618"/>
      <c r="F1326" s="618"/>
      <c r="G1326" s="618"/>
      <c r="H1326" s="618"/>
      <c r="I1326" s="618"/>
      <c r="J1326" s="715"/>
      <c r="K1326" s="715"/>
      <c r="L1326" s="715"/>
      <c r="M1326" s="618"/>
      <c r="N1326" s="715"/>
      <c r="O1326" s="619"/>
    </row>
    <row r="1327" spans="1:15" ht="15" customHeight="1" x14ac:dyDescent="0.25">
      <c r="A1327" s="618"/>
      <c r="B1327" s="618"/>
      <c r="C1327" s="618"/>
      <c r="D1327" s="618"/>
      <c r="E1327" s="618"/>
      <c r="F1327" s="618"/>
      <c r="G1327" s="618"/>
      <c r="H1327" s="618"/>
      <c r="I1327" s="618"/>
      <c r="J1327" s="715"/>
      <c r="K1327" s="715"/>
      <c r="L1327" s="715"/>
      <c r="M1327" s="618"/>
      <c r="N1327" s="715"/>
      <c r="O1327" s="619"/>
    </row>
    <row r="1328" spans="1:15" ht="15" customHeight="1" x14ac:dyDescent="0.25">
      <c r="A1328" s="618"/>
      <c r="B1328" s="618"/>
      <c r="C1328" s="618"/>
      <c r="D1328" s="618"/>
      <c r="E1328" s="618"/>
      <c r="F1328" s="618"/>
      <c r="G1328" s="618"/>
      <c r="H1328" s="618"/>
      <c r="I1328" s="618"/>
      <c r="J1328" s="715"/>
      <c r="K1328" s="715"/>
      <c r="L1328" s="715"/>
      <c r="M1328" s="618"/>
      <c r="N1328" s="715"/>
      <c r="O1328" s="619"/>
    </row>
    <row r="1329" spans="1:15" ht="15" customHeight="1" x14ac:dyDescent="0.25">
      <c r="A1329" s="618"/>
      <c r="B1329" s="618"/>
      <c r="C1329" s="618"/>
      <c r="D1329" s="618"/>
      <c r="E1329" s="618"/>
      <c r="F1329" s="618"/>
      <c r="G1329" s="618"/>
      <c r="H1329" s="618"/>
      <c r="I1329" s="618"/>
      <c r="J1329" s="715"/>
      <c r="K1329" s="715"/>
      <c r="L1329" s="715"/>
      <c r="M1329" s="618"/>
      <c r="N1329" s="715"/>
      <c r="O1329" s="619"/>
    </row>
    <row r="1330" spans="1:15" ht="15" customHeight="1" x14ac:dyDescent="0.25">
      <c r="A1330" s="618"/>
      <c r="B1330" s="618"/>
      <c r="C1330" s="618"/>
      <c r="D1330" s="618"/>
      <c r="E1330" s="618"/>
      <c r="F1330" s="618"/>
      <c r="G1330" s="618"/>
      <c r="H1330" s="618"/>
      <c r="I1330" s="618"/>
      <c r="J1330" s="715"/>
      <c r="K1330" s="715"/>
      <c r="L1330" s="715"/>
      <c r="M1330" s="618"/>
      <c r="N1330" s="715"/>
      <c r="O1330" s="619"/>
    </row>
    <row r="1331" spans="1:15" ht="15" customHeight="1" x14ac:dyDescent="0.25">
      <c r="A1331" s="618"/>
      <c r="B1331" s="618"/>
      <c r="C1331" s="618"/>
      <c r="D1331" s="618"/>
      <c r="E1331" s="618"/>
      <c r="F1331" s="618"/>
      <c r="G1331" s="618"/>
      <c r="H1331" s="618"/>
      <c r="I1331" s="618"/>
      <c r="J1331" s="715"/>
      <c r="K1331" s="715"/>
      <c r="L1331" s="715"/>
      <c r="M1331" s="618"/>
      <c r="N1331" s="715"/>
      <c r="O1331" s="619"/>
    </row>
    <row r="1332" spans="1:15" ht="15" customHeight="1" x14ac:dyDescent="0.25">
      <c r="A1332" s="618"/>
      <c r="B1332" s="618"/>
      <c r="C1332" s="618"/>
      <c r="D1332" s="618"/>
      <c r="E1332" s="618"/>
      <c r="F1332" s="618"/>
      <c r="G1332" s="618"/>
      <c r="H1332" s="618"/>
      <c r="I1332" s="618"/>
      <c r="J1332" s="715"/>
      <c r="K1332" s="715"/>
      <c r="L1332" s="715"/>
      <c r="M1332" s="618"/>
      <c r="N1332" s="715"/>
      <c r="O1332" s="619"/>
    </row>
    <row r="1333" spans="1:15" ht="15" customHeight="1" x14ac:dyDescent="0.25">
      <c r="A1333" s="618"/>
      <c r="B1333" s="618"/>
      <c r="C1333" s="618"/>
      <c r="D1333" s="618"/>
      <c r="E1333" s="618"/>
      <c r="F1333" s="618"/>
      <c r="G1333" s="618"/>
      <c r="H1333" s="618"/>
      <c r="I1333" s="618"/>
      <c r="J1333" s="715"/>
      <c r="K1333" s="715"/>
      <c r="L1333" s="715"/>
      <c r="M1333" s="618"/>
      <c r="N1333" s="715"/>
      <c r="O1333" s="619"/>
    </row>
    <row r="1334" spans="1:15" ht="15" customHeight="1" x14ac:dyDescent="0.25">
      <c r="A1334" s="618"/>
      <c r="B1334" s="618"/>
      <c r="C1334" s="618"/>
      <c r="D1334" s="618"/>
      <c r="E1334" s="618"/>
      <c r="F1334" s="618"/>
      <c r="G1334" s="618"/>
      <c r="H1334" s="618"/>
      <c r="I1334" s="618"/>
      <c r="J1334" s="715"/>
      <c r="K1334" s="715"/>
      <c r="L1334" s="715"/>
      <c r="M1334" s="618"/>
      <c r="N1334" s="715"/>
      <c r="O1334" s="619"/>
    </row>
    <row r="1335" spans="1:15" ht="15" customHeight="1" x14ac:dyDescent="0.25">
      <c r="A1335" s="618"/>
      <c r="B1335" s="618"/>
      <c r="C1335" s="618"/>
      <c r="D1335" s="618"/>
      <c r="E1335" s="618"/>
      <c r="F1335" s="618"/>
      <c r="G1335" s="618"/>
      <c r="H1335" s="618"/>
      <c r="I1335" s="618"/>
      <c r="J1335" s="715"/>
      <c r="K1335" s="715"/>
      <c r="L1335" s="715"/>
      <c r="M1335" s="618"/>
      <c r="N1335" s="715"/>
      <c r="O1335" s="619"/>
    </row>
    <row r="1336" spans="1:15" ht="15" customHeight="1" x14ac:dyDescent="0.25">
      <c r="A1336" s="618"/>
      <c r="B1336" s="618"/>
      <c r="C1336" s="618"/>
      <c r="D1336" s="618"/>
      <c r="E1336" s="618"/>
      <c r="F1336" s="618"/>
      <c r="G1336" s="618"/>
      <c r="H1336" s="618"/>
      <c r="I1336" s="618"/>
      <c r="J1336" s="715"/>
      <c r="K1336" s="715"/>
      <c r="L1336" s="715"/>
      <c r="M1336" s="618"/>
      <c r="N1336" s="715"/>
      <c r="O1336" s="619"/>
    </row>
    <row r="1337" spans="1:15" ht="15" customHeight="1" x14ac:dyDescent="0.25">
      <c r="A1337" s="618"/>
      <c r="B1337" s="618"/>
      <c r="C1337" s="618"/>
      <c r="D1337" s="618"/>
      <c r="E1337" s="618"/>
      <c r="F1337" s="618"/>
      <c r="G1337" s="618"/>
      <c r="H1337" s="618"/>
      <c r="I1337" s="618"/>
      <c r="J1337" s="715"/>
      <c r="K1337" s="715"/>
      <c r="L1337" s="715"/>
      <c r="M1337" s="618"/>
      <c r="N1337" s="715"/>
      <c r="O1337" s="619"/>
    </row>
    <row r="1338" spans="1:15" ht="15" customHeight="1" x14ac:dyDescent="0.25">
      <c r="A1338" s="618"/>
      <c r="B1338" s="618"/>
      <c r="C1338" s="618"/>
      <c r="D1338" s="618"/>
      <c r="E1338" s="618"/>
      <c r="F1338" s="618"/>
      <c r="G1338" s="618"/>
      <c r="H1338" s="618"/>
      <c r="I1338" s="618"/>
      <c r="J1338" s="715"/>
      <c r="K1338" s="715"/>
      <c r="L1338" s="715"/>
      <c r="M1338" s="618"/>
      <c r="N1338" s="715"/>
      <c r="O1338" s="619"/>
    </row>
    <row r="1339" spans="1:15" ht="15" customHeight="1" x14ac:dyDescent="0.25">
      <c r="A1339" s="618"/>
      <c r="B1339" s="618"/>
      <c r="C1339" s="618"/>
      <c r="D1339" s="618"/>
      <c r="E1339" s="618"/>
      <c r="F1339" s="618"/>
      <c r="G1339" s="618"/>
      <c r="H1339" s="618"/>
      <c r="I1339" s="618"/>
      <c r="J1339" s="715"/>
      <c r="K1339" s="715"/>
      <c r="L1339" s="715"/>
      <c r="M1339" s="618"/>
      <c r="N1339" s="715"/>
      <c r="O1339" s="619"/>
    </row>
    <row r="1340" spans="1:15" ht="15" customHeight="1" x14ac:dyDescent="0.25">
      <c r="A1340" s="618"/>
      <c r="B1340" s="618"/>
      <c r="C1340" s="618"/>
      <c r="D1340" s="618"/>
      <c r="E1340" s="618"/>
      <c r="F1340" s="618"/>
      <c r="G1340" s="618"/>
      <c r="H1340" s="618"/>
      <c r="I1340" s="618"/>
      <c r="J1340" s="715"/>
      <c r="K1340" s="715"/>
      <c r="L1340" s="715"/>
      <c r="M1340" s="618"/>
      <c r="N1340" s="715"/>
      <c r="O1340" s="619"/>
    </row>
    <row r="1341" spans="1:15" ht="15" customHeight="1" x14ac:dyDescent="0.25">
      <c r="A1341" s="1228"/>
      <c r="B1341" s="1228"/>
      <c r="C1341" s="1228"/>
      <c r="D1341" s="1228"/>
      <c r="E1341" s="1228"/>
      <c r="F1341" s="1228"/>
      <c r="G1341" s="1228"/>
      <c r="H1341" s="1228"/>
      <c r="I1341" s="1228"/>
      <c r="J1341" s="1228"/>
      <c r="K1341" s="1228"/>
      <c r="L1341" s="1228"/>
      <c r="M1341" s="1228"/>
      <c r="N1341" s="1228"/>
      <c r="O1341" s="619"/>
    </row>
    <row r="1342" spans="1:15" ht="15" customHeight="1" x14ac:dyDescent="0.25">
      <c r="A1342" s="1150"/>
      <c r="B1342" s="1150"/>
      <c r="C1342" s="1150"/>
      <c r="D1342" s="1150"/>
      <c r="E1342" s="1150"/>
      <c r="F1342" s="1150"/>
      <c r="G1342" s="1150"/>
      <c r="H1342" s="1150"/>
      <c r="I1342" s="1150"/>
      <c r="J1342" s="1150"/>
      <c r="K1342" s="1150"/>
      <c r="L1342" s="1150"/>
      <c r="M1342" s="1150"/>
      <c r="N1342" s="1150"/>
      <c r="O1342" s="619"/>
    </row>
    <row r="1343" spans="1:15" ht="15" customHeight="1" x14ac:dyDescent="0.25">
      <c r="A1343" s="618"/>
      <c r="B1343" s="618"/>
      <c r="C1343" s="618"/>
      <c r="D1343" s="618"/>
      <c r="E1343" s="618"/>
      <c r="F1343" s="618"/>
      <c r="G1343" s="618"/>
      <c r="H1343" s="618"/>
      <c r="I1343" s="618"/>
      <c r="J1343" s="715"/>
      <c r="K1343" s="715"/>
      <c r="L1343" s="715"/>
      <c r="M1343" s="618"/>
      <c r="N1343" s="715"/>
      <c r="O1343" s="619"/>
    </row>
    <row r="1344" spans="1:15" ht="15" customHeight="1" x14ac:dyDescent="0.25">
      <c r="A1344" s="618"/>
      <c r="B1344" s="618"/>
      <c r="C1344" s="618"/>
      <c r="D1344" s="618"/>
      <c r="E1344" s="618"/>
      <c r="F1344" s="618"/>
      <c r="G1344" s="618"/>
      <c r="H1344" s="618"/>
      <c r="I1344" s="618"/>
      <c r="J1344" s="715"/>
      <c r="K1344" s="715"/>
      <c r="L1344" s="715"/>
      <c r="M1344" s="618"/>
      <c r="N1344" s="715"/>
      <c r="O1344" s="619"/>
    </row>
    <row r="1345" spans="1:15" ht="15" customHeight="1" x14ac:dyDescent="0.25">
      <c r="A1345" s="618"/>
      <c r="B1345" s="618"/>
      <c r="C1345" s="618"/>
      <c r="D1345" s="618"/>
      <c r="E1345" s="618"/>
      <c r="F1345" s="618"/>
      <c r="G1345" s="618"/>
      <c r="H1345" s="618"/>
      <c r="I1345" s="618"/>
      <c r="J1345" s="715"/>
      <c r="K1345" s="715"/>
      <c r="L1345" s="715"/>
      <c r="M1345" s="618"/>
      <c r="N1345" s="715"/>
      <c r="O1345" s="619"/>
    </row>
    <row r="1346" spans="1:15" ht="15" customHeight="1" x14ac:dyDescent="0.25">
      <c r="A1346" s="618"/>
      <c r="B1346" s="618"/>
      <c r="C1346" s="618"/>
      <c r="D1346" s="618"/>
      <c r="E1346" s="618"/>
      <c r="F1346" s="618"/>
      <c r="G1346" s="618"/>
      <c r="H1346" s="618"/>
      <c r="I1346" s="618"/>
      <c r="J1346" s="715"/>
      <c r="K1346" s="715"/>
      <c r="L1346" s="715"/>
      <c r="M1346" s="618"/>
      <c r="N1346" s="715"/>
      <c r="O1346" s="619"/>
    </row>
    <row r="1347" spans="1:15" ht="15" customHeight="1" x14ac:dyDescent="0.25">
      <c r="A1347" s="618"/>
      <c r="B1347" s="618"/>
      <c r="C1347" s="618"/>
      <c r="D1347" s="618"/>
      <c r="E1347" s="618"/>
      <c r="F1347" s="618"/>
      <c r="G1347" s="618"/>
      <c r="H1347" s="618"/>
      <c r="I1347" s="618"/>
      <c r="J1347" s="715"/>
      <c r="K1347" s="715"/>
      <c r="L1347" s="715"/>
      <c r="M1347" s="618"/>
      <c r="N1347" s="715"/>
      <c r="O1347" s="619"/>
    </row>
    <row r="1348" spans="1:15" ht="15" customHeight="1" x14ac:dyDescent="0.25">
      <c r="A1348" s="618"/>
      <c r="B1348" s="618"/>
      <c r="C1348" s="618"/>
      <c r="D1348" s="618"/>
      <c r="E1348" s="618"/>
      <c r="F1348" s="618"/>
      <c r="G1348" s="618"/>
      <c r="H1348" s="618"/>
      <c r="I1348" s="618"/>
      <c r="J1348" s="715"/>
      <c r="K1348" s="715"/>
      <c r="L1348" s="715"/>
      <c r="M1348" s="618"/>
      <c r="N1348" s="715"/>
      <c r="O1348" s="619"/>
    </row>
    <row r="1349" spans="1:15" ht="15" customHeight="1" x14ac:dyDescent="0.25">
      <c r="N1349" s="713"/>
    </row>
    <row r="1350" spans="1:15" ht="15" customHeight="1" x14ac:dyDescent="0.25">
      <c r="N1350" s="713"/>
    </row>
    <row r="1351" spans="1:15" ht="15" customHeight="1" x14ac:dyDescent="0.25">
      <c r="N1351" s="713"/>
    </row>
    <row r="1352" spans="1:15" ht="15" customHeight="1" x14ac:dyDescent="0.25">
      <c r="N1352" s="713"/>
    </row>
    <row r="1353" spans="1:15" ht="15" customHeight="1" x14ac:dyDescent="0.25">
      <c r="N1353" s="713"/>
    </row>
    <row r="1354" spans="1:15" ht="15" customHeight="1" x14ac:dyDescent="0.25">
      <c r="N1354" s="713"/>
    </row>
    <row r="1355" spans="1:15" ht="15" customHeight="1" x14ac:dyDescent="0.25">
      <c r="N1355" s="713"/>
    </row>
    <row r="1356" spans="1:15" ht="15" customHeight="1" x14ac:dyDescent="0.25">
      <c r="N1356" s="713"/>
    </row>
    <row r="1357" spans="1:15" ht="15" customHeight="1" x14ac:dyDescent="0.25">
      <c r="N1357" s="713"/>
    </row>
    <row r="1358" spans="1:15" ht="15" customHeight="1" x14ac:dyDescent="0.25">
      <c r="N1358" s="713"/>
    </row>
    <row r="1359" spans="1:15" ht="15" customHeight="1" x14ac:dyDescent="0.25">
      <c r="N1359" s="713"/>
    </row>
    <row r="1360" spans="1:15" ht="15" customHeight="1" x14ac:dyDescent="0.25">
      <c r="N1360" s="713"/>
    </row>
    <row r="1361" spans="1:15" ht="15" customHeight="1" x14ac:dyDescent="0.25">
      <c r="A1361" s="301"/>
      <c r="B1361" s="301"/>
      <c r="C1361" s="301"/>
      <c r="D1361" s="301"/>
      <c r="E1361" s="301"/>
      <c r="F1361" s="301"/>
      <c r="G1361" s="301"/>
      <c r="H1361" s="301"/>
      <c r="I1361" s="301"/>
      <c r="J1361" s="336"/>
      <c r="K1361" s="336"/>
      <c r="L1361" s="337"/>
      <c r="M1361" s="475"/>
      <c r="N1361" s="713"/>
      <c r="O1361" s="301"/>
    </row>
    <row r="1362" spans="1:15" ht="15" customHeight="1" x14ac:dyDescent="0.25">
      <c r="A1362" s="301"/>
      <c r="B1362" s="301"/>
      <c r="C1362" s="301"/>
      <c r="D1362" s="301"/>
      <c r="E1362" s="301"/>
      <c r="F1362" s="301"/>
      <c r="G1362" s="301"/>
      <c r="H1362" s="301"/>
      <c r="I1362" s="301"/>
      <c r="J1362" s="336"/>
      <c r="K1362" s="336"/>
      <c r="L1362" s="337"/>
      <c r="M1362" s="475"/>
      <c r="N1362" s="713"/>
      <c r="O1362" s="301"/>
    </row>
    <row r="1363" spans="1:15" ht="15" customHeight="1" x14ac:dyDescent="0.25">
      <c r="A1363" s="301"/>
      <c r="B1363" s="301"/>
      <c r="C1363" s="301"/>
      <c r="D1363" s="301"/>
      <c r="E1363" s="301"/>
      <c r="F1363" s="301"/>
      <c r="G1363" s="301"/>
      <c r="H1363" s="301"/>
      <c r="I1363" s="301"/>
      <c r="J1363" s="336"/>
      <c r="K1363" s="336"/>
      <c r="L1363" s="337"/>
      <c r="M1363" s="475"/>
      <c r="N1363" s="713"/>
      <c r="O1363" s="301"/>
    </row>
    <row r="1364" spans="1:15" ht="15" customHeight="1" x14ac:dyDescent="0.25">
      <c r="A1364" s="301"/>
      <c r="B1364" s="301"/>
      <c r="C1364" s="301"/>
      <c r="D1364" s="301"/>
      <c r="E1364" s="301"/>
      <c r="F1364" s="301"/>
      <c r="G1364" s="301"/>
      <c r="H1364" s="301"/>
      <c r="I1364" s="301"/>
      <c r="J1364" s="336"/>
      <c r="K1364" s="336"/>
      <c r="L1364" s="337"/>
      <c r="M1364" s="475"/>
      <c r="N1364" s="713"/>
      <c r="O1364" s="301"/>
    </row>
    <row r="1365" spans="1:15" ht="15" customHeight="1" x14ac:dyDescent="0.25">
      <c r="A1365" s="301"/>
      <c r="B1365" s="301"/>
      <c r="C1365" s="301"/>
      <c r="D1365" s="301"/>
      <c r="E1365" s="301"/>
      <c r="F1365" s="301"/>
      <c r="G1365" s="301"/>
      <c r="H1365" s="301"/>
      <c r="I1365" s="301"/>
      <c r="J1365" s="336"/>
      <c r="K1365" s="336"/>
      <c r="L1365" s="337"/>
      <c r="M1365" s="475"/>
      <c r="N1365" s="713"/>
      <c r="O1365" s="301"/>
    </row>
    <row r="1366" spans="1:15" ht="15" customHeight="1" x14ac:dyDescent="0.25">
      <c r="A1366" s="301"/>
      <c r="B1366" s="301"/>
      <c r="C1366" s="301"/>
      <c r="D1366" s="301"/>
      <c r="E1366" s="301"/>
      <c r="F1366" s="301"/>
      <c r="G1366" s="301"/>
      <c r="H1366" s="301"/>
      <c r="I1366" s="301"/>
      <c r="J1366" s="336"/>
      <c r="K1366" s="336"/>
      <c r="L1366" s="337"/>
      <c r="M1366" s="475"/>
      <c r="N1366" s="713"/>
      <c r="O1366" s="301"/>
    </row>
    <row r="1367" spans="1:15" ht="15" customHeight="1" x14ac:dyDescent="0.25">
      <c r="A1367" s="301"/>
      <c r="B1367" s="301"/>
      <c r="C1367" s="301"/>
      <c r="D1367" s="301"/>
      <c r="E1367" s="301"/>
      <c r="F1367" s="301"/>
      <c r="G1367" s="301"/>
      <c r="H1367" s="301"/>
      <c r="I1367" s="301"/>
      <c r="J1367" s="336"/>
      <c r="K1367" s="336"/>
      <c r="L1367" s="337"/>
      <c r="M1367" s="475"/>
      <c r="N1367" s="713"/>
      <c r="O1367" s="301"/>
    </row>
    <row r="1368" spans="1:15" ht="15" customHeight="1" x14ac:dyDescent="0.25">
      <c r="A1368" s="301"/>
      <c r="B1368" s="301"/>
      <c r="C1368" s="301"/>
      <c r="D1368" s="301"/>
      <c r="E1368" s="301"/>
      <c r="F1368" s="301"/>
      <c r="G1368" s="301"/>
      <c r="H1368" s="301"/>
      <c r="I1368" s="301"/>
      <c r="J1368" s="336"/>
      <c r="K1368" s="336"/>
      <c r="L1368" s="337"/>
      <c r="M1368" s="475"/>
      <c r="N1368" s="713"/>
      <c r="O1368" s="301"/>
    </row>
    <row r="1369" spans="1:15" ht="15" customHeight="1" x14ac:dyDescent="0.25">
      <c r="A1369" s="301"/>
      <c r="B1369" s="301"/>
      <c r="C1369" s="301"/>
      <c r="D1369" s="301"/>
      <c r="E1369" s="301"/>
      <c r="F1369" s="301"/>
      <c r="G1369" s="301"/>
      <c r="H1369" s="301"/>
      <c r="I1369" s="301"/>
      <c r="J1369" s="336"/>
      <c r="K1369" s="336"/>
      <c r="L1369" s="337"/>
      <c r="M1369" s="475"/>
      <c r="N1369" s="713"/>
      <c r="O1369" s="301"/>
    </row>
    <row r="1370" spans="1:15" ht="15" customHeight="1" x14ac:dyDescent="0.25">
      <c r="A1370" s="301"/>
      <c r="B1370" s="301"/>
      <c r="C1370" s="301"/>
      <c r="D1370" s="301"/>
      <c r="E1370" s="301"/>
      <c r="F1370" s="301"/>
      <c r="G1370" s="301"/>
      <c r="H1370" s="301"/>
      <c r="I1370" s="301"/>
      <c r="J1370" s="336"/>
      <c r="K1370" s="336"/>
      <c r="L1370" s="337"/>
      <c r="M1370" s="475"/>
      <c r="N1370" s="713"/>
      <c r="O1370" s="301"/>
    </row>
    <row r="1371" spans="1:15" ht="15" customHeight="1" x14ac:dyDescent="0.25">
      <c r="A1371" s="301"/>
      <c r="B1371" s="301"/>
      <c r="C1371" s="301"/>
      <c r="D1371" s="301"/>
      <c r="E1371" s="301"/>
      <c r="F1371" s="301"/>
      <c r="G1371" s="301"/>
      <c r="H1371" s="301"/>
      <c r="I1371" s="301"/>
      <c r="J1371" s="336"/>
      <c r="K1371" s="336"/>
      <c r="L1371" s="337"/>
      <c r="M1371" s="475"/>
      <c r="N1371" s="713"/>
      <c r="O1371" s="301"/>
    </row>
    <row r="1372" spans="1:15" ht="15" customHeight="1" x14ac:dyDescent="0.25">
      <c r="A1372" s="301"/>
      <c r="B1372" s="301"/>
      <c r="C1372" s="301"/>
      <c r="D1372" s="301"/>
      <c r="E1372" s="301"/>
      <c r="F1372" s="301"/>
      <c r="G1372" s="301"/>
      <c r="H1372" s="301"/>
      <c r="I1372" s="301"/>
      <c r="J1372" s="336"/>
      <c r="K1372" s="336"/>
      <c r="L1372" s="337"/>
      <c r="M1372" s="475"/>
      <c r="N1372" s="713"/>
      <c r="O1372" s="301"/>
    </row>
    <row r="1373" spans="1:15" ht="15" customHeight="1" x14ac:dyDescent="0.25">
      <c r="A1373" s="301"/>
      <c r="B1373" s="301"/>
      <c r="C1373" s="301"/>
      <c r="D1373" s="301"/>
      <c r="E1373" s="301"/>
      <c r="F1373" s="301"/>
      <c r="G1373" s="301"/>
      <c r="H1373" s="301"/>
      <c r="I1373" s="301"/>
      <c r="J1373" s="336"/>
      <c r="K1373" s="336"/>
      <c r="L1373" s="337"/>
      <c r="M1373" s="475"/>
      <c r="N1373" s="713"/>
      <c r="O1373" s="301"/>
    </row>
    <row r="1374" spans="1:15" ht="15" customHeight="1" x14ac:dyDescent="0.25">
      <c r="A1374" s="301"/>
      <c r="B1374" s="301"/>
      <c r="C1374" s="301"/>
      <c r="D1374" s="301"/>
      <c r="E1374" s="301"/>
      <c r="F1374" s="301"/>
      <c r="G1374" s="301"/>
      <c r="H1374" s="301"/>
      <c r="I1374" s="301"/>
      <c r="J1374" s="336"/>
      <c r="K1374" s="336"/>
      <c r="L1374" s="337"/>
      <c r="M1374" s="475"/>
      <c r="N1374" s="713"/>
      <c r="O1374" s="301"/>
    </row>
    <row r="1375" spans="1:15" ht="15" customHeight="1" x14ac:dyDescent="0.25">
      <c r="A1375" s="301"/>
      <c r="B1375" s="301"/>
      <c r="C1375" s="301"/>
      <c r="D1375" s="301"/>
      <c r="E1375" s="301"/>
      <c r="F1375" s="301"/>
      <c r="G1375" s="301"/>
      <c r="H1375" s="301"/>
      <c r="I1375" s="301"/>
      <c r="J1375" s="336"/>
      <c r="K1375" s="336"/>
      <c r="L1375" s="337"/>
      <c r="M1375" s="475"/>
      <c r="N1375" s="713"/>
      <c r="O1375" s="301"/>
    </row>
    <row r="1376" spans="1:15" ht="15" customHeight="1" x14ac:dyDescent="0.25">
      <c r="A1376" s="301"/>
      <c r="B1376" s="301"/>
      <c r="C1376" s="301"/>
      <c r="D1376" s="301"/>
      <c r="E1376" s="301"/>
      <c r="F1376" s="301"/>
      <c r="G1376" s="301"/>
      <c r="H1376" s="301"/>
      <c r="I1376" s="301"/>
      <c r="J1376" s="336"/>
      <c r="K1376" s="336"/>
      <c r="L1376" s="337"/>
      <c r="M1376" s="475"/>
      <c r="N1376" s="713"/>
      <c r="O1376" s="301"/>
    </row>
    <row r="1377" spans="1:15" ht="15" customHeight="1" x14ac:dyDescent="0.25">
      <c r="A1377" s="301"/>
      <c r="B1377" s="301"/>
      <c r="C1377" s="301"/>
      <c r="D1377" s="301"/>
      <c r="E1377" s="301"/>
      <c r="F1377" s="301"/>
      <c r="G1377" s="301"/>
      <c r="H1377" s="301"/>
      <c r="I1377" s="301"/>
      <c r="J1377" s="336"/>
      <c r="K1377" s="336"/>
      <c r="L1377" s="337"/>
      <c r="M1377" s="475"/>
      <c r="N1377" s="713"/>
      <c r="O1377" s="301"/>
    </row>
    <row r="1378" spans="1:15" ht="15" customHeight="1" x14ac:dyDescent="0.25">
      <c r="A1378" s="301"/>
      <c r="B1378" s="301"/>
      <c r="C1378" s="301"/>
      <c r="D1378" s="301"/>
      <c r="E1378" s="301"/>
      <c r="F1378" s="301"/>
      <c r="G1378" s="301"/>
      <c r="H1378" s="301"/>
      <c r="I1378" s="301"/>
      <c r="J1378" s="336"/>
      <c r="K1378" s="336"/>
      <c r="L1378" s="337"/>
      <c r="M1378" s="475"/>
      <c r="N1378" s="713"/>
      <c r="O1378" s="301"/>
    </row>
    <row r="1379" spans="1:15" ht="15" customHeight="1" x14ac:dyDescent="0.25">
      <c r="A1379" s="301"/>
      <c r="B1379" s="301"/>
      <c r="C1379" s="301"/>
      <c r="D1379" s="301"/>
      <c r="E1379" s="301"/>
      <c r="F1379" s="301"/>
      <c r="G1379" s="301"/>
      <c r="H1379" s="301"/>
      <c r="I1379" s="301"/>
      <c r="J1379" s="336"/>
      <c r="K1379" s="336"/>
      <c r="L1379" s="337"/>
      <c r="M1379" s="475"/>
      <c r="N1379" s="713"/>
      <c r="O1379" s="301"/>
    </row>
    <row r="1380" spans="1:15" ht="15" customHeight="1" x14ac:dyDescent="0.25">
      <c r="A1380" s="301"/>
      <c r="B1380" s="301"/>
      <c r="C1380" s="301"/>
      <c r="D1380" s="301"/>
      <c r="E1380" s="301"/>
      <c r="F1380" s="301"/>
      <c r="G1380" s="301"/>
      <c r="H1380" s="301"/>
      <c r="I1380" s="301"/>
      <c r="J1380" s="336"/>
      <c r="K1380" s="336"/>
      <c r="L1380" s="337"/>
      <c r="M1380" s="475"/>
      <c r="N1380" s="713"/>
      <c r="O1380" s="301"/>
    </row>
    <row r="1381" spans="1:15" ht="15" customHeight="1" x14ac:dyDescent="0.25">
      <c r="A1381" s="301"/>
      <c r="B1381" s="301"/>
      <c r="C1381" s="301"/>
      <c r="D1381" s="301"/>
      <c r="E1381" s="301"/>
      <c r="F1381" s="301"/>
      <c r="G1381" s="301"/>
      <c r="H1381" s="301"/>
      <c r="I1381" s="301"/>
      <c r="J1381" s="336"/>
      <c r="K1381" s="336"/>
      <c r="L1381" s="337"/>
      <c r="M1381" s="475"/>
      <c r="N1381" s="713"/>
      <c r="O1381" s="301"/>
    </row>
    <row r="1382" spans="1:15" ht="15" customHeight="1" x14ac:dyDescent="0.25">
      <c r="A1382" s="301"/>
      <c r="B1382" s="301"/>
      <c r="C1382" s="301"/>
      <c r="D1382" s="301"/>
      <c r="E1382" s="301"/>
      <c r="F1382" s="301"/>
      <c r="G1382" s="301"/>
      <c r="H1382" s="301"/>
      <c r="I1382" s="301"/>
      <c r="J1382" s="336"/>
      <c r="K1382" s="336"/>
      <c r="L1382" s="337"/>
      <c r="M1382" s="475"/>
      <c r="N1382" s="713"/>
      <c r="O1382" s="301"/>
    </row>
    <row r="1383" spans="1:15" ht="15" customHeight="1" x14ac:dyDescent="0.25">
      <c r="A1383" s="301"/>
      <c r="B1383" s="301"/>
      <c r="C1383" s="301"/>
      <c r="D1383" s="301"/>
      <c r="E1383" s="301"/>
      <c r="F1383" s="301"/>
      <c r="G1383" s="301"/>
      <c r="H1383" s="301"/>
      <c r="I1383" s="301"/>
      <c r="J1383" s="336"/>
      <c r="K1383" s="336"/>
      <c r="L1383" s="337"/>
      <c r="M1383" s="475"/>
      <c r="N1383" s="713"/>
      <c r="O1383" s="301"/>
    </row>
    <row r="1384" spans="1:15" ht="15" customHeight="1" x14ac:dyDescent="0.25">
      <c r="A1384" s="301"/>
      <c r="B1384" s="301"/>
      <c r="C1384" s="301"/>
      <c r="D1384" s="301"/>
      <c r="E1384" s="301"/>
      <c r="F1384" s="301"/>
      <c r="G1384" s="301"/>
      <c r="H1384" s="301"/>
      <c r="I1384" s="301"/>
      <c r="J1384" s="336"/>
      <c r="K1384" s="336"/>
      <c r="L1384" s="337"/>
      <c r="M1384" s="475"/>
      <c r="N1384" s="713"/>
      <c r="O1384" s="301"/>
    </row>
    <row r="1385" spans="1:15" ht="15" customHeight="1" x14ac:dyDescent="0.25">
      <c r="A1385" s="301"/>
      <c r="B1385" s="301"/>
      <c r="C1385" s="301"/>
      <c r="D1385" s="301"/>
      <c r="E1385" s="301"/>
      <c r="F1385" s="301"/>
      <c r="G1385" s="301"/>
      <c r="H1385" s="301"/>
      <c r="I1385" s="301"/>
      <c r="J1385" s="336"/>
      <c r="K1385" s="336"/>
      <c r="L1385" s="337"/>
      <c r="M1385" s="475"/>
      <c r="N1385" s="713"/>
      <c r="O1385" s="301"/>
    </row>
    <row r="1386" spans="1:15" ht="15" customHeight="1" x14ac:dyDescent="0.25">
      <c r="A1386" s="301"/>
      <c r="B1386" s="301"/>
      <c r="C1386" s="301"/>
      <c r="D1386" s="301"/>
      <c r="E1386" s="301"/>
      <c r="F1386" s="301"/>
      <c r="G1386" s="301"/>
      <c r="H1386" s="301"/>
      <c r="I1386" s="301"/>
      <c r="J1386" s="336"/>
      <c r="K1386" s="336"/>
      <c r="L1386" s="337"/>
      <c r="M1386" s="475"/>
      <c r="N1386" s="713"/>
      <c r="O1386" s="301"/>
    </row>
    <row r="1387" spans="1:15" ht="15" customHeight="1" x14ac:dyDescent="0.25">
      <c r="A1387" s="301"/>
      <c r="B1387" s="301"/>
      <c r="C1387" s="301"/>
      <c r="D1387" s="301"/>
      <c r="E1387" s="301"/>
      <c r="F1387" s="301"/>
      <c r="G1387" s="301"/>
      <c r="H1387" s="301"/>
      <c r="I1387" s="301"/>
      <c r="J1387" s="336"/>
      <c r="K1387" s="336"/>
      <c r="L1387" s="337"/>
      <c r="M1387" s="475"/>
      <c r="N1387" s="713"/>
      <c r="O1387" s="301"/>
    </row>
    <row r="1388" spans="1:15" ht="15" customHeight="1" x14ac:dyDescent="0.25">
      <c r="A1388" s="301"/>
      <c r="B1388" s="301"/>
      <c r="C1388" s="301"/>
      <c r="D1388" s="301"/>
      <c r="E1388" s="301"/>
      <c r="F1388" s="301"/>
      <c r="G1388" s="301"/>
      <c r="H1388" s="301"/>
      <c r="I1388" s="301"/>
      <c r="J1388" s="336"/>
      <c r="K1388" s="336"/>
      <c r="L1388" s="337"/>
      <c r="M1388" s="475"/>
      <c r="N1388" s="713"/>
      <c r="O1388" s="301"/>
    </row>
    <row r="1389" spans="1:15" ht="15" customHeight="1" x14ac:dyDescent="0.25">
      <c r="A1389" s="301"/>
      <c r="B1389" s="301"/>
      <c r="C1389" s="301"/>
      <c r="D1389" s="301"/>
      <c r="E1389" s="301"/>
      <c r="F1389" s="301"/>
      <c r="G1389" s="301"/>
      <c r="H1389" s="301"/>
      <c r="I1389" s="301"/>
      <c r="J1389" s="336"/>
      <c r="K1389" s="336"/>
      <c r="L1389" s="337"/>
      <c r="M1389" s="475"/>
      <c r="N1389" s="713"/>
      <c r="O1389" s="301"/>
    </row>
    <row r="1390" spans="1:15" ht="15" customHeight="1" x14ac:dyDescent="0.25">
      <c r="A1390" s="301"/>
      <c r="B1390" s="301"/>
      <c r="C1390" s="301"/>
      <c r="D1390" s="301"/>
      <c r="E1390" s="301"/>
      <c r="F1390" s="301"/>
      <c r="G1390" s="301"/>
      <c r="H1390" s="301"/>
      <c r="I1390" s="301"/>
      <c r="J1390" s="336"/>
      <c r="K1390" s="336"/>
      <c r="L1390" s="337"/>
      <c r="M1390" s="475"/>
      <c r="N1390" s="713"/>
      <c r="O1390" s="301"/>
    </row>
    <row r="1391" spans="1:15" ht="15" customHeight="1" x14ac:dyDescent="0.25">
      <c r="A1391" s="301"/>
      <c r="B1391" s="301"/>
      <c r="C1391" s="301"/>
      <c r="D1391" s="301"/>
      <c r="E1391" s="301"/>
      <c r="F1391" s="301"/>
      <c r="G1391" s="301"/>
      <c r="H1391" s="301"/>
      <c r="I1391" s="301"/>
      <c r="J1391" s="336"/>
      <c r="K1391" s="336"/>
      <c r="L1391" s="337"/>
      <c r="M1391" s="475"/>
      <c r="N1391" s="713"/>
      <c r="O1391" s="301"/>
    </row>
    <row r="1392" spans="1:15" ht="15" customHeight="1" x14ac:dyDescent="0.25">
      <c r="A1392" s="301"/>
      <c r="B1392" s="301"/>
      <c r="C1392" s="301"/>
      <c r="D1392" s="301"/>
      <c r="E1392" s="301"/>
      <c r="F1392" s="301"/>
      <c r="G1392" s="301"/>
      <c r="H1392" s="301"/>
      <c r="I1392" s="301"/>
      <c r="J1392" s="336"/>
      <c r="K1392" s="336"/>
      <c r="L1392" s="337"/>
      <c r="M1392" s="475"/>
      <c r="N1392" s="713"/>
      <c r="O1392" s="301"/>
    </row>
    <row r="1393" spans="1:15" ht="15" customHeight="1" x14ac:dyDescent="0.25">
      <c r="A1393" s="301"/>
      <c r="B1393" s="301"/>
      <c r="C1393" s="301"/>
      <c r="D1393" s="301"/>
      <c r="E1393" s="301"/>
      <c r="F1393" s="301"/>
      <c r="G1393" s="301"/>
      <c r="H1393" s="301"/>
      <c r="I1393" s="301"/>
      <c r="J1393" s="336"/>
      <c r="K1393" s="336"/>
      <c r="L1393" s="337"/>
      <c r="M1393" s="475"/>
      <c r="N1393" s="713"/>
      <c r="O1393" s="301"/>
    </row>
    <row r="1394" spans="1:15" ht="15" customHeight="1" x14ac:dyDescent="0.25">
      <c r="A1394" s="301"/>
      <c r="B1394" s="301"/>
      <c r="C1394" s="301"/>
      <c r="D1394" s="301"/>
      <c r="E1394" s="301"/>
      <c r="F1394" s="301"/>
      <c r="G1394" s="301"/>
      <c r="H1394" s="301"/>
      <c r="I1394" s="301"/>
      <c r="J1394" s="336"/>
      <c r="K1394" s="336"/>
      <c r="L1394" s="337"/>
      <c r="M1394" s="475"/>
      <c r="N1394" s="713"/>
      <c r="O1394" s="301"/>
    </row>
    <row r="1395" spans="1:15" ht="15" customHeight="1" x14ac:dyDescent="0.25">
      <c r="A1395" s="301"/>
      <c r="B1395" s="301"/>
      <c r="C1395" s="301"/>
      <c r="D1395" s="301"/>
      <c r="E1395" s="301"/>
      <c r="F1395" s="301"/>
      <c r="G1395" s="301"/>
      <c r="H1395" s="301"/>
      <c r="I1395" s="301"/>
      <c r="J1395" s="336"/>
      <c r="K1395" s="336"/>
      <c r="L1395" s="337"/>
      <c r="M1395" s="475"/>
      <c r="N1395" s="713"/>
      <c r="O1395" s="301"/>
    </row>
    <row r="1396" spans="1:15" ht="15" customHeight="1" x14ac:dyDescent="0.25">
      <c r="A1396" s="301"/>
      <c r="B1396" s="301"/>
      <c r="C1396" s="301"/>
      <c r="D1396" s="301"/>
      <c r="E1396" s="301"/>
      <c r="F1396" s="301"/>
      <c r="G1396" s="301"/>
      <c r="H1396" s="301"/>
      <c r="I1396" s="301"/>
      <c r="J1396" s="336"/>
      <c r="K1396" s="336"/>
      <c r="L1396" s="337"/>
      <c r="M1396" s="475"/>
      <c r="N1396" s="713"/>
      <c r="O1396" s="301"/>
    </row>
    <row r="1397" spans="1:15" ht="15" customHeight="1" x14ac:dyDescent="0.25">
      <c r="A1397" s="301"/>
      <c r="B1397" s="301"/>
      <c r="C1397" s="301"/>
      <c r="D1397" s="301"/>
      <c r="E1397" s="301"/>
      <c r="F1397" s="301"/>
      <c r="G1397" s="301"/>
      <c r="H1397" s="301"/>
      <c r="I1397" s="301"/>
      <c r="J1397" s="336"/>
      <c r="K1397" s="336"/>
      <c r="L1397" s="337"/>
      <c r="M1397" s="475"/>
      <c r="N1397" s="713"/>
      <c r="O1397" s="301"/>
    </row>
    <row r="1398" spans="1:15" ht="15" customHeight="1" x14ac:dyDescent="0.25">
      <c r="A1398" s="301"/>
      <c r="B1398" s="301"/>
      <c r="C1398" s="301"/>
      <c r="D1398" s="301"/>
      <c r="E1398" s="301"/>
      <c r="F1398" s="301"/>
      <c r="G1398" s="301"/>
      <c r="H1398" s="301"/>
      <c r="I1398" s="301"/>
      <c r="J1398" s="336"/>
      <c r="K1398" s="336"/>
      <c r="L1398" s="337"/>
      <c r="M1398" s="475"/>
      <c r="N1398" s="713"/>
      <c r="O1398" s="301"/>
    </row>
    <row r="1399" spans="1:15" ht="15" customHeight="1" x14ac:dyDescent="0.25">
      <c r="A1399" s="301"/>
      <c r="B1399" s="301"/>
      <c r="C1399" s="301"/>
      <c r="D1399" s="301"/>
      <c r="E1399" s="301"/>
      <c r="F1399" s="301"/>
      <c r="G1399" s="301"/>
      <c r="H1399" s="301"/>
      <c r="I1399" s="301"/>
      <c r="J1399" s="336"/>
      <c r="K1399" s="336"/>
      <c r="L1399" s="337"/>
      <c r="M1399" s="475"/>
      <c r="N1399" s="713"/>
      <c r="O1399" s="301"/>
    </row>
    <row r="1400" spans="1:15" ht="15" customHeight="1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36"/>
      <c r="K1400" s="336"/>
      <c r="L1400" s="337"/>
      <c r="M1400" s="475"/>
      <c r="N1400" s="713"/>
      <c r="O1400" s="301"/>
    </row>
    <row r="1401" spans="1:15" ht="15" customHeight="1" x14ac:dyDescent="0.25">
      <c r="A1401" s="301"/>
      <c r="B1401" s="301"/>
      <c r="C1401" s="301"/>
      <c r="D1401" s="301"/>
      <c r="E1401" s="301"/>
      <c r="F1401" s="301"/>
      <c r="G1401" s="301"/>
      <c r="H1401" s="301"/>
      <c r="I1401" s="301"/>
      <c r="J1401" s="336"/>
      <c r="K1401" s="336"/>
      <c r="L1401" s="337"/>
      <c r="M1401" s="475"/>
      <c r="N1401" s="713"/>
      <c r="O1401" s="301"/>
    </row>
    <row r="1402" spans="1:15" ht="15" customHeight="1" x14ac:dyDescent="0.25">
      <c r="A1402" s="301"/>
      <c r="B1402" s="301"/>
      <c r="C1402" s="301"/>
      <c r="D1402" s="301"/>
      <c r="E1402" s="301"/>
      <c r="F1402" s="301"/>
      <c r="G1402" s="301"/>
      <c r="H1402" s="301"/>
      <c r="I1402" s="301"/>
      <c r="J1402" s="336"/>
      <c r="K1402" s="336"/>
      <c r="L1402" s="337"/>
      <c r="M1402" s="475"/>
      <c r="N1402" s="713"/>
      <c r="O1402" s="301"/>
    </row>
    <row r="1403" spans="1:15" ht="15" customHeight="1" x14ac:dyDescent="0.25">
      <c r="A1403" s="301"/>
      <c r="B1403" s="301"/>
      <c r="C1403" s="301"/>
      <c r="D1403" s="301"/>
      <c r="E1403" s="301"/>
      <c r="F1403" s="301"/>
      <c r="G1403" s="301"/>
      <c r="H1403" s="301"/>
      <c r="I1403" s="301"/>
      <c r="J1403" s="336"/>
      <c r="K1403" s="336"/>
      <c r="L1403" s="337"/>
      <c r="M1403" s="475"/>
      <c r="N1403" s="713"/>
      <c r="O1403" s="301"/>
    </row>
    <row r="1404" spans="1:15" ht="15" customHeight="1" x14ac:dyDescent="0.25">
      <c r="A1404" s="301"/>
      <c r="B1404" s="301"/>
      <c r="C1404" s="301"/>
      <c r="D1404" s="301"/>
      <c r="E1404" s="301"/>
      <c r="F1404" s="301"/>
      <c r="G1404" s="301"/>
      <c r="H1404" s="301"/>
      <c r="I1404" s="301"/>
      <c r="J1404" s="336"/>
      <c r="K1404" s="336"/>
      <c r="L1404" s="337"/>
      <c r="M1404" s="475"/>
      <c r="N1404" s="713"/>
      <c r="O1404" s="301"/>
    </row>
    <row r="1405" spans="1:15" ht="15" customHeight="1" x14ac:dyDescent="0.25">
      <c r="A1405" s="301"/>
      <c r="B1405" s="301"/>
      <c r="C1405" s="301"/>
      <c r="D1405" s="301"/>
      <c r="E1405" s="301"/>
      <c r="F1405" s="301"/>
      <c r="G1405" s="301"/>
      <c r="H1405" s="301"/>
      <c r="I1405" s="301"/>
      <c r="J1405" s="336"/>
      <c r="K1405" s="336"/>
      <c r="L1405" s="337"/>
      <c r="M1405" s="475"/>
      <c r="N1405" s="713"/>
      <c r="O1405" s="301"/>
    </row>
    <row r="1406" spans="1:15" ht="15" customHeight="1" x14ac:dyDescent="0.25">
      <c r="A1406" s="301"/>
      <c r="B1406" s="301"/>
      <c r="C1406" s="301"/>
      <c r="D1406" s="301"/>
      <c r="E1406" s="301"/>
      <c r="F1406" s="301"/>
      <c r="G1406" s="301"/>
      <c r="H1406" s="301"/>
      <c r="I1406" s="301"/>
      <c r="J1406" s="336"/>
      <c r="K1406" s="336"/>
      <c r="L1406" s="337"/>
      <c r="M1406" s="475"/>
      <c r="N1406" s="713"/>
      <c r="O1406" s="301"/>
    </row>
    <row r="1407" spans="1:15" ht="15" customHeight="1" x14ac:dyDescent="0.25">
      <c r="A1407" s="301"/>
      <c r="B1407" s="301"/>
      <c r="C1407" s="301"/>
      <c r="D1407" s="301"/>
      <c r="E1407" s="301"/>
      <c r="F1407" s="301"/>
      <c r="G1407" s="301"/>
      <c r="H1407" s="301"/>
      <c r="I1407" s="301"/>
      <c r="J1407" s="336"/>
      <c r="K1407" s="336"/>
      <c r="L1407" s="337"/>
      <c r="M1407" s="475"/>
      <c r="N1407" s="713"/>
      <c r="O1407" s="301"/>
    </row>
    <row r="1408" spans="1:15" ht="15" customHeight="1" x14ac:dyDescent="0.25">
      <c r="A1408" s="301"/>
      <c r="B1408" s="301"/>
      <c r="C1408" s="301"/>
      <c r="D1408" s="301"/>
      <c r="E1408" s="301"/>
      <c r="F1408" s="301"/>
      <c r="G1408" s="301"/>
      <c r="H1408" s="301"/>
      <c r="I1408" s="301"/>
      <c r="J1408" s="336"/>
      <c r="K1408" s="336"/>
      <c r="L1408" s="337"/>
      <c r="M1408" s="475"/>
      <c r="N1408" s="713"/>
      <c r="O1408" s="301"/>
    </row>
    <row r="1409" spans="1:15" ht="15" customHeight="1" x14ac:dyDescent="0.25">
      <c r="A1409" s="301"/>
      <c r="B1409" s="301"/>
      <c r="C1409" s="301"/>
      <c r="D1409" s="301"/>
      <c r="E1409" s="301"/>
      <c r="F1409" s="301"/>
      <c r="G1409" s="301"/>
      <c r="H1409" s="301"/>
      <c r="I1409" s="301"/>
      <c r="J1409" s="336"/>
      <c r="K1409" s="336"/>
      <c r="L1409" s="337"/>
      <c r="M1409" s="475"/>
      <c r="N1409" s="713"/>
      <c r="O1409" s="301"/>
    </row>
    <row r="1410" spans="1:15" ht="15" customHeight="1" x14ac:dyDescent="0.25">
      <c r="A1410" s="301"/>
      <c r="B1410" s="301"/>
      <c r="C1410" s="301"/>
      <c r="D1410" s="301"/>
      <c r="E1410" s="301"/>
      <c r="F1410" s="301"/>
      <c r="G1410" s="301"/>
      <c r="H1410" s="301"/>
      <c r="I1410" s="301"/>
      <c r="J1410" s="336"/>
      <c r="K1410" s="336"/>
      <c r="L1410" s="337"/>
      <c r="M1410" s="475"/>
      <c r="N1410" s="713"/>
      <c r="O1410" s="301"/>
    </row>
    <row r="1411" spans="1:15" ht="15" customHeight="1" x14ac:dyDescent="0.25">
      <c r="A1411" s="301"/>
      <c r="B1411" s="301"/>
      <c r="C1411" s="301"/>
      <c r="D1411" s="301"/>
      <c r="E1411" s="301"/>
      <c r="F1411" s="301"/>
      <c r="G1411" s="301"/>
      <c r="H1411" s="301"/>
      <c r="I1411" s="301"/>
      <c r="J1411" s="336"/>
      <c r="K1411" s="336"/>
      <c r="L1411" s="337"/>
      <c r="M1411" s="475"/>
      <c r="N1411" s="713"/>
      <c r="O1411" s="301"/>
    </row>
    <row r="1412" spans="1:15" ht="15" customHeight="1" x14ac:dyDescent="0.25">
      <c r="A1412" s="301"/>
      <c r="B1412" s="301"/>
      <c r="C1412" s="301"/>
      <c r="D1412" s="301"/>
      <c r="E1412" s="301"/>
      <c r="F1412" s="301"/>
      <c r="G1412" s="301"/>
      <c r="H1412" s="301"/>
      <c r="I1412" s="301"/>
      <c r="J1412" s="336"/>
      <c r="K1412" s="336"/>
      <c r="L1412" s="337"/>
      <c r="M1412" s="475"/>
      <c r="N1412" s="713"/>
      <c r="O1412" s="301"/>
    </row>
    <row r="1413" spans="1:15" ht="15" customHeight="1" x14ac:dyDescent="0.25">
      <c r="A1413" s="301"/>
      <c r="B1413" s="301"/>
      <c r="C1413" s="301"/>
      <c r="D1413" s="301"/>
      <c r="E1413" s="301"/>
      <c r="F1413" s="301"/>
      <c r="G1413" s="301"/>
      <c r="H1413" s="301"/>
      <c r="I1413" s="301"/>
      <c r="J1413" s="336"/>
      <c r="K1413" s="336"/>
      <c r="L1413" s="337"/>
      <c r="M1413" s="475"/>
      <c r="N1413" s="713"/>
      <c r="O1413" s="301"/>
    </row>
    <row r="1414" spans="1:15" ht="15" customHeight="1" x14ac:dyDescent="0.25">
      <c r="A1414" s="301"/>
      <c r="B1414" s="301"/>
      <c r="C1414" s="301"/>
      <c r="D1414" s="301"/>
      <c r="E1414" s="301"/>
      <c r="F1414" s="301"/>
      <c r="G1414" s="301"/>
      <c r="H1414" s="301"/>
      <c r="I1414" s="301"/>
      <c r="J1414" s="336"/>
      <c r="K1414" s="336"/>
      <c r="L1414" s="337"/>
      <c r="M1414" s="475"/>
      <c r="N1414" s="713"/>
      <c r="O1414" s="301"/>
    </row>
    <row r="1415" spans="1:15" ht="15" customHeight="1" x14ac:dyDescent="0.25">
      <c r="A1415" s="301"/>
      <c r="B1415" s="301"/>
      <c r="C1415" s="301"/>
      <c r="D1415" s="301"/>
      <c r="E1415" s="301"/>
      <c r="F1415" s="301"/>
      <c r="G1415" s="301"/>
      <c r="H1415" s="301"/>
      <c r="I1415" s="301"/>
      <c r="J1415" s="336"/>
      <c r="K1415" s="336"/>
      <c r="L1415" s="337"/>
      <c r="M1415" s="475"/>
      <c r="N1415" s="713"/>
      <c r="O1415" s="301"/>
    </row>
    <row r="1416" spans="1:15" ht="15" customHeight="1" x14ac:dyDescent="0.25">
      <c r="A1416" s="301"/>
      <c r="B1416" s="301"/>
      <c r="C1416" s="301"/>
      <c r="D1416" s="301"/>
      <c r="E1416" s="301"/>
      <c r="F1416" s="301"/>
      <c r="G1416" s="301"/>
      <c r="H1416" s="301"/>
      <c r="I1416" s="301"/>
      <c r="J1416" s="336"/>
      <c r="K1416" s="336"/>
      <c r="L1416" s="337"/>
      <c r="M1416" s="475"/>
      <c r="N1416" s="713"/>
      <c r="O1416" s="301"/>
    </row>
    <row r="1417" spans="1:15" ht="15" customHeight="1" x14ac:dyDescent="0.25">
      <c r="A1417" s="301"/>
      <c r="B1417" s="301"/>
      <c r="C1417" s="301"/>
      <c r="D1417" s="301"/>
      <c r="E1417" s="301"/>
      <c r="F1417" s="301"/>
      <c r="G1417" s="301"/>
      <c r="H1417" s="301"/>
      <c r="I1417" s="301"/>
      <c r="J1417" s="336"/>
      <c r="K1417" s="336"/>
      <c r="L1417" s="337"/>
      <c r="M1417" s="475"/>
      <c r="N1417" s="713"/>
      <c r="O1417" s="301"/>
    </row>
    <row r="1418" spans="1:15" ht="15" customHeight="1" x14ac:dyDescent="0.25">
      <c r="A1418" s="301"/>
      <c r="B1418" s="301"/>
      <c r="C1418" s="301"/>
      <c r="D1418" s="301"/>
      <c r="E1418" s="301"/>
      <c r="F1418" s="301"/>
      <c r="G1418" s="301"/>
      <c r="H1418" s="301"/>
      <c r="I1418" s="301"/>
      <c r="J1418" s="336"/>
      <c r="K1418" s="336"/>
      <c r="L1418" s="337"/>
      <c r="M1418" s="475"/>
      <c r="N1418" s="713"/>
      <c r="O1418" s="301"/>
    </row>
    <row r="1419" spans="1:15" ht="15" customHeight="1" x14ac:dyDescent="0.25">
      <c r="A1419" s="301"/>
      <c r="B1419" s="301"/>
      <c r="C1419" s="301"/>
      <c r="D1419" s="301"/>
      <c r="E1419" s="301"/>
      <c r="F1419" s="301"/>
      <c r="G1419" s="301"/>
      <c r="H1419" s="301"/>
      <c r="I1419" s="301"/>
      <c r="J1419" s="336"/>
      <c r="K1419" s="336"/>
      <c r="L1419" s="337"/>
      <c r="M1419" s="475"/>
      <c r="N1419" s="713"/>
      <c r="O1419" s="301"/>
    </row>
    <row r="1420" spans="1:15" ht="15" customHeight="1" x14ac:dyDescent="0.25">
      <c r="A1420" s="301"/>
      <c r="B1420" s="301"/>
      <c r="C1420" s="301"/>
      <c r="D1420" s="301"/>
      <c r="E1420" s="301"/>
      <c r="F1420" s="301"/>
      <c r="G1420" s="301"/>
      <c r="H1420" s="301"/>
      <c r="I1420" s="301"/>
      <c r="J1420" s="336"/>
      <c r="K1420" s="336"/>
      <c r="L1420" s="337"/>
      <c r="M1420" s="475"/>
      <c r="N1420" s="713"/>
      <c r="O1420" s="301"/>
    </row>
    <row r="1421" spans="1:15" ht="15" customHeight="1" x14ac:dyDescent="0.25">
      <c r="A1421" s="301"/>
      <c r="B1421" s="301"/>
      <c r="C1421" s="301"/>
      <c r="D1421" s="301"/>
      <c r="E1421" s="301"/>
      <c r="F1421" s="301"/>
      <c r="G1421" s="301"/>
      <c r="H1421" s="301"/>
      <c r="I1421" s="301"/>
      <c r="J1421" s="336"/>
      <c r="K1421" s="336"/>
      <c r="L1421" s="337"/>
      <c r="M1421" s="475"/>
      <c r="N1421" s="713"/>
      <c r="O1421" s="301"/>
    </row>
    <row r="1422" spans="1:15" ht="15" customHeight="1" x14ac:dyDescent="0.25">
      <c r="A1422" s="301"/>
      <c r="B1422" s="301"/>
      <c r="C1422" s="301"/>
      <c r="D1422" s="301"/>
      <c r="E1422" s="301"/>
      <c r="F1422" s="301"/>
      <c r="G1422" s="301"/>
      <c r="H1422" s="301"/>
      <c r="I1422" s="301"/>
      <c r="J1422" s="336"/>
      <c r="K1422" s="336"/>
      <c r="L1422" s="337"/>
      <c r="M1422" s="475"/>
      <c r="N1422" s="713"/>
      <c r="O1422" s="301"/>
    </row>
    <row r="1423" spans="1:15" ht="15" customHeight="1" x14ac:dyDescent="0.25">
      <c r="A1423" s="301"/>
      <c r="B1423" s="301"/>
      <c r="C1423" s="301"/>
      <c r="D1423" s="301"/>
      <c r="E1423" s="301"/>
      <c r="F1423" s="301"/>
      <c r="G1423" s="301"/>
      <c r="H1423" s="301"/>
      <c r="I1423" s="301"/>
      <c r="J1423" s="336"/>
      <c r="K1423" s="336"/>
      <c r="L1423" s="337"/>
      <c r="M1423" s="475"/>
      <c r="N1423" s="713"/>
      <c r="O1423" s="301"/>
    </row>
    <row r="1424" spans="1:15" ht="15" customHeight="1" x14ac:dyDescent="0.25">
      <c r="A1424" s="301"/>
      <c r="B1424" s="301"/>
      <c r="C1424" s="301"/>
      <c r="D1424" s="301"/>
      <c r="E1424" s="301"/>
      <c r="F1424" s="301"/>
      <c r="G1424" s="301"/>
      <c r="H1424" s="301"/>
      <c r="I1424" s="301"/>
      <c r="J1424" s="336"/>
      <c r="K1424" s="336"/>
      <c r="L1424" s="337"/>
      <c r="M1424" s="475"/>
      <c r="N1424" s="713"/>
      <c r="O1424" s="301"/>
    </row>
    <row r="1425" spans="1:15" ht="15" customHeight="1" x14ac:dyDescent="0.25">
      <c r="A1425" s="301"/>
      <c r="B1425" s="301"/>
      <c r="C1425" s="301"/>
      <c r="D1425" s="301"/>
      <c r="E1425" s="301"/>
      <c r="F1425" s="301"/>
      <c r="G1425" s="301"/>
      <c r="H1425" s="301"/>
      <c r="I1425" s="301"/>
      <c r="J1425" s="336"/>
      <c r="K1425" s="336"/>
      <c r="L1425" s="337"/>
      <c r="M1425" s="475"/>
      <c r="N1425" s="713"/>
      <c r="O1425" s="301"/>
    </row>
    <row r="1426" spans="1:15" ht="15" customHeight="1" x14ac:dyDescent="0.25">
      <c r="A1426" s="301"/>
      <c r="B1426" s="301"/>
      <c r="C1426" s="301"/>
      <c r="D1426" s="301"/>
      <c r="E1426" s="301"/>
      <c r="F1426" s="301"/>
      <c r="G1426" s="301"/>
      <c r="H1426" s="301"/>
      <c r="I1426" s="301"/>
      <c r="J1426" s="336"/>
      <c r="K1426" s="336"/>
      <c r="L1426" s="337"/>
      <c r="M1426" s="475"/>
      <c r="N1426" s="713"/>
      <c r="O1426" s="301"/>
    </row>
    <row r="1427" spans="1:15" ht="15" customHeight="1" x14ac:dyDescent="0.25">
      <c r="A1427" s="301"/>
      <c r="B1427" s="301"/>
      <c r="C1427" s="301"/>
      <c r="D1427" s="301"/>
      <c r="E1427" s="301"/>
      <c r="F1427" s="301"/>
      <c r="G1427" s="301"/>
      <c r="H1427" s="301"/>
      <c r="I1427" s="301"/>
      <c r="J1427" s="336"/>
      <c r="K1427" s="336"/>
      <c r="L1427" s="337"/>
      <c r="M1427" s="475"/>
      <c r="N1427" s="713"/>
      <c r="O1427" s="301"/>
    </row>
    <row r="1428" spans="1:15" ht="15" customHeight="1" x14ac:dyDescent="0.25">
      <c r="A1428" s="301"/>
      <c r="B1428" s="301"/>
      <c r="C1428" s="301"/>
      <c r="D1428" s="301"/>
      <c r="E1428" s="301"/>
      <c r="F1428" s="301"/>
      <c r="G1428" s="301"/>
      <c r="H1428" s="301"/>
      <c r="I1428" s="301"/>
      <c r="J1428" s="336"/>
      <c r="K1428" s="336"/>
      <c r="L1428" s="337"/>
      <c r="M1428" s="475"/>
      <c r="N1428" s="713"/>
      <c r="O1428" s="301"/>
    </row>
    <row r="1429" spans="1:15" ht="15" customHeight="1" x14ac:dyDescent="0.25">
      <c r="A1429" s="301"/>
      <c r="B1429" s="301"/>
      <c r="C1429" s="301"/>
      <c r="D1429" s="301"/>
      <c r="E1429" s="301"/>
      <c r="F1429" s="301"/>
      <c r="G1429" s="301"/>
      <c r="H1429" s="301"/>
      <c r="I1429" s="301"/>
      <c r="J1429" s="336"/>
      <c r="K1429" s="336"/>
      <c r="L1429" s="337"/>
      <c r="M1429" s="475"/>
      <c r="N1429" s="713"/>
      <c r="O1429" s="301"/>
    </row>
    <row r="1430" spans="1:15" ht="15" customHeight="1" x14ac:dyDescent="0.25">
      <c r="A1430" s="301"/>
      <c r="B1430" s="301"/>
      <c r="C1430" s="301"/>
      <c r="D1430" s="301"/>
      <c r="E1430" s="301"/>
      <c r="F1430" s="301"/>
      <c r="G1430" s="301"/>
      <c r="H1430" s="301"/>
      <c r="I1430" s="301"/>
      <c r="J1430" s="336"/>
      <c r="K1430" s="336"/>
      <c r="L1430" s="337"/>
      <c r="M1430" s="475"/>
      <c r="N1430" s="713"/>
      <c r="O1430" s="301"/>
    </row>
    <row r="1431" spans="1:15" ht="15" customHeight="1" x14ac:dyDescent="0.25">
      <c r="A1431" s="301"/>
      <c r="B1431" s="301"/>
      <c r="C1431" s="301"/>
      <c r="D1431" s="301"/>
      <c r="E1431" s="301"/>
      <c r="F1431" s="301"/>
      <c r="G1431" s="301"/>
      <c r="H1431" s="301"/>
      <c r="I1431" s="301"/>
      <c r="J1431" s="336"/>
      <c r="K1431" s="336"/>
      <c r="L1431" s="337"/>
      <c r="M1431" s="475"/>
      <c r="N1431" s="713"/>
      <c r="O1431" s="301"/>
    </row>
    <row r="1432" spans="1:15" ht="15" customHeight="1" x14ac:dyDescent="0.25">
      <c r="A1432" s="301"/>
      <c r="B1432" s="301"/>
      <c r="C1432" s="301"/>
      <c r="D1432" s="301"/>
      <c r="E1432" s="301"/>
      <c r="F1432" s="301"/>
      <c r="G1432" s="301"/>
      <c r="H1432" s="301"/>
      <c r="I1432" s="301"/>
      <c r="J1432" s="336"/>
      <c r="K1432" s="336"/>
      <c r="L1432" s="337"/>
      <c r="M1432" s="475"/>
      <c r="N1432" s="713"/>
      <c r="O1432" s="301"/>
    </row>
    <row r="1433" spans="1:15" ht="15" customHeight="1" x14ac:dyDescent="0.25">
      <c r="A1433" s="301"/>
      <c r="B1433" s="301"/>
      <c r="C1433" s="301"/>
      <c r="D1433" s="301"/>
      <c r="E1433" s="301"/>
      <c r="F1433" s="301"/>
      <c r="G1433" s="301"/>
      <c r="H1433" s="301"/>
      <c r="I1433" s="301"/>
      <c r="J1433" s="336"/>
      <c r="K1433" s="336"/>
      <c r="L1433" s="337"/>
      <c r="M1433" s="475"/>
      <c r="N1433" s="713"/>
      <c r="O1433" s="301"/>
    </row>
    <row r="1434" spans="1:15" ht="15" customHeight="1" x14ac:dyDescent="0.25">
      <c r="A1434" s="301"/>
      <c r="B1434" s="301"/>
      <c r="C1434" s="301"/>
      <c r="D1434" s="301"/>
      <c r="E1434" s="301"/>
      <c r="F1434" s="301"/>
      <c r="G1434" s="301"/>
      <c r="H1434" s="301"/>
      <c r="I1434" s="301"/>
      <c r="J1434" s="336"/>
      <c r="K1434" s="336"/>
      <c r="L1434" s="337"/>
      <c r="M1434" s="475"/>
      <c r="N1434" s="713"/>
      <c r="O1434" s="301"/>
    </row>
    <row r="1435" spans="1:15" ht="15" customHeight="1" x14ac:dyDescent="0.25">
      <c r="A1435" s="301"/>
      <c r="B1435" s="301"/>
      <c r="C1435" s="301"/>
      <c r="D1435" s="301"/>
      <c r="E1435" s="301"/>
      <c r="F1435" s="301"/>
      <c r="G1435" s="301"/>
      <c r="H1435" s="301"/>
      <c r="I1435" s="301"/>
      <c r="J1435" s="336"/>
      <c r="K1435" s="336"/>
      <c r="L1435" s="337"/>
      <c r="M1435" s="475"/>
      <c r="N1435" s="713"/>
      <c r="O1435" s="301"/>
    </row>
    <row r="1436" spans="1:15" ht="15" customHeight="1" x14ac:dyDescent="0.25">
      <c r="A1436" s="301"/>
      <c r="B1436" s="301"/>
      <c r="C1436" s="301"/>
      <c r="D1436" s="301"/>
      <c r="E1436" s="301"/>
      <c r="F1436" s="301"/>
      <c r="G1436" s="301"/>
      <c r="H1436" s="301"/>
      <c r="I1436" s="301"/>
      <c r="J1436" s="336"/>
      <c r="K1436" s="336"/>
      <c r="L1436" s="337"/>
      <c r="M1436" s="475"/>
      <c r="N1436" s="713"/>
      <c r="O1436" s="301"/>
    </row>
    <row r="1437" spans="1:15" ht="15" customHeight="1" x14ac:dyDescent="0.25">
      <c r="A1437" s="301"/>
      <c r="B1437" s="301"/>
      <c r="C1437" s="301"/>
      <c r="D1437" s="301"/>
      <c r="E1437" s="301"/>
      <c r="F1437" s="301"/>
      <c r="G1437" s="301"/>
      <c r="H1437" s="301"/>
      <c r="I1437" s="301"/>
      <c r="J1437" s="336"/>
      <c r="K1437" s="336"/>
      <c r="L1437" s="337"/>
      <c r="M1437" s="475"/>
      <c r="O1437" s="301"/>
    </row>
    <row r="1438" spans="1:15" ht="15" customHeight="1" x14ac:dyDescent="0.25"/>
    <row r="1439" spans="1:15" ht="15" customHeight="1" x14ac:dyDescent="0.25"/>
    <row r="1440" spans="1:15" ht="15" customHeight="1" x14ac:dyDescent="0.25"/>
    <row r="1441" spans="1:15" ht="15" customHeight="1" x14ac:dyDescent="0.25"/>
    <row r="1442" spans="1:15" ht="15" customHeight="1" x14ac:dyDescent="0.25"/>
    <row r="1443" spans="1:15" ht="15" customHeight="1" x14ac:dyDescent="0.25"/>
    <row r="1444" spans="1:15" ht="15" customHeight="1" x14ac:dyDescent="0.25"/>
    <row r="1445" spans="1:15" ht="15" customHeight="1" x14ac:dyDescent="0.25">
      <c r="A1445" s="301"/>
      <c r="B1445" s="301"/>
      <c r="C1445" s="301"/>
      <c r="D1445" s="301"/>
      <c r="E1445" s="301"/>
      <c r="F1445" s="301"/>
      <c r="G1445" s="301"/>
      <c r="H1445" s="301"/>
      <c r="I1445" s="301"/>
      <c r="J1445" s="336"/>
      <c r="K1445" s="336"/>
      <c r="L1445" s="337"/>
      <c r="M1445" s="475"/>
      <c r="N1445" s="713"/>
      <c r="O1445" s="301"/>
    </row>
    <row r="1446" spans="1:15" ht="15" customHeight="1" x14ac:dyDescent="0.25">
      <c r="A1446" s="301"/>
      <c r="B1446" s="301"/>
      <c r="C1446" s="301"/>
      <c r="D1446" s="301"/>
      <c r="E1446" s="301"/>
      <c r="F1446" s="301"/>
      <c r="G1446" s="301"/>
      <c r="H1446" s="301"/>
      <c r="I1446" s="301"/>
      <c r="J1446" s="336"/>
      <c r="K1446" s="336"/>
      <c r="L1446" s="337"/>
      <c r="M1446" s="475"/>
      <c r="N1446" s="713"/>
      <c r="O1446" s="301"/>
    </row>
    <row r="1447" spans="1:15" ht="15" customHeight="1" x14ac:dyDescent="0.25">
      <c r="A1447" s="301"/>
      <c r="B1447" s="301"/>
      <c r="C1447" s="301"/>
      <c r="D1447" s="301"/>
      <c r="E1447" s="301"/>
      <c r="F1447" s="301"/>
      <c r="G1447" s="301"/>
      <c r="H1447" s="301"/>
      <c r="I1447" s="301"/>
      <c r="J1447" s="336"/>
      <c r="K1447" s="336"/>
      <c r="L1447" s="337"/>
      <c r="M1447" s="475"/>
      <c r="N1447" s="713"/>
      <c r="O1447" s="301"/>
    </row>
    <row r="1448" spans="1:15" ht="15" customHeight="1" x14ac:dyDescent="0.25">
      <c r="A1448" s="301"/>
      <c r="B1448" s="301"/>
      <c r="C1448" s="301"/>
      <c r="D1448" s="301"/>
      <c r="E1448" s="301"/>
      <c r="F1448" s="301"/>
      <c r="G1448" s="301"/>
      <c r="H1448" s="301"/>
      <c r="I1448" s="301"/>
      <c r="J1448" s="336"/>
      <c r="K1448" s="336"/>
      <c r="L1448" s="337"/>
      <c r="M1448" s="475"/>
      <c r="N1448" s="713"/>
      <c r="O1448" s="301"/>
    </row>
    <row r="1449" spans="1:15" ht="15" customHeight="1" x14ac:dyDescent="0.25">
      <c r="A1449" s="301"/>
      <c r="B1449" s="301"/>
      <c r="C1449" s="301"/>
      <c r="D1449" s="301"/>
      <c r="E1449" s="301"/>
      <c r="F1449" s="301"/>
      <c r="G1449" s="301"/>
      <c r="H1449" s="301"/>
      <c r="I1449" s="301"/>
      <c r="J1449" s="336"/>
      <c r="K1449" s="336"/>
      <c r="L1449" s="337"/>
      <c r="M1449" s="475"/>
      <c r="N1449" s="713"/>
      <c r="O1449" s="301"/>
    </row>
    <row r="1450" spans="1:15" ht="15" customHeight="1" x14ac:dyDescent="0.25">
      <c r="A1450" s="301"/>
      <c r="B1450" s="301"/>
      <c r="C1450" s="301"/>
      <c r="D1450" s="301"/>
      <c r="E1450" s="301"/>
      <c r="F1450" s="301"/>
      <c r="G1450" s="301"/>
      <c r="H1450" s="301"/>
      <c r="I1450" s="301"/>
      <c r="J1450" s="336"/>
      <c r="K1450" s="336"/>
      <c r="L1450" s="337"/>
      <c r="M1450" s="475"/>
      <c r="N1450" s="713"/>
      <c r="O1450" s="301"/>
    </row>
    <row r="1451" spans="1:15" ht="15" customHeight="1" x14ac:dyDescent="0.25">
      <c r="A1451" s="301"/>
      <c r="B1451" s="301"/>
      <c r="C1451" s="301"/>
      <c r="D1451" s="301"/>
      <c r="E1451" s="301"/>
      <c r="F1451" s="301"/>
      <c r="G1451" s="301"/>
      <c r="H1451" s="301"/>
      <c r="I1451" s="301"/>
      <c r="J1451" s="336"/>
      <c r="K1451" s="336"/>
      <c r="L1451" s="337"/>
      <c r="M1451" s="475"/>
      <c r="N1451" s="713"/>
      <c r="O1451" s="301"/>
    </row>
    <row r="1452" spans="1:15" ht="15" customHeight="1" x14ac:dyDescent="0.25"/>
    <row r="1453" spans="1:15" ht="15" customHeight="1" x14ac:dyDescent="0.25"/>
    <row r="1454" spans="1:15" ht="15" customHeight="1" x14ac:dyDescent="0.25"/>
    <row r="1455" spans="1:15" ht="15" customHeight="1" x14ac:dyDescent="0.25"/>
    <row r="1456" spans="1:15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</sheetData>
  <mergeCells count="992">
    <mergeCell ref="G853:N853"/>
    <mergeCell ref="G855:I855"/>
    <mergeCell ref="G74:N74"/>
    <mergeCell ref="G653:N653"/>
    <mergeCell ref="A1065:A1071"/>
    <mergeCell ref="G1003:N1003"/>
    <mergeCell ref="G928:N928"/>
    <mergeCell ref="G1033:N1033"/>
    <mergeCell ref="G384:N384"/>
    <mergeCell ref="G149:N149"/>
    <mergeCell ref="G150:I150"/>
    <mergeCell ref="G368:N368"/>
    <mergeCell ref="G456:I456"/>
    <mergeCell ref="G98:I98"/>
    <mergeCell ref="G155:N155"/>
    <mergeCell ref="G128:N128"/>
    <mergeCell ref="G117:N117"/>
    <mergeCell ref="G119:I119"/>
    <mergeCell ref="G130:N130"/>
    <mergeCell ref="G134:I134"/>
    <mergeCell ref="G655:I655"/>
    <mergeCell ref="J655:K655"/>
    <mergeCell ref="G873:I873"/>
    <mergeCell ref="G987:I987"/>
    <mergeCell ref="G772:I772"/>
    <mergeCell ref="G741:N741"/>
    <mergeCell ref="G743:I743"/>
    <mergeCell ref="G469:N469"/>
    <mergeCell ref="G472:I472"/>
    <mergeCell ref="G728:I728"/>
    <mergeCell ref="G766:I766"/>
    <mergeCell ref="G765:N765"/>
    <mergeCell ref="G659:N659"/>
    <mergeCell ref="G651:I651"/>
    <mergeCell ref="G524:N524"/>
    <mergeCell ref="G649:N649"/>
    <mergeCell ref="G592:N592"/>
    <mergeCell ref="G601:I601"/>
    <mergeCell ref="G540:N540"/>
    <mergeCell ref="J651:K651"/>
    <mergeCell ref="G600:I600"/>
    <mergeCell ref="G586:N586"/>
    <mergeCell ref="G579:I579"/>
    <mergeCell ref="G493:I493"/>
    <mergeCell ref="G507:N507"/>
    <mergeCell ref="G666:N666"/>
    <mergeCell ref="G506:I506"/>
    <mergeCell ref="G497:N497"/>
    <mergeCell ref="G91:N91"/>
    <mergeCell ref="G92:I92"/>
    <mergeCell ref="G100:N100"/>
    <mergeCell ref="G101:I101"/>
    <mergeCell ref="G84:I84"/>
    <mergeCell ref="G159:N159"/>
    <mergeCell ref="G514:N514"/>
    <mergeCell ref="G572:N572"/>
    <mergeCell ref="G543:N543"/>
    <mergeCell ref="G94:N94"/>
    <mergeCell ref="G146:N146"/>
    <mergeCell ref="G93:I93"/>
    <mergeCell ref="G106:N106"/>
    <mergeCell ref="G135:N135"/>
    <mergeCell ref="J101:K101"/>
    <mergeCell ref="J98:K98"/>
    <mergeCell ref="G463:N463"/>
    <mergeCell ref="J353:K353"/>
    <mergeCell ref="J344:K344"/>
    <mergeCell ref="J366:K366"/>
    <mergeCell ref="J372:K372"/>
    <mergeCell ref="G378:N378"/>
    <mergeCell ref="G354:I354"/>
    <mergeCell ref="G492:N492"/>
    <mergeCell ref="G65:N65"/>
    <mergeCell ref="G511:N511"/>
    <mergeCell ref="G512:I512"/>
    <mergeCell ref="G555:I555"/>
    <mergeCell ref="J402:K402"/>
    <mergeCell ref="G445:N445"/>
    <mergeCell ref="G452:N452"/>
    <mergeCell ref="G443:I443"/>
    <mergeCell ref="G441:I441"/>
    <mergeCell ref="G447:N447"/>
    <mergeCell ref="G437:N437"/>
    <mergeCell ref="G427:I427"/>
    <mergeCell ref="G496:I496"/>
    <mergeCell ref="G405:N405"/>
    <mergeCell ref="G428:N428"/>
    <mergeCell ref="G431:N431"/>
    <mergeCell ref="G465:N465"/>
    <mergeCell ref="G473:I473"/>
    <mergeCell ref="G502:I502"/>
    <mergeCell ref="G163:N163"/>
    <mergeCell ref="J404:K404"/>
    <mergeCell ref="J424:K424"/>
    <mergeCell ref="J426:K426"/>
    <mergeCell ref="G248:N248"/>
    <mergeCell ref="G460:I460"/>
    <mergeCell ref="G491:I491"/>
    <mergeCell ref="G480:N480"/>
    <mergeCell ref="G292:N292"/>
    <mergeCell ref="J443:K443"/>
    <mergeCell ref="J441:K441"/>
    <mergeCell ref="G339:N339"/>
    <mergeCell ref="G486:I486"/>
    <mergeCell ref="G483:N483"/>
    <mergeCell ref="G488:N488"/>
    <mergeCell ref="G490:I490"/>
    <mergeCell ref="G476:N476"/>
    <mergeCell ref="G403:N403"/>
    <mergeCell ref="G404:I404"/>
    <mergeCell ref="G409:N409"/>
    <mergeCell ref="G413:N413"/>
    <mergeCell ref="G344:I344"/>
    <mergeCell ref="G400:N400"/>
    <mergeCell ref="G382:N382"/>
    <mergeCell ref="G396:N396"/>
    <mergeCell ref="G295:I295"/>
    <mergeCell ref="G317:N317"/>
    <mergeCell ref="G426:I426"/>
    <mergeCell ref="G374:N374"/>
    <mergeCell ref="A622:A623"/>
    <mergeCell ref="B622:B623"/>
    <mergeCell ref="C622:C623"/>
    <mergeCell ref="A445:A446"/>
    <mergeCell ref="A375:A380"/>
    <mergeCell ref="B375:B380"/>
    <mergeCell ref="D474:D475"/>
    <mergeCell ref="G584:N584"/>
    <mergeCell ref="A461:A462"/>
    <mergeCell ref="A612:A613"/>
    <mergeCell ref="C474:C475"/>
    <mergeCell ref="B612:B613"/>
    <mergeCell ref="C461:C462"/>
    <mergeCell ref="C581:C582"/>
    <mergeCell ref="A474:A475"/>
    <mergeCell ref="B474:B475"/>
    <mergeCell ref="G571:I571"/>
    <mergeCell ref="G604:I604"/>
    <mergeCell ref="G459:I459"/>
    <mergeCell ref="G449:N449"/>
    <mergeCell ref="J459:K459"/>
    <mergeCell ref="J456:K456"/>
    <mergeCell ref="G616:N616"/>
    <mergeCell ref="G612:N612"/>
    <mergeCell ref="G621:I621"/>
    <mergeCell ref="G605:N605"/>
    <mergeCell ref="A581:A582"/>
    <mergeCell ref="B581:B582"/>
    <mergeCell ref="B461:B462"/>
    <mergeCell ref="C612:C613"/>
    <mergeCell ref="G535:N535"/>
    <mergeCell ref="G620:I620"/>
    <mergeCell ref="G607:N607"/>
    <mergeCell ref="G610:I610"/>
    <mergeCell ref="G517:N517"/>
    <mergeCell ref="G518:I518"/>
    <mergeCell ref="G602:N602"/>
    <mergeCell ref="G603:I603"/>
    <mergeCell ref="G577:N577"/>
    <mergeCell ref="G519:I519"/>
    <mergeCell ref="G494:N494"/>
    <mergeCell ref="G495:I495"/>
    <mergeCell ref="G504:N504"/>
    <mergeCell ref="G505:I505"/>
    <mergeCell ref="A687:A688"/>
    <mergeCell ref="A711:A712"/>
    <mergeCell ref="A730:A731"/>
    <mergeCell ref="A776:A777"/>
    <mergeCell ref="A657:A658"/>
    <mergeCell ref="G745:N745"/>
    <mergeCell ref="G724:I724"/>
    <mergeCell ref="G676:N676"/>
    <mergeCell ref="G729:I729"/>
    <mergeCell ref="G673:N673"/>
    <mergeCell ref="G730:N730"/>
    <mergeCell ref="G687:N687"/>
    <mergeCell ref="G691:N691"/>
    <mergeCell ref="G711:N711"/>
    <mergeCell ref="G661:N661"/>
    <mergeCell ref="G701:N701"/>
    <mergeCell ref="G657:N657"/>
    <mergeCell ref="G718:N718"/>
    <mergeCell ref="A745:A746"/>
    <mergeCell ref="G672:I672"/>
    <mergeCell ref="B657:B658"/>
    <mergeCell ref="B745:B746"/>
    <mergeCell ref="B673:B674"/>
    <mergeCell ref="A673:A674"/>
    <mergeCell ref="B1101:B1102"/>
    <mergeCell ref="A1342:N1342"/>
    <mergeCell ref="G1100:I1100"/>
    <mergeCell ref="A1118:B1118"/>
    <mergeCell ref="A1072:A1073"/>
    <mergeCell ref="B1072:B1073"/>
    <mergeCell ref="G1089:I1089"/>
    <mergeCell ref="C1101:C1102"/>
    <mergeCell ref="A1101:A1102"/>
    <mergeCell ref="G1117:I1117"/>
    <mergeCell ref="A1341:N1341"/>
    <mergeCell ref="G1115:I1115"/>
    <mergeCell ref="G1110:I1110"/>
    <mergeCell ref="G1109:N1109"/>
    <mergeCell ref="B1092:B1093"/>
    <mergeCell ref="D1072:D1073"/>
    <mergeCell ref="D1101:D1102"/>
    <mergeCell ref="C1072:C1073"/>
    <mergeCell ref="G1105:N1105"/>
    <mergeCell ref="G1103:N1103"/>
    <mergeCell ref="G1113:N1113"/>
    <mergeCell ref="G1094:N1094"/>
    <mergeCell ref="G1101:N1101"/>
    <mergeCell ref="G1114:I1114"/>
    <mergeCell ref="A1048:A1050"/>
    <mergeCell ref="B1048:B1049"/>
    <mergeCell ref="G1047:I1047"/>
    <mergeCell ref="A1036:A1037"/>
    <mergeCell ref="B1036:B1037"/>
    <mergeCell ref="C1092:C1093"/>
    <mergeCell ref="D1092:D1093"/>
    <mergeCell ref="G1022:N1022"/>
    <mergeCell ref="D1048:D1049"/>
    <mergeCell ref="C1036:C1037"/>
    <mergeCell ref="D1036:D1037"/>
    <mergeCell ref="G1072:N1072"/>
    <mergeCell ref="G1061:N1061"/>
    <mergeCell ref="G1059:N1059"/>
    <mergeCell ref="G1064:I1064"/>
    <mergeCell ref="C1048:C1049"/>
    <mergeCell ref="G1043:N1043"/>
    <mergeCell ref="G1086:I1086"/>
    <mergeCell ref="A1092:A1093"/>
    <mergeCell ref="G1036:N1036"/>
    <mergeCell ref="G1025:N1025"/>
    <mergeCell ref="G1028:N1028"/>
    <mergeCell ref="G1087:N1087"/>
    <mergeCell ref="G1092:N1092"/>
    <mergeCell ref="F879:F881"/>
    <mergeCell ref="G922:I922"/>
    <mergeCell ref="G879:N879"/>
    <mergeCell ref="G939:N939"/>
    <mergeCell ref="G878:I878"/>
    <mergeCell ref="E923:E927"/>
    <mergeCell ref="G892:N892"/>
    <mergeCell ref="D937:D939"/>
    <mergeCell ref="C879:C881"/>
    <mergeCell ref="C923:C927"/>
    <mergeCell ref="D923:D927"/>
    <mergeCell ref="D879:D881"/>
    <mergeCell ref="G937:N937"/>
    <mergeCell ref="G931:N931"/>
    <mergeCell ref="G884:N884"/>
    <mergeCell ref="G920:N920"/>
    <mergeCell ref="G921:I921"/>
    <mergeCell ref="G906:N906"/>
    <mergeCell ref="J909:K909"/>
    <mergeCell ref="E879:E881"/>
    <mergeCell ref="G910:N910"/>
    <mergeCell ref="G904:I904"/>
    <mergeCell ref="G923:N923"/>
    <mergeCell ref="A1006:A1010"/>
    <mergeCell ref="B1006:B1010"/>
    <mergeCell ref="G1006:N1006"/>
    <mergeCell ref="C1006:C1010"/>
    <mergeCell ref="D989:D990"/>
    <mergeCell ref="G988:I988"/>
    <mergeCell ref="G952:N952"/>
    <mergeCell ref="G962:N962"/>
    <mergeCell ref="G979:N979"/>
    <mergeCell ref="A989:A990"/>
    <mergeCell ref="G978:I978"/>
    <mergeCell ref="G1000:N1000"/>
    <mergeCell ref="C989:C990"/>
    <mergeCell ref="B989:B990"/>
    <mergeCell ref="G1005:I1005"/>
    <mergeCell ref="G991:N991"/>
    <mergeCell ref="J978:L978"/>
    <mergeCell ref="J987:L987"/>
    <mergeCell ref="G971:N971"/>
    <mergeCell ref="A788:A789"/>
    <mergeCell ref="B834:B836"/>
    <mergeCell ref="B879:B881"/>
    <mergeCell ref="C834:C836"/>
    <mergeCell ref="D931:D933"/>
    <mergeCell ref="A937:A939"/>
    <mergeCell ref="A931:A933"/>
    <mergeCell ref="C875:C877"/>
    <mergeCell ref="B937:B939"/>
    <mergeCell ref="C931:C933"/>
    <mergeCell ref="B875:B877"/>
    <mergeCell ref="A875:A877"/>
    <mergeCell ref="A923:A925"/>
    <mergeCell ref="B931:B933"/>
    <mergeCell ref="B923:B927"/>
    <mergeCell ref="B730:B731"/>
    <mergeCell ref="F875:F877"/>
    <mergeCell ref="G837:N837"/>
    <mergeCell ref="G747:N747"/>
    <mergeCell ref="C730:C731"/>
    <mergeCell ref="G895:N895"/>
    <mergeCell ref="G897:N897"/>
    <mergeCell ref="G909:I909"/>
    <mergeCell ref="G889:N889"/>
    <mergeCell ref="G829:I829"/>
    <mergeCell ref="G764:I764"/>
    <mergeCell ref="G732:N732"/>
    <mergeCell ref="G734:N734"/>
    <mergeCell ref="G736:N736"/>
    <mergeCell ref="G778:N778"/>
    <mergeCell ref="G781:N781"/>
    <mergeCell ref="D776:D777"/>
    <mergeCell ref="G856:I856"/>
    <mergeCell ref="G833:I833"/>
    <mergeCell ref="G798:N798"/>
    <mergeCell ref="G842:N842"/>
    <mergeCell ref="G843:I843"/>
    <mergeCell ref="G830:N830"/>
    <mergeCell ref="G802:N802"/>
    <mergeCell ref="G949:N949"/>
    <mergeCell ref="G915:N915"/>
    <mergeCell ref="A834:A836"/>
    <mergeCell ref="C788:C789"/>
    <mergeCell ref="A879:A881"/>
    <mergeCell ref="D834:D836"/>
    <mergeCell ref="C937:C939"/>
    <mergeCell ref="C673:C674"/>
    <mergeCell ref="C745:C746"/>
    <mergeCell ref="D730:D731"/>
    <mergeCell ref="D745:D746"/>
    <mergeCell ref="B711:B712"/>
    <mergeCell ref="B776:B777"/>
    <mergeCell ref="G834:N834"/>
    <mergeCell ref="G710:I710"/>
    <mergeCell ref="G714:N714"/>
    <mergeCell ref="G749:N749"/>
    <mergeCell ref="G775:I775"/>
    <mergeCell ref="G769:N769"/>
    <mergeCell ref="G776:N776"/>
    <mergeCell ref="G725:N725"/>
    <mergeCell ref="B687:B688"/>
    <mergeCell ref="B788:B789"/>
    <mergeCell ref="C776:C777"/>
    <mergeCell ref="C711:C712"/>
    <mergeCell ref="G767:N767"/>
    <mergeCell ref="D687:D688"/>
    <mergeCell ref="G700:I700"/>
    <mergeCell ref="G815:I815"/>
    <mergeCell ref="G875:N875"/>
    <mergeCell ref="E875:E877"/>
    <mergeCell ref="D875:D877"/>
    <mergeCell ref="G868:N868"/>
    <mergeCell ref="J723:K723"/>
    <mergeCell ref="G722:N722"/>
    <mergeCell ref="G723:I723"/>
    <mergeCell ref="G773:N773"/>
    <mergeCell ref="G826:N826"/>
    <mergeCell ref="G859:N859"/>
    <mergeCell ref="G871:N871"/>
    <mergeCell ref="G761:N761"/>
    <mergeCell ref="G763:I763"/>
    <mergeCell ref="J709:K709"/>
    <mergeCell ref="G861:N861"/>
    <mergeCell ref="G874:I874"/>
    <mergeCell ref="G744:I744"/>
    <mergeCell ref="G866:N866"/>
    <mergeCell ref="G752:N752"/>
    <mergeCell ref="G760:I760"/>
    <mergeCell ref="G852:I852"/>
    <mergeCell ref="G796:N796"/>
    <mergeCell ref="G697:N697"/>
    <mergeCell ref="D673:D674"/>
    <mergeCell ref="G756:N756"/>
    <mergeCell ref="G709:I709"/>
    <mergeCell ref="D788:D789"/>
    <mergeCell ref="G832:I832"/>
    <mergeCell ref="J728:K728"/>
    <mergeCell ref="J743:K743"/>
    <mergeCell ref="J760:K760"/>
    <mergeCell ref="J763:K763"/>
    <mergeCell ref="J772:K772"/>
    <mergeCell ref="J815:K815"/>
    <mergeCell ref="J825:K825"/>
    <mergeCell ref="G716:N716"/>
    <mergeCell ref="J682:K682"/>
    <mergeCell ref="G681:N681"/>
    <mergeCell ref="G682:I682"/>
    <mergeCell ref="D711:D712"/>
    <mergeCell ref="G683:N683"/>
    <mergeCell ref="G694:N694"/>
    <mergeCell ref="G771:N771"/>
    <mergeCell ref="C657:C658"/>
    <mergeCell ref="G656:I656"/>
    <mergeCell ref="G569:I569"/>
    <mergeCell ref="G574:N574"/>
    <mergeCell ref="G402:I402"/>
    <mergeCell ref="G509:N509"/>
    <mergeCell ref="G510:I510"/>
    <mergeCell ref="G581:N581"/>
    <mergeCell ref="G501:N501"/>
    <mergeCell ref="G513:I513"/>
    <mergeCell ref="G436:I436"/>
    <mergeCell ref="G444:I444"/>
    <mergeCell ref="G411:N411"/>
    <mergeCell ref="G421:N421"/>
    <mergeCell ref="G461:N461"/>
    <mergeCell ref="G433:N433"/>
    <mergeCell ref="G466:I466"/>
    <mergeCell ref="G478:N478"/>
    <mergeCell ref="G499:N499"/>
    <mergeCell ref="G454:N454"/>
    <mergeCell ref="G474:N474"/>
    <mergeCell ref="G485:N485"/>
    <mergeCell ref="G520:N520"/>
    <mergeCell ref="D581:D582"/>
    <mergeCell ref="A210:A211"/>
    <mergeCell ref="D205:D206"/>
    <mergeCell ref="A205:A206"/>
    <mergeCell ref="B205:B206"/>
    <mergeCell ref="B210:B211"/>
    <mergeCell ref="G210:N210"/>
    <mergeCell ref="C205:C206"/>
    <mergeCell ref="G366:I366"/>
    <mergeCell ref="G305:N305"/>
    <mergeCell ref="G225:N225"/>
    <mergeCell ref="G222:N222"/>
    <mergeCell ref="G209:I209"/>
    <mergeCell ref="G213:N213"/>
    <mergeCell ref="D221:D223"/>
    <mergeCell ref="A266:A279"/>
    <mergeCell ref="B355:B360"/>
    <mergeCell ref="C266:C279"/>
    <mergeCell ref="B296:B297"/>
    <mergeCell ref="C355:C360"/>
    <mergeCell ref="D286:D295"/>
    <mergeCell ref="G266:N266"/>
    <mergeCell ref="G326:N326"/>
    <mergeCell ref="E286:E295"/>
    <mergeCell ref="F286:F295"/>
    <mergeCell ref="G3:N4"/>
    <mergeCell ref="A49:A50"/>
    <mergeCell ref="B49:B50"/>
    <mergeCell ref="G10:N10"/>
    <mergeCell ref="B7:F7"/>
    <mergeCell ref="G48:I48"/>
    <mergeCell ref="G20:N20"/>
    <mergeCell ref="B8:B9"/>
    <mergeCell ref="G200:N200"/>
    <mergeCell ref="G198:N198"/>
    <mergeCell ref="G196:N196"/>
    <mergeCell ref="A196:A198"/>
    <mergeCell ref="A163:A164"/>
    <mergeCell ref="G85:I85"/>
    <mergeCell ref="G154:I154"/>
    <mergeCell ref="G137:I137"/>
    <mergeCell ref="G148:I148"/>
    <mergeCell ref="G105:I105"/>
    <mergeCell ref="G120:I120"/>
    <mergeCell ref="G125:N125"/>
    <mergeCell ref="G142:N142"/>
    <mergeCell ref="G111:N111"/>
    <mergeCell ref="G115:N115"/>
    <mergeCell ref="G103:N103"/>
    <mergeCell ref="A8:A9"/>
    <mergeCell ref="G40:I40"/>
    <mergeCell ref="G29:N29"/>
    <mergeCell ref="G38:I38"/>
    <mergeCell ref="G17:N17"/>
    <mergeCell ref="G21:I21"/>
    <mergeCell ref="G34:I34"/>
    <mergeCell ref="B41:B42"/>
    <mergeCell ref="G23:N23"/>
    <mergeCell ref="G25:I25"/>
    <mergeCell ref="G35:N35"/>
    <mergeCell ref="G37:I37"/>
    <mergeCell ref="G13:N13"/>
    <mergeCell ref="G15:I15"/>
    <mergeCell ref="J34:K34"/>
    <mergeCell ref="J25:K25"/>
    <mergeCell ref="J21:K21"/>
    <mergeCell ref="A2:A6"/>
    <mergeCell ref="G2:N2"/>
    <mergeCell ref="G8:N8"/>
    <mergeCell ref="G27:N27"/>
    <mergeCell ref="G151:I151"/>
    <mergeCell ref="G99:I99"/>
    <mergeCell ref="A121:A122"/>
    <mergeCell ref="B121:B122"/>
    <mergeCell ref="G138:N138"/>
    <mergeCell ref="G26:I26"/>
    <mergeCell ref="G53:N53"/>
    <mergeCell ref="G77:I77"/>
    <mergeCell ref="G90:I90"/>
    <mergeCell ref="G44:N44"/>
    <mergeCell ref="G58:N58"/>
    <mergeCell ref="G69:I69"/>
    <mergeCell ref="G121:N121"/>
    <mergeCell ref="G41:N41"/>
    <mergeCell ref="A41:A42"/>
    <mergeCell ref="G16:I16"/>
    <mergeCell ref="A17:A18"/>
    <mergeCell ref="A27:A28"/>
    <mergeCell ref="B27:B28"/>
    <mergeCell ref="G51:N51"/>
    <mergeCell ref="A106:A107"/>
    <mergeCell ref="B106:B107"/>
    <mergeCell ref="B17:B18"/>
    <mergeCell ref="G33:N33"/>
    <mergeCell ref="A221:A223"/>
    <mergeCell ref="C251:C255"/>
    <mergeCell ref="C226:C229"/>
    <mergeCell ref="B226:B229"/>
    <mergeCell ref="C221:C223"/>
    <mergeCell ref="A251:A255"/>
    <mergeCell ref="B251:B255"/>
    <mergeCell ref="B221:B223"/>
    <mergeCell ref="A226:A229"/>
    <mergeCell ref="A213:A219"/>
    <mergeCell ref="G109:N109"/>
    <mergeCell ref="G123:N123"/>
    <mergeCell ref="B213:B219"/>
    <mergeCell ref="G220:I220"/>
    <mergeCell ref="G215:N215"/>
    <mergeCell ref="G217:N217"/>
    <mergeCell ref="C210:C211"/>
    <mergeCell ref="G205:N205"/>
    <mergeCell ref="D163:D164"/>
    <mergeCell ref="G140:N140"/>
    <mergeCell ref="B266:B279"/>
    <mergeCell ref="C428:C429"/>
    <mergeCell ref="B445:B446"/>
    <mergeCell ref="A428:A429"/>
    <mergeCell ref="A355:A360"/>
    <mergeCell ref="G277:N277"/>
    <mergeCell ref="A286:A295"/>
    <mergeCell ref="B286:B295"/>
    <mergeCell ref="C286:C295"/>
    <mergeCell ref="B428:B429"/>
    <mergeCell ref="A296:A297"/>
    <mergeCell ref="G298:N298"/>
    <mergeCell ref="G388:N388"/>
    <mergeCell ref="G387:I387"/>
    <mergeCell ref="C375:C380"/>
    <mergeCell ref="D355:D360"/>
    <mergeCell ref="D266:D279"/>
    <mergeCell ref="G363:N363"/>
    <mergeCell ref="C445:C446"/>
    <mergeCell ref="G285:I285"/>
    <mergeCell ref="G279:N279"/>
    <mergeCell ref="C296:C297"/>
    <mergeCell ref="G408:I408"/>
    <mergeCell ref="G435:N435"/>
    <mergeCell ref="D622:D623"/>
    <mergeCell ref="G739:N739"/>
    <mergeCell ref="G727:N727"/>
    <mergeCell ref="G530:N530"/>
    <mergeCell ref="G595:I595"/>
    <mergeCell ref="G580:I580"/>
    <mergeCell ref="G588:N588"/>
    <mergeCell ref="G552:N552"/>
    <mergeCell ref="G596:N596"/>
    <mergeCell ref="G566:I566"/>
    <mergeCell ref="D612:D613"/>
    <mergeCell ref="G559:N559"/>
    <mergeCell ref="G679:N679"/>
    <mergeCell ref="G645:N645"/>
    <mergeCell ref="G628:N628"/>
    <mergeCell ref="G611:I611"/>
    <mergeCell ref="G618:N618"/>
    <mergeCell ref="G637:N637"/>
    <mergeCell ref="G641:I641"/>
    <mergeCell ref="G631:N631"/>
    <mergeCell ref="G626:N626"/>
    <mergeCell ref="G622:N622"/>
    <mergeCell ref="G644:I644"/>
    <mergeCell ref="G614:N614"/>
    <mergeCell ref="G857:N857"/>
    <mergeCell ref="G670:N670"/>
    <mergeCell ref="G671:I671"/>
    <mergeCell ref="G686:I686"/>
    <mergeCell ref="C687:C688"/>
    <mergeCell ref="O2:V2"/>
    <mergeCell ref="O3:V4"/>
    <mergeCell ref="O8:V8"/>
    <mergeCell ref="O16:Q16"/>
    <mergeCell ref="O26:Q26"/>
    <mergeCell ref="O106:V106"/>
    <mergeCell ref="O109:V109"/>
    <mergeCell ref="O120:Q120"/>
    <mergeCell ref="O121:V121"/>
    <mergeCell ref="O85:Q85"/>
    <mergeCell ref="O90:Q90"/>
    <mergeCell ref="O93:Q93"/>
    <mergeCell ref="O99:Q99"/>
    <mergeCell ref="O102:Q102"/>
    <mergeCell ref="O105:Q105"/>
    <mergeCell ref="O49:V49"/>
    <mergeCell ref="O69:Q69"/>
    <mergeCell ref="O51:V51"/>
    <mergeCell ref="D657:D658"/>
    <mergeCell ref="O29:V29"/>
    <mergeCell ref="O38:Q38"/>
    <mergeCell ref="O77:Q77"/>
    <mergeCell ref="O27:V27"/>
    <mergeCell ref="O40:Q40"/>
    <mergeCell ref="O41:V41"/>
    <mergeCell ref="O48:Q48"/>
    <mergeCell ref="O224:Q224"/>
    <mergeCell ref="O225:V225"/>
    <mergeCell ref="O148:Q148"/>
    <mergeCell ref="O151:Q151"/>
    <mergeCell ref="O154:Q154"/>
    <mergeCell ref="O162:Q162"/>
    <mergeCell ref="O163:V163"/>
    <mergeCell ref="O137:Q137"/>
    <mergeCell ref="O138:V138"/>
    <mergeCell ref="O195:Q195"/>
    <mergeCell ref="O196:V196"/>
    <mergeCell ref="O198:V198"/>
    <mergeCell ref="O204:Q204"/>
    <mergeCell ref="O209:Q209"/>
    <mergeCell ref="O210:V210"/>
    <mergeCell ref="O165:V165"/>
    <mergeCell ref="O94:V94"/>
    <mergeCell ref="O228:V228"/>
    <mergeCell ref="O230:V230"/>
    <mergeCell ref="O250:Q250"/>
    <mergeCell ref="O251:V251"/>
    <mergeCell ref="O212:Q212"/>
    <mergeCell ref="O213:V213"/>
    <mergeCell ref="O215:V215"/>
    <mergeCell ref="O217:V217"/>
    <mergeCell ref="O220:Q220"/>
    <mergeCell ref="O222:V222"/>
    <mergeCell ref="O296:V296"/>
    <mergeCell ref="O298:V298"/>
    <mergeCell ref="O308:V308"/>
    <mergeCell ref="O354:Q354"/>
    <mergeCell ref="O319:V319"/>
    <mergeCell ref="O262:Q262"/>
    <mergeCell ref="O265:Q265"/>
    <mergeCell ref="O266:V266"/>
    <mergeCell ref="O271:V271"/>
    <mergeCell ref="O275:V275"/>
    <mergeCell ref="O285:Q285"/>
    <mergeCell ref="O295:Q295"/>
    <mergeCell ref="O300:V300"/>
    <mergeCell ref="O496:Q496"/>
    <mergeCell ref="O506:Q506"/>
    <mergeCell ref="O513:Q513"/>
    <mergeCell ref="O519:Q519"/>
    <mergeCell ref="O520:V520"/>
    <mergeCell ref="O461:V461"/>
    <mergeCell ref="O473:Q473"/>
    <mergeCell ref="O474:V474"/>
    <mergeCell ref="O476:V476"/>
    <mergeCell ref="O491:Q491"/>
    <mergeCell ref="O427:Q427"/>
    <mergeCell ref="O428:V428"/>
    <mergeCell ref="O444:Q444"/>
    <mergeCell ref="O445:V445"/>
    <mergeCell ref="O355:V355"/>
    <mergeCell ref="O373:Q373"/>
    <mergeCell ref="O374:V374"/>
    <mergeCell ref="O460:Q460"/>
    <mergeCell ref="O387:Q387"/>
    <mergeCell ref="O388:V388"/>
    <mergeCell ref="O408:Q408"/>
    <mergeCell ref="O410:V410"/>
    <mergeCell ref="O1117:Q1117"/>
    <mergeCell ref="A1:V1"/>
    <mergeCell ref="O1074:V1074"/>
    <mergeCell ref="O1089:Q1089"/>
    <mergeCell ref="O1092:V1092"/>
    <mergeCell ref="B2:F6"/>
    <mergeCell ref="O1094:V1094"/>
    <mergeCell ref="O1100:Q1100"/>
    <mergeCell ref="O1047:Q1047"/>
    <mergeCell ref="O1048:V1048"/>
    <mergeCell ref="O1055:V1055"/>
    <mergeCell ref="O1064:Q1064"/>
    <mergeCell ref="O1071:Q1071"/>
    <mergeCell ref="O1072:V1072"/>
    <mergeCell ref="O937:V937"/>
    <mergeCell ref="O884:V884"/>
    <mergeCell ref="O887:V887"/>
    <mergeCell ref="O914:Q914"/>
    <mergeCell ref="O856:Q856"/>
    <mergeCell ref="O857:V857"/>
    <mergeCell ref="O732:V732"/>
    <mergeCell ref="O672:Q672"/>
    <mergeCell ref="O604:Q604"/>
    <mergeCell ref="O611:Q611"/>
    <mergeCell ref="O1115:Q1115"/>
    <mergeCell ref="O776:V776"/>
    <mergeCell ref="O787:Q787"/>
    <mergeCell ref="O788:V788"/>
    <mergeCell ref="O791:V791"/>
    <mergeCell ref="O829:Q829"/>
    <mergeCell ref="O833:Q833"/>
    <mergeCell ref="O837:V837"/>
    <mergeCell ref="O988:Q988"/>
    <mergeCell ref="O989:V989"/>
    <mergeCell ref="O991:V991"/>
    <mergeCell ref="O1006:V1006"/>
    <mergeCell ref="O994:V994"/>
    <mergeCell ref="O874:Q874"/>
    <mergeCell ref="O834:V834"/>
    <mergeCell ref="O1014:V1014"/>
    <mergeCell ref="O940:V940"/>
    <mergeCell ref="O942:V942"/>
    <mergeCell ref="O875:V875"/>
    <mergeCell ref="O878:Q878"/>
    <mergeCell ref="O879:V879"/>
    <mergeCell ref="O922:Q922"/>
    <mergeCell ref="O1012:V1012"/>
    <mergeCell ref="O1101:V1101"/>
    <mergeCell ref="O775:Q775"/>
    <mergeCell ref="O724:Q724"/>
    <mergeCell ref="O729:Q729"/>
    <mergeCell ref="O730:V730"/>
    <mergeCell ref="O749:V749"/>
    <mergeCell ref="O1091:Q1091"/>
    <mergeCell ref="O1043:V1043"/>
    <mergeCell ref="O1045:V1045"/>
    <mergeCell ref="O1038:V1038"/>
    <mergeCell ref="O1035:Q1035"/>
    <mergeCell ref="O1036:V1036"/>
    <mergeCell ref="O1065:V1065"/>
    <mergeCell ref="O1050:V1050"/>
    <mergeCell ref="O1018:V1018"/>
    <mergeCell ref="O1008:V1008"/>
    <mergeCell ref="O1005:Q1005"/>
    <mergeCell ref="O936:Q936"/>
    <mergeCell ref="O944:V944"/>
    <mergeCell ref="O930:Q930"/>
    <mergeCell ref="O931:V931"/>
    <mergeCell ref="O522:V522"/>
    <mergeCell ref="O525:V525"/>
    <mergeCell ref="O744:Q744"/>
    <mergeCell ref="O745:V745"/>
    <mergeCell ref="O673:V673"/>
    <mergeCell ref="O687:V687"/>
    <mergeCell ref="O710:Q710"/>
    <mergeCell ref="O747:V747"/>
    <mergeCell ref="O764:Q764"/>
    <mergeCell ref="O711:V711"/>
    <mergeCell ref="O622:V622"/>
    <mergeCell ref="O644:Q644"/>
    <mergeCell ref="O645:V645"/>
    <mergeCell ref="O656:Q656"/>
    <mergeCell ref="O657:V657"/>
    <mergeCell ref="O612:V612"/>
    <mergeCell ref="O621:Q621"/>
    <mergeCell ref="O569:Q569"/>
    <mergeCell ref="O571:Q571"/>
    <mergeCell ref="O580:Q580"/>
    <mergeCell ref="O581:V581"/>
    <mergeCell ref="O572:V572"/>
    <mergeCell ref="O601:Q601"/>
    <mergeCell ref="G202:N202"/>
    <mergeCell ref="G193:N193"/>
    <mergeCell ref="G194:I194"/>
    <mergeCell ref="G147:I147"/>
    <mergeCell ref="G208:I208"/>
    <mergeCell ref="G207:N207"/>
    <mergeCell ref="G182:N182"/>
    <mergeCell ref="G183:I183"/>
    <mergeCell ref="G204:I204"/>
    <mergeCell ref="G191:N191"/>
    <mergeCell ref="G166:N166"/>
    <mergeCell ref="G189:N189"/>
    <mergeCell ref="G145:I145"/>
    <mergeCell ref="G144:N144"/>
    <mergeCell ref="D196:D198"/>
    <mergeCell ref="G170:N170"/>
    <mergeCell ref="G195:I195"/>
    <mergeCell ref="G152:N152"/>
    <mergeCell ref="G153:I153"/>
    <mergeCell ref="G161:I161"/>
    <mergeCell ref="J183:K183"/>
    <mergeCell ref="G157:N157"/>
    <mergeCell ref="G184:N184"/>
    <mergeCell ref="G185:I185"/>
    <mergeCell ref="B163:B164"/>
    <mergeCell ref="G104:I104"/>
    <mergeCell ref="C163:C164"/>
    <mergeCell ref="B196:B198"/>
    <mergeCell ref="C196:C198"/>
    <mergeCell ref="G257:N257"/>
    <mergeCell ref="G936:I936"/>
    <mergeCell ref="D1006:D1010"/>
    <mergeCell ref="G247:I247"/>
    <mergeCell ref="G358:N358"/>
    <mergeCell ref="G303:N303"/>
    <mergeCell ref="G262:I262"/>
    <mergeCell ref="G255:N255"/>
    <mergeCell ref="G263:N263"/>
    <mergeCell ref="G250:I250"/>
    <mergeCell ref="G251:N251"/>
    <mergeCell ref="G282:N282"/>
    <mergeCell ref="G1008:N1008"/>
    <mergeCell ref="G791:N791"/>
    <mergeCell ref="G787:I787"/>
    <mergeCell ref="G864:N864"/>
    <mergeCell ref="G844:N844"/>
    <mergeCell ref="D461:D462"/>
    <mergeCell ref="G355:N355"/>
    <mergeCell ref="G1078:N1078"/>
    <mergeCell ref="G1096:N1096"/>
    <mergeCell ref="G1083:N1083"/>
    <mergeCell ref="G1091:I1091"/>
    <mergeCell ref="G1081:N1081"/>
    <mergeCell ref="G1074:N1074"/>
    <mergeCell ref="G1048:N1048"/>
    <mergeCell ref="G1076:N1076"/>
    <mergeCell ref="G1066:I1066"/>
    <mergeCell ref="G1057:N1057"/>
    <mergeCell ref="G1065:N1065"/>
    <mergeCell ref="G1071:I1071"/>
    <mergeCell ref="G1068:N1068"/>
    <mergeCell ref="G1070:I1070"/>
    <mergeCell ref="G1088:I1088"/>
    <mergeCell ref="J1066:K1066"/>
    <mergeCell ref="J1070:K1070"/>
    <mergeCell ref="J1086:K1086"/>
    <mergeCell ref="J1088:K1088"/>
    <mergeCell ref="G1055:N1055"/>
    <mergeCell ref="G423:N423"/>
    <mergeCell ref="G391:N391"/>
    <mergeCell ref="G372:I372"/>
    <mergeCell ref="G1035:I1035"/>
    <mergeCell ref="D428:D429"/>
    <mergeCell ref="G439:N439"/>
    <mergeCell ref="G347:N347"/>
    <mergeCell ref="G353:I353"/>
    <mergeCell ref="D445:D446"/>
    <mergeCell ref="G360:N360"/>
    <mergeCell ref="G424:I424"/>
    <mergeCell ref="G425:N425"/>
    <mergeCell ref="G934:N934"/>
    <mergeCell ref="G887:N887"/>
    <mergeCell ref="J921:K921"/>
    <mergeCell ref="G914:I914"/>
    <mergeCell ref="G925:N925"/>
    <mergeCell ref="G966:N966"/>
    <mergeCell ref="G941:N941"/>
    <mergeCell ref="G945:N945"/>
    <mergeCell ref="G994:N994"/>
    <mergeCell ref="G989:N989"/>
    <mergeCell ref="G930:I930"/>
    <mergeCell ref="G840:N840"/>
    <mergeCell ref="G228:N228"/>
    <mergeCell ref="G241:N241"/>
    <mergeCell ref="G265:I265"/>
    <mergeCell ref="G230:N230"/>
    <mergeCell ref="D296:D297"/>
    <mergeCell ref="G419:N419"/>
    <mergeCell ref="D375:D380"/>
    <mergeCell ref="G373:I373"/>
    <mergeCell ref="G296:N296"/>
    <mergeCell ref="G249:I249"/>
    <mergeCell ref="G271:N271"/>
    <mergeCell ref="G286:N286"/>
    <mergeCell ref="D210:D211"/>
    <mergeCell ref="G187:N187"/>
    <mergeCell ref="C213:C219"/>
    <mergeCell ref="G259:N259"/>
    <mergeCell ref="J247:K247"/>
    <mergeCell ref="J249:K249"/>
    <mergeCell ref="J284:K284"/>
    <mergeCell ref="G284:I284"/>
    <mergeCell ref="G1098:N1098"/>
    <mergeCell ref="G1014:N1014"/>
    <mergeCell ref="G1018:N1018"/>
    <mergeCell ref="G997:N997"/>
    <mergeCell ref="G817:N817"/>
    <mergeCell ref="G825:I825"/>
    <mergeCell ref="G788:N788"/>
    <mergeCell ref="G808:N808"/>
    <mergeCell ref="G224:I224"/>
    <mergeCell ref="G238:N238"/>
    <mergeCell ref="D213:D219"/>
    <mergeCell ref="G275:N275"/>
    <mergeCell ref="D251:D255"/>
    <mergeCell ref="D226:D229"/>
    <mergeCell ref="G289:N289"/>
    <mergeCell ref="G245:N245"/>
    <mergeCell ref="V5:V6"/>
    <mergeCell ref="G5:G6"/>
    <mergeCell ref="H5:H6"/>
    <mergeCell ref="I5:I6"/>
    <mergeCell ref="M5:M6"/>
    <mergeCell ref="N5:N6"/>
    <mergeCell ref="O5:O6"/>
    <mergeCell ref="P5:P6"/>
    <mergeCell ref="Q5:Q6"/>
    <mergeCell ref="U5:U6"/>
    <mergeCell ref="G86:N86"/>
    <mergeCell ref="J62:K62"/>
    <mergeCell ref="J68:K68"/>
    <mergeCell ref="J671:K671"/>
    <mergeCell ref="J669:K669"/>
    <mergeCell ref="J161:K161"/>
    <mergeCell ref="J153:K153"/>
    <mergeCell ref="J150:K150"/>
    <mergeCell ref="J147:K147"/>
    <mergeCell ref="J145:K145"/>
    <mergeCell ref="J134:L134"/>
    <mergeCell ref="J119:K119"/>
    <mergeCell ref="J493:K493"/>
    <mergeCell ref="G417:N417"/>
    <mergeCell ref="G442:N442"/>
    <mergeCell ref="G457:N457"/>
    <mergeCell ref="G308:N308"/>
    <mergeCell ref="G319:N319"/>
    <mergeCell ref="G642:N642"/>
    <mergeCell ref="G567:N567"/>
    <mergeCell ref="G668:N668"/>
    <mergeCell ref="G669:I669"/>
    <mergeCell ref="G633:N633"/>
    <mergeCell ref="G647:N647"/>
    <mergeCell ref="J47:K47"/>
    <mergeCell ref="J37:K37"/>
    <mergeCell ref="G212:I212"/>
    <mergeCell ref="G68:I68"/>
    <mergeCell ref="G56:N56"/>
    <mergeCell ref="G102:I102"/>
    <mergeCell ref="G70:N70"/>
    <mergeCell ref="G49:N49"/>
    <mergeCell ref="G46:N46"/>
    <mergeCell ref="G47:I47"/>
    <mergeCell ref="G80:N80"/>
    <mergeCell ref="G88:N88"/>
    <mergeCell ref="G89:I89"/>
    <mergeCell ref="G162:I162"/>
    <mergeCell ref="G168:N168"/>
    <mergeCell ref="J92:K92"/>
    <mergeCell ref="J89:K89"/>
    <mergeCell ref="J84:K84"/>
    <mergeCell ref="J73:K73"/>
    <mergeCell ref="G61:N61"/>
    <mergeCell ref="G78:N78"/>
    <mergeCell ref="G62:I62"/>
    <mergeCell ref="G73:I73"/>
    <mergeCell ref="G72:N72"/>
    <mergeCell ref="J1110:K1110"/>
    <mergeCell ref="J1114:K1114"/>
    <mergeCell ref="J208:K208"/>
    <mergeCell ref="J194:K194"/>
    <mergeCell ref="J185:K185"/>
    <mergeCell ref="J579:K579"/>
    <mergeCell ref="J595:K595"/>
    <mergeCell ref="J600:K600"/>
    <mergeCell ref="J603:K603"/>
    <mergeCell ref="J610:K610"/>
    <mergeCell ref="J620:K620"/>
    <mergeCell ref="J641:K641"/>
    <mergeCell ref="J832:K832"/>
    <mergeCell ref="J852:K852"/>
    <mergeCell ref="J855:K855"/>
    <mergeCell ref="J873:K873"/>
    <mergeCell ref="J904:K904"/>
    <mergeCell ref="J512:K512"/>
    <mergeCell ref="J510:K510"/>
    <mergeCell ref="J505:K505"/>
    <mergeCell ref="J486:K486"/>
    <mergeCell ref="J518:K518"/>
    <mergeCell ref="J502:K502"/>
    <mergeCell ref="J495:K495"/>
    <mergeCell ref="O17:V17"/>
    <mergeCell ref="O187:V187"/>
    <mergeCell ref="O583:V583"/>
    <mergeCell ref="O1052:V1052"/>
    <mergeCell ref="O390:V390"/>
    <mergeCell ref="G786:I786"/>
    <mergeCell ref="J786:K786"/>
    <mergeCell ref="G261:I261"/>
    <mergeCell ref="J261:K261"/>
    <mergeCell ref="O659:V659"/>
    <mergeCell ref="O661:V661"/>
    <mergeCell ref="O624:V624"/>
    <mergeCell ref="O627:V627"/>
    <mergeCell ref="O713:V713"/>
    <mergeCell ref="G847:N847"/>
    <mergeCell ref="G917:N917"/>
    <mergeCell ref="G1012:N1012"/>
    <mergeCell ref="G1045:N1045"/>
    <mergeCell ref="G1038:N1038"/>
    <mergeCell ref="J700:K700"/>
    <mergeCell ref="G76:I76"/>
    <mergeCell ref="J76:K76"/>
    <mergeCell ref="J104:K104"/>
    <mergeCell ref="J490:K490"/>
  </mergeCells>
  <phoneticPr fontId="3" type="noConversion"/>
  <hyperlinks>
    <hyperlink ref="G1073" r:id="rId1"/>
    <hyperlink ref="G1104" r:id="rId2" display="Тверское отделение №8607 сбербанка РФ"/>
  </hyperlinks>
  <pageMargins left="0.7" right="0.7" top="0.75" bottom="0.75" header="0.3" footer="0.3"/>
  <pageSetup paperSize="9" orientation="portrait" horizontalDpi="300" verticalDpi="30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Итоговая</vt:lpstr>
      <vt:lpstr>Интерактивная карта</vt:lpstr>
      <vt:lpstr>Информация ТП</vt:lpstr>
      <vt:lpstr>Зона БЭс</vt:lpstr>
      <vt:lpstr>Зона ВЭс</vt:lpstr>
      <vt:lpstr>Зона КиЭс  </vt:lpstr>
      <vt:lpstr>Зона РжЭс</vt:lpstr>
      <vt:lpstr>Зона НЭс</vt:lpstr>
      <vt:lpstr>Зона ТвЭС</vt:lpstr>
      <vt:lpstr>Зона ТоЭс</vt:lpstr>
      <vt:lpstr>Таблица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2015-10-08T12:51:34Z</cp:lastPrinted>
  <dcterms:created xsi:type="dcterms:W3CDTF">2008-10-03T08:18:33Z</dcterms:created>
  <dcterms:modified xsi:type="dcterms:W3CDTF">2016-04-19T13:41:27Z</dcterms:modified>
</cp:coreProperties>
</file>